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7039" activeTab="0"/>
  </bookViews>
  <sheets>
    <sheet name="DistribuidoresaGraneldeGLP" sheetId="1" r:id="rId1"/>
  </sheets>
  <definedNames/>
  <calcPr fullCalcOnLoad="1"/>
</workbook>
</file>

<file path=xl/sharedStrings.xml><?xml version="1.0" encoding="utf-8"?>
<sst xmlns="http://schemas.openxmlformats.org/spreadsheetml/2006/main" count="5020" uniqueCount="2236">
  <si>
    <t>REGISTROS HÁBILES DE DISTRIBUIDORES A GRANEL DE GLP (Actualizado al 29 DE OCTUBRE DE 2020)</t>
  </si>
  <si>
    <t>No</t>
  </si>
  <si>
    <t>EXPEDIENTE</t>
  </si>
  <si>
    <t>CODIGO OSINERGMIN</t>
  </si>
  <si>
    <t>REGISTRO</t>
  </si>
  <si>
    <t>RUC</t>
  </si>
  <si>
    <t>RAZON SOCIAL</t>
  </si>
  <si>
    <t>DIRECCION LEGAL</t>
  </si>
  <si>
    <t>DEPARTAMENTO</t>
  </si>
  <si>
    <t>PROVINCIA</t>
  </si>
  <si>
    <t>DISTRITO</t>
  </si>
  <si>
    <t>DIRECCION PERNOCTA</t>
  </si>
  <si>
    <t>DEPARTAMENTO PERNOCTA</t>
  </si>
  <si>
    <t>PROVINCIA PERNOCTA</t>
  </si>
  <si>
    <t>DISTRITO PERNOCTA</t>
  </si>
  <si>
    <t>TIPO TRANSPORTE</t>
  </si>
  <si>
    <t>PLACA PRINCIPAL</t>
  </si>
  <si>
    <t>TRACTO 1</t>
  </si>
  <si>
    <t>TRACTO 2</t>
  </si>
  <si>
    <t>TRACTO 3</t>
  </si>
  <si>
    <t>TRACTO 4</t>
  </si>
  <si>
    <t>TRACTO 5</t>
  </si>
  <si>
    <t>TRACTO 6</t>
  </si>
  <si>
    <t>TRACTO 7</t>
  </si>
  <si>
    <t>TRACTO 8</t>
  </si>
  <si>
    <t>TRACTO 9</t>
  </si>
  <si>
    <t>TRACTO 10</t>
  </si>
  <si>
    <t>TRACTO 11</t>
  </si>
  <si>
    <t>TRACTO 12</t>
  </si>
  <si>
    <t>TRACTO 13</t>
  </si>
  <si>
    <t>TRACTO 14</t>
  </si>
  <si>
    <t>TRACTO 15</t>
  </si>
  <si>
    <t>TRACTO 16</t>
  </si>
  <si>
    <t>TRACTO 17</t>
  </si>
  <si>
    <t>TRACTO 18</t>
  </si>
  <si>
    <t>TRACTO 19</t>
  </si>
  <si>
    <t>TRACTO 20</t>
  </si>
  <si>
    <t>CAP.AUTORIZADA (gln)</t>
  </si>
  <si>
    <t>FEC. EMISION</t>
  </si>
  <si>
    <t>TÉRMINO DE VIGENCIA</t>
  </si>
  <si>
    <t>REPRESENTANTE</t>
  </si>
  <si>
    <t>93259-038-040920</t>
  </si>
  <si>
    <t>ESTACION DE SERVICIOS BENETON S.A.</t>
  </si>
  <si>
    <t>AV. ANDRÉS AVELINO CÁCERES, MZ. E, LOTE N° 14</t>
  </si>
  <si>
    <t>AREQUIPA</t>
  </si>
  <si>
    <t>JOSE LUIS BUSTAMANTE Y RIVERO</t>
  </si>
  <si>
    <t>CAMION CISTERNA</t>
  </si>
  <si>
    <t>V2N-985</t>
  </si>
  <si>
    <t> A1K-891</t>
  </si>
  <si>
    <t> A5M-946</t>
  </si>
  <si>
    <t> A8S-800</t>
  </si>
  <si>
    <t> F9H-745</t>
  </si>
  <si>
    <t> V1A-910</t>
  </si>
  <si>
    <t> D3R-891</t>
  </si>
  <si>
    <t> A3P-877</t>
  </si>
  <si>
    <t>HUGO ALBERTO DEL CARPIO DEL PRATT</t>
  </si>
  <si>
    <t>106553-038-210114</t>
  </si>
  <si>
    <t>AERO GAS DEL NORTE S.A.C.</t>
  </si>
  <si>
    <t>CALLE LOS CALIBRADORES MZA 01 LOTE 5 , 7 Z.I. PARQUE INDUSTRIAL ACOMPIA (ALT. BALANZA Y TOLERACIA CERO - ANCON)</t>
  </si>
  <si>
    <t>LIMA</t>
  </si>
  <si>
    <t>ANCON</t>
  </si>
  <si>
    <t>D1T-982</t>
  </si>
  <si>
    <t> C0B-849</t>
  </si>
  <si>
    <t> D1X-718</t>
  </si>
  <si>
    <t> C2E-821</t>
  </si>
  <si>
    <t> D2N-858</t>
  </si>
  <si>
    <t>PEDRO CIERTO CABRERA</t>
  </si>
  <si>
    <t>104505-038-040718</t>
  </si>
  <si>
    <t>MAQUINARIAS &amp; TRANSPORTES SANTA ANA E.I.R.L.</t>
  </si>
  <si>
    <t>PARIACHI MZ. C LT. 10 INT. 2 ASOCIACIÓN LOS PORTALES DE PARIACHI</t>
  </si>
  <si>
    <t>ATE</t>
  </si>
  <si>
    <t>CAMION TANQUE</t>
  </si>
  <si>
    <t>D1Q-745</t>
  </si>
  <si>
    <t>ESTHER LOLA TAPIA SOTO DE SALAZAR</t>
  </si>
  <si>
    <t>124417-038-261016</t>
  </si>
  <si>
    <t>PLAZA TRANSPORTES Y SERVICIOS S.A.C.</t>
  </si>
  <si>
    <t>JR. JOSE SANTOS CHOCANO N°709</t>
  </si>
  <si>
    <t>AYACUCHO</t>
  </si>
  <si>
    <t>HUAMANGA</t>
  </si>
  <si>
    <t>JESUS NAZARENO</t>
  </si>
  <si>
    <t>C0Y-722</t>
  </si>
  <si>
    <t xml:space="preserve">OLARTE LUJAN MIGUEL ANGEL </t>
  </si>
  <si>
    <t>115359-038-241020</t>
  </si>
  <si>
    <t>CESAR BELIZARIO LEON DELGADO</t>
  </si>
  <si>
    <t>TUPAC YUPANQUI N° 671 URB. SANTA MARIA</t>
  </si>
  <si>
    <t>LA LIBERTAD</t>
  </si>
  <si>
    <t>TRUJILLO</t>
  </si>
  <si>
    <t>F3O-994</t>
  </si>
  <si>
    <t> T5I-834</t>
  </si>
  <si>
    <t> AXA-769</t>
  </si>
  <si>
    <t>121897-038-090616</t>
  </si>
  <si>
    <t xml:space="preserve">ENERGY PERU COMPANY E.I.R.L. </t>
  </si>
  <si>
    <t xml:space="preserve">MZ. L LOTE 10, ASOCIACION HUERTOS DE HUACHIPA </t>
  </si>
  <si>
    <t>LURIGANCHO</t>
  </si>
  <si>
    <t>MZ. L LOTE 1O, ASOCIACION HUERTOS DE HUACHIPA</t>
  </si>
  <si>
    <t>F7A-988</t>
  </si>
  <si>
    <t> C9R-881</t>
  </si>
  <si>
    <t> C9S-899</t>
  </si>
  <si>
    <t>MARIA ELSA MORVELI MORVELI</t>
  </si>
  <si>
    <t>118735-038-041219</t>
  </si>
  <si>
    <t>INVERSIONES HIGASHI S.A.</t>
  </si>
  <si>
    <t>AV. ALFREDO MEDIOLA N° 1395</t>
  </si>
  <si>
    <t>SAN MARTIN DE PORRES</t>
  </si>
  <si>
    <t>F6A-996</t>
  </si>
  <si>
    <t> AKC-810</t>
  </si>
  <si>
    <t>HIGA SHIMABUKURO, CHRISTIAN CESAR</t>
  </si>
  <si>
    <t>122395-038-171016</t>
  </si>
  <si>
    <t>ESTACION DE ENERGIAS EL CENTENARIO SAC</t>
  </si>
  <si>
    <t>AV. INDUSTRIAL Nº 260 SUCESIÓN BACIGALUPO CALLE BRASIL 1315</t>
  </si>
  <si>
    <t>TACNA</t>
  </si>
  <si>
    <t>D1Z-849</t>
  </si>
  <si>
    <t>JULIO VIDAL CHOQUECOTA VISCACHO</t>
  </si>
  <si>
    <t>87771-038-090617</t>
  </si>
  <si>
    <t>CT-GAS E.I.R.L.</t>
  </si>
  <si>
    <t>CALLE ELIAS AGUIRRE N° 160 SECTOR BUENOS AIRES SUR</t>
  </si>
  <si>
    <t>VICTOR LARCO HERRERA</t>
  </si>
  <si>
    <t>A4X-812</t>
  </si>
  <si>
    <t>MAGALY VERONICA TAVERA COSME</t>
  </si>
  <si>
    <t>115833-038-260615</t>
  </si>
  <si>
    <t xml:space="preserve">FABRICACION Y REPARACION MULTIPLE E INDUSTRIALES S.A.C </t>
  </si>
  <si>
    <t>AV. LAS FABRICAS NRO. 163. URB. INDUSTRIAL SAN REMO</t>
  </si>
  <si>
    <t>F4A-991</t>
  </si>
  <si>
    <t> ABB-875</t>
  </si>
  <si>
    <t>JORGE LUIS LANDA GOMERO</t>
  </si>
  <si>
    <t>118094-038-150718</t>
  </si>
  <si>
    <t>INVERSIONES ECHILE S.A.C.</t>
  </si>
  <si>
    <t>MZ. H LOTE 3 URB. VISTA ALEGRE I (EX FUNDO OQUENDO)</t>
  </si>
  <si>
    <t>PROV. CONST. DEL CALLAO</t>
  </si>
  <si>
    <t>CALLAO</t>
  </si>
  <si>
    <t>AJU-945</t>
  </si>
  <si>
    <t>EDGAR CHILLCCE LEON</t>
  </si>
  <si>
    <t>87293-038-221020</t>
  </si>
  <si>
    <t>CENTER GAS S.A.C.</t>
  </si>
  <si>
    <t>MZ. A LOTE 14 ASOC. PRIMAVERA DE CHAPARRAL</t>
  </si>
  <si>
    <t>CARABAYLLO</t>
  </si>
  <si>
    <t>V5V-884</t>
  </si>
  <si>
    <t>JIMMY GABRIEL VELARDE BERAUN</t>
  </si>
  <si>
    <t>63973-038-120418</t>
  </si>
  <si>
    <t>COSTA GAS TRUJILLO S.A.C.</t>
  </si>
  <si>
    <t>CARRETERA INDUSTRIAL A LAREDO KM 1-C</t>
  </si>
  <si>
    <t>MOCHE</t>
  </si>
  <si>
    <t>CARRETERA INDUSTRIAL A LAREDO N° 1-C</t>
  </si>
  <si>
    <t>A0X-941</t>
  </si>
  <si>
    <t>MARCO ANTONIO VASQUEZ WONG</t>
  </si>
  <si>
    <t>141461-038-231119</t>
  </si>
  <si>
    <t>CAMIGAS PERU S.A.C.</t>
  </si>
  <si>
    <t>MALECON PAUL HARRIS NRO. 040, DPTO. 201</t>
  </si>
  <si>
    <t>BARRANCO</t>
  </si>
  <si>
    <t>ATH-749</t>
  </si>
  <si>
    <t>GASTON ALBERTO HERRERA MORELLI</t>
  </si>
  <si>
    <t>149672-038-170720</t>
  </si>
  <si>
    <t>GRUPO H SAN JUAN S.A.C.</t>
  </si>
  <si>
    <t>CALLE RIO PAUCARTAMBO N° 5350</t>
  </si>
  <si>
    <t>LOS OLIVOS</t>
  </si>
  <si>
    <t>CALLE RIO PAUCARTAMBO N° 5350 - LOS OLIVOS / LIMA / LIMA</t>
  </si>
  <si>
    <t>APR-979</t>
  </si>
  <si>
    <t> BCR-850</t>
  </si>
  <si>
    <t>MELCIADES HUALCAS AGUIRRE</t>
  </si>
  <si>
    <t>103100-038-240513</t>
  </si>
  <si>
    <t>COMBUSTIBLES FENANDEZ SAC</t>
  </si>
  <si>
    <t xml:space="preserve">AV. ARGENTINA Nº 2600 URB. BARSALLO </t>
  </si>
  <si>
    <t>LAMBAYEQUE</t>
  </si>
  <si>
    <t>CHICLAYO</t>
  </si>
  <si>
    <t>JOSE LEONARDO ORTIZ</t>
  </si>
  <si>
    <t>M3X-737</t>
  </si>
  <si>
    <t>GLADYZ MARLENY FERNANDEZ VASQUEZ</t>
  </si>
  <si>
    <t>114279-038-090415</t>
  </si>
  <si>
    <t xml:space="preserve">HALKON E.I.R.L. </t>
  </si>
  <si>
    <t xml:space="preserve">PROLONGACION LOS ANGELES S/N PARCELA 2 SECTOR PIEDRA BLANCA </t>
  </si>
  <si>
    <t>CALANA</t>
  </si>
  <si>
    <t>AEF-846</t>
  </si>
  <si>
    <t>EDWIN ROBERTO MENDOZA QUISPE</t>
  </si>
  <si>
    <t>97856-038-070812</t>
  </si>
  <si>
    <t xml:space="preserve">SHILCAYO GRIFO S R L </t>
  </si>
  <si>
    <t xml:space="preserve">JR. CABO ALBERTO LEVEAU S/N BANDA DE SHILCAYO </t>
  </si>
  <si>
    <t>SAN MARTIN</t>
  </si>
  <si>
    <t>LA BANDA DE SHILCAYO</t>
  </si>
  <si>
    <t>C4L-748</t>
  </si>
  <si>
    <t>ANITA PATRICIA FALCON RAMIREZ</t>
  </si>
  <si>
    <t>135996-038-270818</t>
  </si>
  <si>
    <t>ESSA GAS S.A.C.</t>
  </si>
  <si>
    <t>AV. FLORA TRISTAN N° 856 URB. SANTA PATRICIA III ETAPA</t>
  </si>
  <si>
    <t>LA MOLINA</t>
  </si>
  <si>
    <t>AHB-971</t>
  </si>
  <si>
    <t> AWA-889</t>
  </si>
  <si>
    <t xml:space="preserve">NOYLI CASTRO DE LA CRUZ </t>
  </si>
  <si>
    <t>148103-038-061219</t>
  </si>
  <si>
    <t>GRIFO EL MILENIO E.I.R.L.</t>
  </si>
  <si>
    <t>CARRETERA PANAMERICANA NORTE KM. 1046</t>
  </si>
  <si>
    <t>PIURA</t>
  </si>
  <si>
    <t>VEINTISEIS DE OCTUBRE</t>
  </si>
  <si>
    <t>AMN-974</t>
  </si>
  <si>
    <t> B2Z-894</t>
  </si>
  <si>
    <t>MARINA CASTRO CHAVEZ</t>
  </si>
  <si>
    <t>121551-038-070318</t>
  </si>
  <si>
    <t>TRANSPORTE GRUPO SANCHEZ CABRERA E.I.R.L.</t>
  </si>
  <si>
    <t>AV. FERNANDO LEON DE VIVERO S/N SAN JOAQUIN VIEJO N°403 SEGUNDO PISO GRIFO PETROPERU</t>
  </si>
  <si>
    <t>ICA</t>
  </si>
  <si>
    <t>F7O-991</t>
  </si>
  <si>
    <t> AKR-864</t>
  </si>
  <si>
    <t> A2G-936</t>
  </si>
  <si>
    <t> AFB-881</t>
  </si>
  <si>
    <t> D6G-856</t>
  </si>
  <si>
    <t> C9R-759</t>
  </si>
  <si>
    <t>LIDIA EMILIA CABRERA HUARTO</t>
  </si>
  <si>
    <t>93752-038-030114</t>
  </si>
  <si>
    <t>GLOBAL START UP S.A.C.</t>
  </si>
  <si>
    <t>AV. LOS PROCERES Nº 8071</t>
  </si>
  <si>
    <t>C3N-877</t>
  </si>
  <si>
    <t>ALVARO CARLOS CAVERO VELARDE</t>
  </si>
  <si>
    <t>124562-038-021116</t>
  </si>
  <si>
    <t xml:space="preserve">FERES GROUP S.A.C. </t>
  </si>
  <si>
    <t xml:space="preserve">FIDEL TUBINO N° 209 - PANDO </t>
  </si>
  <si>
    <t>SAN MIGUEL</t>
  </si>
  <si>
    <t>A5Y-821</t>
  </si>
  <si>
    <t>IVAN MARVIN GAMBOA FERNANDEZ</t>
  </si>
  <si>
    <t>117735-038-231015</t>
  </si>
  <si>
    <t xml:space="preserve">TRANSPORTES Y MINERALES LOPEZ S.A. </t>
  </si>
  <si>
    <t xml:space="preserve">JR. SEBASTIAN LORENTE 460 </t>
  </si>
  <si>
    <t>JUNIN</t>
  </si>
  <si>
    <t>HUANCAYO</t>
  </si>
  <si>
    <t>EL TAMBO</t>
  </si>
  <si>
    <t>F5J-999</t>
  </si>
  <si>
    <t> C1I-901</t>
  </si>
  <si>
    <t> AJF-901</t>
  </si>
  <si>
    <t>LOPEZ LAZO GONZALO INARIO</t>
  </si>
  <si>
    <t>118168-038-100717</t>
  </si>
  <si>
    <t>TRANSPUENTE S.A.C.</t>
  </si>
  <si>
    <t>CALLE DIEGO DE AGÜERO N° 250</t>
  </si>
  <si>
    <t>SANTIAGO DE SURCO</t>
  </si>
  <si>
    <t>AJO-889</t>
  </si>
  <si>
    <t>BENJAMIN SANTIAGO BISSO PICHILINGUE</t>
  </si>
  <si>
    <t>121077-038-260416</t>
  </si>
  <si>
    <t xml:space="preserve">ESTACION DE SERVICIOS NJK SAC </t>
  </si>
  <si>
    <t>AV LAS AMERICAS 831- MAZO</t>
  </si>
  <si>
    <t>HUAURA</t>
  </si>
  <si>
    <t>VEGUETA</t>
  </si>
  <si>
    <t>AV. LAS AMERICAS Nº 831.-MAZO</t>
  </si>
  <si>
    <t>ALZ-881</t>
  </si>
  <si>
    <t>JUAN JOSE LI PERALTA</t>
  </si>
  <si>
    <t>84730-038-310820</t>
  </si>
  <si>
    <t>SERG &amp; H GAS S.A.C.</t>
  </si>
  <si>
    <t>JR. JOSE ANTONIO ENCINAS N° 186, MZ. G, LOTE 15, URB. AMAUTA</t>
  </si>
  <si>
    <t>SAN JUAN DE MIRAFLORES</t>
  </si>
  <si>
    <t>D0S-999</t>
  </si>
  <si>
    <t> AFS-737</t>
  </si>
  <si>
    <t>SERGIO BELLIDO ROCA</t>
  </si>
  <si>
    <t>122772-038-220920</t>
  </si>
  <si>
    <t xml:space="preserve">VIJOSTRAN &amp; CIA S.A.C. </t>
  </si>
  <si>
    <t>CALLE GENERAL SANTA CRUZ N° 398, URB. EL PINO</t>
  </si>
  <si>
    <t>SAN LUIS</t>
  </si>
  <si>
    <t>F8Y-977</t>
  </si>
  <si>
    <t> AMK-929</t>
  </si>
  <si>
    <t> AMJ-879</t>
  </si>
  <si>
    <t> AHB-707</t>
  </si>
  <si>
    <t> AYS-785</t>
  </si>
  <si>
    <t> AMA-926</t>
  </si>
  <si>
    <t>MARLA CHANY QUISPE FUNG DE HERVACIO</t>
  </si>
  <si>
    <t>127710-038-020318</t>
  </si>
  <si>
    <t>JR JUNIN N° 589</t>
  </si>
  <si>
    <t>CHINCHA</t>
  </si>
  <si>
    <t>CHINCHA ALTA</t>
  </si>
  <si>
    <t>F0N-990</t>
  </si>
  <si>
    <t> A1S-851</t>
  </si>
  <si>
    <t> AFG-923</t>
  </si>
  <si>
    <t> T8P-826</t>
  </si>
  <si>
    <t> ARI-915</t>
  </si>
  <si>
    <t> COB-849</t>
  </si>
  <si>
    <t>125002-038-300619</t>
  </si>
  <si>
    <t>NEGOCIACIONES RODRIGUEZ E.I.R.L.</t>
  </si>
  <si>
    <t>CALLE CONSUELO N° 619 BLOCK E DPTO 2</t>
  </si>
  <si>
    <t>F0N-998</t>
  </si>
  <si>
    <t> AMT-725</t>
  </si>
  <si>
    <t> AXF-794</t>
  </si>
  <si>
    <t>ELIAS JORGE RODRIGUEZ AGUILAR</t>
  </si>
  <si>
    <t>143180-038-081019</t>
  </si>
  <si>
    <t xml:space="preserve">CORGAS TRANSPORT S.A.C. </t>
  </si>
  <si>
    <t xml:space="preserve">AV. LAS TORRES N° 497 URB. LOS SAUCES </t>
  </si>
  <si>
    <t>ALK-726</t>
  </si>
  <si>
    <t>DELFINA ATACHAGUA MAURICIO VDA. DE CORDOVA</t>
  </si>
  <si>
    <t>118727-038-271115</t>
  </si>
  <si>
    <t>VIJOSTRAN &amp; CIA S.A.C.</t>
  </si>
  <si>
    <t xml:space="preserve">GENERAL SANTA CRUZ 398 URB. EL PINO </t>
  </si>
  <si>
    <t>AJP-889</t>
  </si>
  <si>
    <t>MARLA CHANI QUISPE FUNG DE HERVACIO</t>
  </si>
  <si>
    <t>111503-038-301019</t>
  </si>
  <si>
    <t>ANA JECENIA PALACIOS GAMARRA</t>
  </si>
  <si>
    <t>AV. ALAMEDA MARGINAL NORTE S/N</t>
  </si>
  <si>
    <t>SATIPO</t>
  </si>
  <si>
    <t>RIO NEGRO</t>
  </si>
  <si>
    <t>D6T-984</t>
  </si>
  <si>
    <t> C3E-850</t>
  </si>
  <si>
    <t>112263-038-151114</t>
  </si>
  <si>
    <t>INVERSIONES FENIX GAS S.A.C.</t>
  </si>
  <si>
    <t>AV. UNIVERSITARIA MZ. A LOTE 06</t>
  </si>
  <si>
    <t>D0Z-999</t>
  </si>
  <si>
    <t> ADF-726</t>
  </si>
  <si>
    <t>DIONISIO FELICIANO AZAÑERO SALCEDO</t>
  </si>
  <si>
    <t>118726-038-301115</t>
  </si>
  <si>
    <t>AJP-737</t>
  </si>
  <si>
    <t>120614-038-100719</t>
  </si>
  <si>
    <t>F &amp; F GRUPO FER. E.I.R.L.</t>
  </si>
  <si>
    <t>JR. YUTAY N° 105</t>
  </si>
  <si>
    <t>RIMAC</t>
  </si>
  <si>
    <t>ALO-733</t>
  </si>
  <si>
    <t>SHEILA SOFIA FIGUEROA FERNANDEZ</t>
  </si>
  <si>
    <t>123227-038-060719</t>
  </si>
  <si>
    <t>AMPAY BUSINESS GAS S.A.C.</t>
  </si>
  <si>
    <t>AV. B MZ. B LT. 8 - EX FUNDO OQUENDO.</t>
  </si>
  <si>
    <t>C2G-802</t>
  </si>
  <si>
    <t>DANIEL FLORES RIOS</t>
  </si>
  <si>
    <t>113873-038-030719</t>
  </si>
  <si>
    <t>NEGOCIACIONES RODRIGUEZ EMPRESA INDIVIDUAL DE RESPONSABILIDAD LIMITADA</t>
  </si>
  <si>
    <t>CALLE CONSUELO N° 619 BLOCK E DPTO. 2</t>
  </si>
  <si>
    <t>F1F-995</t>
  </si>
  <si>
    <t> F0H-754</t>
  </si>
  <si>
    <t>88411-038-211019</t>
  </si>
  <si>
    <t>CAXAMARCA GAS S.A.</t>
  </si>
  <si>
    <t>AV. SAN MARTIN DE PORRES N° 1837</t>
  </si>
  <si>
    <t>CAJAMARCA</t>
  </si>
  <si>
    <t xml:space="preserve">AV. SAN MARTIN DE PORRRES N° 1837 </t>
  </si>
  <si>
    <t>Y1V-869</t>
  </si>
  <si>
    <t>SONIA MEDALITH LA TORRE LEZAMA</t>
  </si>
  <si>
    <t>120840-038-040820</t>
  </si>
  <si>
    <t>PROCESADORA Y OPERADORA DE COMBUSTIBLES DEL PERU S.A.C.</t>
  </si>
  <si>
    <t>CALLE MONTE ROSA 240 OF. 803 URB. CHACARILLA DEL ESTANQUE</t>
  </si>
  <si>
    <t>F8C-989</t>
  </si>
  <si>
    <t> ALU-760</t>
  </si>
  <si>
    <t>RAY ERICK BALAREZO DEL VALLE</t>
  </si>
  <si>
    <t>84692-038-241118</t>
  </si>
  <si>
    <t>BEAX INVERSIONES &amp; SERVICIOS S.R.L</t>
  </si>
  <si>
    <t>CARRETERA PANAMERICANA NORTE KM. 1270 - DPTO. 203</t>
  </si>
  <si>
    <t>TUMBES</t>
  </si>
  <si>
    <t>C7D-722</t>
  </si>
  <si>
    <t>ORTIZ PEÑA, JOSE FRANCISCO</t>
  </si>
  <si>
    <t>96157-038-180619</t>
  </si>
  <si>
    <t>DINOGAS CARGO S.A.C.</t>
  </si>
  <si>
    <t>JR MIGUEL GRAU N 120 DPTO 203 INT B</t>
  </si>
  <si>
    <t>JR. MIGUEL GRAU N° 120 DPTO. 203 INT. B</t>
  </si>
  <si>
    <t>B7H-973</t>
  </si>
  <si>
    <t> ALA-799</t>
  </si>
  <si>
    <t> D2Z-804</t>
  </si>
  <si>
    <t> AZR-749</t>
  </si>
  <si>
    <t> AFA-920</t>
  </si>
  <si>
    <t xml:space="preserve">CARLOS DIAZ GARCIA </t>
  </si>
  <si>
    <t>94032-038-211011</t>
  </si>
  <si>
    <t>INVERSIONES Y NEGOCIOS GMC S.A.C.</t>
  </si>
  <si>
    <t>CALLE EL ALAMO Nº 129, URB EL ALAMO</t>
  </si>
  <si>
    <t>B9E-924</t>
  </si>
  <si>
    <t>DAVID ANDRES MENDOZA ALVAREZ</t>
  </si>
  <si>
    <t>141678-038-070319</t>
  </si>
  <si>
    <t>INVERSIONES JEM S.A.C</t>
  </si>
  <si>
    <t>AV. SALAVERRY N° 930 URB. PATAZCA</t>
  </si>
  <si>
    <t>AKP-983</t>
  </si>
  <si>
    <t> AZC-855</t>
  </si>
  <si>
    <t>LEON GUTIERREZ JANNINA LEYLA</t>
  </si>
  <si>
    <t>91018-038-180319</t>
  </si>
  <si>
    <t>PUNTO GAS S.A.C.</t>
  </si>
  <si>
    <t xml:space="preserve">CALLE MARIE CURIE MZ. O LT. 32 Z.I. SANTA ROSA </t>
  </si>
  <si>
    <t>A9Y-890</t>
  </si>
  <si>
    <t>SERGIO AUGUSTO MATOS SIFUENTES</t>
  </si>
  <si>
    <t>131561-038-060917</t>
  </si>
  <si>
    <t>GRIFO JOSE OLAYA E.I.R.L.</t>
  </si>
  <si>
    <t>AV. JOSÉ OLAYA NRO. 548</t>
  </si>
  <si>
    <t>AV. JOSE OLAYA N° 548</t>
  </si>
  <si>
    <t>W3L-976</t>
  </si>
  <si>
    <t> ARB-813</t>
  </si>
  <si>
    <t>PEPE JUAN CHUQUILLANQUI ALIAGA</t>
  </si>
  <si>
    <t>131653-038-120418</t>
  </si>
  <si>
    <t xml:space="preserve">CARRETERA INDUSTRIAL A LAREDO KM. 1-C </t>
  </si>
  <si>
    <t>T4F-890</t>
  </si>
  <si>
    <t>129497-038-250617</t>
  </si>
  <si>
    <t>SERVICIOS &amp; DISTRIBUCIONES GENERALES SAN FRANCISCO DE BORJA S.A.C.</t>
  </si>
  <si>
    <t>AV. BILLINGHURST N°664</t>
  </si>
  <si>
    <t>ACN-998</t>
  </si>
  <si>
    <t> V9B-882</t>
  </si>
  <si>
    <t> V8G-891</t>
  </si>
  <si>
    <t> V7W-775</t>
  </si>
  <si>
    <t>JOSE HUMBERTO MAMANI TENORIO</t>
  </si>
  <si>
    <t>133984-038-170118</t>
  </si>
  <si>
    <t>REPSOL COMERCIAL S.A.C.</t>
  </si>
  <si>
    <t>AV. VICTOR ANDRES BELAUNDE N° 147 INT. 301</t>
  </si>
  <si>
    <t>SAN ISIDRO</t>
  </si>
  <si>
    <t>AUX-732</t>
  </si>
  <si>
    <t>VICTOR GONZALO CASTILLO OVIEDO</t>
  </si>
  <si>
    <t>107122-038-240417</t>
  </si>
  <si>
    <t>TRANSPORTES RENT GAS S.A.C.</t>
  </si>
  <si>
    <t>AV. FRANCISCO BOLOGNESI N° 1010-1 / PJ. MIRAMAR BAJO</t>
  </si>
  <si>
    <t>ANCASH</t>
  </si>
  <si>
    <t>SANTA</t>
  </si>
  <si>
    <t>CHIMBOTE</t>
  </si>
  <si>
    <t>D2D-999</t>
  </si>
  <si>
    <t> D8S-713</t>
  </si>
  <si>
    <t> ABG-926</t>
  </si>
  <si>
    <t>PEDRO MARTIN RODRIGUEZ CHAVEZ</t>
  </si>
  <si>
    <t>85858-038-080218</t>
  </si>
  <si>
    <t>ENERGY PERU COMPANY E.I.R.L.</t>
  </si>
  <si>
    <t>MZ. L LOTE 10 ASOCIACION HUERTOS DE HUACHIPA</t>
  </si>
  <si>
    <t>F2U-730</t>
  </si>
  <si>
    <t>PERCY JEFFRI GONZALES BARDALES</t>
  </si>
  <si>
    <t>119604-038-071218</t>
  </si>
  <si>
    <t xml:space="preserve">GRIFO SUBTANJALLA S.R.L. </t>
  </si>
  <si>
    <t>PANAMERICANA SUR KM 296</t>
  </si>
  <si>
    <t>SUBTANJALLA</t>
  </si>
  <si>
    <t>F6S-973</t>
  </si>
  <si>
    <t> AKF-838</t>
  </si>
  <si>
    <t>FANNY LUCILA HUAMANI DE LA CRUZ</t>
  </si>
  <si>
    <t>149850-038-040920</t>
  </si>
  <si>
    <t>ESTACION DE SERVICIOS Y GASOCENTRO ANGULO S.A.C.</t>
  </si>
  <si>
    <t xml:space="preserve">AV. JACINTO IBARRA NRO. 800 </t>
  </si>
  <si>
    <t>CHILCA</t>
  </si>
  <si>
    <t>AV. JACINTO IBARRA NRO. 800</t>
  </si>
  <si>
    <t>APP-975</t>
  </si>
  <si>
    <t> BDO-852</t>
  </si>
  <si>
    <t>ANGULO MANRIQUE EDWIN EDSON</t>
  </si>
  <si>
    <t>116321-038-160715</t>
  </si>
  <si>
    <t>DISTRIBUIDORA MUNDO GAS S.A.C.</t>
  </si>
  <si>
    <t>JR. FRANCISCO PIZARRO N° 850</t>
  </si>
  <si>
    <t>MORALES</t>
  </si>
  <si>
    <t>AFH-939</t>
  </si>
  <si>
    <t>WALTER ANTONIO LOZANO GUERRA</t>
  </si>
  <si>
    <t>119359-038-190116</t>
  </si>
  <si>
    <t xml:space="preserve">AUTOZONE S.A.C. </t>
  </si>
  <si>
    <t>CALLE 2 DE MAYO URB. VISTA ALEGRE</t>
  </si>
  <si>
    <t>F5E-982</t>
  </si>
  <si>
    <t> AHW-897</t>
  </si>
  <si>
    <t>CESAR COLINA</t>
  </si>
  <si>
    <t>126416-038-260217</t>
  </si>
  <si>
    <t xml:space="preserve">COMPAÑIA PETROLERA &amp; GAS CARO S.A.C. </t>
  </si>
  <si>
    <t xml:space="preserve">SANTA MONICA. CNEL. PORTILLO N° 565 </t>
  </si>
  <si>
    <t>COMPAÑIA PETROLERA &amp; GAS CARO S.A.C.</t>
  </si>
  <si>
    <t>ARD-761</t>
  </si>
  <si>
    <t> ARD-761</t>
  </si>
  <si>
    <t>SONIA LIZ CARO AMARO</t>
  </si>
  <si>
    <t>121115-038-230516</t>
  </si>
  <si>
    <t>INVERSIONES JR GAS S.A.C.</t>
  </si>
  <si>
    <t>CALLE GALILEO GALILEI, MZA. E, LT. 7, DPTO. 301, URB. VILLA EL CONTADOR</t>
  </si>
  <si>
    <t>ALF-849</t>
  </si>
  <si>
    <t>INDIRA JESSICA OLIVA TUESTA</t>
  </si>
  <si>
    <t>122980-038-250716</t>
  </si>
  <si>
    <t>RCGAS E.I.R.L.</t>
  </si>
  <si>
    <t>JR. PURUCHUCO N° 701 COOP. VIPOL MANGOMARCA</t>
  </si>
  <si>
    <t>SAN JUAN DE LURIGANCHO</t>
  </si>
  <si>
    <t>F7S-861</t>
  </si>
  <si>
    <t>DELFINA CATHERINE RICRA BRICEÑO</t>
  </si>
  <si>
    <t>90539-038-100713</t>
  </si>
  <si>
    <t>B7Z-868</t>
  </si>
  <si>
    <t xml:space="preserve">CARINA SUSANA BERAUN LOPEZ DE VELARDE </t>
  </si>
  <si>
    <t>140399-038-181218</t>
  </si>
  <si>
    <t xml:space="preserve">MARIVEL RAMIREZ LIZARBE </t>
  </si>
  <si>
    <t>CALLE TUPAC YUPANQUI N° 671 URB. SANTA MARIA</t>
  </si>
  <si>
    <t>AKO-972</t>
  </si>
  <si>
    <t> AYA-705</t>
  </si>
  <si>
    <t>117581-038-231215</t>
  </si>
  <si>
    <t>COMBUSTIBLES FERNANDEZ S.A.C</t>
  </si>
  <si>
    <t xml:space="preserve">AV. ARGENTINA N° 2600 URB. LUJAN </t>
  </si>
  <si>
    <t>F4T-971</t>
  </si>
  <si>
    <t> T7W-807</t>
  </si>
  <si>
    <t>JONY BELLO FERNANDEZ VASQUEZ</t>
  </si>
  <si>
    <t>82821-038-250717</t>
  </si>
  <si>
    <t>M.G. GAS S.A.C.</t>
  </si>
  <si>
    <t>JR. CARLOS A. SALAVERRY 1459 - 2DO. PISO</t>
  </si>
  <si>
    <t>SURQUILLO</t>
  </si>
  <si>
    <t>F2H-706</t>
  </si>
  <si>
    <t xml:space="preserve">WILMINGTON SILVIO MAMAMI TEJADA </t>
  </si>
  <si>
    <t>103096-038-180619</t>
  </si>
  <si>
    <t>C5H-988</t>
  </si>
  <si>
    <t>CARLOS DIAZ GARCIA</t>
  </si>
  <si>
    <t>146233-038-280819</t>
  </si>
  <si>
    <t>MANTARI MANTARI JANETE SOLAIDA</t>
  </si>
  <si>
    <t>AV. PANAMERICANA SUR KM. 299</t>
  </si>
  <si>
    <t>BBP-862</t>
  </si>
  <si>
    <t>90183-038-2010</t>
  </si>
  <si>
    <t>AV. LOS AMAUTAS Nº 215</t>
  </si>
  <si>
    <t>LA VICTORIA</t>
  </si>
  <si>
    <t>T1S-898</t>
  </si>
  <si>
    <t>97980-038-060319</t>
  </si>
  <si>
    <t xml:space="preserve">SHILCAYO GRIFO S.R.L. </t>
  </si>
  <si>
    <t>JR. CABO ALBERTO LEVEAU S/N</t>
  </si>
  <si>
    <t>B0G-987</t>
  </si>
  <si>
    <t> AMS-935</t>
  </si>
  <si>
    <t> C5Y-889</t>
  </si>
  <si>
    <t> AVU-741</t>
  </si>
  <si>
    <t> AVU-914</t>
  </si>
  <si>
    <t>119185-038-241118</t>
  </si>
  <si>
    <t>BEAX INVERSIONES &amp; SERVICIOS S.R.L.</t>
  </si>
  <si>
    <t>CARRETERA PANAMERICANA NORTE KM. 1270 DPTO. 203</t>
  </si>
  <si>
    <t>T7V-949</t>
  </si>
  <si>
    <t>JOSE FRANCISCO ORTIZ PEÑA</t>
  </si>
  <si>
    <t>127739-038-170417</t>
  </si>
  <si>
    <t>INVERSIONES TITAN S.R.L.</t>
  </si>
  <si>
    <t>C0H-973</t>
  </si>
  <si>
    <t> ARO-834</t>
  </si>
  <si>
    <t> B7A-758</t>
  </si>
  <si>
    <t>CIRO LUIS LAZO MEZA</t>
  </si>
  <si>
    <t>118039-038-171015</t>
  </si>
  <si>
    <t>COMERCIALIZADORA Y DISTRIBUIDORA DE GAS S.A.C</t>
  </si>
  <si>
    <t>CALLE ULISES ULLOSA 190 - III ETAPA - URB. LA PRIMAVERA</t>
  </si>
  <si>
    <t>AJB-860</t>
  </si>
  <si>
    <t>FRANCISCO TOMATEO RIOS</t>
  </si>
  <si>
    <t>133860-038-100118</t>
  </si>
  <si>
    <t xml:space="preserve">CORPORACION PETRORED S.A.C. </t>
  </si>
  <si>
    <t xml:space="preserve">JR. AZANGARO N° 377 INT. 409 </t>
  </si>
  <si>
    <t>ASC-894</t>
  </si>
  <si>
    <t>SANTOS FREDY CALDERON AGUILAR</t>
  </si>
  <si>
    <t>148465-038-291219</t>
  </si>
  <si>
    <t>ARTEAGAS S.A.C.</t>
  </si>
  <si>
    <t>CL PANAMA MZ M1 LT 16 A.H. LOS CEDROS ETAPA II</t>
  </si>
  <si>
    <t>VENTANILLA</t>
  </si>
  <si>
    <t>CAL. PANAMA MZA. M 1 LOTE 16 A.H. LOS CEDROS ETAPA II</t>
  </si>
  <si>
    <t>M4G-735</t>
  </si>
  <si>
    <t>GILMER RICARDO ARTEAGA GUERRERO</t>
  </si>
  <si>
    <t>91124-038-250219</t>
  </si>
  <si>
    <t>EMPRESA ESTACION DE SERVICIOS BOLDMAR S.A.C.</t>
  </si>
  <si>
    <t>AV. ALAMEDA PERU N° 678</t>
  </si>
  <si>
    <t>HUANUCO</t>
  </si>
  <si>
    <t>LEONCIO PRADO</t>
  </si>
  <si>
    <t>RUPA-RUPA</t>
  </si>
  <si>
    <t>A3D-999</t>
  </si>
  <si>
    <t> B6D-905</t>
  </si>
  <si>
    <t> D7R-886</t>
  </si>
  <si>
    <t>DEYSI BOLIVIA CALVO CHAVEZ</t>
  </si>
  <si>
    <t>44956-038-190917</t>
  </si>
  <si>
    <t>GRUPO ENERGETICO DEL PERU S.A.C.</t>
  </si>
  <si>
    <t>AV. TUPAC AMARU N° 1488 URB. ALTO MOCHICA</t>
  </si>
  <si>
    <t>LA ESPERANZA</t>
  </si>
  <si>
    <t>W4K-729</t>
  </si>
  <si>
    <t>OSIAS RAMIREZ GAMARRA</t>
  </si>
  <si>
    <t>120476-038-170816</t>
  </si>
  <si>
    <t>JC REAL GAS S.A.C.</t>
  </si>
  <si>
    <t>CALLE LAS ORQUIDEAS MZ. N, LOTE 9, ASOCIACIÓN DE VIVIENDA SAN FRANCISCO DE ASIS</t>
  </si>
  <si>
    <t>AJW-714</t>
  </si>
  <si>
    <t>EDSON JHON CORDOVA ATACHAGUA</t>
  </si>
  <si>
    <t xml:space="preserve">121632-038-070616 </t>
  </si>
  <si>
    <t xml:space="preserve">R2GAS E.I.R.L. </t>
  </si>
  <si>
    <t xml:space="preserve">MZA. G LOTE 05 URB. RESIDENCIAL PARACAS </t>
  </si>
  <si>
    <t>PISCO</t>
  </si>
  <si>
    <t xml:space="preserve">MZ. G LT. 05 URB. RESIDENCIAL PARACAS. </t>
  </si>
  <si>
    <t>AMC-827</t>
  </si>
  <si>
    <t>JULIAN TENORIO KARINA DEL ROSARIO</t>
  </si>
  <si>
    <t>99765-038-221214</t>
  </si>
  <si>
    <t>SHILCAYO GRIFO S.R.L.</t>
  </si>
  <si>
    <t>S1R-850</t>
  </si>
  <si>
    <t>ALFONSO REATEGUI PAREDES</t>
  </si>
  <si>
    <t>138772-038-280918</t>
  </si>
  <si>
    <t xml:space="preserve">PLAZA TRANSPORTES Y SERVICIOS S.A.C. </t>
  </si>
  <si>
    <t>AV. PROLONGACION LIBERTAD MZ E1 LOTE 7 URB. MARIA PARADO DE BELLIDO</t>
  </si>
  <si>
    <t>AXO-733</t>
  </si>
  <si>
    <t>MIGUEL ANGEL OLARTE LUJAN</t>
  </si>
  <si>
    <t>96677-038-070319</t>
  </si>
  <si>
    <t>B8B-971</t>
  </si>
  <si>
    <t> AMS-906</t>
  </si>
  <si>
    <t>111002-038-110814</t>
  </si>
  <si>
    <t>CORPORACION RIO BRANCO S.A.</t>
  </si>
  <si>
    <t>CAL MZA-D MZA D LTE-10 AV. LOS JARDINES DE CHILLON</t>
  </si>
  <si>
    <t>PUENTE PIEDRA</t>
  </si>
  <si>
    <t>F8A-854</t>
  </si>
  <si>
    <t>MOISES LUCAS MENDOZA ESTEBAN</t>
  </si>
  <si>
    <t>97698-038-300712</t>
  </si>
  <si>
    <t>GRUPO GAS S.A.C.</t>
  </si>
  <si>
    <t xml:space="preserve">CALLE IGNACIO MERINO N° 3896 DPTO. 401 </t>
  </si>
  <si>
    <t>CALLE IGNACIO MERINO N° 3896</t>
  </si>
  <si>
    <t>B5A-725</t>
  </si>
  <si>
    <t>BERNARDO JOSE ARONI QUISPE</t>
  </si>
  <si>
    <t>119376-038-070318</t>
  </si>
  <si>
    <t>COMBUSTIBLES FERNANDEZ S.A.C.</t>
  </si>
  <si>
    <t>AV. ARGENTINA NRO. 2600 URB. LUJAN</t>
  </si>
  <si>
    <t>F6P-981</t>
  </si>
  <si>
    <t> AJW-866</t>
  </si>
  <si>
    <t>YONY BELLO FERNANDEZ VASQUEZ</t>
  </si>
  <si>
    <t>98241-038-031017</t>
  </si>
  <si>
    <t>CORPORACION TRANS BELO HORIZONTE S.A.</t>
  </si>
  <si>
    <t>AV. CORONEL PARRA N° 371</t>
  </si>
  <si>
    <t>PILCOMAYO</t>
  </si>
  <si>
    <t>B0Z-988</t>
  </si>
  <si>
    <t> W2O-873</t>
  </si>
  <si>
    <t> F2B-845</t>
  </si>
  <si>
    <t> F8V-835</t>
  </si>
  <si>
    <t>119314-038-131020</t>
  </si>
  <si>
    <t>GRANEL INDUSTRIAL S.A.C.</t>
  </si>
  <si>
    <t xml:space="preserve">AV. ALFREDO BENAVIDES N° 1555, INT. 604 </t>
  </si>
  <si>
    <t>MIRAFLORES</t>
  </si>
  <si>
    <t>F6O-989</t>
  </si>
  <si>
    <t> B6D-748</t>
  </si>
  <si>
    <t> B7A-845</t>
  </si>
  <si>
    <t> C5P-734</t>
  </si>
  <si>
    <t> D5Y-762</t>
  </si>
  <si>
    <t> F6E-891</t>
  </si>
  <si>
    <t> F6F-806</t>
  </si>
  <si>
    <t> F6F-946</t>
  </si>
  <si>
    <t>HUMBERTO ALEJANDRO LAZO MALDONADO</t>
  </si>
  <si>
    <t>117090-038-090118</t>
  </si>
  <si>
    <t>BURGMEN E.I.R.L.</t>
  </si>
  <si>
    <t>LEÓN BARANDIARÁN N° 296- URB. A. CABREJOS FALLA</t>
  </si>
  <si>
    <t>M5L-843</t>
  </si>
  <si>
    <t>ISMAEL AGUSTIN BURGA NEYRA</t>
  </si>
  <si>
    <t>128325-038-060517</t>
  </si>
  <si>
    <t>INVERSIONES WILMERCITO E.I.R.L.</t>
  </si>
  <si>
    <t>CALLE 20 DE SETIEMBRE N° 1098</t>
  </si>
  <si>
    <t>FLORENCIA DE MORA</t>
  </si>
  <si>
    <t>T5B-855</t>
  </si>
  <si>
    <t>RODOLFO FELIPE ACOSTA BACA</t>
  </si>
  <si>
    <t>113331-038-160115</t>
  </si>
  <si>
    <t>CONSORCIO M &amp; J GAS SAC</t>
  </si>
  <si>
    <t>CALLE LAS VIDAS MZ. G LOTE 6B</t>
  </si>
  <si>
    <t>ACJ-904</t>
  </si>
  <si>
    <t>HEINER CASTAÑEDA SIHUE</t>
  </si>
  <si>
    <t>104467-038-310720</t>
  </si>
  <si>
    <t>LUMIGAS S.A.C.</t>
  </si>
  <si>
    <t xml:space="preserve">AV. EL DERBY NRO.254 INT. 703 </t>
  </si>
  <si>
    <t>D1H-760</t>
  </si>
  <si>
    <t xml:space="preserve">ARTURO MIGUEL FLOREZ MONGE </t>
  </si>
  <si>
    <t>86189-038-090419</t>
  </si>
  <si>
    <t>AV. ANDRÉS AVELINO CÁCERES MZ. E, LOTE Nº 14, URB. LAS BEGONIAS</t>
  </si>
  <si>
    <t>F1H-924</t>
  </si>
  <si>
    <t>120058-038-080417</t>
  </si>
  <si>
    <t xml:space="preserve">INVERSIONES JIARA S.A.C. </t>
  </si>
  <si>
    <t>AV. ESTEBAN CAMPODONICO NRO.262 URB SANTA CATALINA</t>
  </si>
  <si>
    <t>F7I-983</t>
  </si>
  <si>
    <t> Z4U-775</t>
  </si>
  <si>
    <t>CARMEN CANDELARIA ARAMAYO ANDRADE DE JIMENEZ</t>
  </si>
  <si>
    <t>135521-038-110418</t>
  </si>
  <si>
    <t>CARRETERA PANAMERICA NORTE KM 92.5 CHANCAYLLO (BARRIO SAN JUAN PASANDO EL PUENTE)</t>
  </si>
  <si>
    <t>HUARAL</t>
  </si>
  <si>
    <t>CHANCAY</t>
  </si>
  <si>
    <t>AUU-918</t>
  </si>
  <si>
    <t>MENDOZA ESTEBAN MOISES LUCAS</t>
  </si>
  <si>
    <t>138700-038-101018</t>
  </si>
  <si>
    <t>ESTACIÓN DE SERVICIOS LIDER S.R.L.</t>
  </si>
  <si>
    <t xml:space="preserve">AV. MEXICO N°274 </t>
  </si>
  <si>
    <t>AJN-972</t>
  </si>
  <si>
    <t> AEK-826</t>
  </si>
  <si>
    <t xml:space="preserve">ELIZABETH BURGA LOPEZ </t>
  </si>
  <si>
    <t>113955-038-200215</t>
  </si>
  <si>
    <t>GRIFO SERVITOR S.A.</t>
  </si>
  <si>
    <t>AV. ALFREDO MENDIOLA 1395 URB. LA MILLA</t>
  </si>
  <si>
    <t>ABW-941</t>
  </si>
  <si>
    <t>CHRISTIAN CESAR HIGA SHIMABUKURO</t>
  </si>
  <si>
    <t>62511-038-160715</t>
  </si>
  <si>
    <t xml:space="preserve">NEGOCIACIONES DANA E.I.R.L. </t>
  </si>
  <si>
    <t>CALLE 5 MZ. K LOTE 1-E LAS VERTIENTES</t>
  </si>
  <si>
    <t>VILLA EL SALVADOR</t>
  </si>
  <si>
    <t xml:space="preserve">CALLE 5 MZ K LOTE 1-E LAS VERTIENTES </t>
  </si>
  <si>
    <t>A1Y-866</t>
  </si>
  <si>
    <t xml:space="preserve">DORIS VERONICA LOPEZ SOTOMAYOR </t>
  </si>
  <si>
    <t>117980-038-210718</t>
  </si>
  <si>
    <t xml:space="preserve">GAS PERU HUASCARAN S.A.C. </t>
  </si>
  <si>
    <t xml:space="preserve">AV. AREQUIPA 340 INT. 308 URB. SANTA BEATRIZ (ANEXO A) </t>
  </si>
  <si>
    <t>F5G-996</t>
  </si>
  <si>
    <t> AWT-856</t>
  </si>
  <si>
    <t>IVONNE OSTOS LOAYZA DE LEON</t>
  </si>
  <si>
    <t>118244-038-170517</t>
  </si>
  <si>
    <t xml:space="preserve">KFG INVERSIONES S.A.C. </t>
  </si>
  <si>
    <t xml:space="preserve">AV. LIMA 3100 URB. CONDEVILLA </t>
  </si>
  <si>
    <t>AJX-877</t>
  </si>
  <si>
    <t>EDUARDO MANUEL RABANAL BARRANTES</t>
  </si>
  <si>
    <t>122052-038-030317</t>
  </si>
  <si>
    <t>INVERSIONES COMERCIALES MACTOR S.A.C.</t>
  </si>
  <si>
    <t>MZ. G, LOTE 17, INT. P 13, RES. MOSHA, LAS LOMAS</t>
  </si>
  <si>
    <t>MZ. G, LT. 17, INT. P 13, - RES. MOSHA - LAS LOMAS</t>
  </si>
  <si>
    <t>AMO-769</t>
  </si>
  <si>
    <t>JULIO CESAR MACASSI TORRES</t>
  </si>
  <si>
    <t>118042-038-171015</t>
  </si>
  <si>
    <t>EDUARDO ANDRES DE LA TORRE VILLANO</t>
  </si>
  <si>
    <t>CALLE SUCRE 370 - BLOCK 5 - DPTO 506</t>
  </si>
  <si>
    <t>D0Z-717</t>
  </si>
  <si>
    <t>62052-038-150416</t>
  </si>
  <si>
    <t>AMERICA GAS S.A.C.</t>
  </si>
  <si>
    <t>JR. SAN MARTIN Nº 570</t>
  </si>
  <si>
    <t>CALLE MARIE CURIE MZ. O, LOTE , URB. INDUSTRIAL SANTA ROSA</t>
  </si>
  <si>
    <t>C9B-984</t>
  </si>
  <si>
    <t> A3L-902</t>
  </si>
  <si>
    <t> F9J-897</t>
  </si>
  <si>
    <t> F1Q-797</t>
  </si>
  <si>
    <t> D7L-873</t>
  </si>
  <si>
    <t> YG-8646</t>
  </si>
  <si>
    <t> YT-1004</t>
  </si>
  <si>
    <t>GLORIA ESTELA CEPEDA HERRERA</t>
  </si>
  <si>
    <t>136336-038-120718</t>
  </si>
  <si>
    <t>SEMAR S.A.C.</t>
  </si>
  <si>
    <t>AV. TUPAC AMARU MZ. F LOTE 07 URB. ALTO MOCHICA</t>
  </si>
  <si>
    <t>Z3F-989</t>
  </si>
  <si>
    <t> T9F-910</t>
  </si>
  <si>
    <t xml:space="preserve">SEGUNDO FORTUNATO RUIZ VARAS </t>
  </si>
  <si>
    <t>147678-038-111219</t>
  </si>
  <si>
    <t>AV. SAN MARTIN DE PORRRES N° 1837</t>
  </si>
  <si>
    <t>BCL-744</t>
  </si>
  <si>
    <t>88619-038-150811</t>
  </si>
  <si>
    <t>ENVASADORA MISTI GAS S.A.C.</t>
  </si>
  <si>
    <t>AV. ELMER FAUCETT N° 2254</t>
  </si>
  <si>
    <t>BELLAVISTA</t>
  </si>
  <si>
    <t>A7V-824</t>
  </si>
  <si>
    <t>JESUS MARINO OSORIO BONILLA</t>
  </si>
  <si>
    <t>103164-038-270513</t>
  </si>
  <si>
    <t>CORPORACION PETRORED SAC</t>
  </si>
  <si>
    <t>JR AZANGARO N° 377 INT 409</t>
  </si>
  <si>
    <t>D6T-933</t>
  </si>
  <si>
    <t>84729-038-260916</t>
  </si>
  <si>
    <t>INVERSIONES JIARA S.A.C.</t>
  </si>
  <si>
    <t>AV. LAS TORRES N° 508 ESQ. JR. MARISCAL ORBEGOSO URB. EL PINO</t>
  </si>
  <si>
    <t>D0S-997</t>
  </si>
  <si>
    <t> V5W-804</t>
  </si>
  <si>
    <t xml:space="preserve">CARMEN CANDELARIA ARAMAYO ANDRADE DE JIMENEZ </t>
  </si>
  <si>
    <t>118520-038-171115</t>
  </si>
  <si>
    <t>TRANSPUENTE S.A.C</t>
  </si>
  <si>
    <t>CALLE DIEGO DE AGUERO NRO 250 URB VALLE HERMOSO</t>
  </si>
  <si>
    <t>AJZ-915</t>
  </si>
  <si>
    <t>TEDDY FRANCISCO CARDENAS CORDOVA</t>
  </si>
  <si>
    <t>112317-038-181114</t>
  </si>
  <si>
    <t>MANCHAY GAS E.I.R.L.</t>
  </si>
  <si>
    <t>CALLE 5 MZ. K LOTE 1E COOP LAS VERTIENTES</t>
  </si>
  <si>
    <t>AER-790</t>
  </si>
  <si>
    <t>PEDRO SANDOVAL LUMBRE</t>
  </si>
  <si>
    <t>120841-038-240518</t>
  </si>
  <si>
    <t>F8C-990</t>
  </si>
  <si>
    <t> ALQ-861</t>
  </si>
  <si>
    <t> ALR-782</t>
  </si>
  <si>
    <t> ALT-948</t>
  </si>
  <si>
    <t> ALT-857</t>
  </si>
  <si>
    <t>121362-038-160516</t>
  </si>
  <si>
    <t xml:space="preserve">TRANS GLP GRANEL SAN DIEGO E.I.R.L. </t>
  </si>
  <si>
    <t xml:space="preserve">URB LOS PORTALES MZ K LOTE 4 </t>
  </si>
  <si>
    <t>AMARILIS</t>
  </si>
  <si>
    <t>F6O-991</t>
  </si>
  <si>
    <t> AMB-900</t>
  </si>
  <si>
    <t>MARITZA CACHAY BARRUETA</t>
  </si>
  <si>
    <t>123863-038-260916</t>
  </si>
  <si>
    <t>ESTACION DE SERV. TORRESTRELLA S.R.L</t>
  </si>
  <si>
    <t>AV. FEDERICO VILLARREAL N° 663 EL PALOMAR</t>
  </si>
  <si>
    <t>T8H-821</t>
  </si>
  <si>
    <t>WINSTON DANILO RODRIGUEZ VILCHEZ</t>
  </si>
  <si>
    <t>145004-038-070719</t>
  </si>
  <si>
    <t>ESTACION DE SERVICIOS NJK SAC</t>
  </si>
  <si>
    <t>CALLE ALFREDO MALDONADO 654 URB. ALFREDO MALDONADO</t>
  </si>
  <si>
    <t>PUEBLO LIBRE</t>
  </si>
  <si>
    <t>AMM-984</t>
  </si>
  <si>
    <t> BAM-719</t>
  </si>
  <si>
    <t>98289-038-210912</t>
  </si>
  <si>
    <t>GAS PERU HUASCARAN S.A.C.</t>
  </si>
  <si>
    <t>AV. PANAMERICANA NRO 100 URB. EL CARMEN</t>
  </si>
  <si>
    <t>B0D-762</t>
  </si>
  <si>
    <t>123907-038-290916</t>
  </si>
  <si>
    <t xml:space="preserve">UNSO CARGO S.A.C. </t>
  </si>
  <si>
    <t xml:space="preserve">CALLE SALTA 146 - URB. LA AREQUIPEÑA </t>
  </si>
  <si>
    <t>F0I-990</t>
  </si>
  <si>
    <t> AMT-891</t>
  </si>
  <si>
    <t>JORGE LUIS MEDINA KUBOYAMA</t>
  </si>
  <si>
    <t>115331-038-210515</t>
  </si>
  <si>
    <t>GRUPO E.V.C GAS E.I.R.L.</t>
  </si>
  <si>
    <t>AH VILLA VENTURO CALLE RODOLFO VENTURO MZ. 17 LT. 03</t>
  </si>
  <si>
    <t>CHORRILLOS</t>
  </si>
  <si>
    <t>ABC-807</t>
  </si>
  <si>
    <t>EPIFANIO VALLEJOS CUADROS</t>
  </si>
  <si>
    <t>116634-038-100815</t>
  </si>
  <si>
    <t xml:space="preserve">H BELLIDO TRANSPORTES S.A.C. </t>
  </si>
  <si>
    <t xml:space="preserve">MZ. H LT. 1 PROLONGACION AV. EL SOL TABLADA DE LURIN </t>
  </si>
  <si>
    <t>Mz. H Lt. 1 PROLONGACIÓN AV. EL SOL TABLADA DE LURIN</t>
  </si>
  <si>
    <t>AFO-826</t>
  </si>
  <si>
    <t>ROSMYLL IVAN BELLIDO ROCCA</t>
  </si>
  <si>
    <t>122869-038-250716</t>
  </si>
  <si>
    <t>MAQUISOLUTIONS INGENIEROS S.R.L</t>
  </si>
  <si>
    <t xml:space="preserve">AV. LOS TUSILAGOS N° 400 URB. LAS VIOLETAS </t>
  </si>
  <si>
    <t>F9J-985</t>
  </si>
  <si>
    <t> B7E-736</t>
  </si>
  <si>
    <t>ASENJO GUEVARA JOSE ADOLFO</t>
  </si>
  <si>
    <t>122616-038-060816</t>
  </si>
  <si>
    <t>MEGA GAS S.A.C.</t>
  </si>
  <si>
    <t>JR. LOS GALLOS MZ E LT 13</t>
  </si>
  <si>
    <t>LURIN</t>
  </si>
  <si>
    <t>M5E-942</t>
  </si>
  <si>
    <t>CARLO FERNANDO VASQUEZ YEPES</t>
  </si>
  <si>
    <t>107020-038-060618</t>
  </si>
  <si>
    <t>GAS PRODUCTION S.A.C</t>
  </si>
  <si>
    <t>AV. ELMER FAUCETT 303 OF. 302</t>
  </si>
  <si>
    <t>F5A-759</t>
  </si>
  <si>
    <t>JOSE ROLLIN ASTE VALERA</t>
  </si>
  <si>
    <t>140159-038-071218</t>
  </si>
  <si>
    <t>MOVILGAS S.R.L.</t>
  </si>
  <si>
    <t>JR. SANTA BARBARA N°530 - ANEXO AZA EL TAMBO</t>
  </si>
  <si>
    <t>F9W-980</t>
  </si>
  <si>
    <t> AYJ-879</t>
  </si>
  <si>
    <t>VILLAR FIERRO HECTOR TITO</t>
  </si>
  <si>
    <t>102972-038-230219</t>
  </si>
  <si>
    <t>ECOX S.A.C.</t>
  </si>
  <si>
    <t>JR. FREDDY ALIAGA S/N (CDRA. 9 )</t>
  </si>
  <si>
    <t>TOCACHE</t>
  </si>
  <si>
    <t>C5U-987</t>
  </si>
  <si>
    <t> AZE-715</t>
  </si>
  <si>
    <t> C9M-715</t>
  </si>
  <si>
    <t>CELSO GENIS PALIAN</t>
  </si>
  <si>
    <t>116049-038-260615</t>
  </si>
  <si>
    <t xml:space="preserve">AV. ALFREDO MENDIOLA 1395 - URB. INDUSTRIAL LA MILLA </t>
  </si>
  <si>
    <t>D6S-990</t>
  </si>
  <si>
    <t> AER-863</t>
  </si>
  <si>
    <t> AEQ-860</t>
  </si>
  <si>
    <t> AEX-866</t>
  </si>
  <si>
    <t>110088-038-250619</t>
  </si>
  <si>
    <t xml:space="preserve">QANTU PERÚ S.A.C. </t>
  </si>
  <si>
    <t>AV. FRAY LUIS DE LEON 515 OF. 506</t>
  </si>
  <si>
    <t>SAN BORJA</t>
  </si>
  <si>
    <t>F5Z-833</t>
  </si>
  <si>
    <t xml:space="preserve">JULIO NOE SANCHEZ SANCHEZ </t>
  </si>
  <si>
    <t>122268-038-221118</t>
  </si>
  <si>
    <t>VIJOGAS S.A.C.</t>
  </si>
  <si>
    <t xml:space="preserve">AV. SANTA ROSA N° 610 URB. LOS SAUCES </t>
  </si>
  <si>
    <t>F8T-994</t>
  </si>
  <si>
    <t> ALV-917</t>
  </si>
  <si>
    <t> ALS-916</t>
  </si>
  <si>
    <t>JOSE BERNARDO HERVACIO ZANABRIA</t>
  </si>
  <si>
    <t>123180-038-210419</t>
  </si>
  <si>
    <t>ALFREDO DARWIN IBAÑEZ RUIZ</t>
  </si>
  <si>
    <t>URB. LOS 4 SUYOS MZ C LT 8 SEC 8</t>
  </si>
  <si>
    <t>F9H-977</t>
  </si>
  <si>
    <t> T7W-871</t>
  </si>
  <si>
    <t> T9H-901</t>
  </si>
  <si>
    <t>127712-038-080318</t>
  </si>
  <si>
    <t>JR. JUNIN NRO.589</t>
  </si>
  <si>
    <t>CALLE LOS CALIBRADORES MZ. 01 LT. 5, 7 – ZONA IND. PARQUE INDUSTRIAL - ACOMPIA</t>
  </si>
  <si>
    <t>FON-989</t>
  </si>
  <si>
    <t>141416-038-020519</t>
  </si>
  <si>
    <t>EMPRESA DE TRANSPORTE DE PETROLEOS S.A.C.</t>
  </si>
  <si>
    <t>AV. SAN CARLOS S/N</t>
  </si>
  <si>
    <t>NAZCA</t>
  </si>
  <si>
    <t>AKV-975</t>
  </si>
  <si>
    <t> AZR-855</t>
  </si>
  <si>
    <t> AJZ-846</t>
  </si>
  <si>
    <t xml:space="preserve">ALEXIS ALATRISTA TAYPE </t>
  </si>
  <si>
    <t>150855-038-010920</t>
  </si>
  <si>
    <t>REPRESENTACIONES SOSA S.A.C.</t>
  </si>
  <si>
    <t>ARR-993</t>
  </si>
  <si>
    <t> AVL-854</t>
  </si>
  <si>
    <t>LUCY JOWANY YARO BALBIN</t>
  </si>
  <si>
    <t>90547-038-020919</t>
  </si>
  <si>
    <t>TRANSPORTES MC DUCK E.I.R.L.</t>
  </si>
  <si>
    <t>URBANIZACION LOS PORTALES MZ. G LOTE 10 VIA COLECTORA</t>
  </si>
  <si>
    <t>A3E-970</t>
  </si>
  <si>
    <t> B6Z-744</t>
  </si>
  <si>
    <t>GEORGE TCHAIKO NIETO JUAREZ</t>
  </si>
  <si>
    <t>43609-038-201115</t>
  </si>
  <si>
    <t>FLAMA GAS CORPORATION SAC</t>
  </si>
  <si>
    <t>AV. SAN JUAN, MZ. G, LOTE 1 A, URB. LAS VEGAS</t>
  </si>
  <si>
    <t>D5X-874</t>
  </si>
  <si>
    <t>DORA EDITH NEYRA CAHUANA</t>
  </si>
  <si>
    <t>111900-038-060618</t>
  </si>
  <si>
    <t>GAS PRODUCTION S.A.C.</t>
  </si>
  <si>
    <t>AEI-705</t>
  </si>
  <si>
    <t>116188-038-170715</t>
  </si>
  <si>
    <t>3 JL TRANSPORTE S.A.C.</t>
  </si>
  <si>
    <t>AV. CANTO GRANDE 362 - URB. CANTO GRANDE</t>
  </si>
  <si>
    <t>F4E-994</t>
  </si>
  <si>
    <t> AEL-802</t>
  </si>
  <si>
    <t>LENIN EDISON VILCHEZ SANCHEZ</t>
  </si>
  <si>
    <t>139718-038-151118</t>
  </si>
  <si>
    <t>ESTACIÓN DE ENERGIAS EL CENTENARIO S.A.C.</t>
  </si>
  <si>
    <t>AV. INDUSTRIAL NRO. 260 SUSECION BACIGALUPO (CALLE BRASIL 1315)</t>
  </si>
  <si>
    <t xml:space="preserve">AV. INDUSTRIAL NRO. 260 SUSECION BACIGALUPO (CALLE BRASIL 1315) </t>
  </si>
  <si>
    <t>AKA-983</t>
  </si>
  <si>
    <t> AYA-854</t>
  </si>
  <si>
    <t>119191-038-250116</t>
  </si>
  <si>
    <t>ERNESTO AUGUSTO PALACIOS CHAMORRO</t>
  </si>
  <si>
    <t>JR. 28 DE JULIO 306 - 308.</t>
  </si>
  <si>
    <t>F6D-993</t>
  </si>
  <si>
    <t> D8V-754</t>
  </si>
  <si>
    <t> B9B-885</t>
  </si>
  <si>
    <t> F2X-822</t>
  </si>
  <si>
    <t> F2X-819</t>
  </si>
  <si>
    <t> F3A-857</t>
  </si>
  <si>
    <t>113242-038-280619</t>
  </si>
  <si>
    <t>COSTA GAS CHIMBOTE S.A.C.</t>
  </si>
  <si>
    <t>MZ. G” LOTE 2-6 P.J. VILLA MARIA</t>
  </si>
  <si>
    <t>NUEVO CHIMBOTE</t>
  </si>
  <si>
    <t>B1Q-919</t>
  </si>
  <si>
    <t>LUIS FEDERICO VASQUEZ WONG</t>
  </si>
  <si>
    <t>112088-038-071015</t>
  </si>
  <si>
    <t>ESTACION DE ENERGIAS EL CENTENARIO SOCIEDAD ANONIMA CERRADA</t>
  </si>
  <si>
    <t>AV. INDUSTRIAL N° 260</t>
  </si>
  <si>
    <t>D0Q-986</t>
  </si>
  <si>
    <t> A7S-900</t>
  </si>
  <si>
    <t>111300-038-010914</t>
  </si>
  <si>
    <t>GRUPPE AR S.A.C.</t>
  </si>
  <si>
    <t>AV. UNIVERSITARIA NORTE N° 9957 - URB. LA ALBORADA</t>
  </si>
  <si>
    <t>COMAS</t>
  </si>
  <si>
    <t>ADW-759</t>
  </si>
  <si>
    <t>LUZ GABRIELA ROJAS QUISPE</t>
  </si>
  <si>
    <t>115849-038-220615</t>
  </si>
  <si>
    <t>ESTACION DE SERVICIOS CHIMU S.R.L.</t>
  </si>
  <si>
    <t>POLONGACION UNION 2008-2010 LOTE C - URB. LA RINCONADA</t>
  </si>
  <si>
    <t>F3N-989</t>
  </si>
  <si>
    <t> T4U-851</t>
  </si>
  <si>
    <t> T5W-863</t>
  </si>
  <si>
    <t>92520-038-110517</t>
  </si>
  <si>
    <t>AV. FLORA TRISTAN N° 856 - URB. SANTA PATRICIA III ETAPA</t>
  </si>
  <si>
    <t>C1X-946</t>
  </si>
  <si>
    <t>NOYLI CASTRO DE LA CRUZ</t>
  </si>
  <si>
    <t>83730-038-010319</t>
  </si>
  <si>
    <t xml:space="preserve">MLC.PAUL HARRIS NRO. 324 DPTO. 301 </t>
  </si>
  <si>
    <t>D6I-726</t>
  </si>
  <si>
    <t>104901-038-310517</t>
  </si>
  <si>
    <t>D0P-815</t>
  </si>
  <si>
    <t>85393-038-170720</t>
  </si>
  <si>
    <t>JR. JOSE ANTONIO ENCINAS NUM. 186 MZA. G LOTE. 15 URB. MAGISTERIAL AMAUTA</t>
  </si>
  <si>
    <t>A0M-835</t>
  </si>
  <si>
    <t>151893-038-191020</t>
  </si>
  <si>
    <t>DINA MILKA AVILA VASQUEZ</t>
  </si>
  <si>
    <t>MZ I LT 38 BARRIO 3 ALTO TRUJILLO</t>
  </si>
  <si>
    <t>EL PORVENIR</t>
  </si>
  <si>
    <t>T6K-845</t>
  </si>
  <si>
    <t>112187-038-241014</t>
  </si>
  <si>
    <t>PETROLEOS SOLORZANO S.A.C.</t>
  </si>
  <si>
    <t>NRO INT 32 MCDO LOS PORT DE CHILLON</t>
  </si>
  <si>
    <t>AAB-879</t>
  </si>
  <si>
    <t>TEÒFILO VALERIO SOLÒRZANO VALERIO</t>
  </si>
  <si>
    <t>112867-038-091214</t>
  </si>
  <si>
    <t>INVERSIONES ARWATURO SRL</t>
  </si>
  <si>
    <t>JR. LOS ALMENDROS 265- DPTO 214</t>
  </si>
  <si>
    <t>JR. LOS ALMENDROS N° 265 DPTO. 214</t>
  </si>
  <si>
    <t>D0Q-974</t>
  </si>
  <si>
    <t> AAX-938</t>
  </si>
  <si>
    <t>DONATO GIL PIÑAS CANCHANYA</t>
  </si>
  <si>
    <t>119403-038-160120</t>
  </si>
  <si>
    <t>VICTOR RAUL HAYA DE LA TORRE Nº 3701 AA. HH. SAN JUAN</t>
  </si>
  <si>
    <t>VICTOR RAUL HAYA DE LA TORRE Nº 3701, AA. HH. SAN JUAN</t>
  </si>
  <si>
    <t>F5D-979</t>
  </si>
  <si>
    <t> AJM-822</t>
  </si>
  <si>
    <t>123531-038-070916</t>
  </si>
  <si>
    <t>ANJ-943</t>
  </si>
  <si>
    <t>138754-038-200919</t>
  </si>
  <si>
    <t>AMA-790</t>
  </si>
  <si>
    <t>108768-038-071015</t>
  </si>
  <si>
    <t>D6Y-998</t>
  </si>
  <si>
    <t> A7S-935</t>
  </si>
  <si>
    <t> A7S-901</t>
  </si>
  <si>
    <t>99009-038-201212</t>
  </si>
  <si>
    <t>ESTAGAS ANCO S.A.C.</t>
  </si>
  <si>
    <t>AV. TUPAC AMURU N° 6224 (ANTES 3242) URB. REPARTICION</t>
  </si>
  <si>
    <t>C6B-751</t>
  </si>
  <si>
    <t>HERNAN EDUARDO ANCO MEZA</t>
  </si>
  <si>
    <t>142300-038-040419</t>
  </si>
  <si>
    <t>INVERSIONES Y SERVICIOS JULIO III S.A.C.</t>
  </si>
  <si>
    <t>AV. LAS TORRES AV. CENTRAL LOTE. 9 - 10 URB. ASOC STA. ROSA DE NARANJAL</t>
  </si>
  <si>
    <t>AV. LAS TORRES AV. CENTRAL LOTE. 9 10 URB. ASOC. SANTA MARIA DE NARANJAL</t>
  </si>
  <si>
    <t>AZU-865</t>
  </si>
  <si>
    <t>MARIA JULIANA MONTE ATANACIO</t>
  </si>
  <si>
    <t>121503-038-100920</t>
  </si>
  <si>
    <t>H BELLIDO TRANSPORTES S.A.C.</t>
  </si>
  <si>
    <t>MZ. H. LOTE. 1-A.COOP. DE COLONIZACION LAS VERTIENTES DE LA TABLADA DE LURIN</t>
  </si>
  <si>
    <t>AJU-946</t>
  </si>
  <si>
    <t>93565-038-100616</t>
  </si>
  <si>
    <t>FELICIANO HIPOLITO MOLINA BALBIN</t>
  </si>
  <si>
    <t>JR FREDDY ALIAGA Nº 937</t>
  </si>
  <si>
    <t>B1E-976</t>
  </si>
  <si>
    <t> ALP-944</t>
  </si>
  <si>
    <t> B4X-767</t>
  </si>
  <si>
    <t>122609-038-210716</t>
  </si>
  <si>
    <t xml:space="preserve">ELIAS FLORES CARHUAMACA </t>
  </si>
  <si>
    <t xml:space="preserve">AV. HEROES DE LA BREÑA N° 640 C.P.M. HUAMANMARCA </t>
  </si>
  <si>
    <t>HUAYUCACHI</t>
  </si>
  <si>
    <t>F9E-970</t>
  </si>
  <si>
    <t> F3O-827</t>
  </si>
  <si>
    <t>ELIAS FLORES CARHUAMACA</t>
  </si>
  <si>
    <t>147349-038-261019</t>
  </si>
  <si>
    <t>DAD COMERCIAL E.I.R.L</t>
  </si>
  <si>
    <t>PANAMERICANA SUR KM. 293</t>
  </si>
  <si>
    <t>SALAS</t>
  </si>
  <si>
    <t>PANAMERICANA SUR KM 293</t>
  </si>
  <si>
    <t>D7Q-818</t>
  </si>
  <si>
    <t>SUGUIYAMA NAOE JOSE DANNY</t>
  </si>
  <si>
    <t>132405-038-170518</t>
  </si>
  <si>
    <t>CONSORCIO COMERCIAL SUDAMERICANA S.R.L.</t>
  </si>
  <si>
    <t>JR. JORGE CHAVEZ N°101</t>
  </si>
  <si>
    <t>ADL-998</t>
  </si>
  <si>
    <t> AHD-835</t>
  </si>
  <si>
    <t>KATHERINE CAJINCHO PAREDES</t>
  </si>
  <si>
    <t>133707-038-271217</t>
  </si>
  <si>
    <t>AV. CANTO GRANDE N° 362 - URB. CANTO GRANDE.</t>
  </si>
  <si>
    <t>AUT-904</t>
  </si>
  <si>
    <t>104094-038-131015</t>
  </si>
  <si>
    <t>AV. INDUSTRIAL Nº 260 SUCESION BACIGALUPO</t>
  </si>
  <si>
    <t>C6L-987</t>
  </si>
  <si>
    <t>108442-038-200318</t>
  </si>
  <si>
    <t>ESCOH S.A.C.</t>
  </si>
  <si>
    <t>AV. BENAVIDES 1555 OFICINA 604</t>
  </si>
  <si>
    <t>F7M-903</t>
  </si>
  <si>
    <t>CESAR LOPEZ LANDAURO</t>
  </si>
  <si>
    <t>121973-038-170816</t>
  </si>
  <si>
    <t>F8U-972</t>
  </si>
  <si>
    <t> AMJ-763</t>
  </si>
  <si>
    <t>121236-038-190418</t>
  </si>
  <si>
    <t xml:space="preserve">INVERSIONES PICORP S.A.C. </t>
  </si>
  <si>
    <t>CL. TACNA 120 URB. CERCADO DE ICA</t>
  </si>
  <si>
    <t>D4C-871</t>
  </si>
  <si>
    <t>PINEDO MEZARINA EDWIN CLEMENTE</t>
  </si>
  <si>
    <t>123510-038-080120</t>
  </si>
  <si>
    <t>AV. HAYA DE LA TORRE N° 3701 AA.HH. SAN JUAN</t>
  </si>
  <si>
    <t>F9O-986</t>
  </si>
  <si>
    <t> ANK-937</t>
  </si>
  <si>
    <t>141255-038-080219</t>
  </si>
  <si>
    <t>TRANSPORTES PAOLA E.I.R.L.</t>
  </si>
  <si>
    <t>AV. HUANCAVELICA N°304</t>
  </si>
  <si>
    <t>D1G-719</t>
  </si>
  <si>
    <t>TOSCANO ALIAGA MONICA PAOLA</t>
  </si>
  <si>
    <t>124313-038-161016</t>
  </si>
  <si>
    <t xml:space="preserve">MIGUEL ANGEL PACHECO HERBOZO </t>
  </si>
  <si>
    <t xml:space="preserve">PROLONGACIÓN GRAU S/N (PANAMERICANA NORTE KM. 178.5) </t>
  </si>
  <si>
    <t>BARRANCA</t>
  </si>
  <si>
    <t>SUPE</t>
  </si>
  <si>
    <t>A6O-906</t>
  </si>
  <si>
    <t>118290-038-111219</t>
  </si>
  <si>
    <t>M5O-734</t>
  </si>
  <si>
    <t>133651-038-221217</t>
  </si>
  <si>
    <t>GORO CHICKEN S.A.C.</t>
  </si>
  <si>
    <t>JR. INDEPENDENCIA N° 983</t>
  </si>
  <si>
    <t>BREÑA</t>
  </si>
  <si>
    <t>C0Z-756</t>
  </si>
  <si>
    <t>ELDEBER COZ GRANADOS</t>
  </si>
  <si>
    <t>88455-038-100519</t>
  </si>
  <si>
    <t>ODIN DEL PERU S.A.C.</t>
  </si>
  <si>
    <t>CALLE LIBERTAD N° 114 DPTO. 2E</t>
  </si>
  <si>
    <t>A0V-858</t>
  </si>
  <si>
    <t>CARLOS FERNANDO VASQUEZ YEPES</t>
  </si>
  <si>
    <t>151964-038-231020</t>
  </si>
  <si>
    <t>ENERGY PERU COMPANY E.I.R.L</t>
  </si>
  <si>
    <t>MZ. L, LOTE 10, FND. ASOC. HUERTOS DE HUACHIPA (A UNA CUADRA TIENDA HYUNDAY)</t>
  </si>
  <si>
    <t>MZ. L, LOTE 10, FND. ASOC. HUERTOS DE HUACHIPA (A UNA CUADRA DE TIENDA HYUNDAY)</t>
  </si>
  <si>
    <t>API-889</t>
  </si>
  <si>
    <t>112035-038-151014</t>
  </si>
  <si>
    <t>JAIME MELECIO TRINIDAD ZAMBRANO</t>
  </si>
  <si>
    <t>JR. FRANZ SCHUBERTH 285 DPTO 402 - RESIDENCIAL SAN BORJA SUR</t>
  </si>
  <si>
    <t>D0M-983</t>
  </si>
  <si>
    <t> ADE-700</t>
  </si>
  <si>
    <t>120211-038-200120</t>
  </si>
  <si>
    <t>AV. CANTO GRANDE NRO. 362</t>
  </si>
  <si>
    <t>F6S-990</t>
  </si>
  <si>
    <t> V2E-837</t>
  </si>
  <si>
    <t>62997-038-2010</t>
  </si>
  <si>
    <t xml:space="preserve">AV. ALFREDO MENDIOLA N° 1395 - URB. LA MILLA </t>
  </si>
  <si>
    <t>B5F-842</t>
  </si>
  <si>
    <t>CHRISTIAN CÉSAR HIGA SHIMABUKURO</t>
  </si>
  <si>
    <t>108170-038-180920</t>
  </si>
  <si>
    <t xml:space="preserve">PEDRO FRANCKS MORALES VIZCONDE </t>
  </si>
  <si>
    <t>CAL. LOS ORFEBRES 260</t>
  </si>
  <si>
    <t>D5Q-981</t>
  </si>
  <si>
    <t>  M4O-935</t>
  </si>
  <si>
    <t> D5H-784</t>
  </si>
  <si>
    <t>112706-038-041214</t>
  </si>
  <si>
    <t>MAXTON S.A</t>
  </si>
  <si>
    <t>AV. VICTORIA S/N, EX HACIENDA RETES (SERVICENTRO LA ESPERANZA)</t>
  </si>
  <si>
    <t>ABL-905</t>
  </si>
  <si>
    <t xml:space="preserve">CARLOS HERMOGENES RIVAS LOAYZA </t>
  </si>
  <si>
    <t>115351-038-220515</t>
  </si>
  <si>
    <t>PS INVERSIONES GAS E.I.R.L.</t>
  </si>
  <si>
    <t>CALLE 5 MZ K LOTE 1-E COOPERATIVA LAS VERTIENTES</t>
  </si>
  <si>
    <t>F3P-817</t>
  </si>
  <si>
    <t>PEDRO PABLO SANDOVAL LUMBRE</t>
  </si>
  <si>
    <t>131518-038-020917</t>
  </si>
  <si>
    <t>INQHANA GAS S.A.C.</t>
  </si>
  <si>
    <t>MZ. 58 LOTE 324 PARQUE PORCINO CN SUR</t>
  </si>
  <si>
    <t>MZ. 58 LOTE. 324 PARQUE PORCINO CN SUR</t>
  </si>
  <si>
    <t>ASV-804</t>
  </si>
  <si>
    <t>ROSA TERESA ASTE VALERA</t>
  </si>
  <si>
    <t>124969-038-190920</t>
  </si>
  <si>
    <t>F0S-973</t>
  </si>
  <si>
    <t> A0M-846</t>
  </si>
  <si>
    <t> F5W-778</t>
  </si>
  <si>
    <t>113722-038-170215</t>
  </si>
  <si>
    <t>GRUPO PETROCAÑA S.A.C</t>
  </si>
  <si>
    <t>CARRETERA CHICLAYO POMALCA KM 3</t>
  </si>
  <si>
    <t>M3A-975</t>
  </si>
  <si>
    <t> F91-907</t>
  </si>
  <si>
    <t>LUIS ADRIANO BACA CAMACHO</t>
  </si>
  <si>
    <t>108816-038-170817</t>
  </si>
  <si>
    <t>CONSORCIO PERUGAS M&amp;M S.A.C.</t>
  </si>
  <si>
    <t>MZ. W LOTE 12B URB. PROG. VIV. LA MERCED ZN B</t>
  </si>
  <si>
    <t>PUNTA NEGRA</t>
  </si>
  <si>
    <t>D6O-949</t>
  </si>
  <si>
    <t>MARIANELLA JULIA CONDE CHOQUE</t>
  </si>
  <si>
    <t>118643-038-261115</t>
  </si>
  <si>
    <t xml:space="preserve">ANCO GAS S.A.C. </t>
  </si>
  <si>
    <t xml:space="preserve">AV. TUPAC AMARU 6224 (CRUCE DE BELAUNDE CON TUPAC AMARU) </t>
  </si>
  <si>
    <t>F5L-979</t>
  </si>
  <si>
    <t> AJP-709</t>
  </si>
  <si>
    <t>107796-038-130519</t>
  </si>
  <si>
    <t>APUGAS SOCIEDAD ANONIMA CERRADA</t>
  </si>
  <si>
    <t>AV. PRADO N° 108</t>
  </si>
  <si>
    <t>APURIMAC</t>
  </si>
  <si>
    <t>ABANCAY</t>
  </si>
  <si>
    <t>F3U-902</t>
  </si>
  <si>
    <t xml:space="preserve">ALDO OCTAVIO CANCHASTO MEDRANO </t>
  </si>
  <si>
    <t>62328-038-100519</t>
  </si>
  <si>
    <t xml:space="preserve">CALLE LIBERTAD N° 114 DPTO. 2E </t>
  </si>
  <si>
    <t>A0V-854</t>
  </si>
  <si>
    <t>82998-038-071117</t>
  </si>
  <si>
    <t>DELTA CHOCAS E.I.R.L.</t>
  </si>
  <si>
    <t>AV. ALFREDO MENDIOLA N° 700-704 URB. PALAO</t>
  </si>
  <si>
    <t>C0G-989</t>
  </si>
  <si>
    <t> F2I-758</t>
  </si>
  <si>
    <t>EDWARD FREDDY ATACHAGUA GOMEZ</t>
  </si>
  <si>
    <t>108251-038-110314</t>
  </si>
  <si>
    <t>AV CANTO GRANDE 362</t>
  </si>
  <si>
    <t>F7J-926</t>
  </si>
  <si>
    <t>141552-038-270219</t>
  </si>
  <si>
    <t>IDONIO HECTOR QUISPE BERNAOLA</t>
  </si>
  <si>
    <t>AV. HUANCAVELICA N°512</t>
  </si>
  <si>
    <t>AKY-973</t>
  </si>
  <si>
    <t> AYY-922</t>
  </si>
  <si>
    <t>104507-038-151119</t>
  </si>
  <si>
    <t>TRANSPORTES MULTIPLES MENGAS E.I.R.L.</t>
  </si>
  <si>
    <t>CALLE LEONCIO PRADO N° 234</t>
  </si>
  <si>
    <t>VILLA MARIA DEL TRIUNFO</t>
  </si>
  <si>
    <t>D1H-764</t>
  </si>
  <si>
    <t>HECTOR ABELARDO MENDEZ RICRA</t>
  </si>
  <si>
    <t>139748-038-201118</t>
  </si>
  <si>
    <t>CONSORCIO SEÑOR DE HUAMANTANGA E.I.R.L.</t>
  </si>
  <si>
    <t>AV. SAN JUAN MZA. A LOTE. 3-A</t>
  </si>
  <si>
    <t>AYK-797</t>
  </si>
  <si>
    <t>CELSO CAMASCCA FLORES</t>
  </si>
  <si>
    <t>104504-038-101218</t>
  </si>
  <si>
    <t xml:space="preserve">PERUVIAN GAS S.A.C. </t>
  </si>
  <si>
    <t>CALLE. LOS CEREZOS NRO 465 ASOC. SHANGRILA</t>
  </si>
  <si>
    <t>D1R-777</t>
  </si>
  <si>
    <t>ROMEL JESUS SAENZ CUEVA</t>
  </si>
  <si>
    <t>118246-038-080618</t>
  </si>
  <si>
    <t>AJC-895</t>
  </si>
  <si>
    <t>124270-038-021216</t>
  </si>
  <si>
    <t>MAXTON S.A.</t>
  </si>
  <si>
    <t>F9V-987</t>
  </si>
  <si>
    <t> ANS-890</t>
  </si>
  <si>
    <t>CARLOS HERMOGENES RIVAS LOAYZA</t>
  </si>
  <si>
    <t>98162-038-310812</t>
  </si>
  <si>
    <t>COMPAÑIA GLOBAL DEL GAS S.A.C</t>
  </si>
  <si>
    <t>CALLE 22 Nº 484 URB. CORPAC</t>
  </si>
  <si>
    <t>C5D-728</t>
  </si>
  <si>
    <t>FREDY OMAR GAMARRA TERRONES</t>
  </si>
  <si>
    <t>107682-038-310119</t>
  </si>
  <si>
    <t>TRANSPORTES DIEGO E.I.R.L.</t>
  </si>
  <si>
    <t>AV. JORGE BASADRE GROHMANN OESTE N° 475</t>
  </si>
  <si>
    <t>D3Y-992</t>
  </si>
  <si>
    <t> APK-938</t>
  </si>
  <si>
    <t> F3Q-700</t>
  </si>
  <si>
    <t>DIEGO MAMANI MANSILLA</t>
  </si>
  <si>
    <t>133762-038-281217</t>
  </si>
  <si>
    <t>IDA ISABEL CONTRERAS VICTORIO</t>
  </si>
  <si>
    <t>AV. ANTONIO RAYMONDI NRO. 247</t>
  </si>
  <si>
    <t>AEY-979</t>
  </si>
  <si>
    <t> ANS-727</t>
  </si>
  <si>
    <t> B9G-886</t>
  </si>
  <si>
    <t>128467-038-220517</t>
  </si>
  <si>
    <t>PEDRO ARQUIMEDES OCAÑA FRIAS</t>
  </si>
  <si>
    <t xml:space="preserve">CAS. QUISPEPAMPA BAJA </t>
  </si>
  <si>
    <t>HUANCABAMBA</t>
  </si>
  <si>
    <t>ARP-937</t>
  </si>
  <si>
    <t xml:space="preserve">OCAÑA FRIAS PEDRO ARQUIMEDES </t>
  </si>
  <si>
    <t>104131-038-290414</t>
  </si>
  <si>
    <t>INVERSIONES AZ GAS SAC</t>
  </si>
  <si>
    <t>AV. CHACRA CERRO LOTE 13-B</t>
  </si>
  <si>
    <t>D9O-766</t>
  </si>
  <si>
    <t xml:space="preserve">GILBER EDIWEN AZAÑERO NATIVIDAD </t>
  </si>
  <si>
    <t>124297-038-151016</t>
  </si>
  <si>
    <t>CALLE IGNACIO MERINO N° 3896, DPTO. 401</t>
  </si>
  <si>
    <t>ANV-733</t>
  </si>
  <si>
    <t>JESUS JAVIER VILLALVA AMAYA</t>
  </si>
  <si>
    <t>138720-038-230918</t>
  </si>
  <si>
    <t>AV. LAS TORRES Y LA AV. CENTRAL LOTES 9 Y 10 ASOC. VIV. SANTA MARÍA DEL NARANJAL</t>
  </si>
  <si>
    <t>AXQ-792</t>
  </si>
  <si>
    <t>111703-038-260914</t>
  </si>
  <si>
    <t>AV. LOS PROCERES NRO. 8071 Z.I. URB PRO LIMA</t>
  </si>
  <si>
    <t>AED-739</t>
  </si>
  <si>
    <t>149038-038-070220</t>
  </si>
  <si>
    <t>TRANSPORTES MIGUEL GRAU S.R.L.</t>
  </si>
  <si>
    <t>CALLE LOS ALPES MZ. 1, LOTE 24, P.J. MIGUEL GRAU</t>
  </si>
  <si>
    <t>PAUCARPATA</t>
  </si>
  <si>
    <t>APX-981</t>
  </si>
  <si>
    <t> V0W-752</t>
  </si>
  <si>
    <t>WALTER BENITO SALAZAR CHIRIO</t>
  </si>
  <si>
    <t>117762-038-061015</t>
  </si>
  <si>
    <t>FLORIDA TRANSPORTES LOZANO E.I.R.L.</t>
  </si>
  <si>
    <t>AV. MARGINAL S/N - URB. PICHANAKI</t>
  </si>
  <si>
    <t>CHANCHAMAYO</t>
  </si>
  <si>
    <t>PICHANAQUI</t>
  </si>
  <si>
    <t>F4V-991</t>
  </si>
  <si>
    <t> AJB-878</t>
  </si>
  <si>
    <t>LOZANO PORTA HUGO GUILLERMO</t>
  </si>
  <si>
    <t>43240-038-201115</t>
  </si>
  <si>
    <t>FLAMA GAS CORPORATION S.A.C</t>
  </si>
  <si>
    <t>D5X-851</t>
  </si>
  <si>
    <t>124848-038-221018</t>
  </si>
  <si>
    <t xml:space="preserve">ESTACION DE SERVICIOS LA ESPERANZA E.I.R.L. </t>
  </si>
  <si>
    <t xml:space="preserve">AV. SAN MARTIN 1514 URB. OXAPAMPA </t>
  </si>
  <si>
    <t>PASCO</t>
  </si>
  <si>
    <t>OXAPAMPA</t>
  </si>
  <si>
    <t xml:space="preserve">AV. SAN MARTIN N°1514 </t>
  </si>
  <si>
    <t>F9R-984</t>
  </si>
  <si>
    <t> B9Z-798</t>
  </si>
  <si>
    <t>SAUL CESAR CORREA ARROYO</t>
  </si>
  <si>
    <t>128762-038-140617</t>
  </si>
  <si>
    <t xml:space="preserve">CESAR AUGUSTO LOPEZ GODEAU </t>
  </si>
  <si>
    <t>ABE-991</t>
  </si>
  <si>
    <t> ASH-757</t>
  </si>
  <si>
    <t>133577-038-030118</t>
  </si>
  <si>
    <t>AV. VICTOR ANDRES BELAUNDE N° 147, INT. 301</t>
  </si>
  <si>
    <t>AUJ-922</t>
  </si>
  <si>
    <t>VICTOR CASTILLO OVIEDO</t>
  </si>
  <si>
    <t>133221-038-040318</t>
  </si>
  <si>
    <t>ESTACION PACHACUTEC S.A.C.</t>
  </si>
  <si>
    <t xml:space="preserve">CALLE TUPAC YUPANQUI N° 671 URB. SANTA MARIA </t>
  </si>
  <si>
    <t>AUJ-901</t>
  </si>
  <si>
    <t xml:space="preserve">EDUARDO LUIS CAPRILE CARBAJAL </t>
  </si>
  <si>
    <t>92828-038-151116</t>
  </si>
  <si>
    <t>SERVICENTRO RAMIREZ S.A.C.</t>
  </si>
  <si>
    <t>AV. NICOLAS DE PIEROLA N° 1390</t>
  </si>
  <si>
    <t>A0O-997</t>
  </si>
  <si>
    <t> C4D-946</t>
  </si>
  <si>
    <t>WILSON ADOLFO RAMIREZ SILVA</t>
  </si>
  <si>
    <t>149095-038-060220</t>
  </si>
  <si>
    <t>INVERSIONES CARHUMZA S.A.C.</t>
  </si>
  <si>
    <t>MZA. J, LOTE 19 A.H. VES SECT. 2 GR. 10</t>
  </si>
  <si>
    <t>C1V-818</t>
  </si>
  <si>
    <t>JOSE UBIL CARRANZA RAFAEL</t>
  </si>
  <si>
    <t>122771-038-181218</t>
  </si>
  <si>
    <t xml:space="preserve">CALLE GENERAL SANTA CRUZ N° 398, URB. EL PINO </t>
  </si>
  <si>
    <t>F8Y-976</t>
  </si>
  <si>
    <t> AYU-927</t>
  </si>
  <si>
    <t>149096-038-060220</t>
  </si>
  <si>
    <t>AUZ-771</t>
  </si>
  <si>
    <t>121162-038-050516</t>
  </si>
  <si>
    <t xml:space="preserve">GRIFO SERVITOR S.A. </t>
  </si>
  <si>
    <t xml:space="preserve">AV. ALFREDO MENDIOLA 1395 URB. LA MILLA </t>
  </si>
  <si>
    <t>ALT-918</t>
  </si>
  <si>
    <t>124281-038-151116</t>
  </si>
  <si>
    <t>AV. NICOLAS DE PIEROLA N° 1390 URB. MOCHICA</t>
  </si>
  <si>
    <t>F0H-998</t>
  </si>
  <si>
    <t> T8H-892</t>
  </si>
  <si>
    <t>115117-038-080515</t>
  </si>
  <si>
    <t>SERVICENTRO SANTA MARIA E.I.R.L.</t>
  </si>
  <si>
    <t>AV. PAKAMUROS S/N - REF. CENTRO DE JAEN (ESQUINA DE AV. PAKAMUROS Y SIMON BOLIVAR)</t>
  </si>
  <si>
    <t>JAEN</t>
  </si>
  <si>
    <t>F2P-971</t>
  </si>
  <si>
    <t> ABE-932</t>
  </si>
  <si>
    <t>CARMEN ORFELINDA TROYA DELGADO</t>
  </si>
  <si>
    <t>119396-038-140116</t>
  </si>
  <si>
    <t>GEAN CARLOS RAMIREZ CABANILLAS</t>
  </si>
  <si>
    <t>BLANCO INTENCIONAL CPM MARISCAL CASTILLA CARRETERA CAJAMARCA KM 8.4</t>
  </si>
  <si>
    <t>PACASMAYO</t>
  </si>
  <si>
    <t>GUADALUPE</t>
  </si>
  <si>
    <t>T7X-800</t>
  </si>
  <si>
    <t>125618-038-301216</t>
  </si>
  <si>
    <t>JR. CARLOS A. SALAVERRY 1459 - 2D0. PISO</t>
  </si>
  <si>
    <t>AAM-981</t>
  </si>
  <si>
    <t> A1V-883</t>
  </si>
  <si>
    <t>104675-038-251119</t>
  </si>
  <si>
    <t>AMPAY BUSINESS GAS S.A.C</t>
  </si>
  <si>
    <t>AV. B MZA. B LT. 8 EX FUNDO OQUENDO</t>
  </si>
  <si>
    <t>C0O-712</t>
  </si>
  <si>
    <t>85561-038-010816</t>
  </si>
  <si>
    <t>J &amp; L GRIFO BAZAN Y TRANSPORTES E.I.R.L.</t>
  </si>
  <si>
    <t>CARRETERA FERNANDO BELAUNDE TERRY N° 1221</t>
  </si>
  <si>
    <t>NUEVO PROGRESO</t>
  </si>
  <si>
    <t>D1T-994</t>
  </si>
  <si>
    <t> ADR-921</t>
  </si>
  <si>
    <t> AMQ-867</t>
  </si>
  <si>
    <t>ROCIO DEL CARMEN BAZAN CORDOVA</t>
  </si>
  <si>
    <t>140524-038-020119</t>
  </si>
  <si>
    <t>JR. PURUCHUCO 701, URB. MANGOMARCA</t>
  </si>
  <si>
    <t>AYO-914</t>
  </si>
  <si>
    <t>92946-038-111013</t>
  </si>
  <si>
    <t xml:space="preserve">INVERSIONES FENIX GAS S.A.C. </t>
  </si>
  <si>
    <t xml:space="preserve">AV. UNIVERSITARIA CUADRA 51 MZ. A LOTE 06 </t>
  </si>
  <si>
    <t>C2E-882</t>
  </si>
  <si>
    <t>93008-038-271218</t>
  </si>
  <si>
    <t>E.L.M. NEGOCIOS E.I.R.L.</t>
  </si>
  <si>
    <t>JR. MARISCAL CACERES N° 226</t>
  </si>
  <si>
    <t>HUARAZ</t>
  </si>
  <si>
    <t>B0T-931</t>
  </si>
  <si>
    <t>EDUARDO JOSÉ MAURICIO ESTRADA</t>
  </si>
  <si>
    <t>148146-038-051219</t>
  </si>
  <si>
    <t>CONSORCIO PERUGAS M &amp; M S.A.C. - PERUGAS M &amp; M S.A.C.</t>
  </si>
  <si>
    <t>MZ. AW LOTE 12B, URB. PROG. VIV. LA MERCED ZN B</t>
  </si>
  <si>
    <t>MZ. AW LOTE 12B URB. PROG. VIV. LA MERCED ZN B</t>
  </si>
  <si>
    <t>F0Y-886</t>
  </si>
  <si>
    <t>130716-038-240717</t>
  </si>
  <si>
    <t>EL OASIS DE ICA S.A.C</t>
  </si>
  <si>
    <t>CARRETERA PANAMERICANA SUR KM 298 SUBJANTALLA</t>
  </si>
  <si>
    <t>ACW-980</t>
  </si>
  <si>
    <t> ALW-807</t>
  </si>
  <si>
    <t> F5S-918</t>
  </si>
  <si>
    <t> F4S-876</t>
  </si>
  <si>
    <t>GUEVARA SARMIENTO ERASMO ERNESTO</t>
  </si>
  <si>
    <t>116522-038-210715</t>
  </si>
  <si>
    <t xml:space="preserve">PETROLEOS SOLORZANO S.A.C. </t>
  </si>
  <si>
    <t xml:space="preserve">NRO. INT. 32 MERCADO LOS PORTALES DE CHILLÓN </t>
  </si>
  <si>
    <t>AHQ-838</t>
  </si>
  <si>
    <t>TEOFILO VALERIO SOLORZANO VALERIO</t>
  </si>
  <si>
    <t>151581-038-201020</t>
  </si>
  <si>
    <t>INVERSIONES SOL DE HUAYCAN S.A.</t>
  </si>
  <si>
    <t>JR. VICTOR SECADA N° 346 (JR. ARICA)</t>
  </si>
  <si>
    <t>BEX-708</t>
  </si>
  <si>
    <t>DELFIN LORENZO GAMEZ SANTILLAN</t>
  </si>
  <si>
    <t>123352-038-300920</t>
  </si>
  <si>
    <t>ENVASADORA NORLIMA GAS S.A.C.</t>
  </si>
  <si>
    <t>AV. LAS PALMAS, LOTE 6, URB. JOSE GALVEZ</t>
  </si>
  <si>
    <t>PACHACAMAC</t>
  </si>
  <si>
    <t>AEV-937</t>
  </si>
  <si>
    <t>CARLOS ANDRES ALVA ABAD</t>
  </si>
  <si>
    <t>141386-038-180219</t>
  </si>
  <si>
    <t xml:space="preserve">SERG &amp; H GAS S.A.C. </t>
  </si>
  <si>
    <t>MZA. E LOTE. 4 MARIA AUXILIADORA (AL FRENTE DE METRO PUENTE ALIPIO)</t>
  </si>
  <si>
    <t>MZA. E LOTE. 4 MARIA AUXILIADOR (AL FRENTE DE METRO PUENTE ALIPIO)</t>
  </si>
  <si>
    <t>AZD-802</t>
  </si>
  <si>
    <t>112799-038-181020</t>
  </si>
  <si>
    <t>ESTACION DE SERVICIOS UTCUBAMBA II S.R.L.</t>
  </si>
  <si>
    <t>CARRETERA FERNANDO BELAUNDE TERRY KM 231</t>
  </si>
  <si>
    <t>AMAZONAS</t>
  </si>
  <si>
    <t>UTCUBAMBA</t>
  </si>
  <si>
    <t>BAGUA GRANDE</t>
  </si>
  <si>
    <t>D0S-970</t>
  </si>
  <si>
    <t> T8A-929</t>
  </si>
  <si>
    <t> T0S-815</t>
  </si>
  <si>
    <t>SEGUNDO QUITERIO HERNANDEZ VASQUEZ</t>
  </si>
  <si>
    <t>112902-038-100220</t>
  </si>
  <si>
    <t>VELASERVGAS S.A.C.</t>
  </si>
  <si>
    <t>RESIDENCIAL VILLA LAS PALMERAS MZ. C, LOTE 18</t>
  </si>
  <si>
    <t>ABP-891</t>
  </si>
  <si>
    <t>DAVIS ALIPIO VELA ATENCIO</t>
  </si>
  <si>
    <t>85181-038-190913</t>
  </si>
  <si>
    <t>CALLE LOS CALIBRADORES MZ. O-1 LT. 5 Y 7 PARQUE INDUSTRIAL ACOMPIA</t>
  </si>
  <si>
    <t>CALLE LOS CALIBRADORES MZ. O-1 LT. 5 y 7 PARQUE INDUSTRIAL ACOMPIA</t>
  </si>
  <si>
    <t>WGQ-784</t>
  </si>
  <si>
    <t>147650-038-161119</t>
  </si>
  <si>
    <t>GLP AMAZONICO S.A.C.</t>
  </si>
  <si>
    <t>AV. PEVAS N° 316</t>
  </si>
  <si>
    <t>LORETO</t>
  </si>
  <si>
    <t>MAYNAS</t>
  </si>
  <si>
    <t>IQUITOS</t>
  </si>
  <si>
    <t>CALLE PEVAS N°316</t>
  </si>
  <si>
    <t>BCD-813</t>
  </si>
  <si>
    <t>REY RECAVARREN ALVARO FELIPE</t>
  </si>
  <si>
    <t>85285-038-031114</t>
  </si>
  <si>
    <t>CARRETERA PANAMERICANA SUR KM. 295</t>
  </si>
  <si>
    <t>D6D-993</t>
  </si>
  <si>
    <t> F7P-788</t>
  </si>
  <si>
    <t>109599-038-181217</t>
  </si>
  <si>
    <t>DH-EXPRESS GAS SAC</t>
  </si>
  <si>
    <t>CALLE PAMPITA ZEVALLOS N° 213 INT. 1</t>
  </si>
  <si>
    <t>YANAHUARA</t>
  </si>
  <si>
    <t>F4E-903</t>
  </si>
  <si>
    <t>RENSO DANIEL REVILLA YUCRA</t>
  </si>
  <si>
    <t>109192-038-060514</t>
  </si>
  <si>
    <t xml:space="preserve">3 JL TRANSPORTE S.A.C. </t>
  </si>
  <si>
    <t xml:space="preserve">AV. CANTO GRANDE 362 - URB. CANTO GRANDE </t>
  </si>
  <si>
    <t>F8S-911</t>
  </si>
  <si>
    <t>44449-038-190418</t>
  </si>
  <si>
    <t>MUCHIK GAS S.A.C.</t>
  </si>
  <si>
    <t>MZ. F LOTE 5 DPTO. 102 URB. LOS CEDROS</t>
  </si>
  <si>
    <t>A9A-834</t>
  </si>
  <si>
    <t xml:space="preserve">JESSICA DEL PILAR PURIZACA PASACHE </t>
  </si>
  <si>
    <t>151549-038-151020</t>
  </si>
  <si>
    <t>TRANSPORTES GUAPO LINDO S.R.LTDA.</t>
  </si>
  <si>
    <t>AV. JAVIER PRADO ESTE N° 6519 URB. PABLO CANEPA</t>
  </si>
  <si>
    <t>BEN-791</t>
  </si>
  <si>
    <t>LEANDRO SALOMON RAMIREZ AYBAR</t>
  </si>
  <si>
    <t>84689-038-230414</t>
  </si>
  <si>
    <t>EL OASIS DE ICA S.A.C.</t>
  </si>
  <si>
    <t>CARRETERA PANAMERICANA SUR KM. 298.2</t>
  </si>
  <si>
    <t>D6E-998</t>
  </si>
  <si>
    <t> Y1H-890</t>
  </si>
  <si>
    <t>ERASMO ERNESTO GUEVARA SARMIENTO</t>
  </si>
  <si>
    <t>101215-038-260313</t>
  </si>
  <si>
    <t>INDAR GAS S.A.C.</t>
  </si>
  <si>
    <t>AV. MANUEL OLGUIN N° 375 OF. 501</t>
  </si>
  <si>
    <t>C3V-980</t>
  </si>
  <si>
    <t> C0U-785</t>
  </si>
  <si>
    <t>JULIO NOÉ SÁNCHEZ SÁNCHEZ</t>
  </si>
  <si>
    <t>113066-038-070115</t>
  </si>
  <si>
    <t>TRANSPORTES &amp; MAQUINARIAS CRISTINA S.A.C.</t>
  </si>
  <si>
    <t>AV. DANIEL ALCIDES CARRIÓN 2255</t>
  </si>
  <si>
    <t>D0W-987</t>
  </si>
  <si>
    <t> B2L-898</t>
  </si>
  <si>
    <t>MOISÉS CASTAÑEDA JIMÉNEZ</t>
  </si>
  <si>
    <t>129155-038-190319</t>
  </si>
  <si>
    <t>CALLE GENERAL SANTA CRUZ N° 398 URB. EL PINO</t>
  </si>
  <si>
    <t>AAI-980</t>
  </si>
  <si>
    <t>142485-038-090419</t>
  </si>
  <si>
    <t>GASOLINERAS DEL NORTE E.I.R.L.</t>
  </si>
  <si>
    <t>MZA. A LOTE. 06 ZONA INDUSRTRIAL TALARA II - ENACE (ENACE - A 100 MTS DEL PEAJE)</t>
  </si>
  <si>
    <t>TALARA</t>
  </si>
  <si>
    <t>PARIÑAS</t>
  </si>
  <si>
    <t>M3J-895</t>
  </si>
  <si>
    <t>JUAN FRANCISCO PINGO HUIMAN</t>
  </si>
  <si>
    <t>146128-038-040919</t>
  </si>
  <si>
    <t>ABASTIBLES GAS S.A.C. - AGAS S.A.C.</t>
  </si>
  <si>
    <t>JR. HERMILIO VALDIZAN NRO 351 URBANIZACION SANTA LUZMILA</t>
  </si>
  <si>
    <t>D9X-898</t>
  </si>
  <si>
    <t>JOSE JESUS VENEGAS GALLARDO</t>
  </si>
  <si>
    <t>43414-038-050419</t>
  </si>
  <si>
    <t>AV. ANDRES AVELINO CACERES MZ. E LOTE 14, URB. LAS BEGONIAS</t>
  </si>
  <si>
    <t>T1Z-926</t>
  </si>
  <si>
    <t>107348-038-081116</t>
  </si>
  <si>
    <t>D4R-996</t>
  </si>
  <si>
    <t> T6B-830</t>
  </si>
  <si>
    <t> C4D-947</t>
  </si>
  <si>
    <t>118366-038-310120</t>
  </si>
  <si>
    <t xml:space="preserve">CORPORACIÓN ANDINA DEL GAS PERÚ S.A.C. </t>
  </si>
  <si>
    <t>AV. LAS PEÑAS KM 1.6-EL PASTO</t>
  </si>
  <si>
    <t>SOCABAYA</t>
  </si>
  <si>
    <t>V3B-714</t>
  </si>
  <si>
    <t>ALEJANDRO MARCOS CORRALES RAMOS</t>
  </si>
  <si>
    <t>121285-038-050516</t>
  </si>
  <si>
    <t>TRANSPORTES ALIFA S.A.C.</t>
  </si>
  <si>
    <t>MZ. V LT 5 URB. SAN ISIDRO</t>
  </si>
  <si>
    <t>F8L-970</t>
  </si>
  <si>
    <t> T7V-920</t>
  </si>
  <si>
    <t>JOSE RICARDO BOYD BOYD</t>
  </si>
  <si>
    <t>119985-038-020316</t>
  </si>
  <si>
    <t xml:space="preserve">CARRETERA PANAMERICANA NORTE 92.5 C.P. CHANCAYLLO </t>
  </si>
  <si>
    <t>CARRETERA PANAMERICANA NORTE KM. 92.5 C.P. CHANCAYLLO (BARRIO SAN JUAN, PASANDO EL PUENTE)</t>
  </si>
  <si>
    <t>W5P-862</t>
  </si>
  <si>
    <t>117141-038-060220</t>
  </si>
  <si>
    <t>CORPORACIÓN ANDINA DEL GAS PERÚ S.A.C.</t>
  </si>
  <si>
    <t>AV. LAS PEÑAS KM 1.6 - EL PASTO</t>
  </si>
  <si>
    <t>A6Z-917</t>
  </si>
  <si>
    <t>136307-038-230518</t>
  </si>
  <si>
    <t>VALSA GAS EIRL</t>
  </si>
  <si>
    <t>URB SAN JOAQUIN L-1 1ERA ETAPA</t>
  </si>
  <si>
    <t>ACQ-985</t>
  </si>
  <si>
    <t> ATQ-765</t>
  </si>
  <si>
    <t>OSCAR JESUS SARAVIA PISCONTE</t>
  </si>
  <si>
    <t>104808-038-300813</t>
  </si>
  <si>
    <t>AV. CANTO GRANDE N° 362 URB. CANTO GRANDE</t>
  </si>
  <si>
    <t>C5E-791</t>
  </si>
  <si>
    <t>LENIN ÉDISON VÍLCHEZ SÁNCHEZ</t>
  </si>
  <si>
    <t>122269-038-041019</t>
  </si>
  <si>
    <t>GRUPO PERUGAS S.A.C.</t>
  </si>
  <si>
    <t>CAR. ANTIGUA PANAMERICANA SUR KM. 40 ESQUINA CON AV. LOS EUCALIPTOS MZA. F LOTE 09 INT. 01 URB. SANTA GENOVEVA</t>
  </si>
  <si>
    <t>F8T-995</t>
  </si>
  <si>
    <t>JOSUE MIJAIL HERVACIO QUISPE</t>
  </si>
  <si>
    <t>41542-038-051213</t>
  </si>
  <si>
    <t>AV. ALFREDO MENDIOLA N° 1395 - URB. LA MILLA</t>
  </si>
  <si>
    <t>F3Y-801</t>
  </si>
  <si>
    <t>CELESTINO HIGA HIGA</t>
  </si>
  <si>
    <t>114482-038-300419</t>
  </si>
  <si>
    <t xml:space="preserve">INVERSIONES SAMARITANO EIRL </t>
  </si>
  <si>
    <t>CARRETERA CENTRAL MARGINAL S/N. CALLE B URB. SHANGANI</t>
  </si>
  <si>
    <t>PERENE</t>
  </si>
  <si>
    <t>D5L-978</t>
  </si>
  <si>
    <t> AZG-903</t>
  </si>
  <si>
    <t>EMMA ATAHUAMAN DE CORREA</t>
  </si>
  <si>
    <t>114917-038-220919</t>
  </si>
  <si>
    <t>RAFAEL ALFONSO GIL NAJARRO ZARATE</t>
  </si>
  <si>
    <t>JR. DIEGO DE ALMAGRO N° 234</t>
  </si>
  <si>
    <t>F1K-859</t>
  </si>
  <si>
    <t>119080-038-030216</t>
  </si>
  <si>
    <t>INVERSIONES OSTOLAZA S.A.C.</t>
  </si>
  <si>
    <t>AV. ANCHOVETA MZ. B LOTE 33</t>
  </si>
  <si>
    <t>F6E-976</t>
  </si>
  <si>
    <t> AJR-839</t>
  </si>
  <si>
    <t>CARLOS ALBERTO OSTOLAZA SALINAS</t>
  </si>
  <si>
    <t>121445-038-071017</t>
  </si>
  <si>
    <t>GASNOR S.A.C.</t>
  </si>
  <si>
    <t>AV. ENCALADA 232 MONTERRICO</t>
  </si>
  <si>
    <t>F8K-999</t>
  </si>
  <si>
    <t> ALY-858</t>
  </si>
  <si>
    <t>VICENTE ENRIQUE MARCELO LOAYZA</t>
  </si>
  <si>
    <t>98725-038-010318</t>
  </si>
  <si>
    <t>AV. ALFREDO BENAVIDES N° 1555 INT. 604</t>
  </si>
  <si>
    <t>C6F-764</t>
  </si>
  <si>
    <t xml:space="preserve">CESAR LOPEZ LANDAURO </t>
  </si>
  <si>
    <t>131683-038-080917</t>
  </si>
  <si>
    <t>ATA-838</t>
  </si>
  <si>
    <t>91200-038-101218</t>
  </si>
  <si>
    <t>MZ. F LOTE 5 DEPARTAMENTO N° 102 URB. LOS CEDROS</t>
  </si>
  <si>
    <t>B6T-882</t>
  </si>
  <si>
    <t>103545-038-170920</t>
  </si>
  <si>
    <t>RAUL HEINZ CIPRIANO MARTEL</t>
  </si>
  <si>
    <t>JR. INDEPENDENCIA N° 219</t>
  </si>
  <si>
    <t>C5H-986</t>
  </si>
  <si>
    <t> A7W-876</t>
  </si>
  <si>
    <t> F9B-763</t>
  </si>
  <si>
    <t>115560-038-110815</t>
  </si>
  <si>
    <t>JC REAL GAS S.A.C</t>
  </si>
  <si>
    <t>CALLE LAS ORQUIDEAS MZ. N LOTE 9 A.V. SAN FRANCISCO DE ASIS</t>
  </si>
  <si>
    <t>F3C-974</t>
  </si>
  <si>
    <t> ADY-817</t>
  </si>
  <si>
    <t>88130-038-110816</t>
  </si>
  <si>
    <t>SOUTHFORK E.I.R.L.</t>
  </si>
  <si>
    <t>AV.TUPAC YUPANQUI Nº 671 URB. SANTA MARIA</t>
  </si>
  <si>
    <t>A7O-848</t>
  </si>
  <si>
    <t>ARTHUR GETH SANCHEZ CHURA</t>
  </si>
  <si>
    <t>101243-038-030613</t>
  </si>
  <si>
    <t>MZ. A LT. 06 AV. UNIVERSITARIA CDRA. 51</t>
  </si>
  <si>
    <t>D5W-754</t>
  </si>
  <si>
    <t>150913-038-090920</t>
  </si>
  <si>
    <t>INVERSIONES VALUEMI S.A.C.</t>
  </si>
  <si>
    <t>SECTOR CRUZ DEL NORTE 1 ZONA BAJA MAZ. C LOTE 5</t>
  </si>
  <si>
    <t>BDQ-814</t>
  </si>
  <si>
    <t xml:space="preserve">CESAR JAIME MANRIQUE MILLA </t>
  </si>
  <si>
    <t>150059-038-100820</t>
  </si>
  <si>
    <t>GRUPO OXY &amp; GAS SOCIEDAD ANONIMA CERRADA</t>
  </si>
  <si>
    <t xml:space="preserve">AV. CIRCUNVALACION N° 1023 </t>
  </si>
  <si>
    <t>PUNO</t>
  </si>
  <si>
    <t>SAN ROMAN</t>
  </si>
  <si>
    <t>JULIACA</t>
  </si>
  <si>
    <t>Av. Circunvalación N° 1023 (A una cuadra de la plaza 24 de Octubre)</t>
  </si>
  <si>
    <t>Z4L-747</t>
  </si>
  <si>
    <t>MARCO ANTONIO ADCO HUALLA</t>
  </si>
  <si>
    <t>120839-038-200619</t>
  </si>
  <si>
    <t>GRIFO ROBLES S.A.C.</t>
  </si>
  <si>
    <t>AV. SAN BORJA SUR NRO. 810, DPTO. 402</t>
  </si>
  <si>
    <t>F8C-991</t>
  </si>
  <si>
    <t> D0L-944</t>
  </si>
  <si>
    <t>LUIS PERCY ROBLES MENA</t>
  </si>
  <si>
    <t>128526-038-311218</t>
  </si>
  <si>
    <t>CALLE GENERAL SANTA CRUZ N° 398 - URB. EL PINO</t>
  </si>
  <si>
    <t>F0F-970</t>
  </si>
  <si>
    <t>87361-038-120218</t>
  </si>
  <si>
    <t>GRANEL INDUSTRIAL S.A.C</t>
  </si>
  <si>
    <t>JIRON RESTAURACION N° 328, URB. BREÑA</t>
  </si>
  <si>
    <t>-</t>
  </si>
  <si>
    <t>A3R-942</t>
  </si>
  <si>
    <t>112274-038-121018</t>
  </si>
  <si>
    <t>D9W-974</t>
  </si>
  <si>
    <t>ALEXIS ALATRISTA TAYPE</t>
  </si>
  <si>
    <t>90221-038-120717</t>
  </si>
  <si>
    <t>SNOWY GAS S.A</t>
  </si>
  <si>
    <t xml:space="preserve">MZA. K LOTE. 14B ASOC. DE PRO LOTS RUST. LA ENSENADA DE CHILLON </t>
  </si>
  <si>
    <t>A5M-910</t>
  </si>
  <si>
    <t>VICTOR HUGO SARAVIA MARRON</t>
  </si>
  <si>
    <t>115786-038-080615</t>
  </si>
  <si>
    <t>JR. AZANGARO 377 INTERIOR 409</t>
  </si>
  <si>
    <t>AFB-849</t>
  </si>
  <si>
    <t>120837-038-100820</t>
  </si>
  <si>
    <t>AV. UNIVERSITARIA MZ. A LOTE 08</t>
  </si>
  <si>
    <t>F7L-977</t>
  </si>
  <si>
    <t> ALM-833</t>
  </si>
  <si>
    <t>117752-038-100820</t>
  </si>
  <si>
    <t>INVERSIONES FENIX GAS SAC</t>
  </si>
  <si>
    <t>F5A-991</t>
  </si>
  <si>
    <t> AHP-773</t>
  </si>
  <si>
    <t>DIONISIO FELICIANO AZAREÑO SALCEDO</t>
  </si>
  <si>
    <t>124968-038-100820</t>
  </si>
  <si>
    <t>B1R-871</t>
  </si>
  <si>
    <t>145703-038-150819</t>
  </si>
  <si>
    <t>ESTACION DE SERVICIOS YOLITA S.A.C.</t>
  </si>
  <si>
    <t>AV. MERCEDES INDACOCHEA NRO 201</t>
  </si>
  <si>
    <t>HUACHO</t>
  </si>
  <si>
    <t>AV. MERCEDES INDACOCHEA N° 201</t>
  </si>
  <si>
    <t>BBK-841</t>
  </si>
  <si>
    <t>YOLANDA BAZALAR AZABACHE DE LUNA</t>
  </si>
  <si>
    <t>128524-038-100820</t>
  </si>
  <si>
    <t>ARU-854</t>
  </si>
  <si>
    <t>116940-038-040716</t>
  </si>
  <si>
    <t xml:space="preserve">MZ. H LT. 01 PROLONGACION AV. EL SOL TABLADA DE LURIN </t>
  </si>
  <si>
    <t>F4H-997</t>
  </si>
  <si>
    <t> AJF-948</t>
  </si>
  <si>
    <t> B5N-762</t>
  </si>
  <si>
    <t>100399-038-310820</t>
  </si>
  <si>
    <t>AV. ALFREDO MENDIOLA Nº 1395 URB. LA MILLA</t>
  </si>
  <si>
    <t>D1L-759</t>
  </si>
  <si>
    <t>106266-038-091117</t>
  </si>
  <si>
    <t>CALLE LOS OLIVOS MZ. I LOTE 15 URB. LA ENSENADA</t>
  </si>
  <si>
    <t>CALLE CONTISUYO N° 148</t>
  </si>
  <si>
    <t>F1P-731</t>
  </si>
  <si>
    <t>119077-038-181215</t>
  </si>
  <si>
    <t>YEMARCIO E.I.R.L.</t>
  </si>
  <si>
    <t>CARRETERA CENTRAL HUANUCO - TINGO MARIA KM 0.5</t>
  </si>
  <si>
    <t>F4W-980</t>
  </si>
  <si>
    <t> AKE-745</t>
  </si>
  <si>
    <t>VERDE SALGADO AQUILES RUFO</t>
  </si>
  <si>
    <t>102655-038-261215</t>
  </si>
  <si>
    <t>CARRETERA INDUSTRIAL A LAREDO - SUB LOTE 04 - BARRIO NUEVO KM. 1-C</t>
  </si>
  <si>
    <t>T5D-827</t>
  </si>
  <si>
    <t>120557-038-030416</t>
  </si>
  <si>
    <t xml:space="preserve">INVERSIONES OSTOLAZA S.A.C. </t>
  </si>
  <si>
    <t xml:space="preserve">AV. ANCHOVETA MZ. B LOTE 33 </t>
  </si>
  <si>
    <t>F7U-977</t>
  </si>
  <si>
    <t> ALR-745</t>
  </si>
  <si>
    <t>151142-038-140920</t>
  </si>
  <si>
    <t>AV. SAN JUAN MZA. A LOTE. 3-A (GRIFO SEÑOR DE HUAMANTANGA)</t>
  </si>
  <si>
    <t xml:space="preserve">ARW-973 </t>
  </si>
  <si>
    <t> BE0-819</t>
  </si>
  <si>
    <t xml:space="preserve">CELSO CAMASCCA FLORES </t>
  </si>
  <si>
    <t>120842-038-140416</t>
  </si>
  <si>
    <t>TUPAC YUPANQUI N°671</t>
  </si>
  <si>
    <t>F8C-988</t>
  </si>
  <si>
    <t>TEDDY FRANCISCO CARDENAS CORDOBA</t>
  </si>
  <si>
    <t>128525-038-300119</t>
  </si>
  <si>
    <t>F0F-971</t>
  </si>
  <si>
    <t> AMA-749</t>
  </si>
  <si>
    <t>147365-038-071020</t>
  </si>
  <si>
    <t>INVERSIONES REVIL S.A.C.</t>
  </si>
  <si>
    <t>AV. CANTO REY N° 408 – OFICINA 202 – URB. CANTO REY</t>
  </si>
  <si>
    <t>D1Q-748</t>
  </si>
  <si>
    <t>MELANIE REINA REYES VILCHEZ</t>
  </si>
  <si>
    <t>136099-038-180518</t>
  </si>
  <si>
    <t xml:space="preserve">ENERGIGAS S.A.C. </t>
  </si>
  <si>
    <t>AV. PANAMERICANA SUR ANTIGUA KM 34.5 PREDIO RURAL SAN PEDRO LOTE UNICO</t>
  </si>
  <si>
    <t>AV. SANTO TORIBIO 173 OFICINA 502</t>
  </si>
  <si>
    <t>C3R-709</t>
  </si>
  <si>
    <t>DIEGO ALONSO CARLOS JOSE GONZALES POSADA DE COSSIO</t>
  </si>
  <si>
    <t>118569-038-191218</t>
  </si>
  <si>
    <t>ENERGIGAS S.A.C.</t>
  </si>
  <si>
    <t>AV. FEDERICO VILLARREAL N° 800-808 URB. MIRAFLORES</t>
  </si>
  <si>
    <t>AKC-823</t>
  </si>
  <si>
    <t xml:space="preserve">89952-038-130516 </t>
  </si>
  <si>
    <t>CALLE DIEGO DE AGUERO N° 250</t>
  </si>
  <si>
    <t>D6F-783</t>
  </si>
  <si>
    <t xml:space="preserve">LUIS ENRIQUE HARE RAMIREZ </t>
  </si>
  <si>
    <t>105748-038-250116</t>
  </si>
  <si>
    <t>AV. CANAVAL Y MOREYRA N° 654 INT. 301</t>
  </si>
  <si>
    <t>C6Z-972</t>
  </si>
  <si>
    <t> AHY-705</t>
  </si>
  <si>
    <t> AHY-713</t>
  </si>
  <si>
    <t> AHY-786</t>
  </si>
  <si>
    <t> AHY-826</t>
  </si>
  <si>
    <t> AHY-859</t>
  </si>
  <si>
    <t> D8N-774</t>
  </si>
  <si>
    <t> D8J-907</t>
  </si>
  <si>
    <t> COG-883</t>
  </si>
  <si>
    <t> F7Q-747</t>
  </si>
  <si>
    <t> F8S-787</t>
  </si>
  <si>
    <t> F6C-773</t>
  </si>
  <si>
    <t> F6B-825</t>
  </si>
  <si>
    <t> F4Z-848</t>
  </si>
  <si>
    <t> D8V-852</t>
  </si>
  <si>
    <t> F9A-827</t>
  </si>
  <si>
    <t> D7E-791</t>
  </si>
  <si>
    <t>121939-038-140616</t>
  </si>
  <si>
    <t>CARRION INVERSIONES S.A.</t>
  </si>
  <si>
    <t>JR. ANTONIO LOBATO N° 651</t>
  </si>
  <si>
    <t>F8P-997</t>
  </si>
  <si>
    <t> AMJ-768</t>
  </si>
  <si>
    <t> AMJ-716</t>
  </si>
  <si>
    <t>LUIS MIGUEL CARRION BENITES</t>
  </si>
  <si>
    <t>92846-038-100611</t>
  </si>
  <si>
    <t>WGS-193</t>
  </si>
  <si>
    <t>118278-038-270819</t>
  </si>
  <si>
    <t>MARINA GAS SOCIEDAD ANONIMA CERRADA - MARINA GAS S.A.C.</t>
  </si>
  <si>
    <t xml:space="preserve">AV. LA MARINA NRO. 787 </t>
  </si>
  <si>
    <t>F5I-989</t>
  </si>
  <si>
    <t>117087-038-260919</t>
  </si>
  <si>
    <t>CONSORCIO INTERNACIONAL B &amp; L S.A.C.</t>
  </si>
  <si>
    <t>JR. ALICANTE N° 311 INT. PISO 2 URB. JAVIER PRADO ETAPA IV</t>
  </si>
  <si>
    <t>ABP-896</t>
  </si>
  <si>
    <t>OSCAR GUILLERMO MANCO AGUILAR</t>
  </si>
  <si>
    <t>128997-038-200617</t>
  </si>
  <si>
    <t>SURTIDORES E INVERSIONES MAX E.I.R.L.</t>
  </si>
  <si>
    <t>AV. JUAN SANTOS ATAHUALPA S/N CV EL MILAGRO</t>
  </si>
  <si>
    <t>SAN RAMON</t>
  </si>
  <si>
    <t>ACH-999</t>
  </si>
  <si>
    <t> AJD-727</t>
  </si>
  <si>
    <t> F4F-907</t>
  </si>
  <si>
    <t>MAXIMILIANO JOAQUIN ATAO CAJA</t>
  </si>
  <si>
    <t>152028-038-251020</t>
  </si>
  <si>
    <t>COMPAÑIA PERUANA DE PETROLEO GAS Y GASOLINA S.A.C.</t>
  </si>
  <si>
    <t>AV. AMERICA OESTE N° 382 DPTO. 703</t>
  </si>
  <si>
    <t>ATI-990</t>
  </si>
  <si>
    <t> T0V-869</t>
  </si>
  <si>
    <t>DIANDRA GIOVANNI CASTILLO CHACON</t>
  </si>
  <si>
    <t>149904-038-070820</t>
  </si>
  <si>
    <t>NATURGAS DEL PERU S.A.C.</t>
  </si>
  <si>
    <t>CARRETERA AREQUIPA JULIACA KM.288+900 CAMBRACA YOCARA</t>
  </si>
  <si>
    <t>CABANA</t>
  </si>
  <si>
    <t>URB. LARA MZ. P LOTE 1-B</t>
  </si>
  <si>
    <t>B6G-834</t>
  </si>
  <si>
    <t>PABLO CÉSAR LANZA BUSCAGLIA</t>
  </si>
  <si>
    <t>101164-038-190213</t>
  </si>
  <si>
    <t>MARINA GAS S.A.C.</t>
  </si>
  <si>
    <t>AV. LA MARINA N° 787</t>
  </si>
  <si>
    <t>D4Y-759</t>
  </si>
  <si>
    <t>120838-038-130416</t>
  </si>
  <si>
    <t>F8C-987</t>
  </si>
  <si>
    <t>113585-038-070617</t>
  </si>
  <si>
    <t>DIEGO DE AGÜERO N° 250</t>
  </si>
  <si>
    <t>ACB-889</t>
  </si>
  <si>
    <t>151269-038-210920</t>
  </si>
  <si>
    <t>NUEVA DISTRIBUIDORA MUNDO GAS S.A.C.</t>
  </si>
  <si>
    <t>JR. FRANCISCO PIZARRO Nº 850</t>
  </si>
  <si>
    <t>AER-808</t>
  </si>
  <si>
    <t>LOZANO BENZAQUEN WALTER MOISES</t>
  </si>
  <si>
    <t>105323-038-041218</t>
  </si>
  <si>
    <t>GASERSI S.R.L.</t>
  </si>
  <si>
    <t>CARRETERA PANAMERICANA NORTE 1598</t>
  </si>
  <si>
    <t>SANTA MARIA</t>
  </si>
  <si>
    <t>C8P-991</t>
  </si>
  <si>
    <t> D7E-816</t>
  </si>
  <si>
    <t> AKT-837</t>
  </si>
  <si>
    <t>ERMELA OLIVA ALEGRE RIVERA</t>
  </si>
  <si>
    <t>112189-038-270217</t>
  </si>
  <si>
    <t>D0M-982</t>
  </si>
  <si>
    <t> D6K-789</t>
  </si>
  <si>
    <t>101161-038-290114</t>
  </si>
  <si>
    <t>JR. FRANCISCO PIZARRO N° 860</t>
  </si>
  <si>
    <t>S1I-894</t>
  </si>
  <si>
    <t>89954-038-130516</t>
  </si>
  <si>
    <t>D6F-784</t>
  </si>
  <si>
    <t>LUIS ENRIQUE HARE RAMIREZ</t>
  </si>
  <si>
    <t>95108-038-230120</t>
  </si>
  <si>
    <t>GRIFO NACIONAL E.I.R.L.</t>
  </si>
  <si>
    <t>AV. 9 DE DICIEMBRE Nº 1301</t>
  </si>
  <si>
    <t>A4R-997</t>
  </si>
  <si>
    <t> B8Y-891</t>
  </si>
  <si>
    <t>BASILIO DAMAS PORRAS</t>
  </si>
  <si>
    <t>121938-038-130616</t>
  </si>
  <si>
    <t>F7O-992</t>
  </si>
  <si>
    <t>119686-038-200318</t>
  </si>
  <si>
    <t xml:space="preserve">AV. BENAVIDES N° 1555 DPTO. 604 </t>
  </si>
  <si>
    <t>AV. ALFREDO BENAVIDES N° 1555, INT. 604</t>
  </si>
  <si>
    <t>F6Y-983</t>
  </si>
  <si>
    <t> F6E-926</t>
  </si>
  <si>
    <t> AET-746</t>
  </si>
  <si>
    <t> AER-747</t>
  </si>
  <si>
    <t> D6B-784</t>
  </si>
  <si>
    <t> C8B-797</t>
  </si>
  <si>
    <t>116326-038-090617</t>
  </si>
  <si>
    <t>CALLE BILLINGHURST N°664</t>
  </si>
  <si>
    <t>F3O-996</t>
  </si>
  <si>
    <t xml:space="preserve">JOSE HUMBERTO MAMANI TENORIO </t>
  </si>
  <si>
    <t>117688-038-021015</t>
  </si>
  <si>
    <t>TUPAC YUPANQUI N° 671</t>
  </si>
  <si>
    <t>F4P-982</t>
  </si>
  <si>
    <t> AJP-767</t>
  </si>
  <si>
    <t>139689-038-161118</t>
  </si>
  <si>
    <t>CIPRIANO MARTEL RAUL HEINZ</t>
  </si>
  <si>
    <t>JR. INDEPENDENCIA 219</t>
  </si>
  <si>
    <t>D0M-710</t>
  </si>
  <si>
    <t>122977-038-030720</t>
  </si>
  <si>
    <t>PETROGAS E.I.R.L.</t>
  </si>
  <si>
    <t>AV. 9 DE DICIEMBRE Nº 1104</t>
  </si>
  <si>
    <t>F9Q-987</t>
  </si>
  <si>
    <t> APD-818</t>
  </si>
  <si>
    <t> D9E-773</t>
  </si>
  <si>
    <t> BDX-737</t>
  </si>
  <si>
    <t>FELICIANO RODRIGO GONZALO JOAQUIN</t>
  </si>
  <si>
    <t>106552-038-250718</t>
  </si>
  <si>
    <t>D1T-981</t>
  </si>
  <si>
    <t> T9L-822</t>
  </si>
  <si>
    <t>103107-038-220513</t>
  </si>
  <si>
    <t>GRIFO SUBTANJALLA S.R.L.</t>
  </si>
  <si>
    <t>CARRETERA PANAMERICANA SUR KM. 296</t>
  </si>
  <si>
    <t>C5H-978</t>
  </si>
  <si>
    <t> D2Z-793</t>
  </si>
  <si>
    <t>145393-038-090819</t>
  </si>
  <si>
    <t>COMPAÑIA COMERCIALIZADORA Y REPRESENTACIONES S.A.</t>
  </si>
  <si>
    <t>CALLE NICOLAS REBAZA 624 URB. LAS QUINTANAS</t>
  </si>
  <si>
    <t>AMV-986</t>
  </si>
  <si>
    <t> ASE-726</t>
  </si>
  <si>
    <t> T9U-899</t>
  </si>
  <si>
    <t>DALILA ESTHER LAVADO DE RAMIREZ</t>
  </si>
  <si>
    <t>146145-038-310819</t>
  </si>
  <si>
    <t>GRUPO ENERGREEN S.A.C.</t>
  </si>
  <si>
    <t>CALLE 15 MZA.P, LOTE 01 URB. PRO SEPTIMO SECTOR</t>
  </si>
  <si>
    <t>D7W-865</t>
  </si>
  <si>
    <t xml:space="preserve">SUSANA EVELYN URIBE RODRIGUEZ </t>
  </si>
  <si>
    <t>106168-038-051213</t>
  </si>
  <si>
    <t>VIJOSTRAN &amp; CIA S.A.C</t>
  </si>
  <si>
    <t>CALLE GENERAL SANTA CRUZ 398 URB. EL PINO</t>
  </si>
  <si>
    <t>D1J-982</t>
  </si>
  <si>
    <t> D0K-880</t>
  </si>
  <si>
    <t>145406-038-090819</t>
  </si>
  <si>
    <t>CALLE 20 DE SEPTIEMBRE N° 1098</t>
  </si>
  <si>
    <t>CALLE 20 DE SEPTIEMBRE N° 1098, EL PORVENIR</t>
  </si>
  <si>
    <t>TGG-977</t>
  </si>
  <si>
    <t> T0C-845</t>
  </si>
  <si>
    <t>118382-038-101115</t>
  </si>
  <si>
    <t>F5G-970</t>
  </si>
  <si>
    <t> ACT-715</t>
  </si>
  <si>
    <t>146471-038-100919</t>
  </si>
  <si>
    <t xml:space="preserve">CALLE BILLINGHURST NRO. 664 </t>
  </si>
  <si>
    <t>ANJ-975</t>
  </si>
  <si>
    <t> V0P-871</t>
  </si>
  <si>
    <t>150217-038-120820</t>
  </si>
  <si>
    <t>EMPRESA DE TRANSPORTES MODIHU S.A.C.</t>
  </si>
  <si>
    <t>CAL.24 MZA. E LOTE. 23 ASOC. CHASQUIS (CRUCE AV. DOMINICOS – AV. SANTA ROSA)</t>
  </si>
  <si>
    <t>BDU-792</t>
  </si>
  <si>
    <t>TEOFILO BERTO GONZALES</t>
  </si>
  <si>
    <t>133456-038-191217</t>
  </si>
  <si>
    <t>ESTACION DE SERVICIOS KALIN S.A.C.</t>
  </si>
  <si>
    <t>AV. PROLONGACION CESAR VALLEJO MZ. 46 LOTE B URB. LA RINCONADA</t>
  </si>
  <si>
    <t>AER-976</t>
  </si>
  <si>
    <t> T9A-947</t>
  </si>
  <si>
    <t> T9A-929</t>
  </si>
  <si>
    <t>JOSE CARLOS AVILA DOMINGUEZ</t>
  </si>
  <si>
    <t>117916-038-070318</t>
  </si>
  <si>
    <t>AV. FERNANDO LEON DE VIVERO NRO. S/N, SAN JOAQUIN VIEJO (NRO. 403-2DO PISO)</t>
  </si>
  <si>
    <t>F4R-976</t>
  </si>
  <si>
    <t> B5M-700</t>
  </si>
  <si>
    <t>LIDIA EMILIA CABRERA HUAROTO</t>
  </si>
  <si>
    <t>133661-038-040118</t>
  </si>
  <si>
    <t>AV. VICTOR ANDRES BELAUNDE N° 147 INTERIOR 301</t>
  </si>
  <si>
    <t>AUR-907</t>
  </si>
  <si>
    <t>141589-038-130120</t>
  </si>
  <si>
    <t>SERVICIOS GENERALES HETELU S.R.L.</t>
  </si>
  <si>
    <t xml:space="preserve">CALLE SANTA BARBARA N° 530 – ANEXO DE AZA </t>
  </si>
  <si>
    <t xml:space="preserve">CALLE SANTA BARBARA N° 530 – ANEXO AZA </t>
  </si>
  <si>
    <t>D6R-944</t>
  </si>
  <si>
    <t>RENGIFO AGUIRRE NAZARIA</t>
  </si>
  <si>
    <t>107681-038-280114</t>
  </si>
  <si>
    <t>SUPER GRIFO CHINCHA S.A.C.</t>
  </si>
  <si>
    <t>CARRETERA PANAMERICANA 791</t>
  </si>
  <si>
    <t>F5V-931</t>
  </si>
  <si>
    <t>MANOLO VICTOR FERNANDEZ SANCHEZ</t>
  </si>
  <si>
    <t>133455-038-181217</t>
  </si>
  <si>
    <t>AER-975</t>
  </si>
  <si>
    <t xml:space="preserve">JOSE CARLOS AVILA DOMINGUEZ </t>
  </si>
  <si>
    <t>144637-038-280619</t>
  </si>
  <si>
    <t>AV. CANTO GRANDE 302 URB. CANTO GRANDE</t>
  </si>
  <si>
    <t>BAQ-869</t>
  </si>
  <si>
    <t>99353-038-281114</t>
  </si>
  <si>
    <t>ENERGY PERÚ COMPANY E.I.R.L.</t>
  </si>
  <si>
    <t>AV. SAN DIEGO DE ALCALA N° 1000, URB. SAN DIEGO</t>
  </si>
  <si>
    <t>B0M-730</t>
  </si>
  <si>
    <t>42459-038-011018</t>
  </si>
  <si>
    <t xml:space="preserve">VELASERVGAS S.A.C. </t>
  </si>
  <si>
    <t>MZ. N LOTE 1, SEC. 03 GRUPO 27</t>
  </si>
  <si>
    <t>F3U-776</t>
  </si>
  <si>
    <t>DAVIS ALIPIO VELA ATENCIA</t>
  </si>
  <si>
    <t>148325-038-151219</t>
  </si>
  <si>
    <t>TRANSPORTES ALIPIO S.A.C.</t>
  </si>
  <si>
    <t>MZ. V LOTE 18 URB. VILLA RICA</t>
  </si>
  <si>
    <t>CHACLACAYO</t>
  </si>
  <si>
    <t>F3Z-976</t>
  </si>
  <si>
    <t> BBL-797</t>
  </si>
  <si>
    <t>ROMULO ANIBAL SALVADOR PALACIOS</t>
  </si>
  <si>
    <t>126845-038-140317</t>
  </si>
  <si>
    <t>CORPORACION NITROIL S.A.C.</t>
  </si>
  <si>
    <t>MZ. Q LOTE 5 A.V. HUERTOS DE LA MOLINA</t>
  </si>
  <si>
    <t>ACA-898</t>
  </si>
  <si>
    <t>CLAUDIA XIMENA HUAYTALLA CHUCHON</t>
  </si>
  <si>
    <t>123055-038-030816</t>
  </si>
  <si>
    <t xml:space="preserve">T H C ALEMAN S.A.C. </t>
  </si>
  <si>
    <t xml:space="preserve">A.H. PAMPA GRANDE MZ. LL LOTE 02 </t>
  </si>
  <si>
    <t>T8A-870</t>
  </si>
  <si>
    <t>JAVIER ALEMAN CORONEL</t>
  </si>
  <si>
    <t>92827-038-061115</t>
  </si>
  <si>
    <t>AV. NICOLAS DE PIEROLA 1390</t>
  </si>
  <si>
    <t>A0D-998</t>
  </si>
  <si>
    <t>117151-038-240916</t>
  </si>
  <si>
    <t>ESTACION DE SERVICIOS INTIYACU S.A.C.</t>
  </si>
  <si>
    <t>JR. AUGUSTO B. LEGUIA Y CALLE S/N URB. BELLAVISTA ALT. KM 100 CARRETERA FERNANDO BELAUNDE TERRY</t>
  </si>
  <si>
    <t>F4S-970</t>
  </si>
  <si>
    <t> AHU-899</t>
  </si>
  <si>
    <t>OSCAR ZEVALLOS ACOSTA</t>
  </si>
  <si>
    <t>119743-038-110920</t>
  </si>
  <si>
    <t xml:space="preserve">AV. ARGENTINA NRO. 2600 URB. LUJAN </t>
  </si>
  <si>
    <t>F6S-984</t>
  </si>
  <si>
    <t xml:space="preserve"> ALJ-939 </t>
  </si>
  <si>
    <t>FERNANDEZ VASQUEZ YONY BELLO</t>
  </si>
  <si>
    <t>120167-038-040316</t>
  </si>
  <si>
    <t xml:space="preserve">JOSE LUIS BAZAN CORDOVA </t>
  </si>
  <si>
    <t xml:space="preserve">AV. FERNANDO BELAUNDE TERRY 1221 </t>
  </si>
  <si>
    <t>ALE-901</t>
  </si>
  <si>
    <t>JOSE LUIS BAZAN CORDOVA</t>
  </si>
  <si>
    <t>128370-038-270319</t>
  </si>
  <si>
    <t>CALLE NICOLAS REBAZA N° 624 URB. LAS QUINTANAS</t>
  </si>
  <si>
    <t>ABG-975</t>
  </si>
  <si>
    <t>137732-038-270718</t>
  </si>
  <si>
    <t>GASOCENTRO Y SERVICIOS SIERRA SRL</t>
  </si>
  <si>
    <t>CARRETERA PANAMERICANA NORTE N° 1598 INT. A (ESQUINA CON AV EL MILAGRO PASANDO XAMMAR)</t>
  </si>
  <si>
    <t>AHV-990</t>
  </si>
  <si>
    <t xml:space="preserve">ERMELA OLIVA ALEGRE RIVERA </t>
  </si>
  <si>
    <t>116363-038-291216</t>
  </si>
  <si>
    <t>MARSEB SERVICENTROS S.A.C.</t>
  </si>
  <si>
    <t>CALLE LA UNION 123</t>
  </si>
  <si>
    <t>AHN-700</t>
  </si>
  <si>
    <t>JUAN JOSE OSORIO LAYTEN</t>
  </si>
  <si>
    <t>112516-038-041119</t>
  </si>
  <si>
    <t>EMA LIMAYMANTA LORENZO</t>
  </si>
  <si>
    <t>JR. LIBERTAD S/N</t>
  </si>
  <si>
    <t>AMBO</t>
  </si>
  <si>
    <t>D0P-970</t>
  </si>
  <si>
    <t> BCH-934</t>
  </si>
  <si>
    <t> AKY-766</t>
  </si>
  <si>
    <t>145246-038-120120</t>
  </si>
  <si>
    <t xml:space="preserve">JR. JOSE ANTONIO ENCINAS NRO. 186 </t>
  </si>
  <si>
    <t>B9W-998</t>
  </si>
  <si>
    <t> AJY-788</t>
  </si>
  <si>
    <t>108568-038-090220</t>
  </si>
  <si>
    <t>COMBUSTIBLES FERNANDEZ SAC</t>
  </si>
  <si>
    <t>AV. ARGENTINA N° 2600 URB. BARSALLO</t>
  </si>
  <si>
    <t xml:space="preserve">AV. ARGENTINA N° 2600 URB. BARSALLO </t>
  </si>
  <si>
    <t>M4Q-925</t>
  </si>
  <si>
    <t xml:space="preserve">YONY BELLO FERNANDEZ VASQUEZ </t>
  </si>
  <si>
    <t>120827-038-150416</t>
  </si>
  <si>
    <t>VALSA GAS E.I.R.L.</t>
  </si>
  <si>
    <t>MZ L LOTE 01 URBANIZACION SAN JOAQUIN 1ERA ETAPA</t>
  </si>
  <si>
    <t>Mz L Lote 01 Urbanización San Joaquín 1era etapa</t>
  </si>
  <si>
    <t>ALV-902</t>
  </si>
  <si>
    <t>88375-038-210313</t>
  </si>
  <si>
    <t>PIURA GAS S.A.C.</t>
  </si>
  <si>
    <t>ZONA INDUSTRIAL MZ. 223 LOTES 3, 4, 5</t>
  </si>
  <si>
    <t>D2C-892</t>
  </si>
  <si>
    <t>ANA AMELIA VASQUEZ WONG</t>
  </si>
  <si>
    <t>82467-038-260814</t>
  </si>
  <si>
    <t>MOVILGAS SRL</t>
  </si>
  <si>
    <t>JR. SANTA ISABEL N° 2100</t>
  </si>
  <si>
    <t>D7Y-823</t>
  </si>
  <si>
    <t>HECTOR TITO VILLAR FIERRO</t>
  </si>
  <si>
    <t>31931-038-051214</t>
  </si>
  <si>
    <t>JR. CARLOS A. SALAVERRY N° 1459</t>
  </si>
  <si>
    <t>M4S-935</t>
  </si>
  <si>
    <t>MAMANI TEJADA, WILMINGTON SILVIO</t>
  </si>
  <si>
    <t>131860-038-200917</t>
  </si>
  <si>
    <t>COMPAÑIA DE PETROLEOS DEL PERU S.A.C.</t>
  </si>
  <si>
    <t>MZ. A LT. 24 CP ALTO TRUJILLO BARRIO 2</t>
  </si>
  <si>
    <t>D6V-746</t>
  </si>
  <si>
    <t>LUZ EUDOCIA GUEVARA LLATAS</t>
  </si>
  <si>
    <t>122257-038-041119</t>
  </si>
  <si>
    <t>AV. FEDERICO VILLAREAL NORTE Nº 800 - 808 - 840</t>
  </si>
  <si>
    <t>F8T-987</t>
  </si>
  <si>
    <t> AJD-843</t>
  </si>
  <si>
    <t> AJD-852</t>
  </si>
  <si>
    <t> AJD-886</t>
  </si>
  <si>
    <t> AJE-752</t>
  </si>
  <si>
    <t> AJP-725</t>
  </si>
  <si>
    <t> AMG-831</t>
  </si>
  <si>
    <t> AMH-746</t>
  </si>
  <si>
    <t> AMG-923</t>
  </si>
  <si>
    <t> AMH-935</t>
  </si>
  <si>
    <t> AMG-932</t>
  </si>
  <si>
    <t> AHP-725</t>
  </si>
  <si>
    <t> C0G-883</t>
  </si>
  <si>
    <t>93939-038-031119</t>
  </si>
  <si>
    <t>AV. CANAVAL Y MOREYRA Nº 654 INT. 301</t>
  </si>
  <si>
    <t>B1W-974</t>
  </si>
  <si>
    <t> AJP-748</t>
  </si>
  <si>
    <t> AMM-741</t>
  </si>
  <si>
    <t> AMM-814</t>
  </si>
  <si>
    <t xml:space="preserve">DIEGO ALONSO CARLOS JOSE GONZALES POSADA DE COSSIO </t>
  </si>
  <si>
    <t>63920-038-071019</t>
  </si>
  <si>
    <t>MZA. LL LOTE 24, C.P. ALTO TRUJILLO BARRIO 2</t>
  </si>
  <si>
    <t>C1X-948</t>
  </si>
  <si>
    <t>148128-038-061219</t>
  </si>
  <si>
    <t xml:space="preserve">CARLOS PEDRO JIMENEZ JUSTO </t>
  </si>
  <si>
    <t xml:space="preserve">AV FERNANDO BELAUNDE TERRY ANX. LORENCILLO I </t>
  </si>
  <si>
    <t>CONSTITUCION</t>
  </si>
  <si>
    <t xml:space="preserve">AV. FERNANDO BELAUNDE TERRY ANX. LORENCILLO I </t>
  </si>
  <si>
    <t xml:space="preserve">APF-982 </t>
  </si>
  <si>
    <t> D9X-776</t>
  </si>
  <si>
    <t>95880-038-190318</t>
  </si>
  <si>
    <t>NAGIGAS E.I.R.L.</t>
  </si>
  <si>
    <t>CAL. J. SANCHEZ CARRION N° 507</t>
  </si>
  <si>
    <t>D4Y-818</t>
  </si>
  <si>
    <t>ROMULO FERNANDO TRIVEÑO GARCIA</t>
  </si>
  <si>
    <t>118245-038-170517</t>
  </si>
  <si>
    <t>AJX-908</t>
  </si>
  <si>
    <t>122941-038-230916</t>
  </si>
  <si>
    <t>CARRETERA PANAMERICANA SUR S/N KM 298</t>
  </si>
  <si>
    <t>CARRETERA PANAMERICANA SUR S/N (KM. 298)</t>
  </si>
  <si>
    <t>F4W-990</t>
  </si>
  <si>
    <t>ERASMO GUEVARA SARMIENTO</t>
  </si>
  <si>
    <t>126133-038-250117</t>
  </si>
  <si>
    <t xml:space="preserve">GRUPO INCA GAS S.A.C. </t>
  </si>
  <si>
    <t xml:space="preserve">MZ B LT 12 SECTOR 1, GRUPO 9 </t>
  </si>
  <si>
    <t xml:space="preserve">MZ. B LT. 12 SECTOR 1 GRUPO 9 </t>
  </si>
  <si>
    <t>APZ-713</t>
  </si>
  <si>
    <t>MERCEDES NANCY INCA NEYRA</t>
  </si>
  <si>
    <t>117909-038-111119</t>
  </si>
  <si>
    <t>ENERGIGAS S.A.C</t>
  </si>
  <si>
    <t>AV. MIRAFLORES N° 1703-1711</t>
  </si>
  <si>
    <t>F5H-979</t>
  </si>
  <si>
    <t>83576-038-281114</t>
  </si>
  <si>
    <t>C7O-925</t>
  </si>
  <si>
    <t>97734-038-250917</t>
  </si>
  <si>
    <t>GRIFOS SAGITARIO S.R.L.</t>
  </si>
  <si>
    <t>CRUCE AV. ECHENIQUE Y FRANCISCO VIDAL N° 903</t>
  </si>
  <si>
    <t>B1P-989</t>
  </si>
  <si>
    <t> D5B-741</t>
  </si>
  <si>
    <t> B7C-734</t>
  </si>
  <si>
    <t> ANG-893</t>
  </si>
  <si>
    <t>CESAR GIOVANNI ZUCCHETTI CABALLERO</t>
  </si>
  <si>
    <t>136395-038-280518</t>
  </si>
  <si>
    <t>GRUPO OXY &amp; GAS SAC</t>
  </si>
  <si>
    <t>AV. CIRCUNVALACION N° 1023 ( A UNA CUADRA DE LA PLAZA 24 DE OCTUBRE)</t>
  </si>
  <si>
    <t>AV. CIRCUNVALACION N°1023 (A 1 cuadra de la plaza 24 de octubre)</t>
  </si>
  <si>
    <t>AKQ-801</t>
  </si>
  <si>
    <t>140308-038-131218</t>
  </si>
  <si>
    <t>TRANSPORTES CHRISMAJO E.I.R.L.</t>
  </si>
  <si>
    <t>AV. PERU N° 552 INT. B</t>
  </si>
  <si>
    <t>AKO-990</t>
  </si>
  <si>
    <t> ATP-770</t>
  </si>
  <si>
    <t>PENEDO ONARI CECILIA INES</t>
  </si>
  <si>
    <t>133597-038-040118</t>
  </si>
  <si>
    <t>AUS-925</t>
  </si>
  <si>
    <t>145903-038-070720</t>
  </si>
  <si>
    <t xml:space="preserve">AV. 09 DE DICIEMBRE NRO. 1104 </t>
  </si>
  <si>
    <t>AV. 9 DE DICIEMBRE NRO. 1104</t>
  </si>
  <si>
    <t>ANB-995</t>
  </si>
  <si>
    <t>110717-038-150814</t>
  </si>
  <si>
    <t>CARRIÓN INVERSIONES S.A.</t>
  </si>
  <si>
    <t>JR. ANTONIO LOBATO NRO. 651</t>
  </si>
  <si>
    <t>D8Q-980</t>
  </si>
  <si>
    <t> ABK-750</t>
  </si>
  <si>
    <t>122258-038-041119</t>
  </si>
  <si>
    <t>F8T-989</t>
  </si>
  <si>
    <t>116598-038-250116</t>
  </si>
  <si>
    <t>JR. TRIUNFO 1165</t>
  </si>
  <si>
    <t>MARISCAL CACERES</t>
  </si>
  <si>
    <t>JUANJUI</t>
  </si>
  <si>
    <t>T7O-854</t>
  </si>
  <si>
    <t>104525-038-050220</t>
  </si>
  <si>
    <t>AV. LAS PALMAS LOTE 6 URB. JOSE GALVEZ</t>
  </si>
  <si>
    <t>D1B-764</t>
  </si>
  <si>
    <t>CARLOS ANDRES ALBA ABAB</t>
  </si>
  <si>
    <t>124579-038-241016</t>
  </si>
  <si>
    <t>MZ. V' LT. 14 URB. COVICORTI</t>
  </si>
  <si>
    <t>T8J-908</t>
  </si>
  <si>
    <t>120989-038-010516</t>
  </si>
  <si>
    <t xml:space="preserve">MARINA GAS S.A.C. </t>
  </si>
  <si>
    <t xml:space="preserve">AV. LA MARINA N° 787 </t>
  </si>
  <si>
    <t>F8E-978</t>
  </si>
  <si>
    <t>HIGA SHIMABUKURO CHRISTIAN CESAR</t>
  </si>
  <si>
    <t>117912-038-041119</t>
  </si>
  <si>
    <t>AV. SANTO TORIBIO N°173 OFICINA N°502 TORRE REAL N°8</t>
  </si>
  <si>
    <t xml:space="preserve">F5J-995 </t>
  </si>
  <si>
    <t>148708-038-140120</t>
  </si>
  <si>
    <t>AV. CANTO GRANDE 362 URB. CANTO GRANDE</t>
  </si>
  <si>
    <t>AV. CANTO GRANDE N°362 URB. CANTO GRANDE</t>
  </si>
  <si>
    <t>AKW-888</t>
  </si>
  <si>
    <t>123646-038-060916</t>
  </si>
  <si>
    <t xml:space="preserve">TRANSPORTES FLOTA LIDER S.A.C. </t>
  </si>
  <si>
    <t xml:space="preserve">AV. JOSE MATIAS MANZANILLA 625 URB SAN MIGUEL </t>
  </si>
  <si>
    <t>AV. JOSE MATIAS MANZANILLA 625 – URB. SAN MIGUEL</t>
  </si>
  <si>
    <t>F9T-983</t>
  </si>
  <si>
    <t> B4Q-731</t>
  </si>
  <si>
    <t>145526-038-081219</t>
  </si>
  <si>
    <t xml:space="preserve">AV. LAS TORRES Y AV. CENTRAL 910 URB. ASOC. STA. MARIA DE NARANJAL </t>
  </si>
  <si>
    <t>AMM-985</t>
  </si>
  <si>
    <t> BBF-914</t>
  </si>
  <si>
    <t xml:space="preserve">OVER BERTO GONZALES </t>
  </si>
  <si>
    <t>20825-038-150115</t>
  </si>
  <si>
    <t>JR. CARLOS CARLOS A. SALAVERRY N° 1459</t>
  </si>
  <si>
    <t>V6C-813</t>
  </si>
  <si>
    <t>112497-038-141117</t>
  </si>
  <si>
    <t xml:space="preserve">GRANEL INDUSTRIAL S.A.C </t>
  </si>
  <si>
    <t>JIRON RESTAURACION N° 328</t>
  </si>
  <si>
    <t>AV, BENAVIDES N° 1555 OF. 603-604</t>
  </si>
  <si>
    <t>D0V-972</t>
  </si>
  <si>
    <t>121119-038-260416</t>
  </si>
  <si>
    <t>NEGOCIACIONES C.V.Q. E.I.R.L.</t>
  </si>
  <si>
    <t>F8K-978</t>
  </si>
  <si>
    <t> D9R-941</t>
  </si>
  <si>
    <t>CLAVER JACINTO VILCHEZ QUINTO</t>
  </si>
  <si>
    <t>119949-038-140820</t>
  </si>
  <si>
    <t>CALLE MONTE ROSA N° 240, OF. 803, URB. CHACARILLA DEL ESTANQUE</t>
  </si>
  <si>
    <t>ALE-741</t>
  </si>
  <si>
    <t>119259-038-070116</t>
  </si>
  <si>
    <t xml:space="preserve">AV. AREQUIPA N° 340 INT. 308 URB. SANTA BEATRIZ (ANEXO A) </t>
  </si>
  <si>
    <t>F6V-999</t>
  </si>
  <si>
    <t> AKP-857</t>
  </si>
  <si>
    <t>149053-038-100220</t>
  </si>
  <si>
    <t>CORPORACION PETRORED S.A.C.</t>
  </si>
  <si>
    <t>JR. AZANGARO NRO. 377, INT. 409</t>
  </si>
  <si>
    <t>APO-981</t>
  </si>
  <si>
    <t> BBH-936</t>
  </si>
  <si>
    <t>122832-038-251116</t>
  </si>
  <si>
    <t>F9N-980</t>
  </si>
  <si>
    <t> AMT-906</t>
  </si>
  <si>
    <t>JOSE JENNER BAZAN RODRIGUEZ</t>
  </si>
  <si>
    <t>110412-038-141019</t>
  </si>
  <si>
    <t>TRANSPORTES Y LOGISTICAS RIO VIEJO S.C.R.L.</t>
  </si>
  <si>
    <t>URB. LA ALBORADA ETAPA 1 MZ. “E” LOTE 2</t>
  </si>
  <si>
    <t xml:space="preserve">F7F-879 </t>
  </si>
  <si>
    <t>MIGUEL EDGAR RODRIGUEZ DE LAMA</t>
  </si>
  <si>
    <t>105617-038-241013</t>
  </si>
  <si>
    <t>GAS PERU HUASCARAN S.A.C</t>
  </si>
  <si>
    <t>JR. MARTIN DE MURUA N° 109 INT. 7</t>
  </si>
  <si>
    <t>C7A-976</t>
  </si>
  <si>
    <t> C6W-741</t>
  </si>
  <si>
    <t>109178-038-160518</t>
  </si>
  <si>
    <t>JR. SANTA BARBARA N° 530 - ANEXO DE AZA</t>
  </si>
  <si>
    <t>JR. SANTA BARBARA N° 530 - ANEXO AZA</t>
  </si>
  <si>
    <t>F6E-712</t>
  </si>
  <si>
    <t>105513-038-240815</t>
  </si>
  <si>
    <t>GRIFO PANAMERICANA E.I.R.L.</t>
  </si>
  <si>
    <t>C7A-975</t>
  </si>
  <si>
    <t> F6C-789</t>
  </si>
  <si>
    <t> C7Y-902</t>
  </si>
  <si>
    <t> AJD-846</t>
  </si>
  <si>
    <t>DONATA ALVINA BALVIN DE MOLINA</t>
  </si>
  <si>
    <t>99615-038-061212</t>
  </si>
  <si>
    <t>COMPAÑIA GLOBAL DEL GAS S.A.C.</t>
  </si>
  <si>
    <t>CALLE 22 N° 484 URB. CORPAC</t>
  </si>
  <si>
    <t>C0O-726</t>
  </si>
  <si>
    <t>FREDDY OMAR GAMARRA TERRONES</t>
  </si>
  <si>
    <t>109845-038-050215</t>
  </si>
  <si>
    <t>ECOGAS PERU S.A.C.</t>
  </si>
  <si>
    <t>PSJE. HIPOLITO UNANUE N° 109, URB. SAN LORENZO</t>
  </si>
  <si>
    <t>MARIANO MELGAR</t>
  </si>
  <si>
    <t>V6J-813</t>
  </si>
  <si>
    <t>ADELMO ADOLFO GUZMAN MONTES DE OCA</t>
  </si>
  <si>
    <t>93350-038-160120</t>
  </si>
  <si>
    <t>CALLE MARIE CURIE MZ. O LT. 3 ZONA INDUSTRIAL SANTA ROSA</t>
  </si>
  <si>
    <t>A4D-978</t>
  </si>
  <si>
    <t> F1R-861</t>
  </si>
  <si>
    <t> B3M-881</t>
  </si>
  <si>
    <t> AAD-743</t>
  </si>
  <si>
    <t> D0X-927</t>
  </si>
  <si>
    <t> D0Y-901</t>
  </si>
  <si>
    <t> D0Z-816</t>
  </si>
  <si>
    <t>123025-038-191218</t>
  </si>
  <si>
    <t>EMPRESA DE TRANSPORTES GAMBINI S.R.L.</t>
  </si>
  <si>
    <t>AV. CENTENARIO N° 3404, BARRIO VICHAY</t>
  </si>
  <si>
    <t>INDEPENDENCIA</t>
  </si>
  <si>
    <t>F9G-988</t>
  </si>
  <si>
    <t> V2X-896</t>
  </si>
  <si>
    <t>GUILLERMO ANTONIO GAMBINI MEZA</t>
  </si>
  <si>
    <t>120209-038-201119</t>
  </si>
  <si>
    <t>AV. HEROES DE LA BREÑA N° 460 – HUAMANMARCA</t>
  </si>
  <si>
    <t>F7E-976</t>
  </si>
  <si>
    <t> F0R-833</t>
  </si>
  <si>
    <t>133510-038-241217</t>
  </si>
  <si>
    <t>HECTOR CHANCA CHAMORRO</t>
  </si>
  <si>
    <t>VILLA JUNIN</t>
  </si>
  <si>
    <t>UCAYALI</t>
  </si>
  <si>
    <t>ATALAYA</t>
  </si>
  <si>
    <t>RAYMONDI</t>
  </si>
  <si>
    <t>AUJ-930</t>
  </si>
  <si>
    <t>124351-038-151016</t>
  </si>
  <si>
    <t>AV. ALFREDO MENDIOLA N° 1395 URB. LA MILLA</t>
  </si>
  <si>
    <t>F0L-990</t>
  </si>
  <si>
    <t> ANS-740</t>
  </si>
  <si>
    <t xml:space="preserve">CHRISTIAN CESAR HIGA SHIMABUKURO </t>
  </si>
  <si>
    <t>108169-038-281116</t>
  </si>
  <si>
    <t>D5N-988</t>
  </si>
  <si>
    <t> T6D-925</t>
  </si>
  <si>
    <t>144215-038-280519</t>
  </si>
  <si>
    <t>TRANSPORTE DE SERVICIO REY JESUS E.I.R.L.</t>
  </si>
  <si>
    <t xml:space="preserve">CAL.BUENOS AIRES MZ. B1 LOTE. 15 INT. A URB. BUENOS AIRES </t>
  </si>
  <si>
    <t>AWB-785</t>
  </si>
  <si>
    <t>KEVIN ANTONIO CHAUCA QUEZADA</t>
  </si>
  <si>
    <t>121066-038-090617</t>
  </si>
  <si>
    <t>AV. BILLIGHURST N° 664</t>
  </si>
  <si>
    <t>F8J-978</t>
  </si>
  <si>
    <t>141164-038-080219</t>
  </si>
  <si>
    <t>ESTACION DE SERVICIOS Y GLP SEÑOR DE BURGOS S.A.C.</t>
  </si>
  <si>
    <t>NRO S/N BAR. ULCUMANO</t>
  </si>
  <si>
    <t>PACHITEA</t>
  </si>
  <si>
    <t>MOLINO</t>
  </si>
  <si>
    <t>D6U-995</t>
  </si>
  <si>
    <t> AZF-860</t>
  </si>
  <si>
    <t>TANIA EUGENIO POMA</t>
  </si>
  <si>
    <t>149815-038-110920</t>
  </si>
  <si>
    <t>SERVICIOS MULTIPLES FRANDIMAX S.A.C.</t>
  </si>
  <si>
    <t>CAL. LOS DOGOS MZA. CL-4, LOTE. 31, URB. UNIDAD 6 CANTO GRANDE</t>
  </si>
  <si>
    <t>ARE-973</t>
  </si>
  <si>
    <t> ASI-765</t>
  </si>
  <si>
    <t> AFD-797</t>
  </si>
  <si>
    <t>JUAN DE LA CRUZ TORRES SALCEDO</t>
  </si>
  <si>
    <t>151776-038-161020</t>
  </si>
  <si>
    <t>FERES GROUP S.A.C.</t>
  </si>
  <si>
    <t>FIDEL TUBINO NRO. 209 PANDO (1ET, ESP DEL BCO CONTINENTAL DE LA MARINA)</t>
  </si>
  <si>
    <t>BEX-948</t>
  </si>
  <si>
    <t>117685-038-131017</t>
  </si>
  <si>
    <t>GRIFOS ESTRELLA DE DAVID E.I.R.L.</t>
  </si>
  <si>
    <t>AV. AMERICA OESTE CON AV. ANTENOR ORREGO MZ. W3 LOTE 01 URB. EL CORTIJO</t>
  </si>
  <si>
    <t>F5E-980</t>
  </si>
  <si>
    <t> AJI-800</t>
  </si>
  <si>
    <t>SEGUNDO FORTUNATO RUIZ VARAS</t>
  </si>
  <si>
    <t>133323-038-141217</t>
  </si>
  <si>
    <t>EMPRESA DE TRANSPORTES Y TURISMO ALIPIO S.A.C.</t>
  </si>
  <si>
    <t>MZ. V LT. 18 C.P. VILLA RICA</t>
  </si>
  <si>
    <t>F2W-915</t>
  </si>
  <si>
    <t>118979-038-191020</t>
  </si>
  <si>
    <t>CORPORACION ALAN &amp; HNOS. E.I.R.L.</t>
  </si>
  <si>
    <t>AV. CIRCUNVALACION OESTE MZ. C LT. 44 CENTRO COMERCIAL EL TRIANGULO</t>
  </si>
  <si>
    <t>F5X-980</t>
  </si>
  <si>
    <t> AJE-847</t>
  </si>
  <si>
    <t>ANGELICA MONICA MAQUERA CACERES</t>
  </si>
  <si>
    <t>115652-038-020615</t>
  </si>
  <si>
    <t>CORPORACION MASTER GAS S.A.C.</t>
  </si>
  <si>
    <t>AV. LA MARINA 407</t>
  </si>
  <si>
    <t>LA PERLA</t>
  </si>
  <si>
    <t>AV. LA MARINA Nº 407</t>
  </si>
  <si>
    <t>AFW-836</t>
  </si>
  <si>
    <t>JORGE ANDRES OSHIRO YAGI</t>
  </si>
  <si>
    <t>95528-038-020919</t>
  </si>
  <si>
    <t xml:space="preserve">CT-GAS E.I.R.L. </t>
  </si>
  <si>
    <t>CALLE ELIAS AGUIRRE N° 160 SECTOR BUENOS AIRES</t>
  </si>
  <si>
    <t>B6H-976</t>
  </si>
  <si>
    <t> T3T-917</t>
  </si>
  <si>
    <t> T7B-877</t>
  </si>
  <si>
    <t> F7A-779</t>
  </si>
  <si>
    <t>133606-038-040118</t>
  </si>
  <si>
    <t>AUS-736</t>
  </si>
  <si>
    <t>144979-038-050719</t>
  </si>
  <si>
    <t>VIJOSTRAN &amp; CIA SOCIEDAD ANONIMA CERRADA</t>
  </si>
  <si>
    <t>CALLE GRAL SANTA CRUZ N° 398 URB EL PINO</t>
  </si>
  <si>
    <t>BAU-719</t>
  </si>
  <si>
    <t>91936-038-080411</t>
  </si>
  <si>
    <t>NEGOCIACIONES DANA E.I.R.L.</t>
  </si>
  <si>
    <t>CALLE MIGUEL GRAU 2359 JOSE GALVEZ</t>
  </si>
  <si>
    <t>A9P-925</t>
  </si>
  <si>
    <t>DORIS VERONICA LOPEZ SOTOMAYOR</t>
  </si>
  <si>
    <t>112760-038-191214</t>
  </si>
  <si>
    <t xml:space="preserve">ESTACION DE SERVICIOS LA PAZ S.A.C. </t>
  </si>
  <si>
    <t xml:space="preserve">AV. LA PAZ Nº 1498 </t>
  </si>
  <si>
    <t>ABI-869</t>
  </si>
  <si>
    <t>114261-038-160518</t>
  </si>
  <si>
    <t>OPERGAS S.A.C</t>
  </si>
  <si>
    <t>URB. VISTA ALEGRE D-3</t>
  </si>
  <si>
    <t>CERRO COLORADO</t>
  </si>
  <si>
    <t>V3P-805</t>
  </si>
  <si>
    <t>BEJAR RAMOS EFREN UBALDO</t>
  </si>
  <si>
    <t>104469-038-100119</t>
  </si>
  <si>
    <t>CORPORACION Y LOGISTICA GASPETROL S.A.C.</t>
  </si>
  <si>
    <t>AV. PROL. PASEO DE LA REPUBLICA N° 503 EDIFICIO C</t>
  </si>
  <si>
    <t>D1L-712</t>
  </si>
  <si>
    <t>NORMA LILIANA TORRES ZACARIAS</t>
  </si>
  <si>
    <t>121937-038-130718</t>
  </si>
  <si>
    <t>CONSORCIO BELL &amp; GAP E.I.R.L.</t>
  </si>
  <si>
    <t>PJE. VIRGEN DEL CARMEN MZ. H LOTE 10 ASOCIACIÓN SAN ANDRES</t>
  </si>
  <si>
    <t>F8P-996</t>
  </si>
  <si>
    <t> ALM-911</t>
  </si>
  <si>
    <t>GUSTAVO RENATO ARROYO PAREDES</t>
  </si>
  <si>
    <t>119216-038-180116</t>
  </si>
  <si>
    <t>TRANS GLP GRANEL SAN DIEGO E.I.R.L.</t>
  </si>
  <si>
    <t xml:space="preserve">URB. LOS PORTALES MZ K LOTE 4 </t>
  </si>
  <si>
    <t>F6O-990</t>
  </si>
  <si>
    <t> AJN-807</t>
  </si>
  <si>
    <t>138012-038-150818</t>
  </si>
  <si>
    <t>JR. LOS GALLOS MZ. E LOTE 13, LAS PRADERAS DE LURIN - ZONA INDUSTRIAL</t>
  </si>
  <si>
    <t>AXJ-894</t>
  </si>
  <si>
    <t xml:space="preserve">CARLO FERNANDO VASQUEZ YEPES </t>
  </si>
  <si>
    <t>42666-038-300317</t>
  </si>
  <si>
    <t>WISDOM FACTORY S.A.C.</t>
  </si>
  <si>
    <t>MZ. M LOTE 27 ASC. DE CIVIL DE VIV. PARIACHI 3RA. ETAPA</t>
  </si>
  <si>
    <t>A5M-993</t>
  </si>
  <si>
    <t> B1U-932</t>
  </si>
  <si>
    <t>GABRIELA CONDOR CORREA</t>
  </si>
  <si>
    <t>116609-038-200720</t>
  </si>
  <si>
    <t>EMPRESA SORIA Y CIA S.C.</t>
  </si>
  <si>
    <t xml:space="preserve">CALLE REAL N° 564, CERCADO </t>
  </si>
  <si>
    <t>F4Q-981</t>
  </si>
  <si>
    <t> ALR-835</t>
  </si>
  <si>
    <t> F5S-910</t>
  </si>
  <si>
    <t> BDP-743</t>
  </si>
  <si>
    <t>PERCY ALBERTO SORIA ALVARADO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</si>
</sst>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809625</xdr:colOff>
      <xdr:row>3</xdr:row>
      <xdr:rowOff>47625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286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13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8515625" style="0" customWidth="1"/>
    <col min="2" max="2" width="13.8515625" style="0" customWidth="1"/>
    <col min="3" max="3" width="19.421875" style="0" bestFit="1" customWidth="1"/>
    <col min="4" max="4" width="17.7109375" style="0" bestFit="1" customWidth="1"/>
    <col min="5" max="5" width="11.8515625" style="0" bestFit="1" customWidth="1"/>
    <col min="6" max="7" width="44.8515625" style="0" bestFit="1" customWidth="1"/>
    <col min="8" max="9" width="23.140625" style="0" bestFit="1" customWidth="1"/>
    <col min="10" max="10" width="29.28125" style="0" bestFit="1" customWidth="1"/>
    <col min="11" max="11" width="44.8515625" style="0" bestFit="1" customWidth="1"/>
    <col min="12" max="12" width="25.140625" style="0" bestFit="1" customWidth="1"/>
    <col min="13" max="13" width="23.140625" style="0" bestFit="1" customWidth="1"/>
    <col min="14" max="14" width="29.28125" style="0" bestFit="1" customWidth="1"/>
    <col min="15" max="15" width="16.7109375" style="0" bestFit="1" customWidth="1"/>
    <col min="16" max="16" width="15.421875" style="0" bestFit="1" customWidth="1"/>
    <col min="17" max="17" width="9.421875" style="0" customWidth="1"/>
    <col min="18" max="25" width="9.140625" style="0" customWidth="1"/>
    <col min="26" max="36" width="10.140625" style="0" customWidth="1"/>
    <col min="37" max="37" width="20.28125" style="0" bestFit="1" customWidth="1"/>
    <col min="38" max="38" width="12.140625" style="0" bestFit="1" customWidth="1"/>
    <col min="39" max="39" width="20.421875" style="0" bestFit="1" customWidth="1"/>
    <col min="40" max="40" width="44.8515625" style="0" bestFit="1" customWidth="1"/>
  </cols>
  <sheetData>
    <row r="2" spans="1:40" ht="13.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6" spans="1:40" ht="13.5">
      <c r="A6" s="1" t="s">
        <v>1</v>
      </c>
      <c r="B6" s="2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  <c r="T6" s="1" t="s">
        <v>20</v>
      </c>
      <c r="U6" s="1" t="s">
        <v>21</v>
      </c>
      <c r="V6" s="1" t="s">
        <v>22</v>
      </c>
      <c r="W6" s="1" t="s">
        <v>23</v>
      </c>
      <c r="X6" s="1" t="s">
        <v>24</v>
      </c>
      <c r="Y6" s="1" t="s">
        <v>25</v>
      </c>
      <c r="Z6" s="1" t="s">
        <v>26</v>
      </c>
      <c r="AA6" s="1" t="s">
        <v>27</v>
      </c>
      <c r="AB6" s="1" t="s">
        <v>28</v>
      </c>
      <c r="AC6" s="1" t="s">
        <v>29</v>
      </c>
      <c r="AD6" s="1" t="s">
        <v>30</v>
      </c>
      <c r="AE6" s="1" t="s">
        <v>31</v>
      </c>
      <c r="AF6" s="1" t="s">
        <v>32</v>
      </c>
      <c r="AG6" s="1" t="s">
        <v>33</v>
      </c>
      <c r="AH6" s="1" t="s">
        <v>34</v>
      </c>
      <c r="AI6" s="1" t="s">
        <v>35</v>
      </c>
      <c r="AJ6" s="1" t="s">
        <v>36</v>
      </c>
      <c r="AK6" s="1" t="s">
        <v>37</v>
      </c>
      <c r="AL6" s="1" t="s">
        <v>38</v>
      </c>
      <c r="AM6" s="1" t="s">
        <v>39</v>
      </c>
      <c r="AN6" s="1" t="s">
        <v>40</v>
      </c>
    </row>
    <row r="7" spans="1:40" ht="13.5">
      <c r="A7" s="3">
        <v>1</v>
      </c>
      <c r="B7" s="3" t="str">
        <f>"202000115187"</f>
        <v>202000115187</v>
      </c>
      <c r="C7" s="3">
        <v>93259</v>
      </c>
      <c r="D7" s="3" t="s">
        <v>41</v>
      </c>
      <c r="E7" s="3">
        <v>20413401268</v>
      </c>
      <c r="F7" s="3" t="s">
        <v>42</v>
      </c>
      <c r="G7" s="3" t="s">
        <v>43</v>
      </c>
      <c r="H7" s="3" t="s">
        <v>44</v>
      </c>
      <c r="I7" s="3" t="s">
        <v>44</v>
      </c>
      <c r="J7" s="3" t="s">
        <v>45</v>
      </c>
      <c r="K7" s="3" t="s">
        <v>43</v>
      </c>
      <c r="L7" s="3" t="s">
        <v>44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  <c r="U7" s="3" t="s">
        <v>52</v>
      </c>
      <c r="V7" s="3" t="s">
        <v>53</v>
      </c>
      <c r="W7" s="3" t="s">
        <v>54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>
        <v>14200</v>
      </c>
      <c r="AL7" s="4">
        <v>44078</v>
      </c>
      <c r="AM7" s="3"/>
      <c r="AN7" s="3" t="s">
        <v>55</v>
      </c>
    </row>
    <row r="8" spans="1:40" ht="42">
      <c r="A8" s="3">
        <v>2</v>
      </c>
      <c r="B8" s="3" t="str">
        <f>"201400003601"</f>
        <v>201400003601</v>
      </c>
      <c r="C8" s="3">
        <v>106553</v>
      </c>
      <c r="D8" s="3" t="s">
        <v>56</v>
      </c>
      <c r="E8" s="3">
        <v>20458378747</v>
      </c>
      <c r="F8" s="3" t="s">
        <v>57</v>
      </c>
      <c r="G8" s="3" t="s">
        <v>58</v>
      </c>
      <c r="H8" s="3" t="s">
        <v>59</v>
      </c>
      <c r="I8" s="3" t="s">
        <v>59</v>
      </c>
      <c r="J8" s="3" t="s">
        <v>60</v>
      </c>
      <c r="K8" s="3" t="s">
        <v>58</v>
      </c>
      <c r="L8" s="3" t="s">
        <v>59</v>
      </c>
      <c r="M8" s="3" t="s">
        <v>59</v>
      </c>
      <c r="N8" s="3" t="s">
        <v>60</v>
      </c>
      <c r="O8" s="3" t="s">
        <v>46</v>
      </c>
      <c r="P8" s="3" t="s">
        <v>61</v>
      </c>
      <c r="Q8" s="3" t="s">
        <v>62</v>
      </c>
      <c r="R8" s="3" t="s">
        <v>63</v>
      </c>
      <c r="S8" s="3" t="s">
        <v>64</v>
      </c>
      <c r="T8" s="3" t="s">
        <v>65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>
        <v>12300</v>
      </c>
      <c r="AL8" s="4">
        <v>41660</v>
      </c>
      <c r="AM8" s="3"/>
      <c r="AN8" s="3" t="s">
        <v>66</v>
      </c>
    </row>
    <row r="9" spans="1:40" ht="27.75">
      <c r="A9" s="3">
        <v>3</v>
      </c>
      <c r="B9" s="3" t="str">
        <f>"201800109499"</f>
        <v>201800109499</v>
      </c>
      <c r="C9" s="3">
        <v>104505</v>
      </c>
      <c r="D9" s="3" t="s">
        <v>67</v>
      </c>
      <c r="E9" s="3">
        <v>20492203166</v>
      </c>
      <c r="F9" s="3" t="s">
        <v>68</v>
      </c>
      <c r="G9" s="3" t="s">
        <v>69</v>
      </c>
      <c r="H9" s="3" t="s">
        <v>59</v>
      </c>
      <c r="I9" s="3" t="s">
        <v>59</v>
      </c>
      <c r="J9" s="3" t="s">
        <v>70</v>
      </c>
      <c r="K9" s="3" t="s">
        <v>69</v>
      </c>
      <c r="L9" s="3" t="s">
        <v>59</v>
      </c>
      <c r="M9" s="3" t="s">
        <v>59</v>
      </c>
      <c r="N9" s="3" t="s">
        <v>70</v>
      </c>
      <c r="O9" s="3" t="s">
        <v>71</v>
      </c>
      <c r="P9" s="3" t="s">
        <v>72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>
        <v>6000</v>
      </c>
      <c r="AL9" s="4">
        <v>43285</v>
      </c>
      <c r="AM9" s="3"/>
      <c r="AN9" s="3" t="s">
        <v>73</v>
      </c>
    </row>
    <row r="10" spans="1:40" ht="13.5">
      <c r="A10" s="3">
        <v>4</v>
      </c>
      <c r="B10" s="3" t="str">
        <f>"201600149275"</f>
        <v>201600149275</v>
      </c>
      <c r="C10" s="3">
        <v>124417</v>
      </c>
      <c r="D10" s="3" t="s">
        <v>74</v>
      </c>
      <c r="E10" s="3">
        <v>20574779899</v>
      </c>
      <c r="F10" s="3" t="s">
        <v>75</v>
      </c>
      <c r="G10" s="3" t="s">
        <v>76</v>
      </c>
      <c r="H10" s="3" t="s">
        <v>77</v>
      </c>
      <c r="I10" s="3" t="s">
        <v>78</v>
      </c>
      <c r="J10" s="3" t="s">
        <v>79</v>
      </c>
      <c r="K10" s="3" t="s">
        <v>76</v>
      </c>
      <c r="L10" s="3" t="s">
        <v>77</v>
      </c>
      <c r="M10" s="3" t="s">
        <v>78</v>
      </c>
      <c r="N10" s="3" t="s">
        <v>79</v>
      </c>
      <c r="O10" s="3" t="s">
        <v>71</v>
      </c>
      <c r="P10" s="3" t="s">
        <v>80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>
        <v>6400</v>
      </c>
      <c r="AL10" s="4">
        <v>42669</v>
      </c>
      <c r="AM10" s="3"/>
      <c r="AN10" s="3" t="s">
        <v>81</v>
      </c>
    </row>
    <row r="11" spans="1:40" ht="13.5">
      <c r="A11" s="3">
        <v>5</v>
      </c>
      <c r="B11" s="3" t="str">
        <f>"202000147210"</f>
        <v>202000147210</v>
      </c>
      <c r="C11" s="3">
        <v>115359</v>
      </c>
      <c r="D11" s="3" t="s">
        <v>82</v>
      </c>
      <c r="E11" s="3">
        <v>10164169150</v>
      </c>
      <c r="F11" s="3" t="s">
        <v>83</v>
      </c>
      <c r="G11" s="3" t="s">
        <v>84</v>
      </c>
      <c r="H11" s="3" t="s">
        <v>85</v>
      </c>
      <c r="I11" s="3" t="s">
        <v>86</v>
      </c>
      <c r="J11" s="3" t="s">
        <v>86</v>
      </c>
      <c r="K11" s="3"/>
      <c r="L11" s="3"/>
      <c r="M11" s="3"/>
      <c r="N11" s="3"/>
      <c r="O11" s="3" t="s">
        <v>46</v>
      </c>
      <c r="P11" s="3" t="s">
        <v>87</v>
      </c>
      <c r="Q11" s="3" t="s">
        <v>88</v>
      </c>
      <c r="R11" s="3" t="s">
        <v>89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>
        <v>14000</v>
      </c>
      <c r="AL11" s="4">
        <v>44128</v>
      </c>
      <c r="AM11" s="3"/>
      <c r="AN11" s="3" t="s">
        <v>83</v>
      </c>
    </row>
    <row r="12" spans="1:40" ht="27.75">
      <c r="A12" s="3">
        <v>6</v>
      </c>
      <c r="B12" s="3" t="str">
        <f>"201600083218"</f>
        <v>201600083218</v>
      </c>
      <c r="C12" s="3">
        <v>121897</v>
      </c>
      <c r="D12" s="3" t="s">
        <v>90</v>
      </c>
      <c r="E12" s="3">
        <v>20566226830</v>
      </c>
      <c r="F12" s="3" t="s">
        <v>91</v>
      </c>
      <c r="G12" s="3" t="s">
        <v>92</v>
      </c>
      <c r="H12" s="3" t="s">
        <v>59</v>
      </c>
      <c r="I12" s="3" t="s">
        <v>59</v>
      </c>
      <c r="J12" s="3" t="s">
        <v>93</v>
      </c>
      <c r="K12" s="3" t="s">
        <v>94</v>
      </c>
      <c r="L12" s="3" t="s">
        <v>59</v>
      </c>
      <c r="M12" s="3" t="s">
        <v>59</v>
      </c>
      <c r="N12" s="3" t="s">
        <v>93</v>
      </c>
      <c r="O12" s="3" t="s">
        <v>46</v>
      </c>
      <c r="P12" s="3" t="s">
        <v>95</v>
      </c>
      <c r="Q12" s="3" t="s">
        <v>96</v>
      </c>
      <c r="R12" s="3" t="s">
        <v>97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>
        <v>14000</v>
      </c>
      <c r="AL12" s="4">
        <v>42530</v>
      </c>
      <c r="AM12" s="3"/>
      <c r="AN12" s="3" t="s">
        <v>98</v>
      </c>
    </row>
    <row r="13" spans="1:40" ht="13.5">
      <c r="A13" s="3">
        <v>7</v>
      </c>
      <c r="B13" s="3" t="str">
        <f>"201900198378"</f>
        <v>201900198378</v>
      </c>
      <c r="C13" s="3">
        <v>118735</v>
      </c>
      <c r="D13" s="3" t="s">
        <v>99</v>
      </c>
      <c r="E13" s="3">
        <v>20513611308</v>
      </c>
      <c r="F13" s="3" t="s">
        <v>100</v>
      </c>
      <c r="G13" s="3" t="s">
        <v>101</v>
      </c>
      <c r="H13" s="3" t="s">
        <v>59</v>
      </c>
      <c r="I13" s="3" t="s">
        <v>59</v>
      </c>
      <c r="J13" s="3" t="s">
        <v>102</v>
      </c>
      <c r="K13" s="3" t="s">
        <v>101</v>
      </c>
      <c r="L13" s="3" t="s">
        <v>59</v>
      </c>
      <c r="M13" s="3" t="s">
        <v>59</v>
      </c>
      <c r="N13" s="3" t="s">
        <v>102</v>
      </c>
      <c r="O13" s="3" t="s">
        <v>46</v>
      </c>
      <c r="P13" s="3" t="s">
        <v>103</v>
      </c>
      <c r="Q13" s="3" t="s">
        <v>104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>
        <v>14000</v>
      </c>
      <c r="AL13" s="4">
        <v>43803</v>
      </c>
      <c r="AM13" s="3"/>
      <c r="AN13" s="3" t="s">
        <v>105</v>
      </c>
    </row>
    <row r="14" spans="1:40" ht="27.75">
      <c r="A14" s="3">
        <v>8</v>
      </c>
      <c r="B14" s="3" t="str">
        <f>"201600141759"</f>
        <v>201600141759</v>
      </c>
      <c r="C14" s="3">
        <v>122395</v>
      </c>
      <c r="D14" s="3" t="s">
        <v>106</v>
      </c>
      <c r="E14" s="3">
        <v>20119207640</v>
      </c>
      <c r="F14" s="3" t="s">
        <v>107</v>
      </c>
      <c r="G14" s="3" t="s">
        <v>108</v>
      </c>
      <c r="H14" s="3" t="s">
        <v>109</v>
      </c>
      <c r="I14" s="3" t="s">
        <v>109</v>
      </c>
      <c r="J14" s="3" t="s">
        <v>109</v>
      </c>
      <c r="K14" s="3"/>
      <c r="L14" s="3"/>
      <c r="M14" s="3"/>
      <c r="N14" s="3"/>
      <c r="O14" s="3" t="s">
        <v>71</v>
      </c>
      <c r="P14" s="3" t="s">
        <v>110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>
        <v>6500</v>
      </c>
      <c r="AL14" s="4">
        <v>42660</v>
      </c>
      <c r="AM14" s="3"/>
      <c r="AN14" s="3" t="s">
        <v>111</v>
      </c>
    </row>
    <row r="15" spans="1:40" ht="27.75">
      <c r="A15" s="3">
        <v>9</v>
      </c>
      <c r="B15" s="3" t="str">
        <f>"201700081697"</f>
        <v>201700081697</v>
      </c>
      <c r="C15" s="3">
        <v>87771</v>
      </c>
      <c r="D15" s="3" t="s">
        <v>112</v>
      </c>
      <c r="E15" s="3">
        <v>20600762771</v>
      </c>
      <c r="F15" s="3" t="s">
        <v>113</v>
      </c>
      <c r="G15" s="3" t="s">
        <v>114</v>
      </c>
      <c r="H15" s="3" t="s">
        <v>85</v>
      </c>
      <c r="I15" s="3" t="s">
        <v>86</v>
      </c>
      <c r="J15" s="3" t="s">
        <v>115</v>
      </c>
      <c r="K15" s="3"/>
      <c r="L15" s="3" t="s">
        <v>85</v>
      </c>
      <c r="M15" s="3" t="s">
        <v>86</v>
      </c>
      <c r="N15" s="3" t="s">
        <v>115</v>
      </c>
      <c r="O15" s="3" t="s">
        <v>71</v>
      </c>
      <c r="P15" s="3" t="s">
        <v>116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>
        <v>5000</v>
      </c>
      <c r="AL15" s="4">
        <v>42895</v>
      </c>
      <c r="AM15" s="3"/>
      <c r="AN15" s="3" t="s">
        <v>117</v>
      </c>
    </row>
    <row r="16" spans="1:40" ht="27.75">
      <c r="A16" s="3">
        <v>10</v>
      </c>
      <c r="B16" s="3" t="str">
        <f>"201500075084"</f>
        <v>201500075084</v>
      </c>
      <c r="C16" s="3">
        <v>115833</v>
      </c>
      <c r="D16" s="3" t="s">
        <v>118</v>
      </c>
      <c r="E16" s="3">
        <v>20446323572</v>
      </c>
      <c r="F16" s="3" t="s">
        <v>119</v>
      </c>
      <c r="G16" s="3" t="s">
        <v>120</v>
      </c>
      <c r="H16" s="3" t="s">
        <v>59</v>
      </c>
      <c r="I16" s="3" t="s">
        <v>59</v>
      </c>
      <c r="J16" s="3" t="s">
        <v>59</v>
      </c>
      <c r="K16" s="3"/>
      <c r="L16" s="3"/>
      <c r="M16" s="3"/>
      <c r="N16" s="3"/>
      <c r="O16" s="3" t="s">
        <v>46</v>
      </c>
      <c r="P16" s="3" t="s">
        <v>121</v>
      </c>
      <c r="Q16" s="3" t="s">
        <v>122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>
        <v>9200</v>
      </c>
      <c r="AL16" s="4">
        <v>42170</v>
      </c>
      <c r="AM16" s="3"/>
      <c r="AN16" s="3" t="s">
        <v>123</v>
      </c>
    </row>
    <row r="17" spans="1:40" ht="27.75">
      <c r="A17" s="3">
        <v>11</v>
      </c>
      <c r="B17" s="3" t="str">
        <f>"201800112864"</f>
        <v>201800112864</v>
      </c>
      <c r="C17" s="3">
        <v>118094</v>
      </c>
      <c r="D17" s="3" t="s">
        <v>124</v>
      </c>
      <c r="E17" s="3">
        <v>20550341680</v>
      </c>
      <c r="F17" s="3" t="s">
        <v>125</v>
      </c>
      <c r="G17" s="3" t="s">
        <v>126</v>
      </c>
      <c r="H17" s="3" t="s">
        <v>127</v>
      </c>
      <c r="I17" s="3" t="s">
        <v>127</v>
      </c>
      <c r="J17" s="3" t="s">
        <v>128</v>
      </c>
      <c r="K17" s="3"/>
      <c r="L17" s="3"/>
      <c r="M17" s="3"/>
      <c r="N17" s="3"/>
      <c r="O17" s="3" t="s">
        <v>71</v>
      </c>
      <c r="P17" s="3" t="s">
        <v>129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>
        <v>6200</v>
      </c>
      <c r="AL17" s="4">
        <v>43296</v>
      </c>
      <c r="AM17" s="3"/>
      <c r="AN17" s="3" t="s">
        <v>130</v>
      </c>
    </row>
    <row r="18" spans="1:40" ht="13.5">
      <c r="A18" s="3">
        <v>12</v>
      </c>
      <c r="B18" s="3" t="str">
        <f>"202000136708"</f>
        <v>202000136708</v>
      </c>
      <c r="C18" s="3">
        <v>87293</v>
      </c>
      <c r="D18" s="3" t="s">
        <v>131</v>
      </c>
      <c r="E18" s="3">
        <v>20552108885</v>
      </c>
      <c r="F18" s="3" t="s">
        <v>132</v>
      </c>
      <c r="G18" s="3" t="s">
        <v>133</v>
      </c>
      <c r="H18" s="3" t="s">
        <v>59</v>
      </c>
      <c r="I18" s="3" t="s">
        <v>59</v>
      </c>
      <c r="J18" s="3" t="s">
        <v>134</v>
      </c>
      <c r="K18" s="3" t="s">
        <v>133</v>
      </c>
      <c r="L18" s="3" t="s">
        <v>59</v>
      </c>
      <c r="M18" s="3" t="s">
        <v>59</v>
      </c>
      <c r="N18" s="3" t="s">
        <v>134</v>
      </c>
      <c r="O18" s="3" t="s">
        <v>71</v>
      </c>
      <c r="P18" s="3" t="s">
        <v>135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>
        <v>5000</v>
      </c>
      <c r="AL18" s="4">
        <v>44126</v>
      </c>
      <c r="AM18" s="3"/>
      <c r="AN18" s="3" t="s">
        <v>136</v>
      </c>
    </row>
    <row r="19" spans="1:40" ht="13.5">
      <c r="A19" s="3">
        <v>13</v>
      </c>
      <c r="B19" s="3" t="str">
        <f>"201800057380"</f>
        <v>201800057380</v>
      </c>
      <c r="C19" s="3">
        <v>63973</v>
      </c>
      <c r="D19" s="3" t="s">
        <v>137</v>
      </c>
      <c r="E19" s="3">
        <v>20539718810</v>
      </c>
      <c r="F19" s="3" t="s">
        <v>138</v>
      </c>
      <c r="G19" s="3" t="s">
        <v>139</v>
      </c>
      <c r="H19" s="3" t="s">
        <v>85</v>
      </c>
      <c r="I19" s="3" t="s">
        <v>86</v>
      </c>
      <c r="J19" s="3" t="s">
        <v>140</v>
      </c>
      <c r="K19" s="3" t="s">
        <v>141</v>
      </c>
      <c r="L19" s="3"/>
      <c r="M19" s="3"/>
      <c r="N19" s="3"/>
      <c r="O19" s="3" t="s">
        <v>71</v>
      </c>
      <c r="P19" s="3" t="s">
        <v>142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>
        <v>3100</v>
      </c>
      <c r="AL19" s="4">
        <v>43202</v>
      </c>
      <c r="AM19" s="3"/>
      <c r="AN19" s="3" t="s">
        <v>143</v>
      </c>
    </row>
    <row r="20" spans="1:40" ht="13.5">
      <c r="A20" s="3">
        <v>14</v>
      </c>
      <c r="B20" s="3" t="str">
        <f>"201900193671"</f>
        <v>201900193671</v>
      </c>
      <c r="C20" s="3">
        <v>141461</v>
      </c>
      <c r="D20" s="3" t="s">
        <v>144</v>
      </c>
      <c r="E20" s="3">
        <v>20507286411</v>
      </c>
      <c r="F20" s="3" t="s">
        <v>145</v>
      </c>
      <c r="G20" s="3" t="s">
        <v>146</v>
      </c>
      <c r="H20" s="3" t="s">
        <v>59</v>
      </c>
      <c r="I20" s="3" t="s">
        <v>59</v>
      </c>
      <c r="J20" s="3" t="s">
        <v>147</v>
      </c>
      <c r="K20" s="3"/>
      <c r="L20" s="3"/>
      <c r="M20" s="3"/>
      <c r="N20" s="3"/>
      <c r="O20" s="3" t="s">
        <v>71</v>
      </c>
      <c r="P20" s="3" t="s">
        <v>148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>
        <v>6800</v>
      </c>
      <c r="AL20" s="4">
        <v>43792</v>
      </c>
      <c r="AM20" s="3"/>
      <c r="AN20" s="3" t="s">
        <v>149</v>
      </c>
    </row>
    <row r="21" spans="1:40" ht="27.75">
      <c r="A21" s="3">
        <v>15</v>
      </c>
      <c r="B21" s="3" t="str">
        <f>"202000065933"</f>
        <v>202000065933</v>
      </c>
      <c r="C21" s="3">
        <v>149672</v>
      </c>
      <c r="D21" s="3" t="s">
        <v>150</v>
      </c>
      <c r="E21" s="3">
        <v>20569238618</v>
      </c>
      <c r="F21" s="3" t="s">
        <v>151</v>
      </c>
      <c r="G21" s="3" t="s">
        <v>152</v>
      </c>
      <c r="H21" s="3" t="s">
        <v>59</v>
      </c>
      <c r="I21" s="3" t="s">
        <v>59</v>
      </c>
      <c r="J21" s="3" t="s">
        <v>153</v>
      </c>
      <c r="K21" s="3" t="s">
        <v>154</v>
      </c>
      <c r="L21" s="3" t="s">
        <v>59</v>
      </c>
      <c r="M21" s="3" t="s">
        <v>59</v>
      </c>
      <c r="N21" s="3" t="s">
        <v>153</v>
      </c>
      <c r="O21" s="3" t="s">
        <v>46</v>
      </c>
      <c r="P21" s="3" t="s">
        <v>155</v>
      </c>
      <c r="Q21" s="3" t="s">
        <v>156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>
        <v>14000</v>
      </c>
      <c r="AL21" s="4">
        <v>44029</v>
      </c>
      <c r="AM21" s="3"/>
      <c r="AN21" s="3" t="s">
        <v>157</v>
      </c>
    </row>
    <row r="22" spans="1:40" ht="13.5">
      <c r="A22" s="3">
        <v>16</v>
      </c>
      <c r="B22" s="3" t="str">
        <f>"201300093844"</f>
        <v>201300093844</v>
      </c>
      <c r="C22" s="3">
        <v>103100</v>
      </c>
      <c r="D22" s="3" t="s">
        <v>158</v>
      </c>
      <c r="E22" s="3">
        <v>20487420337</v>
      </c>
      <c r="F22" s="3" t="s">
        <v>159</v>
      </c>
      <c r="G22" s="3" t="s">
        <v>160</v>
      </c>
      <c r="H22" s="3" t="s">
        <v>161</v>
      </c>
      <c r="I22" s="3" t="s">
        <v>162</v>
      </c>
      <c r="J22" s="3" t="s">
        <v>163</v>
      </c>
      <c r="K22" s="3"/>
      <c r="L22" s="3"/>
      <c r="M22" s="3"/>
      <c r="N22" s="3"/>
      <c r="O22" s="3" t="s">
        <v>71</v>
      </c>
      <c r="P22" s="3" t="s">
        <v>164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>
        <v>6200</v>
      </c>
      <c r="AL22" s="4">
        <v>41418</v>
      </c>
      <c r="AM22" s="3"/>
      <c r="AN22" s="3" t="s">
        <v>165</v>
      </c>
    </row>
    <row r="23" spans="1:40" ht="27.75">
      <c r="A23" s="3">
        <v>17</v>
      </c>
      <c r="B23" s="3" t="str">
        <f>"201500029736"</f>
        <v>201500029736</v>
      </c>
      <c r="C23" s="3">
        <v>114279</v>
      </c>
      <c r="D23" s="3" t="s">
        <v>166</v>
      </c>
      <c r="E23" s="3">
        <v>20449403453</v>
      </c>
      <c r="F23" s="3" t="s">
        <v>167</v>
      </c>
      <c r="G23" s="3" t="s">
        <v>168</v>
      </c>
      <c r="H23" s="3" t="s">
        <v>109</v>
      </c>
      <c r="I23" s="3" t="s">
        <v>109</v>
      </c>
      <c r="J23" s="3" t="s">
        <v>169</v>
      </c>
      <c r="K23" s="3"/>
      <c r="L23" s="3"/>
      <c r="M23" s="3"/>
      <c r="N23" s="3"/>
      <c r="O23" s="3" t="s">
        <v>71</v>
      </c>
      <c r="P23" s="3" t="s">
        <v>170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>
        <v>6200</v>
      </c>
      <c r="AL23" s="4">
        <v>42103</v>
      </c>
      <c r="AM23" s="3"/>
      <c r="AN23" s="3" t="s">
        <v>171</v>
      </c>
    </row>
    <row r="24" spans="1:40" ht="27.75">
      <c r="A24" s="3">
        <v>18</v>
      </c>
      <c r="B24" s="3" t="str">
        <f>"201200153235"</f>
        <v>201200153235</v>
      </c>
      <c r="C24" s="3">
        <v>97856</v>
      </c>
      <c r="D24" s="3" t="s">
        <v>172</v>
      </c>
      <c r="E24" s="3">
        <v>20231266993</v>
      </c>
      <c r="F24" s="3" t="s">
        <v>173</v>
      </c>
      <c r="G24" s="3" t="s">
        <v>174</v>
      </c>
      <c r="H24" s="3" t="s">
        <v>175</v>
      </c>
      <c r="I24" s="3" t="s">
        <v>175</v>
      </c>
      <c r="J24" s="3" t="s">
        <v>176</v>
      </c>
      <c r="K24" s="3"/>
      <c r="L24" s="3"/>
      <c r="M24" s="3"/>
      <c r="N24" s="3"/>
      <c r="O24" s="3" t="s">
        <v>71</v>
      </c>
      <c r="P24" s="3" t="s">
        <v>177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>
        <v>2110</v>
      </c>
      <c r="AL24" s="4">
        <v>41128</v>
      </c>
      <c r="AM24" s="3"/>
      <c r="AN24" s="3" t="s">
        <v>178</v>
      </c>
    </row>
    <row r="25" spans="1:40" ht="27.75">
      <c r="A25" s="3">
        <v>19</v>
      </c>
      <c r="B25" s="3" t="str">
        <f>"201800142862"</f>
        <v>201800142862</v>
      </c>
      <c r="C25" s="3">
        <v>135996</v>
      </c>
      <c r="D25" s="3" t="s">
        <v>179</v>
      </c>
      <c r="E25" s="3">
        <v>20543725073</v>
      </c>
      <c r="F25" s="3" t="s">
        <v>180</v>
      </c>
      <c r="G25" s="3" t="s">
        <v>181</v>
      </c>
      <c r="H25" s="3" t="s">
        <v>59</v>
      </c>
      <c r="I25" s="3" t="s">
        <v>59</v>
      </c>
      <c r="J25" s="3" t="s">
        <v>182</v>
      </c>
      <c r="K25" s="3"/>
      <c r="L25" s="3"/>
      <c r="M25" s="3"/>
      <c r="N25" s="3"/>
      <c r="O25" s="3" t="s">
        <v>46</v>
      </c>
      <c r="P25" s="3" t="s">
        <v>183</v>
      </c>
      <c r="Q25" s="3" t="s">
        <v>184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>
        <v>14000</v>
      </c>
      <c r="AL25" s="4">
        <v>43339</v>
      </c>
      <c r="AM25" s="3"/>
      <c r="AN25" s="3" t="s">
        <v>185</v>
      </c>
    </row>
    <row r="26" spans="1:40" ht="13.5">
      <c r="A26" s="3">
        <v>20</v>
      </c>
      <c r="B26" s="3" t="str">
        <f>"201900199612"</f>
        <v>201900199612</v>
      </c>
      <c r="C26" s="3">
        <v>148103</v>
      </c>
      <c r="D26" s="3" t="s">
        <v>186</v>
      </c>
      <c r="E26" s="3">
        <v>20483291281</v>
      </c>
      <c r="F26" s="3" t="s">
        <v>187</v>
      </c>
      <c r="G26" s="3" t="s">
        <v>188</v>
      </c>
      <c r="H26" s="3" t="s">
        <v>189</v>
      </c>
      <c r="I26" s="3" t="s">
        <v>189</v>
      </c>
      <c r="J26" s="3" t="s">
        <v>190</v>
      </c>
      <c r="K26" s="3" t="s">
        <v>188</v>
      </c>
      <c r="L26" s="3" t="s">
        <v>189</v>
      </c>
      <c r="M26" s="3" t="s">
        <v>189</v>
      </c>
      <c r="N26" s="3" t="s">
        <v>190</v>
      </c>
      <c r="O26" s="3" t="s">
        <v>46</v>
      </c>
      <c r="P26" s="3" t="s">
        <v>191</v>
      </c>
      <c r="Q26" s="3" t="s">
        <v>192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>
        <v>13600</v>
      </c>
      <c r="AL26" s="4">
        <v>43805</v>
      </c>
      <c r="AM26" s="3"/>
      <c r="AN26" s="3" t="s">
        <v>193</v>
      </c>
    </row>
    <row r="27" spans="1:40" ht="27.75">
      <c r="A27" s="3">
        <v>21</v>
      </c>
      <c r="B27" s="3" t="str">
        <f>"201800038086"</f>
        <v>201800038086</v>
      </c>
      <c r="C27" s="3">
        <v>121551</v>
      </c>
      <c r="D27" s="3" t="s">
        <v>194</v>
      </c>
      <c r="E27" s="3">
        <v>20540717011</v>
      </c>
      <c r="F27" s="3" t="s">
        <v>195</v>
      </c>
      <c r="G27" s="3" t="s">
        <v>196</v>
      </c>
      <c r="H27" s="3" t="s">
        <v>197</v>
      </c>
      <c r="I27" s="3" t="s">
        <v>197</v>
      </c>
      <c r="J27" s="3" t="s">
        <v>197</v>
      </c>
      <c r="K27" s="3" t="s">
        <v>196</v>
      </c>
      <c r="L27" s="3" t="s">
        <v>197</v>
      </c>
      <c r="M27" s="3" t="s">
        <v>197</v>
      </c>
      <c r="N27" s="3" t="s">
        <v>197</v>
      </c>
      <c r="O27" s="3" t="s">
        <v>46</v>
      </c>
      <c r="P27" s="3" t="s">
        <v>198</v>
      </c>
      <c r="Q27" s="3" t="s">
        <v>199</v>
      </c>
      <c r="R27" s="3" t="s">
        <v>200</v>
      </c>
      <c r="S27" s="3" t="s">
        <v>201</v>
      </c>
      <c r="T27" s="3" t="s">
        <v>202</v>
      </c>
      <c r="U27" s="3" t="s">
        <v>203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>
        <v>13500</v>
      </c>
      <c r="AL27" s="4">
        <v>43166</v>
      </c>
      <c r="AM27" s="3"/>
      <c r="AN27" s="3" t="s">
        <v>204</v>
      </c>
    </row>
    <row r="28" spans="1:40" ht="13.5">
      <c r="A28" s="3">
        <v>22</v>
      </c>
      <c r="B28" s="3" t="str">
        <f>"201300195692"</f>
        <v>201300195692</v>
      </c>
      <c r="C28" s="3">
        <v>93752</v>
      </c>
      <c r="D28" s="3" t="s">
        <v>205</v>
      </c>
      <c r="E28" s="3">
        <v>20536075195</v>
      </c>
      <c r="F28" s="3" t="s">
        <v>206</v>
      </c>
      <c r="G28" s="3" t="s">
        <v>207</v>
      </c>
      <c r="H28" s="3" t="s">
        <v>59</v>
      </c>
      <c r="I28" s="3" t="s">
        <v>59</v>
      </c>
      <c r="J28" s="3" t="s">
        <v>102</v>
      </c>
      <c r="K28" s="3" t="s">
        <v>207</v>
      </c>
      <c r="L28" s="3" t="s">
        <v>59</v>
      </c>
      <c r="M28" s="3" t="s">
        <v>59</v>
      </c>
      <c r="N28" s="3" t="s">
        <v>102</v>
      </c>
      <c r="O28" s="3" t="s">
        <v>71</v>
      </c>
      <c r="P28" s="3" t="s">
        <v>208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>
        <v>6000</v>
      </c>
      <c r="AL28" s="4">
        <v>41642</v>
      </c>
      <c r="AM28" s="3"/>
      <c r="AN28" s="3" t="s">
        <v>209</v>
      </c>
    </row>
    <row r="29" spans="1:40" ht="13.5">
      <c r="A29" s="3">
        <v>23</v>
      </c>
      <c r="B29" s="3" t="str">
        <f>"201600153867"</f>
        <v>201600153867</v>
      </c>
      <c r="C29" s="3">
        <v>124562</v>
      </c>
      <c r="D29" s="3" t="s">
        <v>210</v>
      </c>
      <c r="E29" s="3">
        <v>20553288895</v>
      </c>
      <c r="F29" s="3" t="s">
        <v>211</v>
      </c>
      <c r="G29" s="3" t="s">
        <v>212</v>
      </c>
      <c r="H29" s="3" t="s">
        <v>59</v>
      </c>
      <c r="I29" s="3" t="s">
        <v>59</v>
      </c>
      <c r="J29" s="3" t="s">
        <v>213</v>
      </c>
      <c r="K29" s="3" t="s">
        <v>212</v>
      </c>
      <c r="L29" s="3" t="s">
        <v>59</v>
      </c>
      <c r="M29" s="3" t="s">
        <v>59</v>
      </c>
      <c r="N29" s="3" t="s">
        <v>213</v>
      </c>
      <c r="O29" s="3" t="s">
        <v>71</v>
      </c>
      <c r="P29" s="3" t="s">
        <v>214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>
        <v>1800</v>
      </c>
      <c r="AL29" s="4">
        <v>42676</v>
      </c>
      <c r="AM29" s="3"/>
      <c r="AN29" s="3" t="s">
        <v>215</v>
      </c>
    </row>
    <row r="30" spans="1:40" ht="13.5">
      <c r="A30" s="3">
        <v>24</v>
      </c>
      <c r="B30" s="3" t="str">
        <f>"201500131564"</f>
        <v>201500131564</v>
      </c>
      <c r="C30" s="3">
        <v>117735</v>
      </c>
      <c r="D30" s="3" t="s">
        <v>216</v>
      </c>
      <c r="E30" s="3">
        <v>20161572871</v>
      </c>
      <c r="F30" s="3" t="s">
        <v>217</v>
      </c>
      <c r="G30" s="3" t="s">
        <v>218</v>
      </c>
      <c r="H30" s="3" t="s">
        <v>219</v>
      </c>
      <c r="I30" s="3" t="s">
        <v>220</v>
      </c>
      <c r="J30" s="3" t="s">
        <v>221</v>
      </c>
      <c r="K30" s="3"/>
      <c r="L30" s="3"/>
      <c r="M30" s="3"/>
      <c r="N30" s="3"/>
      <c r="O30" s="3" t="s">
        <v>46</v>
      </c>
      <c r="P30" s="3" t="s">
        <v>222</v>
      </c>
      <c r="Q30" s="3" t="s">
        <v>223</v>
      </c>
      <c r="R30" s="3" t="s">
        <v>224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>
        <v>14000</v>
      </c>
      <c r="AL30" s="4">
        <v>42300</v>
      </c>
      <c r="AM30" s="3"/>
      <c r="AN30" s="3" t="s">
        <v>225</v>
      </c>
    </row>
    <row r="31" spans="1:40" ht="13.5">
      <c r="A31" s="3">
        <v>25</v>
      </c>
      <c r="B31" s="3" t="str">
        <f>"201700106492"</f>
        <v>201700106492</v>
      </c>
      <c r="C31" s="3">
        <v>118168</v>
      </c>
      <c r="D31" s="3" t="s">
        <v>226</v>
      </c>
      <c r="E31" s="3">
        <v>20522217574</v>
      </c>
      <c r="F31" s="3" t="s">
        <v>227</v>
      </c>
      <c r="G31" s="3" t="s">
        <v>228</v>
      </c>
      <c r="H31" s="3" t="s">
        <v>59</v>
      </c>
      <c r="I31" s="3" t="s">
        <v>59</v>
      </c>
      <c r="J31" s="3" t="s">
        <v>229</v>
      </c>
      <c r="K31" s="3" t="s">
        <v>228</v>
      </c>
      <c r="L31" s="3" t="s">
        <v>59</v>
      </c>
      <c r="M31" s="3" t="s">
        <v>59</v>
      </c>
      <c r="N31" s="3" t="s">
        <v>229</v>
      </c>
      <c r="O31" s="3" t="s">
        <v>71</v>
      </c>
      <c r="P31" s="3" t="s">
        <v>230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>
        <v>6500</v>
      </c>
      <c r="AL31" s="4">
        <v>42926</v>
      </c>
      <c r="AM31" s="3"/>
      <c r="AN31" s="3" t="s">
        <v>231</v>
      </c>
    </row>
    <row r="32" spans="1:40" ht="13.5">
      <c r="A32" s="3">
        <v>26</v>
      </c>
      <c r="B32" s="3" t="str">
        <f>"201600060099"</f>
        <v>201600060099</v>
      </c>
      <c r="C32" s="3">
        <v>121077</v>
      </c>
      <c r="D32" s="3" t="s">
        <v>232</v>
      </c>
      <c r="E32" s="3">
        <v>20530920632</v>
      </c>
      <c r="F32" s="3" t="s">
        <v>233</v>
      </c>
      <c r="G32" s="3" t="s">
        <v>234</v>
      </c>
      <c r="H32" s="3" t="s">
        <v>59</v>
      </c>
      <c r="I32" s="3" t="s">
        <v>235</v>
      </c>
      <c r="J32" s="3" t="s">
        <v>236</v>
      </c>
      <c r="K32" s="3" t="s">
        <v>237</v>
      </c>
      <c r="L32" s="3" t="s">
        <v>59</v>
      </c>
      <c r="M32" s="3" t="s">
        <v>235</v>
      </c>
      <c r="N32" s="3" t="s">
        <v>236</v>
      </c>
      <c r="O32" s="3" t="s">
        <v>71</v>
      </c>
      <c r="P32" s="3" t="s">
        <v>238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>
        <v>6400</v>
      </c>
      <c r="AL32" s="4">
        <v>42486</v>
      </c>
      <c r="AM32" s="3"/>
      <c r="AN32" s="3" t="s">
        <v>239</v>
      </c>
    </row>
    <row r="33" spans="1:40" ht="27.75">
      <c r="A33" s="3">
        <v>27</v>
      </c>
      <c r="B33" s="3" t="str">
        <f>"202000107413"</f>
        <v>202000107413</v>
      </c>
      <c r="C33" s="3">
        <v>84730</v>
      </c>
      <c r="D33" s="3" t="s">
        <v>240</v>
      </c>
      <c r="E33" s="3">
        <v>20603024495</v>
      </c>
      <c r="F33" s="3" t="s">
        <v>241</v>
      </c>
      <c r="G33" s="3" t="s">
        <v>242</v>
      </c>
      <c r="H33" s="3" t="s">
        <v>59</v>
      </c>
      <c r="I33" s="3" t="s">
        <v>59</v>
      </c>
      <c r="J33" s="3" t="s">
        <v>243</v>
      </c>
      <c r="K33" s="3"/>
      <c r="L33" s="3" t="s">
        <v>59</v>
      </c>
      <c r="M33" s="3" t="s">
        <v>59</v>
      </c>
      <c r="N33" s="3" t="s">
        <v>243</v>
      </c>
      <c r="O33" s="3" t="s">
        <v>46</v>
      </c>
      <c r="P33" s="3" t="s">
        <v>244</v>
      </c>
      <c r="Q33" s="3" t="s">
        <v>245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>
        <v>13750</v>
      </c>
      <c r="AL33" s="4">
        <v>44074</v>
      </c>
      <c r="AM33" s="3"/>
      <c r="AN33" s="3" t="s">
        <v>246</v>
      </c>
    </row>
    <row r="34" spans="1:40" ht="13.5">
      <c r="A34" s="3">
        <v>28</v>
      </c>
      <c r="B34" s="3" t="str">
        <f>"202000119066"</f>
        <v>202000119066</v>
      </c>
      <c r="C34" s="3">
        <v>122772</v>
      </c>
      <c r="D34" s="3" t="s">
        <v>247</v>
      </c>
      <c r="E34" s="3">
        <v>20549098372</v>
      </c>
      <c r="F34" s="3" t="s">
        <v>248</v>
      </c>
      <c r="G34" s="3" t="s">
        <v>249</v>
      </c>
      <c r="H34" s="3" t="s">
        <v>59</v>
      </c>
      <c r="I34" s="3" t="s">
        <v>59</v>
      </c>
      <c r="J34" s="3" t="s">
        <v>250</v>
      </c>
      <c r="K34" s="3"/>
      <c r="L34" s="3"/>
      <c r="M34" s="3"/>
      <c r="N34" s="3"/>
      <c r="O34" s="3" t="s">
        <v>46</v>
      </c>
      <c r="P34" s="3" t="s">
        <v>251</v>
      </c>
      <c r="Q34" s="3" t="s">
        <v>252</v>
      </c>
      <c r="R34" s="3" t="s">
        <v>253</v>
      </c>
      <c r="S34" s="3" t="s">
        <v>254</v>
      </c>
      <c r="T34" s="3" t="s">
        <v>255</v>
      </c>
      <c r="U34" s="3" t="s">
        <v>256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>
        <v>14000</v>
      </c>
      <c r="AL34" s="4">
        <v>44096</v>
      </c>
      <c r="AM34" s="3"/>
      <c r="AN34" s="3" t="s">
        <v>257</v>
      </c>
    </row>
    <row r="35" spans="1:40" ht="13.5">
      <c r="A35" s="3">
        <v>29</v>
      </c>
      <c r="B35" s="3" t="str">
        <f>"201800036724"</f>
        <v>201800036724</v>
      </c>
      <c r="C35" s="3">
        <v>127710</v>
      </c>
      <c r="D35" s="3" t="s">
        <v>258</v>
      </c>
      <c r="E35" s="3">
        <v>20458378747</v>
      </c>
      <c r="F35" s="3" t="s">
        <v>57</v>
      </c>
      <c r="G35" s="3" t="s">
        <v>259</v>
      </c>
      <c r="H35" s="3" t="s">
        <v>197</v>
      </c>
      <c r="I35" s="3" t="s">
        <v>260</v>
      </c>
      <c r="J35" s="3" t="s">
        <v>261</v>
      </c>
      <c r="K35" s="3" t="s">
        <v>259</v>
      </c>
      <c r="L35" s="3" t="s">
        <v>197</v>
      </c>
      <c r="M35" s="3" t="s">
        <v>260</v>
      </c>
      <c r="N35" s="3" t="s">
        <v>261</v>
      </c>
      <c r="O35" s="3" t="s">
        <v>46</v>
      </c>
      <c r="P35" s="3" t="s">
        <v>262</v>
      </c>
      <c r="Q35" s="3" t="s">
        <v>263</v>
      </c>
      <c r="R35" s="3" t="s">
        <v>264</v>
      </c>
      <c r="S35" s="3" t="s">
        <v>265</v>
      </c>
      <c r="T35" s="3" t="s">
        <v>266</v>
      </c>
      <c r="U35" s="3" t="s">
        <v>267</v>
      </c>
      <c r="V35" s="3" t="s">
        <v>65</v>
      </c>
      <c r="W35" s="3" t="s">
        <v>64</v>
      </c>
      <c r="X35" s="3" t="s">
        <v>63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>
        <v>14300</v>
      </c>
      <c r="AL35" s="4">
        <v>43161</v>
      </c>
      <c r="AM35" s="3"/>
      <c r="AN35" s="3" t="s">
        <v>66</v>
      </c>
    </row>
    <row r="36" spans="1:40" ht="13.5">
      <c r="A36" s="3">
        <v>30</v>
      </c>
      <c r="B36" s="3" t="str">
        <f>"201900104668"</f>
        <v>201900104668</v>
      </c>
      <c r="C36" s="3">
        <v>125002</v>
      </c>
      <c r="D36" s="3" t="s">
        <v>268</v>
      </c>
      <c r="E36" s="3">
        <v>20454655274</v>
      </c>
      <c r="F36" s="3" t="s">
        <v>269</v>
      </c>
      <c r="G36" s="3" t="s">
        <v>270</v>
      </c>
      <c r="H36" s="3" t="s">
        <v>44</v>
      </c>
      <c r="I36" s="3" t="s">
        <v>44</v>
      </c>
      <c r="J36" s="3" t="s">
        <v>44</v>
      </c>
      <c r="K36" s="3" t="s">
        <v>270</v>
      </c>
      <c r="L36" s="3" t="s">
        <v>44</v>
      </c>
      <c r="M36" s="3" t="s">
        <v>44</v>
      </c>
      <c r="N36" s="3" t="s">
        <v>44</v>
      </c>
      <c r="O36" s="3" t="s">
        <v>46</v>
      </c>
      <c r="P36" s="3" t="s">
        <v>271</v>
      </c>
      <c r="Q36" s="3" t="s">
        <v>272</v>
      </c>
      <c r="R36" s="3" t="s">
        <v>273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>
        <v>14000</v>
      </c>
      <c r="AL36" s="4">
        <v>43646</v>
      </c>
      <c r="AM36" s="3"/>
      <c r="AN36" s="3" t="s">
        <v>274</v>
      </c>
    </row>
    <row r="37" spans="1:40" ht="13.5">
      <c r="A37" s="3">
        <v>31</v>
      </c>
      <c r="B37" s="3" t="str">
        <f>"201900163098"</f>
        <v>201900163098</v>
      </c>
      <c r="C37" s="3">
        <v>143180</v>
      </c>
      <c r="D37" s="3" t="s">
        <v>275</v>
      </c>
      <c r="E37" s="3">
        <v>20600082931</v>
      </c>
      <c r="F37" s="3" t="s">
        <v>276</v>
      </c>
      <c r="G37" s="3" t="s">
        <v>277</v>
      </c>
      <c r="H37" s="3" t="s">
        <v>59</v>
      </c>
      <c r="I37" s="3" t="s">
        <v>59</v>
      </c>
      <c r="J37" s="3" t="s">
        <v>70</v>
      </c>
      <c r="K37" s="3"/>
      <c r="L37" s="3"/>
      <c r="M37" s="3"/>
      <c r="N37" s="3"/>
      <c r="O37" s="3" t="s">
        <v>71</v>
      </c>
      <c r="P37" s="3" t="s">
        <v>278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>
        <v>6500</v>
      </c>
      <c r="AL37" s="4">
        <v>43746</v>
      </c>
      <c r="AM37" s="3"/>
      <c r="AN37" s="3" t="s">
        <v>279</v>
      </c>
    </row>
    <row r="38" spans="1:40" ht="13.5">
      <c r="A38" s="3">
        <v>32</v>
      </c>
      <c r="B38" s="3" t="str">
        <f>"201500158529"</f>
        <v>201500158529</v>
      </c>
      <c r="C38" s="3">
        <v>118727</v>
      </c>
      <c r="D38" s="3" t="s">
        <v>280</v>
      </c>
      <c r="E38" s="3">
        <v>20549098372</v>
      </c>
      <c r="F38" s="3" t="s">
        <v>281</v>
      </c>
      <c r="G38" s="3" t="s">
        <v>282</v>
      </c>
      <c r="H38" s="3" t="s">
        <v>59</v>
      </c>
      <c r="I38" s="3" t="s">
        <v>59</v>
      </c>
      <c r="J38" s="3" t="s">
        <v>250</v>
      </c>
      <c r="K38" s="3" t="s">
        <v>282</v>
      </c>
      <c r="L38" s="3" t="s">
        <v>59</v>
      </c>
      <c r="M38" s="3" t="s">
        <v>59</v>
      </c>
      <c r="N38" s="3" t="s">
        <v>250</v>
      </c>
      <c r="O38" s="3" t="s">
        <v>71</v>
      </c>
      <c r="P38" s="3" t="s">
        <v>283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>
        <v>6800</v>
      </c>
      <c r="AL38" s="4">
        <v>42335</v>
      </c>
      <c r="AM38" s="3"/>
      <c r="AN38" s="3" t="s">
        <v>284</v>
      </c>
    </row>
    <row r="39" spans="1:40" ht="13.5">
      <c r="A39" s="3">
        <v>33</v>
      </c>
      <c r="B39" s="3" t="str">
        <f>"201900174965"</f>
        <v>201900174965</v>
      </c>
      <c r="C39" s="3">
        <v>111503</v>
      </c>
      <c r="D39" s="3" t="s">
        <v>285</v>
      </c>
      <c r="E39" s="3">
        <v>10402193609</v>
      </c>
      <c r="F39" s="3" t="s">
        <v>286</v>
      </c>
      <c r="G39" s="3" t="s">
        <v>287</v>
      </c>
      <c r="H39" s="3" t="s">
        <v>219</v>
      </c>
      <c r="I39" s="3" t="s">
        <v>288</v>
      </c>
      <c r="J39" s="3" t="s">
        <v>289</v>
      </c>
      <c r="K39" s="3" t="s">
        <v>287</v>
      </c>
      <c r="L39" s="3" t="s">
        <v>219</v>
      </c>
      <c r="M39" s="3" t="s">
        <v>288</v>
      </c>
      <c r="N39" s="3" t="s">
        <v>289</v>
      </c>
      <c r="O39" s="3" t="s">
        <v>46</v>
      </c>
      <c r="P39" s="3" t="s">
        <v>290</v>
      </c>
      <c r="Q39" s="3" t="s">
        <v>291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>
        <v>14000</v>
      </c>
      <c r="AL39" s="4">
        <v>43768</v>
      </c>
      <c r="AM39" s="3"/>
      <c r="AN39" s="3" t="s">
        <v>286</v>
      </c>
    </row>
    <row r="40" spans="1:40" ht="13.5">
      <c r="A40" s="3">
        <v>34</v>
      </c>
      <c r="B40" s="3" t="str">
        <f>"201400141743"</f>
        <v>201400141743</v>
      </c>
      <c r="C40" s="3">
        <v>112263</v>
      </c>
      <c r="D40" s="3" t="s">
        <v>292</v>
      </c>
      <c r="E40" s="3">
        <v>20548891788</v>
      </c>
      <c r="F40" s="3" t="s">
        <v>293</v>
      </c>
      <c r="G40" s="3" t="s">
        <v>294</v>
      </c>
      <c r="H40" s="3" t="s">
        <v>59</v>
      </c>
      <c r="I40" s="3" t="s">
        <v>59</v>
      </c>
      <c r="J40" s="3" t="s">
        <v>153</v>
      </c>
      <c r="K40" s="3" t="s">
        <v>294</v>
      </c>
      <c r="L40" s="3" t="s">
        <v>59</v>
      </c>
      <c r="M40" s="3" t="s">
        <v>59</v>
      </c>
      <c r="N40" s="3" t="s">
        <v>153</v>
      </c>
      <c r="O40" s="3" t="s">
        <v>46</v>
      </c>
      <c r="P40" s="3" t="s">
        <v>295</v>
      </c>
      <c r="Q40" s="3" t="s">
        <v>296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>
        <v>14000</v>
      </c>
      <c r="AL40" s="4">
        <v>41958</v>
      </c>
      <c r="AM40" s="3"/>
      <c r="AN40" s="3" t="s">
        <v>297</v>
      </c>
    </row>
    <row r="41" spans="1:40" ht="13.5">
      <c r="A41" s="3">
        <v>35</v>
      </c>
      <c r="B41" s="3" t="str">
        <f>"201500158523"</f>
        <v>201500158523</v>
      </c>
      <c r="C41" s="3">
        <v>118726</v>
      </c>
      <c r="D41" s="3" t="s">
        <v>298</v>
      </c>
      <c r="E41" s="3">
        <v>20549098372</v>
      </c>
      <c r="F41" s="3" t="s">
        <v>281</v>
      </c>
      <c r="G41" s="3" t="s">
        <v>282</v>
      </c>
      <c r="H41" s="3" t="s">
        <v>59</v>
      </c>
      <c r="I41" s="3" t="s">
        <v>59</v>
      </c>
      <c r="J41" s="3" t="s">
        <v>250</v>
      </c>
      <c r="K41" s="3" t="s">
        <v>282</v>
      </c>
      <c r="L41" s="3" t="s">
        <v>59</v>
      </c>
      <c r="M41" s="3" t="s">
        <v>59</v>
      </c>
      <c r="N41" s="3" t="s">
        <v>250</v>
      </c>
      <c r="O41" s="3" t="s">
        <v>71</v>
      </c>
      <c r="P41" s="3" t="s">
        <v>299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>
        <v>6800</v>
      </c>
      <c r="AL41" s="4">
        <v>42338</v>
      </c>
      <c r="AM41" s="3"/>
      <c r="AN41" s="3" t="s">
        <v>284</v>
      </c>
    </row>
    <row r="42" spans="1:40" ht="13.5">
      <c r="A42" s="3">
        <v>36</v>
      </c>
      <c r="B42" s="3" t="str">
        <f>"201900108586"</f>
        <v>201900108586</v>
      </c>
      <c r="C42" s="3">
        <v>120614</v>
      </c>
      <c r="D42" s="3" t="s">
        <v>300</v>
      </c>
      <c r="E42" s="3">
        <v>20603727143</v>
      </c>
      <c r="F42" s="3" t="s">
        <v>301</v>
      </c>
      <c r="G42" s="3" t="s">
        <v>302</v>
      </c>
      <c r="H42" s="3" t="s">
        <v>59</v>
      </c>
      <c r="I42" s="3" t="s">
        <v>59</v>
      </c>
      <c r="J42" s="3" t="s">
        <v>303</v>
      </c>
      <c r="K42" s="3"/>
      <c r="L42" s="3"/>
      <c r="M42" s="3"/>
      <c r="N42" s="3"/>
      <c r="O42" s="3" t="s">
        <v>71</v>
      </c>
      <c r="P42" s="3" t="s">
        <v>304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>
        <v>1800</v>
      </c>
      <c r="AL42" s="4">
        <v>43656</v>
      </c>
      <c r="AM42" s="3"/>
      <c r="AN42" s="3" t="s">
        <v>305</v>
      </c>
    </row>
    <row r="43" spans="1:40" ht="13.5">
      <c r="A43" s="3">
        <v>37</v>
      </c>
      <c r="B43" s="3" t="str">
        <f>"201900105062"</f>
        <v>201900105062</v>
      </c>
      <c r="C43" s="3">
        <v>123227</v>
      </c>
      <c r="D43" s="3" t="s">
        <v>306</v>
      </c>
      <c r="E43" s="3">
        <v>20536600290</v>
      </c>
      <c r="F43" s="3" t="s">
        <v>307</v>
      </c>
      <c r="G43" s="3" t="s">
        <v>308</v>
      </c>
      <c r="H43" s="3" t="s">
        <v>127</v>
      </c>
      <c r="I43" s="3" t="s">
        <v>127</v>
      </c>
      <c r="J43" s="3" t="s">
        <v>128</v>
      </c>
      <c r="K43" s="3" t="s">
        <v>308</v>
      </c>
      <c r="L43" s="3" t="s">
        <v>127</v>
      </c>
      <c r="M43" s="3" t="s">
        <v>127</v>
      </c>
      <c r="N43" s="3" t="s">
        <v>128</v>
      </c>
      <c r="O43" s="3" t="s">
        <v>71</v>
      </c>
      <c r="P43" s="3" t="s">
        <v>309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>
        <v>4500</v>
      </c>
      <c r="AL43" s="4">
        <v>43652</v>
      </c>
      <c r="AM43" s="3"/>
      <c r="AN43" s="3" t="s">
        <v>310</v>
      </c>
    </row>
    <row r="44" spans="1:40" ht="27.75">
      <c r="A44" s="3">
        <v>38</v>
      </c>
      <c r="B44" s="3" t="str">
        <f>"201900104655"</f>
        <v>201900104655</v>
      </c>
      <c r="C44" s="3">
        <v>113873</v>
      </c>
      <c r="D44" s="3" t="s">
        <v>311</v>
      </c>
      <c r="E44" s="3">
        <v>20454655274</v>
      </c>
      <c r="F44" s="3" t="s">
        <v>312</v>
      </c>
      <c r="G44" s="3" t="s">
        <v>313</v>
      </c>
      <c r="H44" s="3" t="s">
        <v>44</v>
      </c>
      <c r="I44" s="3" t="s">
        <v>44</v>
      </c>
      <c r="J44" s="3" t="s">
        <v>44</v>
      </c>
      <c r="K44" s="3"/>
      <c r="L44" s="3"/>
      <c r="M44" s="3"/>
      <c r="N44" s="3"/>
      <c r="O44" s="3" t="s">
        <v>46</v>
      </c>
      <c r="P44" s="3" t="s">
        <v>314</v>
      </c>
      <c r="Q44" s="3" t="s">
        <v>273</v>
      </c>
      <c r="R44" s="3" t="s">
        <v>272</v>
      </c>
      <c r="S44" s="3" t="s">
        <v>315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>
        <v>14000</v>
      </c>
      <c r="AL44" s="4">
        <v>43649</v>
      </c>
      <c r="AM44" s="3"/>
      <c r="AN44" s="3" t="s">
        <v>274</v>
      </c>
    </row>
    <row r="45" spans="1:40" ht="13.5">
      <c r="A45" s="3">
        <v>39</v>
      </c>
      <c r="B45" s="3" t="str">
        <f>"201900168940"</f>
        <v>201900168940</v>
      </c>
      <c r="C45" s="3">
        <v>88411</v>
      </c>
      <c r="D45" s="3" t="s">
        <v>316</v>
      </c>
      <c r="E45" s="3">
        <v>20166717389</v>
      </c>
      <c r="F45" s="3" t="s">
        <v>317</v>
      </c>
      <c r="G45" s="3" t="s">
        <v>318</v>
      </c>
      <c r="H45" s="3" t="s">
        <v>319</v>
      </c>
      <c r="I45" s="3" t="s">
        <v>319</v>
      </c>
      <c r="J45" s="3" t="s">
        <v>319</v>
      </c>
      <c r="K45" s="3" t="s">
        <v>320</v>
      </c>
      <c r="L45" s="3" t="s">
        <v>319</v>
      </c>
      <c r="M45" s="3" t="s">
        <v>319</v>
      </c>
      <c r="N45" s="3" t="s">
        <v>319</v>
      </c>
      <c r="O45" s="3" t="s">
        <v>71</v>
      </c>
      <c r="P45" s="3" t="s">
        <v>321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>
        <v>5010</v>
      </c>
      <c r="AL45" s="4">
        <v>43759</v>
      </c>
      <c r="AM45" s="3"/>
      <c r="AN45" s="3" t="s">
        <v>322</v>
      </c>
    </row>
    <row r="46" spans="1:40" ht="27.75">
      <c r="A46" s="3">
        <v>40</v>
      </c>
      <c r="B46" s="3" t="str">
        <f>"202000093286"</f>
        <v>202000093286</v>
      </c>
      <c r="C46" s="3">
        <v>120840</v>
      </c>
      <c r="D46" s="3" t="s">
        <v>323</v>
      </c>
      <c r="E46" s="3">
        <v>20565676742</v>
      </c>
      <c r="F46" s="3" t="s">
        <v>324</v>
      </c>
      <c r="G46" s="3" t="s">
        <v>325</v>
      </c>
      <c r="H46" s="3" t="s">
        <v>59</v>
      </c>
      <c r="I46" s="3" t="s">
        <v>59</v>
      </c>
      <c r="J46" s="3" t="s">
        <v>229</v>
      </c>
      <c r="K46" s="3"/>
      <c r="L46" s="3" t="s">
        <v>59</v>
      </c>
      <c r="M46" s="3" t="s">
        <v>59</v>
      </c>
      <c r="N46" s="3" t="s">
        <v>229</v>
      </c>
      <c r="O46" s="3" t="s">
        <v>46</v>
      </c>
      <c r="P46" s="3" t="s">
        <v>326</v>
      </c>
      <c r="Q46" s="3" t="s">
        <v>327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>
        <v>14000</v>
      </c>
      <c r="AL46" s="4">
        <v>44047</v>
      </c>
      <c r="AM46" s="3"/>
      <c r="AN46" s="3" t="s">
        <v>328</v>
      </c>
    </row>
    <row r="47" spans="1:40" ht="27.75">
      <c r="A47" s="3">
        <v>41</v>
      </c>
      <c r="B47" s="3" t="str">
        <f>"201800178957"</f>
        <v>201800178957</v>
      </c>
      <c r="C47" s="3">
        <v>84692</v>
      </c>
      <c r="D47" s="3" t="s">
        <v>329</v>
      </c>
      <c r="E47" s="3">
        <v>20409221212</v>
      </c>
      <c r="F47" s="3" t="s">
        <v>330</v>
      </c>
      <c r="G47" s="3" t="s">
        <v>331</v>
      </c>
      <c r="H47" s="3" t="s">
        <v>332</v>
      </c>
      <c r="I47" s="3" t="s">
        <v>332</v>
      </c>
      <c r="J47" s="3" t="s">
        <v>332</v>
      </c>
      <c r="K47" s="3" t="s">
        <v>331</v>
      </c>
      <c r="L47" s="3" t="s">
        <v>332</v>
      </c>
      <c r="M47" s="3" t="s">
        <v>332</v>
      </c>
      <c r="N47" s="3" t="s">
        <v>332</v>
      </c>
      <c r="O47" s="3" t="s">
        <v>71</v>
      </c>
      <c r="P47" s="3" t="s">
        <v>333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>
        <v>6000</v>
      </c>
      <c r="AL47" s="4">
        <v>43428</v>
      </c>
      <c r="AM47" s="3"/>
      <c r="AN47" s="3" t="s">
        <v>334</v>
      </c>
    </row>
    <row r="48" spans="1:40" ht="13.5">
      <c r="A48" s="3">
        <v>42</v>
      </c>
      <c r="B48" s="3" t="str">
        <f>"201900093358"</f>
        <v>201900093358</v>
      </c>
      <c r="C48" s="3">
        <v>96157</v>
      </c>
      <c r="D48" s="3" t="s">
        <v>335</v>
      </c>
      <c r="E48" s="3">
        <v>20532062633</v>
      </c>
      <c r="F48" s="3" t="s">
        <v>336</v>
      </c>
      <c r="G48" s="3" t="s">
        <v>337</v>
      </c>
      <c r="H48" s="3" t="s">
        <v>59</v>
      </c>
      <c r="I48" s="3" t="s">
        <v>59</v>
      </c>
      <c r="J48" s="3" t="s">
        <v>213</v>
      </c>
      <c r="K48" s="3" t="s">
        <v>338</v>
      </c>
      <c r="L48" s="3" t="s">
        <v>59</v>
      </c>
      <c r="M48" s="3" t="s">
        <v>59</v>
      </c>
      <c r="N48" s="3" t="s">
        <v>213</v>
      </c>
      <c r="O48" s="3" t="s">
        <v>46</v>
      </c>
      <c r="P48" s="3" t="s">
        <v>339</v>
      </c>
      <c r="Q48" s="3" t="s">
        <v>340</v>
      </c>
      <c r="R48" s="3" t="s">
        <v>341</v>
      </c>
      <c r="S48" s="3" t="s">
        <v>342</v>
      </c>
      <c r="T48" s="3" t="s">
        <v>343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>
        <v>13000</v>
      </c>
      <c r="AL48" s="4">
        <v>43634</v>
      </c>
      <c r="AM48" s="3"/>
      <c r="AN48" s="3" t="s">
        <v>344</v>
      </c>
    </row>
    <row r="49" spans="1:40" ht="13.5">
      <c r="A49" s="3">
        <v>43</v>
      </c>
      <c r="B49" s="3" t="str">
        <f>"1502774"</f>
        <v>1502774</v>
      </c>
      <c r="C49" s="3">
        <v>94032</v>
      </c>
      <c r="D49" s="3" t="s">
        <v>345</v>
      </c>
      <c r="E49" s="3">
        <v>20538178153</v>
      </c>
      <c r="F49" s="3" t="s">
        <v>346</v>
      </c>
      <c r="G49" s="3" t="s">
        <v>347</v>
      </c>
      <c r="H49" s="3" t="s">
        <v>59</v>
      </c>
      <c r="I49" s="3" t="s">
        <v>59</v>
      </c>
      <c r="J49" s="3" t="s">
        <v>229</v>
      </c>
      <c r="K49" s="3" t="s">
        <v>347</v>
      </c>
      <c r="L49" s="3" t="s">
        <v>59</v>
      </c>
      <c r="M49" s="3" t="s">
        <v>59</v>
      </c>
      <c r="N49" s="3" t="s">
        <v>229</v>
      </c>
      <c r="O49" s="3" t="s">
        <v>71</v>
      </c>
      <c r="P49" s="3" t="s">
        <v>348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>
        <v>1780</v>
      </c>
      <c r="AL49" s="4">
        <v>40837</v>
      </c>
      <c r="AM49" s="3"/>
      <c r="AN49" s="3" t="s">
        <v>349</v>
      </c>
    </row>
    <row r="50" spans="1:40" ht="13.5">
      <c r="A50" s="3">
        <v>44</v>
      </c>
      <c r="B50" s="3" t="str">
        <f>"201900034177"</f>
        <v>201900034177</v>
      </c>
      <c r="C50" s="3">
        <v>141678</v>
      </c>
      <c r="D50" s="3" t="s">
        <v>350</v>
      </c>
      <c r="E50" s="3">
        <v>20479745260</v>
      </c>
      <c r="F50" s="3" t="s">
        <v>351</v>
      </c>
      <c r="G50" s="3" t="s">
        <v>352</v>
      </c>
      <c r="H50" s="3" t="s">
        <v>161</v>
      </c>
      <c r="I50" s="3" t="s">
        <v>162</v>
      </c>
      <c r="J50" s="3" t="s">
        <v>162</v>
      </c>
      <c r="K50" s="3"/>
      <c r="L50" s="3"/>
      <c r="M50" s="3"/>
      <c r="N50" s="3"/>
      <c r="O50" s="3" t="s">
        <v>46</v>
      </c>
      <c r="P50" s="3" t="s">
        <v>353</v>
      </c>
      <c r="Q50" s="3" t="s">
        <v>354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>
        <v>10000</v>
      </c>
      <c r="AL50" s="4">
        <v>43531</v>
      </c>
      <c r="AM50" s="3"/>
      <c r="AN50" s="3" t="s">
        <v>355</v>
      </c>
    </row>
    <row r="51" spans="1:40" ht="13.5">
      <c r="A51" s="3">
        <v>45</v>
      </c>
      <c r="B51" s="3" t="str">
        <f>"201900042844"</f>
        <v>201900042844</v>
      </c>
      <c r="C51" s="3">
        <v>91018</v>
      </c>
      <c r="D51" s="3" t="s">
        <v>356</v>
      </c>
      <c r="E51" s="3">
        <v>20602359981</v>
      </c>
      <c r="F51" s="3" t="s">
        <v>357</v>
      </c>
      <c r="G51" s="3" t="s">
        <v>358</v>
      </c>
      <c r="H51" s="3" t="s">
        <v>59</v>
      </c>
      <c r="I51" s="3" t="s">
        <v>59</v>
      </c>
      <c r="J51" s="3" t="s">
        <v>70</v>
      </c>
      <c r="K51" s="3"/>
      <c r="L51" s="3" t="s">
        <v>59</v>
      </c>
      <c r="M51" s="3" t="s">
        <v>59</v>
      </c>
      <c r="N51" s="3" t="s">
        <v>70</v>
      </c>
      <c r="O51" s="3" t="s">
        <v>71</v>
      </c>
      <c r="P51" s="3" t="s">
        <v>359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>
        <v>2110</v>
      </c>
      <c r="AL51" s="4">
        <v>43542</v>
      </c>
      <c r="AM51" s="3"/>
      <c r="AN51" s="3" t="s">
        <v>360</v>
      </c>
    </row>
    <row r="52" spans="1:40" ht="13.5">
      <c r="A52" s="3">
        <v>46</v>
      </c>
      <c r="B52" s="3" t="str">
        <f>"201700140150"</f>
        <v>201700140150</v>
      </c>
      <c r="C52" s="3">
        <v>131561</v>
      </c>
      <c r="D52" s="3" t="s">
        <v>361</v>
      </c>
      <c r="E52" s="3">
        <v>20281453492</v>
      </c>
      <c r="F52" s="3" t="s">
        <v>362</v>
      </c>
      <c r="G52" s="3" t="s">
        <v>363</v>
      </c>
      <c r="H52" s="3" t="s">
        <v>219</v>
      </c>
      <c r="I52" s="3" t="s">
        <v>220</v>
      </c>
      <c r="J52" s="3" t="s">
        <v>220</v>
      </c>
      <c r="K52" s="3" t="s">
        <v>364</v>
      </c>
      <c r="L52" s="3" t="s">
        <v>219</v>
      </c>
      <c r="M52" s="3" t="s">
        <v>220</v>
      </c>
      <c r="N52" s="3" t="s">
        <v>220</v>
      </c>
      <c r="O52" s="3" t="s">
        <v>46</v>
      </c>
      <c r="P52" s="3" t="s">
        <v>365</v>
      </c>
      <c r="Q52" s="3" t="s">
        <v>366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>
        <v>14300</v>
      </c>
      <c r="AL52" s="4">
        <v>42984</v>
      </c>
      <c r="AM52" s="3"/>
      <c r="AN52" s="3" t="s">
        <v>367</v>
      </c>
    </row>
    <row r="53" spans="1:40" ht="13.5">
      <c r="A53" s="3">
        <v>47</v>
      </c>
      <c r="B53" s="3" t="str">
        <f>"201800057385"</f>
        <v>201800057385</v>
      </c>
      <c r="C53" s="3">
        <v>131653</v>
      </c>
      <c r="D53" s="3" t="s">
        <v>368</v>
      </c>
      <c r="E53" s="3">
        <v>20539718810</v>
      </c>
      <c r="F53" s="3" t="s">
        <v>138</v>
      </c>
      <c r="G53" s="3" t="s">
        <v>369</v>
      </c>
      <c r="H53" s="3" t="s">
        <v>85</v>
      </c>
      <c r="I53" s="3" t="s">
        <v>86</v>
      </c>
      <c r="J53" s="3" t="s">
        <v>86</v>
      </c>
      <c r="K53" s="3"/>
      <c r="L53" s="3"/>
      <c r="M53" s="3"/>
      <c r="N53" s="3"/>
      <c r="O53" s="3" t="s">
        <v>71</v>
      </c>
      <c r="P53" s="3" t="s">
        <v>370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>
        <v>2250</v>
      </c>
      <c r="AL53" s="4">
        <v>43202</v>
      </c>
      <c r="AM53" s="3"/>
      <c r="AN53" s="3" t="s">
        <v>143</v>
      </c>
    </row>
    <row r="54" spans="1:40" ht="27.75">
      <c r="A54" s="3">
        <v>48</v>
      </c>
      <c r="B54" s="3" t="str">
        <f>"201700095975"</f>
        <v>201700095975</v>
      </c>
      <c r="C54" s="3">
        <v>129497</v>
      </c>
      <c r="D54" s="3" t="s">
        <v>371</v>
      </c>
      <c r="E54" s="3">
        <v>20449333731</v>
      </c>
      <c r="F54" s="3" t="s">
        <v>372</v>
      </c>
      <c r="G54" s="3" t="s">
        <v>373</v>
      </c>
      <c r="H54" s="3" t="s">
        <v>109</v>
      </c>
      <c r="I54" s="3" t="s">
        <v>109</v>
      </c>
      <c r="J54" s="3" t="s">
        <v>109</v>
      </c>
      <c r="K54" s="3"/>
      <c r="L54" s="3"/>
      <c r="M54" s="3"/>
      <c r="N54" s="3"/>
      <c r="O54" s="3" t="s">
        <v>46</v>
      </c>
      <c r="P54" s="3" t="s">
        <v>374</v>
      </c>
      <c r="Q54" s="3" t="s">
        <v>375</v>
      </c>
      <c r="R54" s="3" t="s">
        <v>376</v>
      </c>
      <c r="S54" s="3" t="s">
        <v>377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>
        <v>13600</v>
      </c>
      <c r="AL54" s="4">
        <v>42911</v>
      </c>
      <c r="AM54" s="3"/>
      <c r="AN54" s="3" t="s">
        <v>378</v>
      </c>
    </row>
    <row r="55" spans="1:40" ht="13.5">
      <c r="A55" s="3">
        <v>49</v>
      </c>
      <c r="B55" s="3" t="str">
        <f>"201800004652"</f>
        <v>201800004652</v>
      </c>
      <c r="C55" s="3">
        <v>133984</v>
      </c>
      <c r="D55" s="3" t="s">
        <v>379</v>
      </c>
      <c r="E55" s="3">
        <v>20503840121</v>
      </c>
      <c r="F55" s="3" t="s">
        <v>380</v>
      </c>
      <c r="G55" s="3" t="s">
        <v>381</v>
      </c>
      <c r="H55" s="3" t="s">
        <v>59</v>
      </c>
      <c r="I55" s="3" t="s">
        <v>59</v>
      </c>
      <c r="J55" s="3" t="s">
        <v>382</v>
      </c>
      <c r="K55" s="3"/>
      <c r="L55" s="3"/>
      <c r="M55" s="3"/>
      <c r="N55" s="3"/>
      <c r="O55" s="3" t="s">
        <v>71</v>
      </c>
      <c r="P55" s="3" t="s">
        <v>383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>
        <v>6500</v>
      </c>
      <c r="AL55" s="4">
        <v>43117</v>
      </c>
      <c r="AM55" s="3"/>
      <c r="AN55" s="3" t="s">
        <v>384</v>
      </c>
    </row>
    <row r="56" spans="1:40" ht="27.75">
      <c r="A56" s="3">
        <v>50</v>
      </c>
      <c r="B56" s="3" t="str">
        <f>"201700061846"</f>
        <v>201700061846</v>
      </c>
      <c r="C56" s="3">
        <v>107122</v>
      </c>
      <c r="D56" s="3" t="s">
        <v>385</v>
      </c>
      <c r="E56" s="3">
        <v>20601153280</v>
      </c>
      <c r="F56" s="3" t="s">
        <v>386</v>
      </c>
      <c r="G56" s="3" t="s">
        <v>387</v>
      </c>
      <c r="H56" s="3" t="s">
        <v>388</v>
      </c>
      <c r="I56" s="3" t="s">
        <v>389</v>
      </c>
      <c r="J56" s="3" t="s">
        <v>390</v>
      </c>
      <c r="K56" s="3" t="s">
        <v>387</v>
      </c>
      <c r="L56" s="3" t="s">
        <v>388</v>
      </c>
      <c r="M56" s="3" t="s">
        <v>389</v>
      </c>
      <c r="N56" s="3" t="s">
        <v>390</v>
      </c>
      <c r="O56" s="3" t="s">
        <v>46</v>
      </c>
      <c r="P56" s="3" t="s">
        <v>391</v>
      </c>
      <c r="Q56" s="3" t="s">
        <v>392</v>
      </c>
      <c r="R56" s="3" t="s">
        <v>393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>
        <v>14000</v>
      </c>
      <c r="AL56" s="4">
        <v>42849</v>
      </c>
      <c r="AM56" s="3"/>
      <c r="AN56" s="3" t="s">
        <v>394</v>
      </c>
    </row>
    <row r="57" spans="1:40" ht="13.5">
      <c r="A57" s="3">
        <v>51</v>
      </c>
      <c r="B57" s="3" t="str">
        <f>"201800016015"</f>
        <v>201800016015</v>
      </c>
      <c r="C57" s="3">
        <v>85858</v>
      </c>
      <c r="D57" s="3" t="s">
        <v>395</v>
      </c>
      <c r="E57" s="3">
        <v>20566226830</v>
      </c>
      <c r="F57" s="3" t="s">
        <v>396</v>
      </c>
      <c r="G57" s="3" t="s">
        <v>397</v>
      </c>
      <c r="H57" s="3" t="s">
        <v>59</v>
      </c>
      <c r="I57" s="3" t="s">
        <v>59</v>
      </c>
      <c r="J57" s="3" t="s">
        <v>93</v>
      </c>
      <c r="K57" s="3"/>
      <c r="L57" s="3"/>
      <c r="M57" s="3"/>
      <c r="N57" s="3"/>
      <c r="O57" s="3" t="s">
        <v>71</v>
      </c>
      <c r="P57" s="3" t="s">
        <v>398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>
        <v>6000</v>
      </c>
      <c r="AL57" s="4">
        <v>43139</v>
      </c>
      <c r="AM57" s="3"/>
      <c r="AN57" s="3" t="s">
        <v>399</v>
      </c>
    </row>
    <row r="58" spans="1:40" ht="13.5">
      <c r="A58" s="3">
        <v>52</v>
      </c>
      <c r="B58" s="3" t="str">
        <f>"201800198535"</f>
        <v>201800198535</v>
      </c>
      <c r="C58" s="3">
        <v>119604</v>
      </c>
      <c r="D58" s="3" t="s">
        <v>400</v>
      </c>
      <c r="E58" s="3">
        <v>20452453909</v>
      </c>
      <c r="F58" s="3" t="s">
        <v>401</v>
      </c>
      <c r="G58" s="3" t="s">
        <v>402</v>
      </c>
      <c r="H58" s="3" t="s">
        <v>197</v>
      </c>
      <c r="I58" s="3" t="s">
        <v>197</v>
      </c>
      <c r="J58" s="3" t="s">
        <v>403</v>
      </c>
      <c r="K58" s="3" t="s">
        <v>402</v>
      </c>
      <c r="L58" s="3" t="s">
        <v>197</v>
      </c>
      <c r="M58" s="3" t="s">
        <v>197</v>
      </c>
      <c r="N58" s="3" t="s">
        <v>403</v>
      </c>
      <c r="O58" s="3" t="s">
        <v>46</v>
      </c>
      <c r="P58" s="3" t="s">
        <v>404</v>
      </c>
      <c r="Q58" s="3" t="s">
        <v>405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>
        <v>11700</v>
      </c>
      <c r="AL58" s="4">
        <v>43441</v>
      </c>
      <c r="AM58" s="3"/>
      <c r="AN58" s="3" t="s">
        <v>406</v>
      </c>
    </row>
    <row r="59" spans="1:40" ht="27.75">
      <c r="A59" s="3">
        <v>53</v>
      </c>
      <c r="B59" s="3" t="str">
        <f>"202000114589"</f>
        <v>202000114589</v>
      </c>
      <c r="C59" s="3">
        <v>149850</v>
      </c>
      <c r="D59" s="3" t="s">
        <v>407</v>
      </c>
      <c r="E59" s="3">
        <v>20600500881</v>
      </c>
      <c r="F59" s="3" t="s">
        <v>408</v>
      </c>
      <c r="G59" s="3" t="s">
        <v>409</v>
      </c>
      <c r="H59" s="3" t="s">
        <v>219</v>
      </c>
      <c r="I59" s="3" t="s">
        <v>220</v>
      </c>
      <c r="J59" s="3" t="s">
        <v>410</v>
      </c>
      <c r="K59" s="3" t="s">
        <v>411</v>
      </c>
      <c r="L59" s="3" t="s">
        <v>219</v>
      </c>
      <c r="M59" s="3" t="s">
        <v>220</v>
      </c>
      <c r="N59" s="3" t="s">
        <v>410</v>
      </c>
      <c r="O59" s="3" t="s">
        <v>46</v>
      </c>
      <c r="P59" s="3" t="s">
        <v>412</v>
      </c>
      <c r="Q59" s="3" t="s">
        <v>413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>
        <v>14600</v>
      </c>
      <c r="AL59" s="4">
        <v>44078</v>
      </c>
      <c r="AM59" s="3"/>
      <c r="AN59" s="3" t="s">
        <v>414</v>
      </c>
    </row>
    <row r="60" spans="1:40" ht="13.5">
      <c r="A60" s="3">
        <v>54</v>
      </c>
      <c r="B60" s="3" t="str">
        <f>"201500089795"</f>
        <v>201500089795</v>
      </c>
      <c r="C60" s="3">
        <v>116321</v>
      </c>
      <c r="D60" s="3" t="s">
        <v>415</v>
      </c>
      <c r="E60" s="3">
        <v>20542206188</v>
      </c>
      <c r="F60" s="3" t="s">
        <v>416</v>
      </c>
      <c r="G60" s="3" t="s">
        <v>417</v>
      </c>
      <c r="H60" s="3" t="s">
        <v>175</v>
      </c>
      <c r="I60" s="3" t="s">
        <v>175</v>
      </c>
      <c r="J60" s="3" t="s">
        <v>418</v>
      </c>
      <c r="K60" s="3" t="s">
        <v>417</v>
      </c>
      <c r="L60" s="3" t="s">
        <v>175</v>
      </c>
      <c r="M60" s="3" t="s">
        <v>175</v>
      </c>
      <c r="N60" s="3" t="s">
        <v>418</v>
      </c>
      <c r="O60" s="3" t="s">
        <v>71</v>
      </c>
      <c r="P60" s="3" t="s">
        <v>419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>
        <v>2200</v>
      </c>
      <c r="AL60" s="4">
        <v>42201</v>
      </c>
      <c r="AM60" s="3"/>
      <c r="AN60" s="3" t="s">
        <v>420</v>
      </c>
    </row>
    <row r="61" spans="1:40" ht="13.5">
      <c r="A61" s="3">
        <v>55</v>
      </c>
      <c r="B61" s="3" t="str">
        <f>"201600002912"</f>
        <v>201600002912</v>
      </c>
      <c r="C61" s="3">
        <v>119359</v>
      </c>
      <c r="D61" s="3" t="s">
        <v>421</v>
      </c>
      <c r="E61" s="3">
        <v>20482008691</v>
      </c>
      <c r="F61" s="3" t="s">
        <v>422</v>
      </c>
      <c r="G61" s="3" t="s">
        <v>423</v>
      </c>
      <c r="H61" s="3" t="s">
        <v>85</v>
      </c>
      <c r="I61" s="3" t="s">
        <v>86</v>
      </c>
      <c r="J61" s="3" t="s">
        <v>115</v>
      </c>
      <c r="K61" s="3"/>
      <c r="L61" s="3"/>
      <c r="M61" s="3"/>
      <c r="N61" s="3"/>
      <c r="O61" s="3" t="s">
        <v>46</v>
      </c>
      <c r="P61" s="3" t="s">
        <v>424</v>
      </c>
      <c r="Q61" s="3" t="s">
        <v>425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>
        <v>14000</v>
      </c>
      <c r="AL61" s="4">
        <v>42388</v>
      </c>
      <c r="AM61" s="3"/>
      <c r="AN61" s="3" t="s">
        <v>426</v>
      </c>
    </row>
    <row r="62" spans="1:40" ht="13.5">
      <c r="A62" s="3">
        <v>56</v>
      </c>
      <c r="B62" s="3" t="str">
        <f>"201700017472"</f>
        <v>201700017472</v>
      </c>
      <c r="C62" s="3">
        <v>126416</v>
      </c>
      <c r="D62" s="3" t="s">
        <v>427</v>
      </c>
      <c r="E62" s="3">
        <v>20563701537</v>
      </c>
      <c r="F62" s="3" t="s">
        <v>428</v>
      </c>
      <c r="G62" s="3" t="s">
        <v>429</v>
      </c>
      <c r="H62" s="3" t="s">
        <v>59</v>
      </c>
      <c r="I62" s="3" t="s">
        <v>59</v>
      </c>
      <c r="J62" s="3" t="s">
        <v>382</v>
      </c>
      <c r="K62" s="3" t="s">
        <v>430</v>
      </c>
      <c r="L62" s="3" t="s">
        <v>59</v>
      </c>
      <c r="M62" s="3" t="s">
        <v>59</v>
      </c>
      <c r="N62" s="3" t="s">
        <v>382</v>
      </c>
      <c r="O62" s="3" t="s">
        <v>46</v>
      </c>
      <c r="P62" s="3" t="s">
        <v>431</v>
      </c>
      <c r="Q62" s="3" t="s">
        <v>432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>
        <v>1800</v>
      </c>
      <c r="AL62" s="4">
        <v>42792</v>
      </c>
      <c r="AM62" s="3"/>
      <c r="AN62" s="3" t="s">
        <v>433</v>
      </c>
    </row>
    <row r="63" spans="1:40" ht="27.75">
      <c r="A63" s="3">
        <v>57</v>
      </c>
      <c r="B63" s="3" t="str">
        <f>"201600061384"</f>
        <v>201600061384</v>
      </c>
      <c r="C63" s="3">
        <v>121115</v>
      </c>
      <c r="D63" s="3" t="s">
        <v>434</v>
      </c>
      <c r="E63" s="3">
        <v>20549642340</v>
      </c>
      <c r="F63" s="3" t="s">
        <v>435</v>
      </c>
      <c r="G63" s="3" t="s">
        <v>436</v>
      </c>
      <c r="H63" s="3" t="s">
        <v>59</v>
      </c>
      <c r="I63" s="3" t="s">
        <v>59</v>
      </c>
      <c r="J63" s="3" t="s">
        <v>229</v>
      </c>
      <c r="K63" s="3" t="s">
        <v>436</v>
      </c>
      <c r="L63" s="3" t="s">
        <v>59</v>
      </c>
      <c r="M63" s="3" t="s">
        <v>59</v>
      </c>
      <c r="N63" s="3" t="s">
        <v>229</v>
      </c>
      <c r="O63" s="3" t="s">
        <v>71</v>
      </c>
      <c r="P63" s="3" t="s">
        <v>437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>
        <v>3000</v>
      </c>
      <c r="AL63" s="4">
        <v>42513</v>
      </c>
      <c r="AM63" s="3"/>
      <c r="AN63" s="3" t="s">
        <v>438</v>
      </c>
    </row>
    <row r="64" spans="1:40" ht="27.75">
      <c r="A64" s="3">
        <v>58</v>
      </c>
      <c r="B64" s="3" t="str">
        <f>"201600109598"</f>
        <v>201600109598</v>
      </c>
      <c r="C64" s="3">
        <v>122980</v>
      </c>
      <c r="D64" s="3" t="s">
        <v>439</v>
      </c>
      <c r="E64" s="3">
        <v>20601162386</v>
      </c>
      <c r="F64" s="3" t="s">
        <v>440</v>
      </c>
      <c r="G64" s="3" t="s">
        <v>441</v>
      </c>
      <c r="H64" s="3" t="s">
        <v>59</v>
      </c>
      <c r="I64" s="3" t="s">
        <v>59</v>
      </c>
      <c r="J64" s="3" t="s">
        <v>442</v>
      </c>
      <c r="K64" s="3"/>
      <c r="L64" s="3"/>
      <c r="M64" s="3"/>
      <c r="N64" s="3"/>
      <c r="O64" s="3" t="s">
        <v>71</v>
      </c>
      <c r="P64" s="3" t="s">
        <v>443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>
        <v>5500</v>
      </c>
      <c r="AL64" s="4">
        <v>42576</v>
      </c>
      <c r="AM64" s="3"/>
      <c r="AN64" s="3" t="s">
        <v>444</v>
      </c>
    </row>
    <row r="65" spans="1:40" ht="13.5">
      <c r="A65" s="3">
        <v>59</v>
      </c>
      <c r="B65" s="3" t="str">
        <f>"201300112230"</f>
        <v>201300112230</v>
      </c>
      <c r="C65" s="3">
        <v>90539</v>
      </c>
      <c r="D65" s="3" t="s">
        <v>445</v>
      </c>
      <c r="E65" s="3">
        <v>20552108885</v>
      </c>
      <c r="F65" s="3" t="s">
        <v>132</v>
      </c>
      <c r="G65" s="3" t="s">
        <v>133</v>
      </c>
      <c r="H65" s="3" t="s">
        <v>59</v>
      </c>
      <c r="I65" s="3" t="s">
        <v>59</v>
      </c>
      <c r="J65" s="3" t="s">
        <v>134</v>
      </c>
      <c r="K65" s="3" t="s">
        <v>133</v>
      </c>
      <c r="L65" s="3" t="s">
        <v>59</v>
      </c>
      <c r="M65" s="3" t="s">
        <v>59</v>
      </c>
      <c r="N65" s="3" t="s">
        <v>134</v>
      </c>
      <c r="O65" s="3" t="s">
        <v>71</v>
      </c>
      <c r="P65" s="3" t="s">
        <v>446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>
        <v>3000</v>
      </c>
      <c r="AL65" s="4">
        <v>41465</v>
      </c>
      <c r="AM65" s="3"/>
      <c r="AN65" s="3" t="s">
        <v>447</v>
      </c>
    </row>
    <row r="66" spans="1:40" ht="13.5">
      <c r="A66" s="3">
        <v>60</v>
      </c>
      <c r="B66" s="3" t="str">
        <f>"201800209095"</f>
        <v>201800209095</v>
      </c>
      <c r="C66" s="3">
        <v>140399</v>
      </c>
      <c r="D66" s="3" t="s">
        <v>448</v>
      </c>
      <c r="E66" s="3">
        <v>10419459211</v>
      </c>
      <c r="F66" s="3" t="s">
        <v>449</v>
      </c>
      <c r="G66" s="3" t="s">
        <v>450</v>
      </c>
      <c r="H66" s="3" t="s">
        <v>85</v>
      </c>
      <c r="I66" s="3" t="s">
        <v>86</v>
      </c>
      <c r="J66" s="3" t="s">
        <v>86</v>
      </c>
      <c r="K66" s="3"/>
      <c r="L66" s="3"/>
      <c r="M66" s="3"/>
      <c r="N66" s="3"/>
      <c r="O66" s="3" t="s">
        <v>46</v>
      </c>
      <c r="P66" s="3" t="s">
        <v>451</v>
      </c>
      <c r="Q66" s="3" t="s">
        <v>452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>
        <v>14000</v>
      </c>
      <c r="AL66" s="4">
        <v>43452</v>
      </c>
      <c r="AM66" s="3"/>
      <c r="AN66" s="3" t="s">
        <v>449</v>
      </c>
    </row>
    <row r="67" spans="1:40" ht="13.5">
      <c r="A67" s="3">
        <v>61</v>
      </c>
      <c r="B67" s="3" t="str">
        <f>"201500169913"</f>
        <v>201500169913</v>
      </c>
      <c r="C67" s="3">
        <v>117581</v>
      </c>
      <c r="D67" s="3" t="s">
        <v>453</v>
      </c>
      <c r="E67" s="3">
        <v>20487420337</v>
      </c>
      <c r="F67" s="3" t="s">
        <v>454</v>
      </c>
      <c r="G67" s="3" t="s">
        <v>455</v>
      </c>
      <c r="H67" s="3" t="s">
        <v>161</v>
      </c>
      <c r="I67" s="3" t="s">
        <v>162</v>
      </c>
      <c r="J67" s="3" t="s">
        <v>163</v>
      </c>
      <c r="K67" s="3"/>
      <c r="L67" s="3"/>
      <c r="M67" s="3"/>
      <c r="N67" s="3"/>
      <c r="O67" s="3" t="s">
        <v>46</v>
      </c>
      <c r="P67" s="3" t="s">
        <v>456</v>
      </c>
      <c r="Q67" s="3" t="s">
        <v>457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>
        <v>14000</v>
      </c>
      <c r="AL67" s="4">
        <v>42361</v>
      </c>
      <c r="AM67" s="3"/>
      <c r="AN67" s="3" t="s">
        <v>458</v>
      </c>
    </row>
    <row r="68" spans="1:40" ht="13.5">
      <c r="A68" s="3">
        <v>62</v>
      </c>
      <c r="B68" s="3" t="str">
        <f>"201700116554"</f>
        <v>201700116554</v>
      </c>
      <c r="C68" s="3">
        <v>82821</v>
      </c>
      <c r="D68" s="3" t="s">
        <v>459</v>
      </c>
      <c r="E68" s="3">
        <v>20507034013</v>
      </c>
      <c r="F68" s="3" t="s">
        <v>460</v>
      </c>
      <c r="G68" s="3" t="s">
        <v>461</v>
      </c>
      <c r="H68" s="3" t="s">
        <v>59</v>
      </c>
      <c r="I68" s="3" t="s">
        <v>59</v>
      </c>
      <c r="J68" s="3" t="s">
        <v>462</v>
      </c>
      <c r="K68" s="3"/>
      <c r="L68" s="3"/>
      <c r="M68" s="3"/>
      <c r="N68" s="3"/>
      <c r="O68" s="3" t="s">
        <v>71</v>
      </c>
      <c r="P68" s="3" t="s">
        <v>463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>
        <v>4300</v>
      </c>
      <c r="AL68" s="4">
        <v>42941</v>
      </c>
      <c r="AM68" s="3"/>
      <c r="AN68" s="3" t="s">
        <v>464</v>
      </c>
    </row>
    <row r="69" spans="1:40" ht="13.5">
      <c r="A69" s="3">
        <v>63</v>
      </c>
      <c r="B69" s="3" t="str">
        <f>"201900093364"</f>
        <v>201900093364</v>
      </c>
      <c r="C69" s="3">
        <v>103096</v>
      </c>
      <c r="D69" s="3" t="s">
        <v>465</v>
      </c>
      <c r="E69" s="3">
        <v>20532062633</v>
      </c>
      <c r="F69" s="3" t="s">
        <v>336</v>
      </c>
      <c r="G69" s="3" t="s">
        <v>338</v>
      </c>
      <c r="H69" s="3" t="s">
        <v>59</v>
      </c>
      <c r="I69" s="3" t="s">
        <v>59</v>
      </c>
      <c r="J69" s="3" t="s">
        <v>213</v>
      </c>
      <c r="K69" s="3" t="s">
        <v>338</v>
      </c>
      <c r="L69" s="3" t="s">
        <v>59</v>
      </c>
      <c r="M69" s="3" t="s">
        <v>59</v>
      </c>
      <c r="N69" s="3" t="s">
        <v>213</v>
      </c>
      <c r="O69" s="3" t="s">
        <v>46</v>
      </c>
      <c r="P69" s="3" t="s">
        <v>466</v>
      </c>
      <c r="Q69" s="3" t="s">
        <v>341</v>
      </c>
      <c r="R69" s="3" t="s">
        <v>343</v>
      </c>
      <c r="S69" s="3" t="s">
        <v>342</v>
      </c>
      <c r="T69" s="3" t="s">
        <v>340</v>
      </c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>
        <v>13600</v>
      </c>
      <c r="AL69" s="4">
        <v>43634</v>
      </c>
      <c r="AM69" s="3"/>
      <c r="AN69" s="3" t="s">
        <v>467</v>
      </c>
    </row>
    <row r="70" spans="1:40" ht="13.5">
      <c r="A70" s="3">
        <v>64</v>
      </c>
      <c r="B70" s="3" t="str">
        <f>"201900140750"</f>
        <v>201900140750</v>
      </c>
      <c r="C70" s="3">
        <v>146233</v>
      </c>
      <c r="D70" s="3" t="s">
        <v>468</v>
      </c>
      <c r="E70" s="3">
        <v>10215437561</v>
      </c>
      <c r="F70" s="3" t="s">
        <v>469</v>
      </c>
      <c r="G70" s="3" t="s">
        <v>470</v>
      </c>
      <c r="H70" s="3" t="s">
        <v>197</v>
      </c>
      <c r="I70" s="3" t="s">
        <v>197</v>
      </c>
      <c r="J70" s="3" t="s">
        <v>403</v>
      </c>
      <c r="K70" s="3" t="s">
        <v>470</v>
      </c>
      <c r="L70" s="3" t="s">
        <v>197</v>
      </c>
      <c r="M70" s="3" t="s">
        <v>197</v>
      </c>
      <c r="N70" s="3" t="s">
        <v>403</v>
      </c>
      <c r="O70" s="3" t="s">
        <v>71</v>
      </c>
      <c r="P70" s="3" t="s">
        <v>471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>
        <v>6500</v>
      </c>
      <c r="AL70" s="4">
        <v>43705</v>
      </c>
      <c r="AM70" s="3"/>
      <c r="AN70" s="3" t="s">
        <v>469</v>
      </c>
    </row>
    <row r="71" spans="1:40" ht="13.5">
      <c r="A71" s="3">
        <v>65</v>
      </c>
      <c r="B71" s="3" t="str">
        <f>"1451028"</f>
        <v>1451028</v>
      </c>
      <c r="C71" s="3">
        <v>90183</v>
      </c>
      <c r="D71" s="3" t="s">
        <v>472</v>
      </c>
      <c r="E71" s="3">
        <v>10164169150</v>
      </c>
      <c r="F71" s="3" t="s">
        <v>83</v>
      </c>
      <c r="G71" s="3" t="s">
        <v>473</v>
      </c>
      <c r="H71" s="3" t="s">
        <v>161</v>
      </c>
      <c r="I71" s="3" t="s">
        <v>162</v>
      </c>
      <c r="J71" s="3" t="s">
        <v>474</v>
      </c>
      <c r="K71" s="3" t="s">
        <v>473</v>
      </c>
      <c r="L71" s="3" t="s">
        <v>161</v>
      </c>
      <c r="M71" s="3" t="s">
        <v>162</v>
      </c>
      <c r="N71" s="3" t="s">
        <v>474</v>
      </c>
      <c r="O71" s="3" t="s">
        <v>71</v>
      </c>
      <c r="P71" s="3" t="s">
        <v>475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>
        <v>6700</v>
      </c>
      <c r="AL71" s="4">
        <v>40540</v>
      </c>
      <c r="AM71" s="3"/>
      <c r="AN71" s="3" t="s">
        <v>83</v>
      </c>
    </row>
    <row r="72" spans="1:40" ht="13.5">
      <c r="A72" s="3">
        <v>66</v>
      </c>
      <c r="B72" s="3" t="str">
        <f>"201900034651"</f>
        <v>201900034651</v>
      </c>
      <c r="C72" s="3">
        <v>97980</v>
      </c>
      <c r="D72" s="3" t="s">
        <v>476</v>
      </c>
      <c r="E72" s="3">
        <v>20231266993</v>
      </c>
      <c r="F72" s="3" t="s">
        <v>477</v>
      </c>
      <c r="G72" s="3" t="s">
        <v>478</v>
      </c>
      <c r="H72" s="3" t="s">
        <v>175</v>
      </c>
      <c r="I72" s="3" t="s">
        <v>175</v>
      </c>
      <c r="J72" s="3" t="s">
        <v>176</v>
      </c>
      <c r="K72" s="3"/>
      <c r="L72" s="3"/>
      <c r="M72" s="3"/>
      <c r="N72" s="3"/>
      <c r="O72" s="3" t="s">
        <v>46</v>
      </c>
      <c r="P72" s="3" t="s">
        <v>479</v>
      </c>
      <c r="Q72" s="3" t="s">
        <v>480</v>
      </c>
      <c r="R72" s="3" t="s">
        <v>481</v>
      </c>
      <c r="S72" s="3" t="s">
        <v>482</v>
      </c>
      <c r="T72" s="3" t="s">
        <v>483</v>
      </c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>
        <v>13600</v>
      </c>
      <c r="AL72" s="4">
        <v>43530</v>
      </c>
      <c r="AM72" s="3"/>
      <c r="AN72" s="3" t="s">
        <v>178</v>
      </c>
    </row>
    <row r="73" spans="1:40" ht="27.75">
      <c r="A73" s="3">
        <v>67</v>
      </c>
      <c r="B73" s="3" t="str">
        <f>"201800178972"</f>
        <v>201800178972</v>
      </c>
      <c r="C73" s="3">
        <v>119185</v>
      </c>
      <c r="D73" s="3" t="s">
        <v>484</v>
      </c>
      <c r="E73" s="3">
        <v>20409221212</v>
      </c>
      <c r="F73" s="3" t="s">
        <v>485</v>
      </c>
      <c r="G73" s="3" t="s">
        <v>486</v>
      </c>
      <c r="H73" s="3" t="s">
        <v>332</v>
      </c>
      <c r="I73" s="3" t="s">
        <v>332</v>
      </c>
      <c r="J73" s="3" t="s">
        <v>332</v>
      </c>
      <c r="K73" s="3" t="s">
        <v>486</v>
      </c>
      <c r="L73" s="3" t="s">
        <v>332</v>
      </c>
      <c r="M73" s="3" t="s">
        <v>332</v>
      </c>
      <c r="N73" s="3" t="s">
        <v>332</v>
      </c>
      <c r="O73" s="3" t="s">
        <v>71</v>
      </c>
      <c r="P73" s="3" t="s">
        <v>487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>
        <v>2200</v>
      </c>
      <c r="AL73" s="4">
        <v>43428</v>
      </c>
      <c r="AM73" s="3"/>
      <c r="AN73" s="3" t="s">
        <v>488</v>
      </c>
    </row>
    <row r="74" spans="1:40" ht="13.5">
      <c r="A74" s="3">
        <v>68</v>
      </c>
      <c r="B74" s="3" t="str">
        <f>"201700050955"</f>
        <v>201700050955</v>
      </c>
      <c r="C74" s="3">
        <v>127739</v>
      </c>
      <c r="D74" s="3" t="s">
        <v>489</v>
      </c>
      <c r="E74" s="3">
        <v>20486109603</v>
      </c>
      <c r="F74" s="3" t="s">
        <v>490</v>
      </c>
      <c r="G74" s="3" t="s">
        <v>450</v>
      </c>
      <c r="H74" s="3" t="s">
        <v>85</v>
      </c>
      <c r="I74" s="3" t="s">
        <v>86</v>
      </c>
      <c r="J74" s="3" t="s">
        <v>86</v>
      </c>
      <c r="K74" s="3"/>
      <c r="L74" s="3"/>
      <c r="M74" s="3"/>
      <c r="N74" s="3"/>
      <c r="O74" s="3" t="s">
        <v>46</v>
      </c>
      <c r="P74" s="3" t="s">
        <v>491</v>
      </c>
      <c r="Q74" s="3" t="s">
        <v>492</v>
      </c>
      <c r="R74" s="3" t="s">
        <v>493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>
        <v>12350</v>
      </c>
      <c r="AL74" s="4">
        <v>42842</v>
      </c>
      <c r="AM74" s="3"/>
      <c r="AN74" s="3" t="s">
        <v>494</v>
      </c>
    </row>
    <row r="75" spans="1:40" ht="27.75">
      <c r="A75" s="3">
        <v>69</v>
      </c>
      <c r="B75" s="3" t="str">
        <f>"201500138179"</f>
        <v>201500138179</v>
      </c>
      <c r="C75" s="3">
        <v>118039</v>
      </c>
      <c r="D75" s="3" t="s">
        <v>495</v>
      </c>
      <c r="E75" s="3">
        <v>20600430891</v>
      </c>
      <c r="F75" s="3" t="s">
        <v>496</v>
      </c>
      <c r="G75" s="3" t="s">
        <v>497</v>
      </c>
      <c r="H75" s="3" t="s">
        <v>161</v>
      </c>
      <c r="I75" s="3" t="s">
        <v>162</v>
      </c>
      <c r="J75" s="3" t="s">
        <v>162</v>
      </c>
      <c r="K75" s="3"/>
      <c r="L75" s="3"/>
      <c r="M75" s="3"/>
      <c r="N75" s="3"/>
      <c r="O75" s="3" t="s">
        <v>71</v>
      </c>
      <c r="P75" s="3" t="s">
        <v>498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>
        <v>2200</v>
      </c>
      <c r="AL75" s="4">
        <v>42294</v>
      </c>
      <c r="AM75" s="3"/>
      <c r="AN75" s="3" t="s">
        <v>499</v>
      </c>
    </row>
    <row r="76" spans="1:40" ht="13.5">
      <c r="A76" s="3">
        <v>70</v>
      </c>
      <c r="B76" s="3" t="str">
        <f>"201800000786"</f>
        <v>201800000786</v>
      </c>
      <c r="C76" s="3">
        <v>133860</v>
      </c>
      <c r="D76" s="3" t="s">
        <v>500</v>
      </c>
      <c r="E76" s="3">
        <v>20548253315</v>
      </c>
      <c r="F76" s="3" t="s">
        <v>501</v>
      </c>
      <c r="G76" s="3" t="s">
        <v>502</v>
      </c>
      <c r="H76" s="3" t="s">
        <v>59</v>
      </c>
      <c r="I76" s="3" t="s">
        <v>59</v>
      </c>
      <c r="J76" s="3" t="s">
        <v>59</v>
      </c>
      <c r="K76" s="3"/>
      <c r="L76" s="3"/>
      <c r="M76" s="3"/>
      <c r="N76" s="3"/>
      <c r="O76" s="3" t="s">
        <v>71</v>
      </c>
      <c r="P76" s="3" t="s">
        <v>503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>
        <v>6500</v>
      </c>
      <c r="AL76" s="4">
        <v>43110</v>
      </c>
      <c r="AM76" s="3"/>
      <c r="AN76" s="3" t="s">
        <v>504</v>
      </c>
    </row>
    <row r="77" spans="1:40" ht="27.75">
      <c r="A77" s="3">
        <v>71</v>
      </c>
      <c r="B77" s="3" t="str">
        <f>"201900213651"</f>
        <v>201900213651</v>
      </c>
      <c r="C77" s="3">
        <v>148465</v>
      </c>
      <c r="D77" s="3" t="s">
        <v>505</v>
      </c>
      <c r="E77" s="3">
        <v>20605583572</v>
      </c>
      <c r="F77" s="3" t="s">
        <v>506</v>
      </c>
      <c r="G77" s="3" t="s">
        <v>507</v>
      </c>
      <c r="H77" s="3" t="s">
        <v>127</v>
      </c>
      <c r="I77" s="3" t="s">
        <v>127</v>
      </c>
      <c r="J77" s="3" t="s">
        <v>508</v>
      </c>
      <c r="K77" s="3" t="s">
        <v>509</v>
      </c>
      <c r="L77" s="3" t="s">
        <v>127</v>
      </c>
      <c r="M77" s="3" t="s">
        <v>127</v>
      </c>
      <c r="N77" s="3" t="s">
        <v>508</v>
      </c>
      <c r="O77" s="3" t="s">
        <v>71</v>
      </c>
      <c r="P77" s="3" t="s">
        <v>510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>
        <v>2000</v>
      </c>
      <c r="AL77" s="4">
        <v>43828</v>
      </c>
      <c r="AM77" s="3"/>
      <c r="AN77" s="3" t="s">
        <v>511</v>
      </c>
    </row>
    <row r="78" spans="1:40" ht="13.5">
      <c r="A78" s="3">
        <v>72</v>
      </c>
      <c r="B78" s="3" t="str">
        <f>"201900028033"</f>
        <v>201900028033</v>
      </c>
      <c r="C78" s="3">
        <v>91124</v>
      </c>
      <c r="D78" s="3" t="s">
        <v>512</v>
      </c>
      <c r="E78" s="3">
        <v>20489713269</v>
      </c>
      <c r="F78" s="3" t="s">
        <v>513</v>
      </c>
      <c r="G78" s="3" t="s">
        <v>514</v>
      </c>
      <c r="H78" s="3" t="s">
        <v>515</v>
      </c>
      <c r="I78" s="3" t="s">
        <v>516</v>
      </c>
      <c r="J78" s="3" t="s">
        <v>517</v>
      </c>
      <c r="K78" s="3"/>
      <c r="L78" s="3"/>
      <c r="M78" s="3"/>
      <c r="N78" s="3"/>
      <c r="O78" s="3" t="s">
        <v>46</v>
      </c>
      <c r="P78" s="3" t="s">
        <v>518</v>
      </c>
      <c r="Q78" s="3" t="s">
        <v>519</v>
      </c>
      <c r="R78" s="3" t="s">
        <v>520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>
        <v>12000</v>
      </c>
      <c r="AL78" s="4">
        <v>43521</v>
      </c>
      <c r="AM78" s="3"/>
      <c r="AN78" s="3" t="s">
        <v>521</v>
      </c>
    </row>
    <row r="79" spans="1:40" ht="13.5">
      <c r="A79" s="3">
        <v>73</v>
      </c>
      <c r="B79" s="3" t="str">
        <f>"201700150173"</f>
        <v>201700150173</v>
      </c>
      <c r="C79" s="3">
        <v>44956</v>
      </c>
      <c r="D79" s="3" t="s">
        <v>522</v>
      </c>
      <c r="E79" s="3">
        <v>20566526710</v>
      </c>
      <c r="F79" s="3" t="s">
        <v>523</v>
      </c>
      <c r="G79" s="3" t="s">
        <v>524</v>
      </c>
      <c r="H79" s="3" t="s">
        <v>85</v>
      </c>
      <c r="I79" s="3" t="s">
        <v>86</v>
      </c>
      <c r="J79" s="3" t="s">
        <v>525</v>
      </c>
      <c r="K79" s="3"/>
      <c r="L79" s="3"/>
      <c r="M79" s="3"/>
      <c r="N79" s="3"/>
      <c r="O79" s="3" t="s">
        <v>71</v>
      </c>
      <c r="P79" s="3" t="s">
        <v>526</v>
      </c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>
        <v>5160</v>
      </c>
      <c r="AL79" s="4">
        <v>42997</v>
      </c>
      <c r="AM79" s="3"/>
      <c r="AN79" s="3" t="s">
        <v>527</v>
      </c>
    </row>
    <row r="80" spans="1:40" ht="27.75">
      <c r="A80" s="3">
        <v>74</v>
      </c>
      <c r="B80" s="3" t="str">
        <f>"201600040222"</f>
        <v>201600040222</v>
      </c>
      <c r="C80" s="3">
        <v>120476</v>
      </c>
      <c r="D80" s="3" t="s">
        <v>528</v>
      </c>
      <c r="E80" s="3">
        <v>20523147987</v>
      </c>
      <c r="F80" s="3" t="s">
        <v>529</v>
      </c>
      <c r="G80" s="3" t="s">
        <v>530</v>
      </c>
      <c r="H80" s="3" t="s">
        <v>59</v>
      </c>
      <c r="I80" s="3" t="s">
        <v>59</v>
      </c>
      <c r="J80" s="3" t="s">
        <v>70</v>
      </c>
      <c r="K80" s="3"/>
      <c r="L80" s="3"/>
      <c r="M80" s="3"/>
      <c r="N80" s="3"/>
      <c r="O80" s="3" t="s">
        <v>71</v>
      </c>
      <c r="P80" s="3" t="s">
        <v>531</v>
      </c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>
        <v>6800</v>
      </c>
      <c r="AL80" s="4">
        <v>42459</v>
      </c>
      <c r="AM80" s="3"/>
      <c r="AN80" s="3" t="s">
        <v>532</v>
      </c>
    </row>
    <row r="81" spans="1:40" ht="13.5">
      <c r="A81" s="3">
        <v>75</v>
      </c>
      <c r="B81" s="3" t="str">
        <f>"201600076569"</f>
        <v>201600076569</v>
      </c>
      <c r="C81" s="3">
        <v>121632</v>
      </c>
      <c r="D81" s="3" t="s">
        <v>533</v>
      </c>
      <c r="E81" s="3">
        <v>20601173311</v>
      </c>
      <c r="F81" s="3" t="s">
        <v>534</v>
      </c>
      <c r="G81" s="3" t="s">
        <v>535</v>
      </c>
      <c r="H81" s="3" t="s">
        <v>197</v>
      </c>
      <c r="I81" s="3" t="s">
        <v>536</v>
      </c>
      <c r="J81" s="3" t="s">
        <v>536</v>
      </c>
      <c r="K81" s="3" t="s">
        <v>537</v>
      </c>
      <c r="L81" s="3" t="s">
        <v>197</v>
      </c>
      <c r="M81" s="3" t="s">
        <v>536</v>
      </c>
      <c r="N81" s="3" t="s">
        <v>536</v>
      </c>
      <c r="O81" s="3" t="s">
        <v>71</v>
      </c>
      <c r="P81" s="3" t="s">
        <v>538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>
        <v>2000</v>
      </c>
      <c r="AL81" s="4">
        <v>42516</v>
      </c>
      <c r="AM81" s="3"/>
      <c r="AN81" s="3" t="s">
        <v>539</v>
      </c>
    </row>
    <row r="82" spans="1:40" ht="13.5">
      <c r="A82" s="3">
        <v>76</v>
      </c>
      <c r="B82" s="3" t="str">
        <f>"201400167133"</f>
        <v>201400167133</v>
      </c>
      <c r="C82" s="3">
        <v>99765</v>
      </c>
      <c r="D82" s="3" t="s">
        <v>540</v>
      </c>
      <c r="E82" s="3">
        <v>20231266993</v>
      </c>
      <c r="F82" s="3" t="s">
        <v>541</v>
      </c>
      <c r="G82" s="3" t="s">
        <v>478</v>
      </c>
      <c r="H82" s="3" t="s">
        <v>175</v>
      </c>
      <c r="I82" s="3" t="s">
        <v>175</v>
      </c>
      <c r="J82" s="3" t="s">
        <v>176</v>
      </c>
      <c r="K82" s="3" t="s">
        <v>478</v>
      </c>
      <c r="L82" s="3" t="s">
        <v>175</v>
      </c>
      <c r="M82" s="3" t="s">
        <v>175</v>
      </c>
      <c r="N82" s="3" t="s">
        <v>176</v>
      </c>
      <c r="O82" s="3" t="s">
        <v>71</v>
      </c>
      <c r="P82" s="3" t="s">
        <v>542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>
        <v>5000</v>
      </c>
      <c r="AL82" s="4">
        <v>41995</v>
      </c>
      <c r="AM82" s="3"/>
      <c r="AN82" s="3" t="s">
        <v>543</v>
      </c>
    </row>
    <row r="83" spans="1:40" ht="27.75">
      <c r="A83" s="3">
        <v>77</v>
      </c>
      <c r="B83" s="3" t="str">
        <f>"201800157972"</f>
        <v>201800157972</v>
      </c>
      <c r="C83" s="3">
        <v>138772</v>
      </c>
      <c r="D83" s="3" t="s">
        <v>544</v>
      </c>
      <c r="E83" s="3">
        <v>20574779899</v>
      </c>
      <c r="F83" s="3" t="s">
        <v>545</v>
      </c>
      <c r="G83" s="3" t="s">
        <v>546</v>
      </c>
      <c r="H83" s="3" t="s">
        <v>77</v>
      </c>
      <c r="I83" s="3" t="s">
        <v>78</v>
      </c>
      <c r="J83" s="3" t="s">
        <v>77</v>
      </c>
      <c r="K83" s="3"/>
      <c r="L83" s="3"/>
      <c r="M83" s="3"/>
      <c r="N83" s="3"/>
      <c r="O83" s="3" t="s">
        <v>71</v>
      </c>
      <c r="P83" s="3" t="s">
        <v>547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>
        <v>6400</v>
      </c>
      <c r="AL83" s="4">
        <v>43371</v>
      </c>
      <c r="AM83" s="3"/>
      <c r="AN83" s="3" t="s">
        <v>548</v>
      </c>
    </row>
    <row r="84" spans="1:40" ht="13.5">
      <c r="A84" s="3">
        <v>78</v>
      </c>
      <c r="B84" s="3" t="str">
        <f>"201900034660"</f>
        <v>201900034660</v>
      </c>
      <c r="C84" s="3">
        <v>96677</v>
      </c>
      <c r="D84" s="3" t="s">
        <v>549</v>
      </c>
      <c r="E84" s="3">
        <v>20231266993</v>
      </c>
      <c r="F84" s="3" t="s">
        <v>541</v>
      </c>
      <c r="G84" s="3" t="s">
        <v>478</v>
      </c>
      <c r="H84" s="3" t="s">
        <v>175</v>
      </c>
      <c r="I84" s="3" t="s">
        <v>175</v>
      </c>
      <c r="J84" s="3" t="s">
        <v>176</v>
      </c>
      <c r="K84" s="3"/>
      <c r="L84" s="3"/>
      <c r="M84" s="3"/>
      <c r="N84" s="3"/>
      <c r="O84" s="3" t="s">
        <v>46</v>
      </c>
      <c r="P84" s="3" t="s">
        <v>550</v>
      </c>
      <c r="Q84" s="3" t="s">
        <v>551</v>
      </c>
      <c r="R84" s="3" t="s">
        <v>482</v>
      </c>
      <c r="S84" s="3" t="s">
        <v>483</v>
      </c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>
        <v>14000</v>
      </c>
      <c r="AL84" s="4">
        <v>43531</v>
      </c>
      <c r="AM84" s="3"/>
      <c r="AN84" s="3" t="s">
        <v>178</v>
      </c>
    </row>
    <row r="85" spans="1:40" ht="27.75">
      <c r="A85" s="3">
        <v>79</v>
      </c>
      <c r="B85" s="3" t="str">
        <f>"201400103696"</f>
        <v>201400103696</v>
      </c>
      <c r="C85" s="3">
        <v>111002</v>
      </c>
      <c r="D85" s="3" t="s">
        <v>552</v>
      </c>
      <c r="E85" s="3">
        <v>20486255171</v>
      </c>
      <c r="F85" s="3" t="s">
        <v>553</v>
      </c>
      <c r="G85" s="3" t="s">
        <v>554</v>
      </c>
      <c r="H85" s="3" t="s">
        <v>59</v>
      </c>
      <c r="I85" s="3" t="s">
        <v>59</v>
      </c>
      <c r="J85" s="3" t="s">
        <v>555</v>
      </c>
      <c r="K85" s="3"/>
      <c r="L85" s="3"/>
      <c r="M85" s="3"/>
      <c r="N85" s="3"/>
      <c r="O85" s="3" t="s">
        <v>71</v>
      </c>
      <c r="P85" s="3" t="s">
        <v>556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>
        <v>3800</v>
      </c>
      <c r="AL85" s="4">
        <v>41862</v>
      </c>
      <c r="AM85" s="3"/>
      <c r="AN85" s="3" t="s">
        <v>557</v>
      </c>
    </row>
    <row r="86" spans="1:40" ht="13.5">
      <c r="A86" s="3">
        <v>80</v>
      </c>
      <c r="B86" s="3" t="str">
        <f>"201200146106"</f>
        <v>201200146106</v>
      </c>
      <c r="C86" s="3">
        <v>97698</v>
      </c>
      <c r="D86" s="3" t="s">
        <v>558</v>
      </c>
      <c r="E86" s="3">
        <v>20543736431</v>
      </c>
      <c r="F86" s="3" t="s">
        <v>559</v>
      </c>
      <c r="G86" s="3" t="s">
        <v>560</v>
      </c>
      <c r="H86" s="3" t="s">
        <v>59</v>
      </c>
      <c r="I86" s="3" t="s">
        <v>59</v>
      </c>
      <c r="J86" s="3" t="s">
        <v>153</v>
      </c>
      <c r="K86" s="3" t="s">
        <v>561</v>
      </c>
      <c r="L86" s="3" t="s">
        <v>59</v>
      </c>
      <c r="M86" s="3" t="s">
        <v>59</v>
      </c>
      <c r="N86" s="3" t="s">
        <v>153</v>
      </c>
      <c r="O86" s="3" t="s">
        <v>71</v>
      </c>
      <c r="P86" s="3" t="s">
        <v>562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>
        <v>3430</v>
      </c>
      <c r="AL86" s="4">
        <v>41120</v>
      </c>
      <c r="AM86" s="3"/>
      <c r="AN86" s="3" t="s">
        <v>563</v>
      </c>
    </row>
    <row r="87" spans="1:40" ht="13.5">
      <c r="A87" s="3">
        <v>81</v>
      </c>
      <c r="B87" s="3" t="str">
        <f>"201800036768"</f>
        <v>201800036768</v>
      </c>
      <c r="C87" s="3">
        <v>119376</v>
      </c>
      <c r="D87" s="3" t="s">
        <v>564</v>
      </c>
      <c r="E87" s="3">
        <v>20487420337</v>
      </c>
      <c r="F87" s="3" t="s">
        <v>565</v>
      </c>
      <c r="G87" s="3" t="s">
        <v>566</v>
      </c>
      <c r="H87" s="3" t="s">
        <v>161</v>
      </c>
      <c r="I87" s="3" t="s">
        <v>162</v>
      </c>
      <c r="J87" s="3" t="s">
        <v>163</v>
      </c>
      <c r="K87" s="3"/>
      <c r="L87" s="3"/>
      <c r="M87" s="3"/>
      <c r="N87" s="3"/>
      <c r="O87" s="3" t="s">
        <v>46</v>
      </c>
      <c r="P87" s="3" t="s">
        <v>567</v>
      </c>
      <c r="Q87" s="3" t="s">
        <v>568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>
        <v>14000</v>
      </c>
      <c r="AL87" s="4">
        <v>43166</v>
      </c>
      <c r="AM87" s="3"/>
      <c r="AN87" s="3" t="s">
        <v>569</v>
      </c>
    </row>
    <row r="88" spans="1:40" ht="13.5">
      <c r="A88" s="3">
        <v>82</v>
      </c>
      <c r="B88" s="3" t="str">
        <f>"201700160517"</f>
        <v>201700160517</v>
      </c>
      <c r="C88" s="3">
        <v>98241</v>
      </c>
      <c r="D88" s="3" t="s">
        <v>570</v>
      </c>
      <c r="E88" s="3">
        <v>20486539012</v>
      </c>
      <c r="F88" s="3" t="s">
        <v>571</v>
      </c>
      <c r="G88" s="3" t="s">
        <v>572</v>
      </c>
      <c r="H88" s="3" t="s">
        <v>219</v>
      </c>
      <c r="I88" s="3" t="s">
        <v>220</v>
      </c>
      <c r="J88" s="3" t="s">
        <v>573</v>
      </c>
      <c r="K88" s="3"/>
      <c r="L88" s="3"/>
      <c r="M88" s="3"/>
      <c r="N88" s="3"/>
      <c r="O88" s="3" t="s">
        <v>46</v>
      </c>
      <c r="P88" s="3" t="s">
        <v>574</v>
      </c>
      <c r="Q88" s="3" t="s">
        <v>575</v>
      </c>
      <c r="R88" s="3" t="s">
        <v>576</v>
      </c>
      <c r="S88" s="3" t="s">
        <v>577</v>
      </c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>
        <v>13500</v>
      </c>
      <c r="AL88" s="4">
        <v>43011</v>
      </c>
      <c r="AM88" s="3"/>
      <c r="AN88" s="3" t="s">
        <v>557</v>
      </c>
    </row>
    <row r="89" spans="1:40" ht="13.5">
      <c r="A89" s="3">
        <v>83</v>
      </c>
      <c r="B89" s="3" t="str">
        <f>"202000127091"</f>
        <v>202000127091</v>
      </c>
      <c r="C89" s="3">
        <v>119314</v>
      </c>
      <c r="D89" s="3" t="s">
        <v>578</v>
      </c>
      <c r="E89" s="3">
        <v>20502794052</v>
      </c>
      <c r="F89" s="3" t="s">
        <v>579</v>
      </c>
      <c r="G89" s="3" t="s">
        <v>580</v>
      </c>
      <c r="H89" s="3" t="s">
        <v>59</v>
      </c>
      <c r="I89" s="3" t="s">
        <v>59</v>
      </c>
      <c r="J89" s="3" t="s">
        <v>581</v>
      </c>
      <c r="K89" s="3"/>
      <c r="L89" s="3" t="s">
        <v>59</v>
      </c>
      <c r="M89" s="3" t="s">
        <v>59</v>
      </c>
      <c r="N89" s="3" t="s">
        <v>581</v>
      </c>
      <c r="O89" s="3" t="s">
        <v>46</v>
      </c>
      <c r="P89" s="3" t="s">
        <v>582</v>
      </c>
      <c r="Q89" s="3" t="s">
        <v>583</v>
      </c>
      <c r="R89" s="3" t="s">
        <v>584</v>
      </c>
      <c r="S89" s="3" t="s">
        <v>585</v>
      </c>
      <c r="T89" s="3" t="s">
        <v>586</v>
      </c>
      <c r="U89" s="3" t="s">
        <v>587</v>
      </c>
      <c r="V89" s="3" t="s">
        <v>588</v>
      </c>
      <c r="W89" s="3" t="s">
        <v>589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>
        <v>14000</v>
      </c>
      <c r="AL89" s="4">
        <v>44117</v>
      </c>
      <c r="AM89" s="3"/>
      <c r="AN89" s="3" t="s">
        <v>590</v>
      </c>
    </row>
    <row r="90" spans="1:40" ht="27.75">
      <c r="A90" s="3">
        <v>84</v>
      </c>
      <c r="B90" s="3" t="str">
        <f>"201800000896"</f>
        <v>201800000896</v>
      </c>
      <c r="C90" s="3">
        <v>117090</v>
      </c>
      <c r="D90" s="3" t="s">
        <v>591</v>
      </c>
      <c r="E90" s="3">
        <v>20479433705</v>
      </c>
      <c r="F90" s="3" t="s">
        <v>592</v>
      </c>
      <c r="G90" s="3" t="s">
        <v>593</v>
      </c>
      <c r="H90" s="3" t="s">
        <v>161</v>
      </c>
      <c r="I90" s="3" t="s">
        <v>162</v>
      </c>
      <c r="J90" s="3" t="s">
        <v>162</v>
      </c>
      <c r="K90" s="3" t="s">
        <v>593</v>
      </c>
      <c r="L90" s="3" t="s">
        <v>161</v>
      </c>
      <c r="M90" s="3" t="s">
        <v>162</v>
      </c>
      <c r="N90" s="3" t="s">
        <v>162</v>
      </c>
      <c r="O90" s="3" t="s">
        <v>71</v>
      </c>
      <c r="P90" s="3" t="s">
        <v>594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>
        <v>6500</v>
      </c>
      <c r="AL90" s="4">
        <v>43109</v>
      </c>
      <c r="AM90" s="3"/>
      <c r="AN90" s="3" t="s">
        <v>595</v>
      </c>
    </row>
    <row r="91" spans="1:40" ht="13.5">
      <c r="A91" s="3">
        <v>85</v>
      </c>
      <c r="B91" s="3" t="str">
        <f>"201700067285"</f>
        <v>201700067285</v>
      </c>
      <c r="C91" s="3">
        <v>128325</v>
      </c>
      <c r="D91" s="3" t="s">
        <v>596</v>
      </c>
      <c r="E91" s="3">
        <v>20481244022</v>
      </c>
      <c r="F91" s="3" t="s">
        <v>597</v>
      </c>
      <c r="G91" s="3" t="s">
        <v>598</v>
      </c>
      <c r="H91" s="3" t="s">
        <v>85</v>
      </c>
      <c r="I91" s="3" t="s">
        <v>86</v>
      </c>
      <c r="J91" s="3" t="s">
        <v>599</v>
      </c>
      <c r="K91" s="3"/>
      <c r="L91" s="3"/>
      <c r="M91" s="3"/>
      <c r="N91" s="3"/>
      <c r="O91" s="3" t="s">
        <v>71</v>
      </c>
      <c r="P91" s="3" t="s">
        <v>600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>
        <v>6500</v>
      </c>
      <c r="AL91" s="4">
        <v>42861</v>
      </c>
      <c r="AM91" s="3"/>
      <c r="AN91" s="3" t="s">
        <v>601</v>
      </c>
    </row>
    <row r="92" spans="1:40" ht="13.5">
      <c r="A92" s="3">
        <v>86</v>
      </c>
      <c r="B92" s="3" t="str">
        <f>"201500004339"</f>
        <v>201500004339</v>
      </c>
      <c r="C92" s="3">
        <v>113331</v>
      </c>
      <c r="D92" s="3" t="s">
        <v>602</v>
      </c>
      <c r="E92" s="3">
        <v>20565949145</v>
      </c>
      <c r="F92" s="3" t="s">
        <v>603</v>
      </c>
      <c r="G92" s="3" t="s">
        <v>604</v>
      </c>
      <c r="H92" s="3" t="s">
        <v>59</v>
      </c>
      <c r="I92" s="3" t="s">
        <v>59</v>
      </c>
      <c r="J92" s="3" t="s">
        <v>555</v>
      </c>
      <c r="K92" s="3"/>
      <c r="L92" s="3"/>
      <c r="M92" s="3"/>
      <c r="N92" s="3"/>
      <c r="O92" s="3" t="s">
        <v>71</v>
      </c>
      <c r="P92" s="3" t="s">
        <v>605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>
        <v>1500</v>
      </c>
      <c r="AL92" s="4">
        <v>42020</v>
      </c>
      <c r="AM92" s="3"/>
      <c r="AN92" s="3" t="s">
        <v>606</v>
      </c>
    </row>
    <row r="93" spans="1:40" ht="13.5">
      <c r="A93" s="3">
        <v>87</v>
      </c>
      <c r="B93" s="3" t="str">
        <f>"202000086234"</f>
        <v>202000086234</v>
      </c>
      <c r="C93" s="3">
        <v>104467</v>
      </c>
      <c r="D93" s="3" t="s">
        <v>607</v>
      </c>
      <c r="E93" s="3">
        <v>20600920228</v>
      </c>
      <c r="F93" s="3" t="s">
        <v>608</v>
      </c>
      <c r="G93" s="3" t="s">
        <v>609</v>
      </c>
      <c r="H93" s="3" t="s">
        <v>59</v>
      </c>
      <c r="I93" s="3" t="s">
        <v>59</v>
      </c>
      <c r="J93" s="3" t="s">
        <v>229</v>
      </c>
      <c r="K93" s="3"/>
      <c r="L93" s="3" t="s">
        <v>59</v>
      </c>
      <c r="M93" s="3" t="s">
        <v>59</v>
      </c>
      <c r="N93" s="3" t="s">
        <v>229</v>
      </c>
      <c r="O93" s="3" t="s">
        <v>71</v>
      </c>
      <c r="P93" s="3" t="s">
        <v>610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>
        <v>6000</v>
      </c>
      <c r="AL93" s="4">
        <v>44043</v>
      </c>
      <c r="AM93" s="3"/>
      <c r="AN93" s="3" t="s">
        <v>611</v>
      </c>
    </row>
    <row r="94" spans="1:40" ht="27.75">
      <c r="A94" s="3">
        <v>88</v>
      </c>
      <c r="B94" s="3" t="str">
        <f>"201900054950"</f>
        <v>201900054950</v>
      </c>
      <c r="C94" s="3">
        <v>86189</v>
      </c>
      <c r="D94" s="3" t="s">
        <v>612</v>
      </c>
      <c r="E94" s="3">
        <v>20413401268</v>
      </c>
      <c r="F94" s="3" t="s">
        <v>42</v>
      </c>
      <c r="G94" s="3" t="s">
        <v>613</v>
      </c>
      <c r="H94" s="3" t="s">
        <v>44</v>
      </c>
      <c r="I94" s="3" t="s">
        <v>44</v>
      </c>
      <c r="J94" s="3" t="s">
        <v>45</v>
      </c>
      <c r="K94" s="3" t="s">
        <v>613</v>
      </c>
      <c r="L94" s="3" t="s">
        <v>44</v>
      </c>
      <c r="M94" s="3" t="s">
        <v>44</v>
      </c>
      <c r="N94" s="3" t="s">
        <v>45</v>
      </c>
      <c r="O94" s="3" t="s">
        <v>71</v>
      </c>
      <c r="P94" s="3" t="s">
        <v>614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>
        <v>5047</v>
      </c>
      <c r="AL94" s="4">
        <v>43564</v>
      </c>
      <c r="AM94" s="3"/>
      <c r="AN94" s="3" t="s">
        <v>55</v>
      </c>
    </row>
    <row r="95" spans="1:40" ht="27.75">
      <c r="A95" s="3">
        <v>89</v>
      </c>
      <c r="B95" s="3" t="str">
        <f>"201700054281"</f>
        <v>201700054281</v>
      </c>
      <c r="C95" s="3">
        <v>120058</v>
      </c>
      <c r="D95" s="3" t="s">
        <v>615</v>
      </c>
      <c r="E95" s="3">
        <v>20551615856</v>
      </c>
      <c r="F95" s="3" t="s">
        <v>616</v>
      </c>
      <c r="G95" s="3" t="s">
        <v>617</v>
      </c>
      <c r="H95" s="3" t="s">
        <v>59</v>
      </c>
      <c r="I95" s="3" t="s">
        <v>59</v>
      </c>
      <c r="J95" s="3" t="s">
        <v>474</v>
      </c>
      <c r="K95" s="3" t="s">
        <v>617</v>
      </c>
      <c r="L95" s="3" t="s">
        <v>59</v>
      </c>
      <c r="M95" s="3" t="s">
        <v>59</v>
      </c>
      <c r="N95" s="3" t="s">
        <v>474</v>
      </c>
      <c r="O95" s="3" t="s">
        <v>46</v>
      </c>
      <c r="P95" s="3" t="s">
        <v>618</v>
      </c>
      <c r="Q95" s="3" t="s">
        <v>619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>
        <v>13800</v>
      </c>
      <c r="AL95" s="4">
        <v>42833</v>
      </c>
      <c r="AM95" s="3"/>
      <c r="AN95" s="3" t="s">
        <v>620</v>
      </c>
    </row>
    <row r="96" spans="1:40" ht="42">
      <c r="A96" s="3">
        <v>90</v>
      </c>
      <c r="B96" s="3" t="str">
        <f>"201800058400"</f>
        <v>201800058400</v>
      </c>
      <c r="C96" s="3">
        <v>135521</v>
      </c>
      <c r="D96" s="3" t="s">
        <v>621</v>
      </c>
      <c r="E96" s="3">
        <v>20486255171</v>
      </c>
      <c r="F96" s="3" t="s">
        <v>553</v>
      </c>
      <c r="G96" s="3" t="s">
        <v>622</v>
      </c>
      <c r="H96" s="3" t="s">
        <v>59</v>
      </c>
      <c r="I96" s="3" t="s">
        <v>623</v>
      </c>
      <c r="J96" s="3" t="s">
        <v>624</v>
      </c>
      <c r="K96" s="3"/>
      <c r="L96" s="3"/>
      <c r="M96" s="3"/>
      <c r="N96" s="3"/>
      <c r="O96" s="3" t="s">
        <v>71</v>
      </c>
      <c r="P96" s="3" t="s">
        <v>625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>
        <v>2200</v>
      </c>
      <c r="AL96" s="4">
        <v>43201</v>
      </c>
      <c r="AM96" s="3"/>
      <c r="AN96" s="3" t="s">
        <v>626</v>
      </c>
    </row>
    <row r="97" spans="1:40" ht="13.5">
      <c r="A97" s="3">
        <v>91</v>
      </c>
      <c r="B97" s="3" t="str">
        <f>"201800165406"</f>
        <v>201800165406</v>
      </c>
      <c r="C97" s="3">
        <v>138700</v>
      </c>
      <c r="D97" s="3" t="s">
        <v>627</v>
      </c>
      <c r="E97" s="3">
        <v>20602848010</v>
      </c>
      <c r="F97" s="3" t="s">
        <v>628</v>
      </c>
      <c r="G97" s="3" t="s">
        <v>629</v>
      </c>
      <c r="H97" s="3" t="s">
        <v>161</v>
      </c>
      <c r="I97" s="3" t="s">
        <v>162</v>
      </c>
      <c r="J97" s="3" t="s">
        <v>163</v>
      </c>
      <c r="K97" s="3"/>
      <c r="L97" s="3"/>
      <c r="M97" s="3"/>
      <c r="N97" s="3"/>
      <c r="O97" s="3" t="s">
        <v>46</v>
      </c>
      <c r="P97" s="3" t="s">
        <v>630</v>
      </c>
      <c r="Q97" s="3" t="s">
        <v>631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>
        <v>12500</v>
      </c>
      <c r="AL97" s="4">
        <v>43383</v>
      </c>
      <c r="AM97" s="3"/>
      <c r="AN97" s="3" t="s">
        <v>632</v>
      </c>
    </row>
    <row r="98" spans="1:40" ht="13.5">
      <c r="A98" s="3">
        <v>92</v>
      </c>
      <c r="B98" s="3" t="str">
        <f>"201500020763"</f>
        <v>201500020763</v>
      </c>
      <c r="C98" s="3">
        <v>113955</v>
      </c>
      <c r="D98" s="3" t="s">
        <v>633</v>
      </c>
      <c r="E98" s="3">
        <v>20334129595</v>
      </c>
      <c r="F98" s="3" t="s">
        <v>634</v>
      </c>
      <c r="G98" s="3" t="s">
        <v>635</v>
      </c>
      <c r="H98" s="3" t="s">
        <v>59</v>
      </c>
      <c r="I98" s="3" t="s">
        <v>59</v>
      </c>
      <c r="J98" s="3" t="s">
        <v>102</v>
      </c>
      <c r="K98" s="3"/>
      <c r="L98" s="3"/>
      <c r="M98" s="3"/>
      <c r="N98" s="3"/>
      <c r="O98" s="3" t="s">
        <v>71</v>
      </c>
      <c r="P98" s="3" t="s">
        <v>636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>
        <v>6500</v>
      </c>
      <c r="AL98" s="4">
        <v>42055</v>
      </c>
      <c r="AM98" s="3"/>
      <c r="AN98" s="3" t="s">
        <v>637</v>
      </c>
    </row>
    <row r="99" spans="1:40" ht="13.5">
      <c r="A99" s="3">
        <v>93</v>
      </c>
      <c r="B99" s="3" t="str">
        <f>"201500086321"</f>
        <v>201500086321</v>
      </c>
      <c r="C99" s="3">
        <v>62511</v>
      </c>
      <c r="D99" s="3" t="s">
        <v>638</v>
      </c>
      <c r="E99" s="3">
        <v>20518767764</v>
      </c>
      <c r="F99" s="3" t="s">
        <v>639</v>
      </c>
      <c r="G99" s="3" t="s">
        <v>640</v>
      </c>
      <c r="H99" s="3" t="s">
        <v>59</v>
      </c>
      <c r="I99" s="3" t="s">
        <v>59</v>
      </c>
      <c r="J99" s="3" t="s">
        <v>641</v>
      </c>
      <c r="K99" s="3" t="s">
        <v>642</v>
      </c>
      <c r="L99" s="3" t="s">
        <v>59</v>
      </c>
      <c r="M99" s="3" t="s">
        <v>59</v>
      </c>
      <c r="N99" s="3" t="s">
        <v>641</v>
      </c>
      <c r="O99" s="3" t="s">
        <v>71</v>
      </c>
      <c r="P99" s="3" t="s">
        <v>643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>
        <v>4000</v>
      </c>
      <c r="AL99" s="4">
        <v>42201</v>
      </c>
      <c r="AM99" s="3"/>
      <c r="AN99" s="3" t="s">
        <v>644</v>
      </c>
    </row>
    <row r="100" spans="1:40" ht="27.75">
      <c r="A100" s="3">
        <v>94</v>
      </c>
      <c r="B100" s="3" t="str">
        <f>"201800116984"</f>
        <v>201800116984</v>
      </c>
      <c r="C100" s="3">
        <v>117980</v>
      </c>
      <c r="D100" s="3" t="s">
        <v>645</v>
      </c>
      <c r="E100" s="3">
        <v>20517774929</v>
      </c>
      <c r="F100" s="3" t="s">
        <v>646</v>
      </c>
      <c r="G100" s="3" t="s">
        <v>647</v>
      </c>
      <c r="H100" s="3" t="s">
        <v>59</v>
      </c>
      <c r="I100" s="3" t="s">
        <v>59</v>
      </c>
      <c r="J100" s="3" t="s">
        <v>59</v>
      </c>
      <c r="K100" s="3"/>
      <c r="L100" s="3"/>
      <c r="M100" s="3"/>
      <c r="N100" s="3"/>
      <c r="O100" s="3" t="s">
        <v>46</v>
      </c>
      <c r="P100" s="3" t="s">
        <v>648</v>
      </c>
      <c r="Q100" s="3" t="s">
        <v>649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>
        <v>14000</v>
      </c>
      <c r="AL100" s="4">
        <v>43302</v>
      </c>
      <c r="AM100" s="3"/>
      <c r="AN100" s="3" t="s">
        <v>650</v>
      </c>
    </row>
    <row r="101" spans="1:40" ht="13.5">
      <c r="A101" s="3">
        <v>95</v>
      </c>
      <c r="B101" s="3" t="str">
        <f>"201700067694"</f>
        <v>201700067694</v>
      </c>
      <c r="C101" s="3">
        <v>118244</v>
      </c>
      <c r="D101" s="3" t="s">
        <v>651</v>
      </c>
      <c r="E101" s="3">
        <v>20524062420</v>
      </c>
      <c r="F101" s="3" t="s">
        <v>652</v>
      </c>
      <c r="G101" s="3" t="s">
        <v>653</v>
      </c>
      <c r="H101" s="3" t="s">
        <v>59</v>
      </c>
      <c r="I101" s="3" t="s">
        <v>59</v>
      </c>
      <c r="J101" s="3" t="s">
        <v>102</v>
      </c>
      <c r="K101" s="3"/>
      <c r="L101" s="3"/>
      <c r="M101" s="3"/>
      <c r="N101" s="3"/>
      <c r="O101" s="3" t="s">
        <v>71</v>
      </c>
      <c r="P101" s="3" t="s">
        <v>654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>
        <v>6500</v>
      </c>
      <c r="AL101" s="4">
        <v>42880</v>
      </c>
      <c r="AM101" s="3"/>
      <c r="AN101" s="3" t="s">
        <v>655</v>
      </c>
    </row>
    <row r="102" spans="1:40" ht="13.5">
      <c r="A102" s="3">
        <v>96</v>
      </c>
      <c r="B102" s="3" t="str">
        <f>"201700021489"</f>
        <v>201700021489</v>
      </c>
      <c r="C102" s="3">
        <v>122052</v>
      </c>
      <c r="D102" s="3" t="s">
        <v>656</v>
      </c>
      <c r="E102" s="3">
        <v>20541316311</v>
      </c>
      <c r="F102" s="3" t="s">
        <v>657</v>
      </c>
      <c r="G102" s="3" t="s">
        <v>658</v>
      </c>
      <c r="H102" s="3" t="s">
        <v>59</v>
      </c>
      <c r="I102" s="3" t="s">
        <v>59</v>
      </c>
      <c r="J102" s="3" t="s">
        <v>442</v>
      </c>
      <c r="K102" s="3" t="s">
        <v>659</v>
      </c>
      <c r="L102" s="3" t="s">
        <v>59</v>
      </c>
      <c r="M102" s="3" t="s">
        <v>59</v>
      </c>
      <c r="N102" s="3" t="s">
        <v>442</v>
      </c>
      <c r="O102" s="3" t="s">
        <v>71</v>
      </c>
      <c r="P102" s="3" t="s">
        <v>660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>
        <v>6500</v>
      </c>
      <c r="AL102" s="4">
        <v>42797</v>
      </c>
      <c r="AM102" s="3"/>
      <c r="AN102" s="3" t="s">
        <v>661</v>
      </c>
    </row>
    <row r="103" spans="1:40" ht="13.5">
      <c r="A103" s="3">
        <v>97</v>
      </c>
      <c r="B103" s="3" t="str">
        <f>"201500138195"</f>
        <v>201500138195</v>
      </c>
      <c r="C103" s="3">
        <v>118042</v>
      </c>
      <c r="D103" s="3" t="s">
        <v>662</v>
      </c>
      <c r="E103" s="3">
        <v>10097136403</v>
      </c>
      <c r="F103" s="3" t="s">
        <v>663</v>
      </c>
      <c r="G103" s="3" t="s">
        <v>664</v>
      </c>
      <c r="H103" s="3" t="s">
        <v>161</v>
      </c>
      <c r="I103" s="3" t="s">
        <v>162</v>
      </c>
      <c r="J103" s="3" t="s">
        <v>162</v>
      </c>
      <c r="K103" s="3"/>
      <c r="L103" s="3"/>
      <c r="M103" s="3"/>
      <c r="N103" s="3"/>
      <c r="O103" s="3" t="s">
        <v>71</v>
      </c>
      <c r="P103" s="3" t="s">
        <v>665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>
        <v>1800</v>
      </c>
      <c r="AL103" s="4">
        <v>42294</v>
      </c>
      <c r="AM103" s="3"/>
      <c r="AN103" s="3" t="s">
        <v>663</v>
      </c>
    </row>
    <row r="104" spans="1:40" ht="27.75">
      <c r="A104" s="3">
        <v>98</v>
      </c>
      <c r="B104" s="3" t="str">
        <f>"201600042908"</f>
        <v>201600042908</v>
      </c>
      <c r="C104" s="3">
        <v>62052</v>
      </c>
      <c r="D104" s="3" t="s">
        <v>666</v>
      </c>
      <c r="E104" s="3">
        <v>20524417490</v>
      </c>
      <c r="F104" s="3" t="s">
        <v>667</v>
      </c>
      <c r="G104" s="3" t="s">
        <v>668</v>
      </c>
      <c r="H104" s="3" t="s">
        <v>59</v>
      </c>
      <c r="I104" s="3" t="s">
        <v>59</v>
      </c>
      <c r="J104" s="3" t="s">
        <v>581</v>
      </c>
      <c r="K104" s="3" t="s">
        <v>669</v>
      </c>
      <c r="L104" s="3" t="s">
        <v>59</v>
      </c>
      <c r="M104" s="3" t="s">
        <v>59</v>
      </c>
      <c r="N104" s="3" t="s">
        <v>70</v>
      </c>
      <c r="O104" s="3" t="s">
        <v>46</v>
      </c>
      <c r="P104" s="3" t="s">
        <v>670</v>
      </c>
      <c r="Q104" s="3" t="s">
        <v>671</v>
      </c>
      <c r="R104" s="3" t="s">
        <v>672</v>
      </c>
      <c r="S104" s="3" t="s">
        <v>673</v>
      </c>
      <c r="T104" s="3" t="s">
        <v>674</v>
      </c>
      <c r="U104" s="3" t="s">
        <v>675</v>
      </c>
      <c r="V104" s="3" t="s">
        <v>676</v>
      </c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>
        <v>10094</v>
      </c>
      <c r="AL104" s="4">
        <v>42475</v>
      </c>
      <c r="AM104" s="3"/>
      <c r="AN104" s="3" t="s">
        <v>677</v>
      </c>
    </row>
    <row r="105" spans="1:40" ht="27.75">
      <c r="A105" s="3">
        <v>99</v>
      </c>
      <c r="B105" s="3" t="str">
        <f>"201800107312"</f>
        <v>201800107312</v>
      </c>
      <c r="C105" s="3">
        <v>136336</v>
      </c>
      <c r="D105" s="3" t="s">
        <v>678</v>
      </c>
      <c r="E105" s="3">
        <v>20439919818</v>
      </c>
      <c r="F105" s="3" t="s">
        <v>679</v>
      </c>
      <c r="G105" s="3" t="s">
        <v>680</v>
      </c>
      <c r="H105" s="3" t="s">
        <v>85</v>
      </c>
      <c r="I105" s="3" t="s">
        <v>86</v>
      </c>
      <c r="J105" s="3" t="s">
        <v>86</v>
      </c>
      <c r="K105" s="3"/>
      <c r="L105" s="3"/>
      <c r="M105" s="3"/>
      <c r="N105" s="3"/>
      <c r="O105" s="3" t="s">
        <v>46</v>
      </c>
      <c r="P105" s="3" t="s">
        <v>681</v>
      </c>
      <c r="Q105" s="3" t="s">
        <v>682</v>
      </c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>
        <v>14000</v>
      </c>
      <c r="AL105" s="4">
        <v>43293</v>
      </c>
      <c r="AM105" s="3"/>
      <c r="AN105" s="3" t="s">
        <v>683</v>
      </c>
    </row>
    <row r="106" spans="1:40" ht="13.5">
      <c r="A106" s="3">
        <v>100</v>
      </c>
      <c r="B106" s="3" t="str">
        <f>"201900206119"</f>
        <v>201900206119</v>
      </c>
      <c r="C106" s="3">
        <v>147678</v>
      </c>
      <c r="D106" s="3" t="s">
        <v>684</v>
      </c>
      <c r="E106" s="3">
        <v>20166717389</v>
      </c>
      <c r="F106" s="3" t="s">
        <v>317</v>
      </c>
      <c r="G106" s="3" t="s">
        <v>320</v>
      </c>
      <c r="H106" s="3" t="s">
        <v>319</v>
      </c>
      <c r="I106" s="3" t="s">
        <v>319</v>
      </c>
      <c r="J106" s="3" t="s">
        <v>319</v>
      </c>
      <c r="K106" s="3" t="s">
        <v>685</v>
      </c>
      <c r="L106" s="3" t="s">
        <v>319</v>
      </c>
      <c r="M106" s="3" t="s">
        <v>319</v>
      </c>
      <c r="N106" s="3" t="s">
        <v>319</v>
      </c>
      <c r="O106" s="3" t="s">
        <v>71</v>
      </c>
      <c r="P106" s="3" t="s">
        <v>686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>
        <v>3500</v>
      </c>
      <c r="AL106" s="4">
        <v>43810</v>
      </c>
      <c r="AM106" s="3"/>
      <c r="AN106" s="3" t="s">
        <v>322</v>
      </c>
    </row>
    <row r="107" spans="1:40" ht="13.5">
      <c r="A107" s="3">
        <v>101</v>
      </c>
      <c r="B107" s="3" t="str">
        <f>"1496233"</f>
        <v>1496233</v>
      </c>
      <c r="C107" s="3">
        <v>88619</v>
      </c>
      <c r="D107" s="3" t="s">
        <v>687</v>
      </c>
      <c r="E107" s="3">
        <v>20467282388</v>
      </c>
      <c r="F107" s="3" t="s">
        <v>688</v>
      </c>
      <c r="G107" s="3" t="s">
        <v>689</v>
      </c>
      <c r="H107" s="3" t="s">
        <v>127</v>
      </c>
      <c r="I107" s="3" t="s">
        <v>127</v>
      </c>
      <c r="J107" s="3" t="s">
        <v>690</v>
      </c>
      <c r="K107" s="3" t="s">
        <v>689</v>
      </c>
      <c r="L107" s="3"/>
      <c r="M107" s="3"/>
      <c r="N107" s="3"/>
      <c r="O107" s="3" t="s">
        <v>71</v>
      </c>
      <c r="P107" s="3" t="s">
        <v>691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>
        <v>6200</v>
      </c>
      <c r="AL107" s="4">
        <v>40770</v>
      </c>
      <c r="AM107" s="3"/>
      <c r="AN107" s="3" t="s">
        <v>692</v>
      </c>
    </row>
    <row r="108" spans="1:40" ht="13.5">
      <c r="A108" s="3">
        <v>102</v>
      </c>
      <c r="B108" s="3" t="str">
        <f>"201300096333"</f>
        <v>201300096333</v>
      </c>
      <c r="C108" s="3">
        <v>103164</v>
      </c>
      <c r="D108" s="3" t="s">
        <v>693</v>
      </c>
      <c r="E108" s="3">
        <v>20548253315</v>
      </c>
      <c r="F108" s="3" t="s">
        <v>694</v>
      </c>
      <c r="G108" s="3" t="s">
        <v>695</v>
      </c>
      <c r="H108" s="3" t="s">
        <v>59</v>
      </c>
      <c r="I108" s="3" t="s">
        <v>59</v>
      </c>
      <c r="J108" s="3" t="s">
        <v>59</v>
      </c>
      <c r="K108" s="3"/>
      <c r="L108" s="3"/>
      <c r="M108" s="3"/>
      <c r="N108" s="3"/>
      <c r="O108" s="3" t="s">
        <v>71</v>
      </c>
      <c r="P108" s="3" t="s">
        <v>696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>
        <v>4500</v>
      </c>
      <c r="AL108" s="4">
        <v>41421</v>
      </c>
      <c r="AM108" s="3"/>
      <c r="AN108" s="3" t="s">
        <v>504</v>
      </c>
    </row>
    <row r="109" spans="1:40" ht="27.75">
      <c r="A109" s="3">
        <v>103</v>
      </c>
      <c r="B109" s="3" t="str">
        <f>"201600138126"</f>
        <v>201600138126</v>
      </c>
      <c r="C109" s="3">
        <v>84729</v>
      </c>
      <c r="D109" s="3" t="s">
        <v>697</v>
      </c>
      <c r="E109" s="3">
        <v>20551615856</v>
      </c>
      <c r="F109" s="3" t="s">
        <v>698</v>
      </c>
      <c r="G109" s="3" t="s">
        <v>699</v>
      </c>
      <c r="H109" s="3" t="s">
        <v>59</v>
      </c>
      <c r="I109" s="3" t="s">
        <v>59</v>
      </c>
      <c r="J109" s="3" t="s">
        <v>250</v>
      </c>
      <c r="K109" s="3" t="s">
        <v>699</v>
      </c>
      <c r="L109" s="3" t="s">
        <v>59</v>
      </c>
      <c r="M109" s="3" t="s">
        <v>59</v>
      </c>
      <c r="N109" s="3" t="s">
        <v>250</v>
      </c>
      <c r="O109" s="3" t="s">
        <v>46</v>
      </c>
      <c r="P109" s="3" t="s">
        <v>700</v>
      </c>
      <c r="Q109" s="3" t="s">
        <v>701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>
        <v>11000</v>
      </c>
      <c r="AL109" s="4">
        <v>42639</v>
      </c>
      <c r="AM109" s="3"/>
      <c r="AN109" s="3" t="s">
        <v>702</v>
      </c>
    </row>
    <row r="110" spans="1:40" ht="27.75">
      <c r="A110" s="3">
        <v>104</v>
      </c>
      <c r="B110" s="3" t="str">
        <f>"201500152211"</f>
        <v>201500152211</v>
      </c>
      <c r="C110" s="3">
        <v>118520</v>
      </c>
      <c r="D110" s="3" t="s">
        <v>703</v>
      </c>
      <c r="E110" s="3">
        <v>20522217574</v>
      </c>
      <c r="F110" s="3" t="s">
        <v>704</v>
      </c>
      <c r="G110" s="3" t="s">
        <v>705</v>
      </c>
      <c r="H110" s="3" t="s">
        <v>59</v>
      </c>
      <c r="I110" s="3" t="s">
        <v>59</v>
      </c>
      <c r="J110" s="3" t="s">
        <v>229</v>
      </c>
      <c r="K110" s="3" t="s">
        <v>705</v>
      </c>
      <c r="L110" s="3" t="s">
        <v>59</v>
      </c>
      <c r="M110" s="3" t="s">
        <v>59</v>
      </c>
      <c r="N110" s="3" t="s">
        <v>229</v>
      </c>
      <c r="O110" s="3" t="s">
        <v>71</v>
      </c>
      <c r="P110" s="3" t="s">
        <v>706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>
        <v>6000</v>
      </c>
      <c r="AL110" s="4">
        <v>42325</v>
      </c>
      <c r="AM110" s="3"/>
      <c r="AN110" s="3" t="s">
        <v>707</v>
      </c>
    </row>
    <row r="111" spans="1:40" ht="13.5">
      <c r="A111" s="3">
        <v>105</v>
      </c>
      <c r="B111" s="3" t="str">
        <f>"201400149950"</f>
        <v>201400149950</v>
      </c>
      <c r="C111" s="3">
        <v>112317</v>
      </c>
      <c r="D111" s="3" t="s">
        <v>708</v>
      </c>
      <c r="E111" s="3">
        <v>20536365941</v>
      </c>
      <c r="F111" s="3" t="s">
        <v>709</v>
      </c>
      <c r="G111" s="3" t="s">
        <v>710</v>
      </c>
      <c r="H111" s="3" t="s">
        <v>59</v>
      </c>
      <c r="I111" s="3" t="s">
        <v>59</v>
      </c>
      <c r="J111" s="3" t="s">
        <v>641</v>
      </c>
      <c r="K111" s="3"/>
      <c r="L111" s="3"/>
      <c r="M111" s="3"/>
      <c r="N111" s="3"/>
      <c r="O111" s="3" t="s">
        <v>71</v>
      </c>
      <c r="P111" s="3" t="s">
        <v>711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>
        <v>1800</v>
      </c>
      <c r="AL111" s="4">
        <v>41961</v>
      </c>
      <c r="AM111" s="3"/>
      <c r="AN111" s="3" t="s">
        <v>712</v>
      </c>
    </row>
    <row r="112" spans="1:40" ht="13.5">
      <c r="A112" s="3">
        <v>106</v>
      </c>
      <c r="B112" s="3" t="str">
        <f>"201800085818"</f>
        <v>201800085818</v>
      </c>
      <c r="C112" s="3">
        <v>120841</v>
      </c>
      <c r="D112" s="3" t="s">
        <v>713</v>
      </c>
      <c r="E112" s="3">
        <v>20522217574</v>
      </c>
      <c r="F112" s="3" t="s">
        <v>227</v>
      </c>
      <c r="G112" s="3" t="s">
        <v>228</v>
      </c>
      <c r="H112" s="3" t="s">
        <v>59</v>
      </c>
      <c r="I112" s="3" t="s">
        <v>59</v>
      </c>
      <c r="J112" s="3" t="s">
        <v>229</v>
      </c>
      <c r="K112" s="3"/>
      <c r="L112" s="3"/>
      <c r="M112" s="3"/>
      <c r="N112" s="3"/>
      <c r="O112" s="3" t="s">
        <v>46</v>
      </c>
      <c r="P112" s="3" t="s">
        <v>714</v>
      </c>
      <c r="Q112" s="3" t="s">
        <v>327</v>
      </c>
      <c r="R112" s="3" t="s">
        <v>715</v>
      </c>
      <c r="S112" s="3" t="s">
        <v>716</v>
      </c>
      <c r="T112" s="3" t="s">
        <v>717</v>
      </c>
      <c r="U112" s="3" t="s">
        <v>718</v>
      </c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>
        <v>14000</v>
      </c>
      <c r="AL112" s="4">
        <v>43244</v>
      </c>
      <c r="AM112" s="3"/>
      <c r="AN112" s="3" t="s">
        <v>231</v>
      </c>
    </row>
    <row r="113" spans="1:40" ht="13.5">
      <c r="A113" s="3">
        <v>107</v>
      </c>
      <c r="B113" s="3" t="str">
        <f>"201600068854"</f>
        <v>201600068854</v>
      </c>
      <c r="C113" s="3">
        <v>121362</v>
      </c>
      <c r="D113" s="3" t="s">
        <v>719</v>
      </c>
      <c r="E113" s="3">
        <v>20489697042</v>
      </c>
      <c r="F113" s="3" t="s">
        <v>720</v>
      </c>
      <c r="G113" s="3" t="s">
        <v>721</v>
      </c>
      <c r="H113" s="3" t="s">
        <v>515</v>
      </c>
      <c r="I113" s="3" t="s">
        <v>515</v>
      </c>
      <c r="J113" s="3" t="s">
        <v>722</v>
      </c>
      <c r="K113" s="3" t="s">
        <v>721</v>
      </c>
      <c r="L113" s="3" t="s">
        <v>515</v>
      </c>
      <c r="M113" s="3" t="s">
        <v>515</v>
      </c>
      <c r="N113" s="3" t="s">
        <v>722</v>
      </c>
      <c r="O113" s="3" t="s">
        <v>46</v>
      </c>
      <c r="P113" s="3" t="s">
        <v>723</v>
      </c>
      <c r="Q113" s="3" t="s">
        <v>724</v>
      </c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>
        <v>13500</v>
      </c>
      <c r="AL113" s="4">
        <v>42506</v>
      </c>
      <c r="AM113" s="3"/>
      <c r="AN113" s="3" t="s">
        <v>725</v>
      </c>
    </row>
    <row r="114" spans="1:40" ht="13.5">
      <c r="A114" s="3">
        <v>108</v>
      </c>
      <c r="B114" s="3" t="str">
        <f>"201600134023"</f>
        <v>201600134023</v>
      </c>
      <c r="C114" s="3">
        <v>123863</v>
      </c>
      <c r="D114" s="3" t="s">
        <v>726</v>
      </c>
      <c r="E114" s="3">
        <v>20397896553</v>
      </c>
      <c r="F114" s="3" t="s">
        <v>727</v>
      </c>
      <c r="G114" s="3" t="s">
        <v>728</v>
      </c>
      <c r="H114" s="3" t="s">
        <v>85</v>
      </c>
      <c r="I114" s="3" t="s">
        <v>86</v>
      </c>
      <c r="J114" s="3" t="s">
        <v>86</v>
      </c>
      <c r="K114" s="3"/>
      <c r="L114" s="3"/>
      <c r="M114" s="3"/>
      <c r="N114" s="3"/>
      <c r="O114" s="3" t="s">
        <v>71</v>
      </c>
      <c r="P114" s="3" t="s">
        <v>729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>
        <v>6700</v>
      </c>
      <c r="AL114" s="4">
        <v>42639</v>
      </c>
      <c r="AM114" s="3"/>
      <c r="AN114" s="3" t="s">
        <v>730</v>
      </c>
    </row>
    <row r="115" spans="1:40" ht="27.75">
      <c r="A115" s="3">
        <v>109</v>
      </c>
      <c r="B115" s="3" t="str">
        <f>"201900106001"</f>
        <v>201900106001</v>
      </c>
      <c r="C115" s="3">
        <v>145004</v>
      </c>
      <c r="D115" s="3" t="s">
        <v>731</v>
      </c>
      <c r="E115" s="3">
        <v>20530920632</v>
      </c>
      <c r="F115" s="3" t="s">
        <v>732</v>
      </c>
      <c r="G115" s="3" t="s">
        <v>733</v>
      </c>
      <c r="H115" s="3" t="s">
        <v>59</v>
      </c>
      <c r="I115" s="3" t="s">
        <v>59</v>
      </c>
      <c r="J115" s="3" t="s">
        <v>734</v>
      </c>
      <c r="K115" s="3" t="s">
        <v>733</v>
      </c>
      <c r="L115" s="3" t="s">
        <v>59</v>
      </c>
      <c r="M115" s="3" t="s">
        <v>59</v>
      </c>
      <c r="N115" s="3" t="s">
        <v>734</v>
      </c>
      <c r="O115" s="3" t="s">
        <v>46</v>
      </c>
      <c r="P115" s="3" t="s">
        <v>735</v>
      </c>
      <c r="Q115" s="3" t="s">
        <v>736</v>
      </c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>
        <v>13600</v>
      </c>
      <c r="AL115" s="4">
        <v>43653</v>
      </c>
      <c r="AM115" s="3"/>
      <c r="AN115" s="3" t="s">
        <v>239</v>
      </c>
    </row>
    <row r="116" spans="1:40" ht="13.5">
      <c r="A116" s="3">
        <v>110</v>
      </c>
      <c r="B116" s="3" t="str">
        <f>"201200175009"</f>
        <v>201200175009</v>
      </c>
      <c r="C116" s="3">
        <v>98289</v>
      </c>
      <c r="D116" s="3" t="s">
        <v>737</v>
      </c>
      <c r="E116" s="3">
        <v>20517774929</v>
      </c>
      <c r="F116" s="3" t="s">
        <v>738</v>
      </c>
      <c r="G116" s="3" t="s">
        <v>739</v>
      </c>
      <c r="H116" s="3" t="s">
        <v>197</v>
      </c>
      <c r="I116" s="3" t="s">
        <v>197</v>
      </c>
      <c r="J116" s="3" t="s">
        <v>197</v>
      </c>
      <c r="K116" s="3" t="s">
        <v>739</v>
      </c>
      <c r="L116" s="3" t="s">
        <v>197</v>
      </c>
      <c r="M116" s="3" t="s">
        <v>197</v>
      </c>
      <c r="N116" s="3" t="s">
        <v>197</v>
      </c>
      <c r="O116" s="3" t="s">
        <v>71</v>
      </c>
      <c r="P116" s="3" t="s">
        <v>740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>
        <v>4000</v>
      </c>
      <c r="AL116" s="4">
        <v>41173</v>
      </c>
      <c r="AM116" s="3"/>
      <c r="AN116" s="3" t="s">
        <v>650</v>
      </c>
    </row>
    <row r="117" spans="1:40" ht="13.5">
      <c r="A117" s="3">
        <v>111</v>
      </c>
      <c r="B117" s="3" t="str">
        <f>"201600135030"</f>
        <v>201600135030</v>
      </c>
      <c r="C117" s="3">
        <v>123907</v>
      </c>
      <c r="D117" s="3" t="s">
        <v>741</v>
      </c>
      <c r="E117" s="3">
        <v>20601159351</v>
      </c>
      <c r="F117" s="3" t="s">
        <v>742</v>
      </c>
      <c r="G117" s="3" t="s">
        <v>743</v>
      </c>
      <c r="H117" s="3" t="s">
        <v>59</v>
      </c>
      <c r="I117" s="3" t="s">
        <v>59</v>
      </c>
      <c r="J117" s="3" t="s">
        <v>734</v>
      </c>
      <c r="K117" s="3"/>
      <c r="L117" s="3"/>
      <c r="M117" s="3"/>
      <c r="N117" s="3"/>
      <c r="O117" s="3" t="s">
        <v>46</v>
      </c>
      <c r="P117" s="3" t="s">
        <v>744</v>
      </c>
      <c r="Q117" s="3" t="s">
        <v>745</v>
      </c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>
        <v>13600</v>
      </c>
      <c r="AL117" s="4">
        <v>42643</v>
      </c>
      <c r="AM117" s="3"/>
      <c r="AN117" s="3" t="s">
        <v>746</v>
      </c>
    </row>
    <row r="118" spans="1:40" ht="27.75">
      <c r="A118" s="3">
        <v>112</v>
      </c>
      <c r="B118" s="3" t="str">
        <f>"201500060045"</f>
        <v>201500060045</v>
      </c>
      <c r="C118" s="3">
        <v>115331</v>
      </c>
      <c r="D118" s="3" t="s">
        <v>747</v>
      </c>
      <c r="E118" s="3">
        <v>20562699164</v>
      </c>
      <c r="F118" s="3" t="s">
        <v>748</v>
      </c>
      <c r="G118" s="3" t="s">
        <v>749</v>
      </c>
      <c r="H118" s="3" t="s">
        <v>59</v>
      </c>
      <c r="I118" s="3" t="s">
        <v>59</v>
      </c>
      <c r="J118" s="3" t="s">
        <v>750</v>
      </c>
      <c r="K118" s="3" t="s">
        <v>749</v>
      </c>
      <c r="L118" s="3" t="s">
        <v>59</v>
      </c>
      <c r="M118" s="3" t="s">
        <v>59</v>
      </c>
      <c r="N118" s="3" t="s">
        <v>750</v>
      </c>
      <c r="O118" s="3" t="s">
        <v>71</v>
      </c>
      <c r="P118" s="3" t="s">
        <v>751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>
        <v>1800</v>
      </c>
      <c r="AL118" s="4">
        <v>42145</v>
      </c>
      <c r="AM118" s="3"/>
      <c r="AN118" s="3" t="s">
        <v>752</v>
      </c>
    </row>
    <row r="119" spans="1:40" ht="27.75">
      <c r="A119" s="3">
        <v>113</v>
      </c>
      <c r="B119" s="3" t="str">
        <f>"201500098813"</f>
        <v>201500098813</v>
      </c>
      <c r="C119" s="3">
        <v>116634</v>
      </c>
      <c r="D119" s="3" t="s">
        <v>753</v>
      </c>
      <c r="E119" s="3">
        <v>20545112486</v>
      </c>
      <c r="F119" s="3" t="s">
        <v>754</v>
      </c>
      <c r="G119" s="3" t="s">
        <v>755</v>
      </c>
      <c r="H119" s="3" t="s">
        <v>59</v>
      </c>
      <c r="I119" s="3" t="s">
        <v>59</v>
      </c>
      <c r="J119" s="3" t="s">
        <v>641</v>
      </c>
      <c r="K119" s="3" t="s">
        <v>756</v>
      </c>
      <c r="L119" s="3" t="s">
        <v>59</v>
      </c>
      <c r="M119" s="3" t="s">
        <v>59</v>
      </c>
      <c r="N119" s="3" t="s">
        <v>641</v>
      </c>
      <c r="O119" s="3" t="s">
        <v>71</v>
      </c>
      <c r="P119" s="3" t="s">
        <v>757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>
        <v>6200</v>
      </c>
      <c r="AL119" s="4">
        <v>42226</v>
      </c>
      <c r="AM119" s="3"/>
      <c r="AN119" s="3" t="s">
        <v>758</v>
      </c>
    </row>
    <row r="120" spans="1:40" ht="13.5">
      <c r="A120" s="3">
        <v>114</v>
      </c>
      <c r="B120" s="3" t="str">
        <f>"201600106622"</f>
        <v>201600106622</v>
      </c>
      <c r="C120" s="3">
        <v>122869</v>
      </c>
      <c r="D120" s="3" t="s">
        <v>759</v>
      </c>
      <c r="E120" s="3">
        <v>20556142611</v>
      </c>
      <c r="F120" s="3" t="s">
        <v>760</v>
      </c>
      <c r="G120" s="3" t="s">
        <v>761</v>
      </c>
      <c r="H120" s="3" t="s">
        <v>59</v>
      </c>
      <c r="I120" s="3" t="s">
        <v>59</v>
      </c>
      <c r="J120" s="3" t="s">
        <v>442</v>
      </c>
      <c r="K120" s="3"/>
      <c r="L120" s="3"/>
      <c r="M120" s="3"/>
      <c r="N120" s="3"/>
      <c r="O120" s="3" t="s">
        <v>46</v>
      </c>
      <c r="P120" s="3" t="s">
        <v>762</v>
      </c>
      <c r="Q120" s="3" t="s">
        <v>763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>
        <v>14000</v>
      </c>
      <c r="AL120" s="4">
        <v>42576</v>
      </c>
      <c r="AM120" s="3"/>
      <c r="AN120" s="3" t="s">
        <v>764</v>
      </c>
    </row>
    <row r="121" spans="1:40" ht="13.5">
      <c r="A121" s="3">
        <v>115</v>
      </c>
      <c r="B121" s="3" t="str">
        <f>"201600111983"</f>
        <v>201600111983</v>
      </c>
      <c r="C121" s="3">
        <v>122616</v>
      </c>
      <c r="D121" s="3" t="s">
        <v>765</v>
      </c>
      <c r="E121" s="3">
        <v>20507312277</v>
      </c>
      <c r="F121" s="3" t="s">
        <v>766</v>
      </c>
      <c r="G121" s="3" t="s">
        <v>767</v>
      </c>
      <c r="H121" s="3" t="s">
        <v>59</v>
      </c>
      <c r="I121" s="3" t="s">
        <v>59</v>
      </c>
      <c r="J121" s="3" t="s">
        <v>768</v>
      </c>
      <c r="K121" s="3"/>
      <c r="L121" s="3"/>
      <c r="M121" s="3"/>
      <c r="N121" s="3"/>
      <c r="O121" s="3" t="s">
        <v>71</v>
      </c>
      <c r="P121" s="3" t="s">
        <v>769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>
        <v>6500</v>
      </c>
      <c r="AL121" s="4">
        <v>42588</v>
      </c>
      <c r="AM121" s="3"/>
      <c r="AN121" s="3" t="s">
        <v>770</v>
      </c>
    </row>
    <row r="122" spans="1:40" ht="13.5">
      <c r="A122" s="3">
        <v>116</v>
      </c>
      <c r="B122" s="3" t="str">
        <f>"201800089830"</f>
        <v>201800089830</v>
      </c>
      <c r="C122" s="3">
        <v>107020</v>
      </c>
      <c r="D122" s="3" t="s">
        <v>771</v>
      </c>
      <c r="E122" s="3">
        <v>20556564362</v>
      </c>
      <c r="F122" s="3" t="s">
        <v>772</v>
      </c>
      <c r="G122" s="3" t="s">
        <v>773</v>
      </c>
      <c r="H122" s="3" t="s">
        <v>59</v>
      </c>
      <c r="I122" s="3" t="s">
        <v>59</v>
      </c>
      <c r="J122" s="3" t="s">
        <v>213</v>
      </c>
      <c r="K122" s="3"/>
      <c r="L122" s="3"/>
      <c r="M122" s="3"/>
      <c r="N122" s="3"/>
      <c r="O122" s="3" t="s">
        <v>71</v>
      </c>
      <c r="P122" s="3" t="s">
        <v>774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>
        <v>6500</v>
      </c>
      <c r="AL122" s="4">
        <v>43257</v>
      </c>
      <c r="AM122" s="3"/>
      <c r="AN122" s="3" t="s">
        <v>775</v>
      </c>
    </row>
    <row r="123" spans="1:40" ht="13.5">
      <c r="A123" s="3">
        <v>117</v>
      </c>
      <c r="B123" s="3" t="str">
        <f>"201800201497"</f>
        <v>201800201497</v>
      </c>
      <c r="C123" s="3">
        <v>140159</v>
      </c>
      <c r="D123" s="3" t="s">
        <v>776</v>
      </c>
      <c r="E123" s="3">
        <v>20486107902</v>
      </c>
      <c r="F123" s="3" t="s">
        <v>777</v>
      </c>
      <c r="G123" s="3" t="s">
        <v>778</v>
      </c>
      <c r="H123" s="3" t="s">
        <v>219</v>
      </c>
      <c r="I123" s="3" t="s">
        <v>220</v>
      </c>
      <c r="J123" s="3" t="s">
        <v>221</v>
      </c>
      <c r="K123" s="3"/>
      <c r="L123" s="3"/>
      <c r="M123" s="3"/>
      <c r="N123" s="3"/>
      <c r="O123" s="3" t="s">
        <v>46</v>
      </c>
      <c r="P123" s="3" t="s">
        <v>779</v>
      </c>
      <c r="Q123" s="3" t="s">
        <v>780</v>
      </c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>
        <v>13485</v>
      </c>
      <c r="AL123" s="4">
        <v>43441</v>
      </c>
      <c r="AM123" s="3"/>
      <c r="AN123" s="3" t="s">
        <v>781</v>
      </c>
    </row>
    <row r="124" spans="1:40" ht="13.5">
      <c r="A124" s="3">
        <v>118</v>
      </c>
      <c r="B124" s="3" t="str">
        <f>"201900027140"</f>
        <v>201900027140</v>
      </c>
      <c r="C124" s="3">
        <v>102972</v>
      </c>
      <c r="D124" s="3" t="s">
        <v>782</v>
      </c>
      <c r="E124" s="3">
        <v>20494106893</v>
      </c>
      <c r="F124" s="3" t="s">
        <v>783</v>
      </c>
      <c r="G124" s="3" t="s">
        <v>784</v>
      </c>
      <c r="H124" s="3" t="s">
        <v>175</v>
      </c>
      <c r="I124" s="3" t="s">
        <v>785</v>
      </c>
      <c r="J124" s="3" t="s">
        <v>785</v>
      </c>
      <c r="K124" s="3"/>
      <c r="L124" s="3"/>
      <c r="M124" s="3"/>
      <c r="N124" s="3"/>
      <c r="O124" s="3" t="s">
        <v>46</v>
      </c>
      <c r="P124" s="3" t="s">
        <v>786</v>
      </c>
      <c r="Q124" s="3" t="s">
        <v>787</v>
      </c>
      <c r="R124" s="3" t="s">
        <v>788</v>
      </c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>
        <v>14000</v>
      </c>
      <c r="AL124" s="4">
        <v>43519</v>
      </c>
      <c r="AM124" s="3"/>
      <c r="AN124" s="3" t="s">
        <v>789</v>
      </c>
    </row>
    <row r="125" spans="1:40" ht="27.75">
      <c r="A125" s="3">
        <v>119</v>
      </c>
      <c r="B125" s="3" t="str">
        <f>"201500081410"</f>
        <v>201500081410</v>
      </c>
      <c r="C125" s="3">
        <v>116049</v>
      </c>
      <c r="D125" s="3" t="s">
        <v>790</v>
      </c>
      <c r="E125" s="3">
        <v>20334129595</v>
      </c>
      <c r="F125" s="3" t="s">
        <v>634</v>
      </c>
      <c r="G125" s="3" t="s">
        <v>791</v>
      </c>
      <c r="H125" s="3" t="s">
        <v>59</v>
      </c>
      <c r="I125" s="3" t="s">
        <v>59</v>
      </c>
      <c r="J125" s="3" t="s">
        <v>102</v>
      </c>
      <c r="K125" s="3"/>
      <c r="L125" s="3"/>
      <c r="M125" s="3"/>
      <c r="N125" s="3"/>
      <c r="O125" s="3" t="s">
        <v>46</v>
      </c>
      <c r="P125" s="3" t="s">
        <v>792</v>
      </c>
      <c r="Q125" s="3" t="s">
        <v>793</v>
      </c>
      <c r="R125" s="3" t="s">
        <v>794</v>
      </c>
      <c r="S125" s="3" t="s">
        <v>795</v>
      </c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>
        <v>13500</v>
      </c>
      <c r="AL125" s="4">
        <v>42181</v>
      </c>
      <c r="AM125" s="3"/>
      <c r="AN125" s="3" t="s">
        <v>637</v>
      </c>
    </row>
    <row r="126" spans="1:40" ht="13.5">
      <c r="A126" s="3">
        <v>120</v>
      </c>
      <c r="B126" s="3" t="str">
        <f>"201900100650"</f>
        <v>201900100650</v>
      </c>
      <c r="C126" s="3">
        <v>110088</v>
      </c>
      <c r="D126" s="3" t="s">
        <v>796</v>
      </c>
      <c r="E126" s="3">
        <v>20555940158</v>
      </c>
      <c r="F126" s="3" t="s">
        <v>797</v>
      </c>
      <c r="G126" s="3" t="s">
        <v>798</v>
      </c>
      <c r="H126" s="3" t="s">
        <v>59</v>
      </c>
      <c r="I126" s="3" t="s">
        <v>59</v>
      </c>
      <c r="J126" s="3" t="s">
        <v>799</v>
      </c>
      <c r="K126" s="3"/>
      <c r="L126" s="3"/>
      <c r="M126" s="3"/>
      <c r="N126" s="3"/>
      <c r="O126" s="3" t="s">
        <v>71</v>
      </c>
      <c r="P126" s="3" t="s">
        <v>800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>
        <v>1800</v>
      </c>
      <c r="AL126" s="4">
        <v>43641</v>
      </c>
      <c r="AM126" s="3"/>
      <c r="AN126" s="3" t="s">
        <v>801</v>
      </c>
    </row>
    <row r="127" spans="1:40" ht="13.5">
      <c r="A127" s="3">
        <v>121</v>
      </c>
      <c r="B127" s="3" t="str">
        <f>"201800194213"</f>
        <v>201800194213</v>
      </c>
      <c r="C127" s="3">
        <v>122268</v>
      </c>
      <c r="D127" s="3" t="s">
        <v>802</v>
      </c>
      <c r="E127" s="3">
        <v>20507248676</v>
      </c>
      <c r="F127" s="3" t="s">
        <v>803</v>
      </c>
      <c r="G127" s="3" t="s">
        <v>804</v>
      </c>
      <c r="H127" s="3" t="s">
        <v>59</v>
      </c>
      <c r="I127" s="3" t="s">
        <v>59</v>
      </c>
      <c r="J127" s="3" t="s">
        <v>70</v>
      </c>
      <c r="K127" s="3"/>
      <c r="L127" s="3"/>
      <c r="M127" s="3"/>
      <c r="N127" s="3"/>
      <c r="O127" s="3" t="s">
        <v>46</v>
      </c>
      <c r="P127" s="3" t="s">
        <v>805</v>
      </c>
      <c r="Q127" s="3" t="s">
        <v>806</v>
      </c>
      <c r="R127" s="3" t="s">
        <v>807</v>
      </c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>
        <v>14000</v>
      </c>
      <c r="AL127" s="4">
        <v>43426</v>
      </c>
      <c r="AM127" s="3"/>
      <c r="AN127" s="3" t="s">
        <v>808</v>
      </c>
    </row>
    <row r="128" spans="1:40" ht="13.5">
      <c r="A128" s="3">
        <v>122</v>
      </c>
      <c r="B128" s="3" t="str">
        <f>"201900061975"</f>
        <v>201900061975</v>
      </c>
      <c r="C128" s="3">
        <v>123180</v>
      </c>
      <c r="D128" s="3" t="s">
        <v>809</v>
      </c>
      <c r="E128" s="3">
        <v>10010042289</v>
      </c>
      <c r="F128" s="3" t="s">
        <v>810</v>
      </c>
      <c r="G128" s="3" t="s">
        <v>811</v>
      </c>
      <c r="H128" s="3" t="s">
        <v>85</v>
      </c>
      <c r="I128" s="3" t="s">
        <v>86</v>
      </c>
      <c r="J128" s="3" t="s">
        <v>525</v>
      </c>
      <c r="K128" s="3"/>
      <c r="L128" s="3"/>
      <c r="M128" s="3"/>
      <c r="N128" s="3"/>
      <c r="O128" s="3" t="s">
        <v>46</v>
      </c>
      <c r="P128" s="3" t="s">
        <v>812</v>
      </c>
      <c r="Q128" s="3" t="s">
        <v>813</v>
      </c>
      <c r="R128" s="3" t="s">
        <v>814</v>
      </c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>
        <v>14200</v>
      </c>
      <c r="AL128" s="4">
        <v>43576</v>
      </c>
      <c r="AM128" s="3"/>
      <c r="AN128" s="3" t="s">
        <v>810</v>
      </c>
    </row>
    <row r="129" spans="1:40" ht="27.75">
      <c r="A129" s="3">
        <v>123</v>
      </c>
      <c r="B129" s="3" t="str">
        <f>"201800039951"</f>
        <v>201800039951</v>
      </c>
      <c r="C129" s="3">
        <v>127712</v>
      </c>
      <c r="D129" s="3" t="s">
        <v>815</v>
      </c>
      <c r="E129" s="3">
        <v>20458378747</v>
      </c>
      <c r="F129" s="3" t="s">
        <v>57</v>
      </c>
      <c r="G129" s="3" t="s">
        <v>816</v>
      </c>
      <c r="H129" s="3" t="s">
        <v>197</v>
      </c>
      <c r="I129" s="3" t="s">
        <v>260</v>
      </c>
      <c r="J129" s="3" t="s">
        <v>261</v>
      </c>
      <c r="K129" s="3" t="s">
        <v>817</v>
      </c>
      <c r="L129" s="3" t="s">
        <v>59</v>
      </c>
      <c r="M129" s="3" t="s">
        <v>59</v>
      </c>
      <c r="N129" s="3" t="s">
        <v>60</v>
      </c>
      <c r="O129" s="3" t="s">
        <v>46</v>
      </c>
      <c r="P129" s="3" t="s">
        <v>818</v>
      </c>
      <c r="Q129" s="3" t="s">
        <v>62</v>
      </c>
      <c r="R129" s="3" t="s">
        <v>65</v>
      </c>
      <c r="S129" s="3" t="s">
        <v>64</v>
      </c>
      <c r="T129" s="3" t="s">
        <v>63</v>
      </c>
      <c r="U129" s="3" t="s">
        <v>263</v>
      </c>
      <c r="V129" s="3" t="s">
        <v>264</v>
      </c>
      <c r="W129" s="3" t="s">
        <v>265</v>
      </c>
      <c r="X129" s="3" t="s">
        <v>266</v>
      </c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>
        <v>14300</v>
      </c>
      <c r="AL129" s="4">
        <v>43167</v>
      </c>
      <c r="AM129" s="3"/>
      <c r="AN129" s="3" t="s">
        <v>66</v>
      </c>
    </row>
    <row r="130" spans="1:40" ht="13.5">
      <c r="A130" s="3">
        <v>124</v>
      </c>
      <c r="B130" s="3" t="str">
        <f>"201900070493"</f>
        <v>201900070493</v>
      </c>
      <c r="C130" s="3">
        <v>141416</v>
      </c>
      <c r="D130" s="3" t="s">
        <v>819</v>
      </c>
      <c r="E130" s="3">
        <v>20534290251</v>
      </c>
      <c r="F130" s="3" t="s">
        <v>820</v>
      </c>
      <c r="G130" s="3" t="s">
        <v>821</v>
      </c>
      <c r="H130" s="3" t="s">
        <v>197</v>
      </c>
      <c r="I130" s="3" t="s">
        <v>822</v>
      </c>
      <c r="J130" s="3" t="s">
        <v>822</v>
      </c>
      <c r="K130" s="3" t="s">
        <v>821</v>
      </c>
      <c r="L130" s="3" t="s">
        <v>197</v>
      </c>
      <c r="M130" s="3" t="s">
        <v>822</v>
      </c>
      <c r="N130" s="3" t="s">
        <v>822</v>
      </c>
      <c r="O130" s="3" t="s">
        <v>46</v>
      </c>
      <c r="P130" s="3" t="s">
        <v>823</v>
      </c>
      <c r="Q130" s="3" t="s">
        <v>824</v>
      </c>
      <c r="R130" s="3" t="s">
        <v>825</v>
      </c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>
        <v>14500</v>
      </c>
      <c r="AL130" s="4">
        <v>43587</v>
      </c>
      <c r="AM130" s="3"/>
      <c r="AN130" s="3" t="s">
        <v>826</v>
      </c>
    </row>
    <row r="131" spans="1:40" ht="13.5">
      <c r="A131" s="3">
        <v>125</v>
      </c>
      <c r="B131" s="3" t="str">
        <f>"202000111147"</f>
        <v>202000111147</v>
      </c>
      <c r="C131" s="3">
        <v>150855</v>
      </c>
      <c r="D131" s="3" t="s">
        <v>827</v>
      </c>
      <c r="E131" s="3">
        <v>20486100215</v>
      </c>
      <c r="F131" s="3" t="s">
        <v>828</v>
      </c>
      <c r="G131" s="3" t="s">
        <v>84</v>
      </c>
      <c r="H131" s="3" t="s">
        <v>85</v>
      </c>
      <c r="I131" s="3" t="s">
        <v>86</v>
      </c>
      <c r="J131" s="3" t="s">
        <v>86</v>
      </c>
      <c r="K131" s="3"/>
      <c r="L131" s="3"/>
      <c r="M131" s="3"/>
      <c r="N131" s="3"/>
      <c r="O131" s="3" t="s">
        <v>46</v>
      </c>
      <c r="P131" s="3" t="s">
        <v>829</v>
      </c>
      <c r="Q131" s="3" t="s">
        <v>830</v>
      </c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>
        <v>14000</v>
      </c>
      <c r="AL131" s="4">
        <v>44075</v>
      </c>
      <c r="AM131" s="3"/>
      <c r="AN131" s="3" t="s">
        <v>831</v>
      </c>
    </row>
    <row r="132" spans="1:40" ht="27.75">
      <c r="A132" s="3">
        <v>126</v>
      </c>
      <c r="B132" s="3" t="str">
        <f>"201900140415"</f>
        <v>201900140415</v>
      </c>
      <c r="C132" s="3">
        <v>90547</v>
      </c>
      <c r="D132" s="3" t="s">
        <v>832</v>
      </c>
      <c r="E132" s="3">
        <v>20528991841</v>
      </c>
      <c r="F132" s="3" t="s">
        <v>833</v>
      </c>
      <c r="G132" s="3" t="s">
        <v>834</v>
      </c>
      <c r="H132" s="3" t="s">
        <v>515</v>
      </c>
      <c r="I132" s="3" t="s">
        <v>515</v>
      </c>
      <c r="J132" s="3" t="s">
        <v>722</v>
      </c>
      <c r="K132" s="3"/>
      <c r="L132" s="3"/>
      <c r="M132" s="3"/>
      <c r="N132" s="3"/>
      <c r="O132" s="3" t="s">
        <v>46</v>
      </c>
      <c r="P132" s="3" t="s">
        <v>835</v>
      </c>
      <c r="Q132" s="3" t="s">
        <v>836</v>
      </c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>
        <v>12000</v>
      </c>
      <c r="AL132" s="4">
        <v>43710</v>
      </c>
      <c r="AM132" s="3"/>
      <c r="AN132" s="3" t="s">
        <v>837</v>
      </c>
    </row>
    <row r="133" spans="1:40" ht="13.5">
      <c r="A133" s="3">
        <v>127</v>
      </c>
      <c r="B133" s="3" t="str">
        <f>"201500150288"</f>
        <v>201500150288</v>
      </c>
      <c r="C133" s="3">
        <v>43609</v>
      </c>
      <c r="D133" s="3" t="s">
        <v>838</v>
      </c>
      <c r="E133" s="3">
        <v>20515858360</v>
      </c>
      <c r="F133" s="3" t="s">
        <v>839</v>
      </c>
      <c r="G133" s="3" t="s">
        <v>840</v>
      </c>
      <c r="H133" s="3" t="s">
        <v>59</v>
      </c>
      <c r="I133" s="3" t="s">
        <v>59</v>
      </c>
      <c r="J133" s="3" t="s">
        <v>555</v>
      </c>
      <c r="K133" s="3" t="s">
        <v>840</v>
      </c>
      <c r="L133" s="3" t="s">
        <v>59</v>
      </c>
      <c r="M133" s="3" t="s">
        <v>59</v>
      </c>
      <c r="N133" s="3" t="s">
        <v>555</v>
      </c>
      <c r="O133" s="3" t="s">
        <v>71</v>
      </c>
      <c r="P133" s="3" t="s">
        <v>841</v>
      </c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>
        <v>4300</v>
      </c>
      <c r="AL133" s="4">
        <v>42328</v>
      </c>
      <c r="AM133" s="3"/>
      <c r="AN133" s="3" t="s">
        <v>842</v>
      </c>
    </row>
    <row r="134" spans="1:40" ht="13.5">
      <c r="A134" s="3">
        <v>128</v>
      </c>
      <c r="B134" s="3" t="str">
        <f>"201800089820"</f>
        <v>201800089820</v>
      </c>
      <c r="C134" s="3">
        <v>111900</v>
      </c>
      <c r="D134" s="3" t="s">
        <v>843</v>
      </c>
      <c r="E134" s="3">
        <v>20556564362</v>
      </c>
      <c r="F134" s="3" t="s">
        <v>844</v>
      </c>
      <c r="G134" s="3" t="s">
        <v>773</v>
      </c>
      <c r="H134" s="3" t="s">
        <v>59</v>
      </c>
      <c r="I134" s="3" t="s">
        <v>59</v>
      </c>
      <c r="J134" s="3" t="s">
        <v>213</v>
      </c>
      <c r="K134" s="3"/>
      <c r="L134" s="3"/>
      <c r="M134" s="3"/>
      <c r="N134" s="3"/>
      <c r="O134" s="3" t="s">
        <v>71</v>
      </c>
      <c r="P134" s="3" t="s">
        <v>845</v>
      </c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>
        <v>6500</v>
      </c>
      <c r="AL134" s="4">
        <v>43257</v>
      </c>
      <c r="AM134" s="3"/>
      <c r="AN134" s="3" t="s">
        <v>775</v>
      </c>
    </row>
    <row r="135" spans="1:40" ht="13.5">
      <c r="A135" s="3">
        <v>129</v>
      </c>
      <c r="B135" s="3" t="str">
        <f>"201500091715"</f>
        <v>201500091715</v>
      </c>
      <c r="C135" s="3">
        <v>116188</v>
      </c>
      <c r="D135" s="3" t="s">
        <v>846</v>
      </c>
      <c r="E135" s="3">
        <v>20548771022</v>
      </c>
      <c r="F135" s="3" t="s">
        <v>847</v>
      </c>
      <c r="G135" s="3" t="s">
        <v>848</v>
      </c>
      <c r="H135" s="3" t="s">
        <v>59</v>
      </c>
      <c r="I135" s="3" t="s">
        <v>59</v>
      </c>
      <c r="J135" s="3" t="s">
        <v>442</v>
      </c>
      <c r="K135" s="3"/>
      <c r="L135" s="3"/>
      <c r="M135" s="3"/>
      <c r="N135" s="3"/>
      <c r="O135" s="3" t="s">
        <v>46</v>
      </c>
      <c r="P135" s="3" t="s">
        <v>849</v>
      </c>
      <c r="Q135" s="3" t="s">
        <v>850</v>
      </c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>
        <v>13000</v>
      </c>
      <c r="AL135" s="4">
        <v>42202</v>
      </c>
      <c r="AM135" s="3"/>
      <c r="AN135" s="3" t="s">
        <v>851</v>
      </c>
    </row>
    <row r="136" spans="1:40" ht="27.75">
      <c r="A136" s="3">
        <v>130</v>
      </c>
      <c r="B136" s="3" t="str">
        <f>"201800190098"</f>
        <v>201800190098</v>
      </c>
      <c r="C136" s="3">
        <v>139718</v>
      </c>
      <c r="D136" s="3" t="s">
        <v>852</v>
      </c>
      <c r="E136" s="3">
        <v>20119207640</v>
      </c>
      <c r="F136" s="3" t="s">
        <v>853</v>
      </c>
      <c r="G136" s="3" t="s">
        <v>854</v>
      </c>
      <c r="H136" s="3" t="s">
        <v>109</v>
      </c>
      <c r="I136" s="3" t="s">
        <v>109</v>
      </c>
      <c r="J136" s="3" t="s">
        <v>109</v>
      </c>
      <c r="K136" s="3" t="s">
        <v>855</v>
      </c>
      <c r="L136" s="3" t="s">
        <v>109</v>
      </c>
      <c r="M136" s="3" t="s">
        <v>109</v>
      </c>
      <c r="N136" s="3" t="s">
        <v>109</v>
      </c>
      <c r="O136" s="3" t="s">
        <v>46</v>
      </c>
      <c r="P136" s="3" t="s">
        <v>856</v>
      </c>
      <c r="Q136" s="3" t="s">
        <v>857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>
        <v>15200</v>
      </c>
      <c r="AL136" s="4">
        <v>43419</v>
      </c>
      <c r="AM136" s="3"/>
      <c r="AN136" s="3" t="s">
        <v>111</v>
      </c>
    </row>
    <row r="137" spans="1:40" ht="13.5">
      <c r="A137" s="3">
        <v>131</v>
      </c>
      <c r="B137" s="3" t="str">
        <f>"201600008824"</f>
        <v>201600008824</v>
      </c>
      <c r="C137" s="3">
        <v>119191</v>
      </c>
      <c r="D137" s="3" t="s">
        <v>858</v>
      </c>
      <c r="E137" s="3">
        <v>10040637911</v>
      </c>
      <c r="F137" s="3" t="s">
        <v>859</v>
      </c>
      <c r="G137" s="3" t="s">
        <v>860</v>
      </c>
      <c r="H137" s="3" t="s">
        <v>515</v>
      </c>
      <c r="I137" s="3" t="s">
        <v>515</v>
      </c>
      <c r="J137" s="3" t="s">
        <v>515</v>
      </c>
      <c r="K137" s="3" t="s">
        <v>860</v>
      </c>
      <c r="L137" s="3" t="s">
        <v>515</v>
      </c>
      <c r="M137" s="3" t="s">
        <v>515</v>
      </c>
      <c r="N137" s="3" t="s">
        <v>515</v>
      </c>
      <c r="O137" s="3" t="s">
        <v>46</v>
      </c>
      <c r="P137" s="3" t="s">
        <v>861</v>
      </c>
      <c r="Q137" s="3" t="s">
        <v>862</v>
      </c>
      <c r="R137" s="3" t="s">
        <v>863</v>
      </c>
      <c r="S137" s="3" t="s">
        <v>864</v>
      </c>
      <c r="T137" s="3" t="s">
        <v>865</v>
      </c>
      <c r="U137" s="3" t="s">
        <v>866</v>
      </c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>
        <v>13600</v>
      </c>
      <c r="AL137" s="4">
        <v>42394</v>
      </c>
      <c r="AM137" s="3"/>
      <c r="AN137" s="3" t="s">
        <v>859</v>
      </c>
    </row>
    <row r="138" spans="1:40" ht="13.5">
      <c r="A138" s="3">
        <v>132</v>
      </c>
      <c r="B138" s="3" t="str">
        <f>"201900099282"</f>
        <v>201900099282</v>
      </c>
      <c r="C138" s="3">
        <v>113242</v>
      </c>
      <c r="D138" s="3" t="s">
        <v>867</v>
      </c>
      <c r="E138" s="3">
        <v>20541678817</v>
      </c>
      <c r="F138" s="3" t="s">
        <v>868</v>
      </c>
      <c r="G138" s="3" t="s">
        <v>869</v>
      </c>
      <c r="H138" s="3" t="s">
        <v>388</v>
      </c>
      <c r="I138" s="3" t="s">
        <v>389</v>
      </c>
      <c r="J138" s="3" t="s">
        <v>870</v>
      </c>
      <c r="K138" s="3"/>
      <c r="L138" s="3"/>
      <c r="M138" s="3"/>
      <c r="N138" s="3"/>
      <c r="O138" s="3" t="s">
        <v>71</v>
      </c>
      <c r="P138" s="3" t="s">
        <v>871</v>
      </c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>
        <v>1900</v>
      </c>
      <c r="AL138" s="4">
        <v>43643</v>
      </c>
      <c r="AM138" s="3"/>
      <c r="AN138" s="3" t="s">
        <v>872</v>
      </c>
    </row>
    <row r="139" spans="1:40" ht="27.75">
      <c r="A139" s="3">
        <v>133</v>
      </c>
      <c r="B139" s="3" t="str">
        <f>"201500128633"</f>
        <v>201500128633</v>
      </c>
      <c r="C139" s="3">
        <v>112088</v>
      </c>
      <c r="D139" s="3" t="s">
        <v>873</v>
      </c>
      <c r="E139" s="3">
        <v>20119207640</v>
      </c>
      <c r="F139" s="3" t="s">
        <v>874</v>
      </c>
      <c r="G139" s="3" t="s">
        <v>875</v>
      </c>
      <c r="H139" s="3" t="s">
        <v>109</v>
      </c>
      <c r="I139" s="3" t="s">
        <v>109</v>
      </c>
      <c r="J139" s="3" t="s">
        <v>109</v>
      </c>
      <c r="K139" s="3"/>
      <c r="L139" s="3"/>
      <c r="M139" s="3"/>
      <c r="N139" s="3"/>
      <c r="O139" s="3" t="s">
        <v>46</v>
      </c>
      <c r="P139" s="3" t="s">
        <v>876</v>
      </c>
      <c r="Q139" s="3" t="s">
        <v>877</v>
      </c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>
        <v>14500</v>
      </c>
      <c r="AL139" s="4">
        <v>42284</v>
      </c>
      <c r="AM139" s="3"/>
      <c r="AN139" s="3" t="s">
        <v>111</v>
      </c>
    </row>
    <row r="140" spans="1:40" ht="27.75">
      <c r="A140" s="3">
        <v>134</v>
      </c>
      <c r="B140" s="3" t="str">
        <f>"201400112716"</f>
        <v>201400112716</v>
      </c>
      <c r="C140" s="3">
        <v>111300</v>
      </c>
      <c r="D140" s="3" t="s">
        <v>878</v>
      </c>
      <c r="E140" s="3">
        <v>20511978794</v>
      </c>
      <c r="F140" s="3" t="s">
        <v>879</v>
      </c>
      <c r="G140" s="3" t="s">
        <v>880</v>
      </c>
      <c r="H140" s="3" t="s">
        <v>59</v>
      </c>
      <c r="I140" s="3" t="s">
        <v>59</v>
      </c>
      <c r="J140" s="3" t="s">
        <v>881</v>
      </c>
      <c r="K140" s="3"/>
      <c r="L140" s="3"/>
      <c r="M140" s="3"/>
      <c r="N140" s="3"/>
      <c r="O140" s="3" t="s">
        <v>71</v>
      </c>
      <c r="P140" s="3" t="s">
        <v>882</v>
      </c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>
        <v>6500</v>
      </c>
      <c r="AL140" s="4">
        <v>41883</v>
      </c>
      <c r="AM140" s="3"/>
      <c r="AN140" s="3" t="s">
        <v>883</v>
      </c>
    </row>
    <row r="141" spans="1:40" ht="27.75">
      <c r="A141" s="3">
        <v>135</v>
      </c>
      <c r="B141" s="3" t="str">
        <f>"201500075582"</f>
        <v>201500075582</v>
      </c>
      <c r="C141" s="3">
        <v>115849</v>
      </c>
      <c r="D141" s="3" t="s">
        <v>884</v>
      </c>
      <c r="E141" s="3">
        <v>20165318391</v>
      </c>
      <c r="F141" s="3" t="s">
        <v>885</v>
      </c>
      <c r="G141" s="3" t="s">
        <v>886</v>
      </c>
      <c r="H141" s="3" t="s">
        <v>85</v>
      </c>
      <c r="I141" s="3" t="s">
        <v>86</v>
      </c>
      <c r="J141" s="3" t="s">
        <v>86</v>
      </c>
      <c r="K141" s="3"/>
      <c r="L141" s="3"/>
      <c r="M141" s="3"/>
      <c r="N141" s="3"/>
      <c r="O141" s="3" t="s">
        <v>46</v>
      </c>
      <c r="P141" s="3" t="s">
        <v>887</v>
      </c>
      <c r="Q141" s="3" t="s">
        <v>888</v>
      </c>
      <c r="R141" s="3" t="s">
        <v>889</v>
      </c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>
        <v>13000</v>
      </c>
      <c r="AL141" s="4">
        <v>42177</v>
      </c>
      <c r="AM141" s="3"/>
      <c r="AN141" s="3" t="s">
        <v>193</v>
      </c>
    </row>
    <row r="142" spans="1:40" ht="27.75">
      <c r="A142" s="3">
        <v>136</v>
      </c>
      <c r="B142" s="3" t="str">
        <f>"201700067240"</f>
        <v>201700067240</v>
      </c>
      <c r="C142" s="3">
        <v>92520</v>
      </c>
      <c r="D142" s="3" t="s">
        <v>890</v>
      </c>
      <c r="E142" s="3">
        <v>20543725073</v>
      </c>
      <c r="F142" s="3" t="s">
        <v>180</v>
      </c>
      <c r="G142" s="3" t="s">
        <v>891</v>
      </c>
      <c r="H142" s="3" t="s">
        <v>59</v>
      </c>
      <c r="I142" s="3" t="s">
        <v>59</v>
      </c>
      <c r="J142" s="3" t="s">
        <v>182</v>
      </c>
      <c r="K142" s="3" t="s">
        <v>891</v>
      </c>
      <c r="L142" s="3" t="s">
        <v>59</v>
      </c>
      <c r="M142" s="3" t="s">
        <v>59</v>
      </c>
      <c r="N142" s="3" t="s">
        <v>182</v>
      </c>
      <c r="O142" s="3" t="s">
        <v>71</v>
      </c>
      <c r="P142" s="3" t="s">
        <v>892</v>
      </c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>
        <v>4000</v>
      </c>
      <c r="AL142" s="4">
        <v>42866</v>
      </c>
      <c r="AM142" s="3"/>
      <c r="AN142" s="3" t="s">
        <v>893</v>
      </c>
    </row>
    <row r="143" spans="1:40" ht="13.5">
      <c r="A143" s="3">
        <v>137</v>
      </c>
      <c r="B143" s="3" t="str">
        <f>"201900026011"</f>
        <v>201900026011</v>
      </c>
      <c r="C143" s="3">
        <v>83730</v>
      </c>
      <c r="D143" s="3" t="s">
        <v>894</v>
      </c>
      <c r="E143" s="3">
        <v>20507286411</v>
      </c>
      <c r="F143" s="3" t="s">
        <v>145</v>
      </c>
      <c r="G143" s="3" t="s">
        <v>895</v>
      </c>
      <c r="H143" s="3" t="s">
        <v>59</v>
      </c>
      <c r="I143" s="3" t="s">
        <v>59</v>
      </c>
      <c r="J143" s="3" t="s">
        <v>147</v>
      </c>
      <c r="K143" s="3"/>
      <c r="L143" s="3"/>
      <c r="M143" s="3"/>
      <c r="N143" s="3"/>
      <c r="O143" s="3" t="s">
        <v>71</v>
      </c>
      <c r="P143" s="3" t="s">
        <v>896</v>
      </c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>
        <v>6700</v>
      </c>
      <c r="AL143" s="4">
        <v>43531</v>
      </c>
      <c r="AM143" s="3"/>
      <c r="AN143" s="3" t="s">
        <v>149</v>
      </c>
    </row>
    <row r="144" spans="1:40" ht="27.75">
      <c r="A144" s="3">
        <v>138</v>
      </c>
      <c r="B144" s="3" t="str">
        <f>"201700084477"</f>
        <v>201700084477</v>
      </c>
      <c r="C144" s="3">
        <v>104901</v>
      </c>
      <c r="D144" s="3" t="s">
        <v>897</v>
      </c>
      <c r="E144" s="3">
        <v>20543725073</v>
      </c>
      <c r="F144" s="3" t="s">
        <v>180</v>
      </c>
      <c r="G144" s="3" t="s">
        <v>891</v>
      </c>
      <c r="H144" s="3" t="s">
        <v>59</v>
      </c>
      <c r="I144" s="3" t="s">
        <v>59</v>
      </c>
      <c r="J144" s="3" t="s">
        <v>182</v>
      </c>
      <c r="K144" s="3" t="s">
        <v>891</v>
      </c>
      <c r="L144" s="3" t="s">
        <v>59</v>
      </c>
      <c r="M144" s="3" t="s">
        <v>59</v>
      </c>
      <c r="N144" s="3" t="s">
        <v>182</v>
      </c>
      <c r="O144" s="3" t="s">
        <v>71</v>
      </c>
      <c r="P144" s="3" t="s">
        <v>898</v>
      </c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>
        <v>6500</v>
      </c>
      <c r="AL144" s="4">
        <v>42886</v>
      </c>
      <c r="AM144" s="3"/>
      <c r="AN144" s="3" t="s">
        <v>893</v>
      </c>
    </row>
    <row r="145" spans="1:40" ht="27.75">
      <c r="A145" s="3">
        <v>139</v>
      </c>
      <c r="B145" s="3" t="str">
        <f>"202000084238"</f>
        <v>202000084238</v>
      </c>
      <c r="C145" s="3">
        <v>85393</v>
      </c>
      <c r="D145" s="3" t="s">
        <v>899</v>
      </c>
      <c r="E145" s="3">
        <v>20603024495</v>
      </c>
      <c r="F145" s="3" t="s">
        <v>241</v>
      </c>
      <c r="G145" s="3" t="s">
        <v>900</v>
      </c>
      <c r="H145" s="3" t="s">
        <v>59</v>
      </c>
      <c r="I145" s="3" t="s">
        <v>59</v>
      </c>
      <c r="J145" s="3" t="s">
        <v>243</v>
      </c>
      <c r="K145" s="3" t="s">
        <v>900</v>
      </c>
      <c r="L145" s="3" t="s">
        <v>59</v>
      </c>
      <c r="M145" s="3" t="s">
        <v>59</v>
      </c>
      <c r="N145" s="3" t="s">
        <v>243</v>
      </c>
      <c r="O145" s="3" t="s">
        <v>71</v>
      </c>
      <c r="P145" s="3" t="s">
        <v>901</v>
      </c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>
        <v>6300</v>
      </c>
      <c r="AL145" s="4">
        <v>44029</v>
      </c>
      <c r="AM145" s="3"/>
      <c r="AN145" s="3" t="s">
        <v>246</v>
      </c>
    </row>
    <row r="146" spans="1:40" ht="13.5">
      <c r="A146" s="3">
        <v>140</v>
      </c>
      <c r="B146" s="3" t="str">
        <f>"202000143818"</f>
        <v>202000143818</v>
      </c>
      <c r="C146" s="3">
        <v>151893</v>
      </c>
      <c r="D146" s="3" t="s">
        <v>902</v>
      </c>
      <c r="E146" s="3">
        <v>10469862084</v>
      </c>
      <c r="F146" s="3" t="s">
        <v>903</v>
      </c>
      <c r="G146" s="3" t="s">
        <v>904</v>
      </c>
      <c r="H146" s="3" t="s">
        <v>85</v>
      </c>
      <c r="I146" s="3" t="s">
        <v>86</v>
      </c>
      <c r="J146" s="3" t="s">
        <v>905</v>
      </c>
      <c r="K146" s="3"/>
      <c r="L146" s="3"/>
      <c r="M146" s="3"/>
      <c r="N146" s="3"/>
      <c r="O146" s="3" t="s">
        <v>71</v>
      </c>
      <c r="P146" s="3" t="s">
        <v>906</v>
      </c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>
        <v>4600</v>
      </c>
      <c r="AL146" s="4">
        <v>44123</v>
      </c>
      <c r="AM146" s="3"/>
      <c r="AN146" s="3" t="s">
        <v>903</v>
      </c>
    </row>
    <row r="147" spans="1:40" ht="13.5">
      <c r="A147" s="3">
        <v>141</v>
      </c>
      <c r="B147" s="3" t="str">
        <f>"201400139262"</f>
        <v>201400139262</v>
      </c>
      <c r="C147" s="3">
        <v>112187</v>
      </c>
      <c r="D147" s="3" t="s">
        <v>907</v>
      </c>
      <c r="E147" s="3">
        <v>20506147353</v>
      </c>
      <c r="F147" s="3" t="s">
        <v>908</v>
      </c>
      <c r="G147" s="3" t="s">
        <v>909</v>
      </c>
      <c r="H147" s="3" t="s">
        <v>59</v>
      </c>
      <c r="I147" s="3" t="s">
        <v>59</v>
      </c>
      <c r="J147" s="3" t="s">
        <v>555</v>
      </c>
      <c r="K147" s="3"/>
      <c r="L147" s="3"/>
      <c r="M147" s="3"/>
      <c r="N147" s="3"/>
      <c r="O147" s="3" t="s">
        <v>71</v>
      </c>
      <c r="P147" s="3" t="s">
        <v>910</v>
      </c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>
        <v>6500</v>
      </c>
      <c r="AL147" s="4">
        <v>41936</v>
      </c>
      <c r="AM147" s="3"/>
      <c r="AN147" s="3" t="s">
        <v>911</v>
      </c>
    </row>
    <row r="148" spans="1:40" ht="13.5">
      <c r="A148" s="3">
        <v>142</v>
      </c>
      <c r="B148" s="3" t="str">
        <f>"201400163087"</f>
        <v>201400163087</v>
      </c>
      <c r="C148" s="3">
        <v>112867</v>
      </c>
      <c r="D148" s="3" t="s">
        <v>912</v>
      </c>
      <c r="E148" s="3">
        <v>20538512584</v>
      </c>
      <c r="F148" s="3" t="s">
        <v>913</v>
      </c>
      <c r="G148" s="3" t="s">
        <v>914</v>
      </c>
      <c r="H148" s="3" t="s">
        <v>59</v>
      </c>
      <c r="I148" s="3" t="s">
        <v>59</v>
      </c>
      <c r="J148" s="3" t="s">
        <v>182</v>
      </c>
      <c r="K148" s="3" t="s">
        <v>915</v>
      </c>
      <c r="L148" s="3" t="s">
        <v>59</v>
      </c>
      <c r="M148" s="3" t="s">
        <v>59</v>
      </c>
      <c r="N148" s="3" t="s">
        <v>182</v>
      </c>
      <c r="O148" s="3" t="s">
        <v>46</v>
      </c>
      <c r="P148" s="3" t="s">
        <v>916</v>
      </c>
      <c r="Q148" s="3" t="s">
        <v>917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>
        <v>14000</v>
      </c>
      <c r="AL148" s="4">
        <v>41982</v>
      </c>
      <c r="AM148" s="3"/>
      <c r="AN148" s="3" t="s">
        <v>918</v>
      </c>
    </row>
    <row r="149" spans="1:40" ht="27.75">
      <c r="A149" s="3">
        <v>143</v>
      </c>
      <c r="B149" s="3" t="str">
        <f>"202000000730"</f>
        <v>202000000730</v>
      </c>
      <c r="C149" s="3">
        <v>119403</v>
      </c>
      <c r="D149" s="3" t="s">
        <v>919</v>
      </c>
      <c r="E149" s="3">
        <v>20569238618</v>
      </c>
      <c r="F149" s="3" t="s">
        <v>151</v>
      </c>
      <c r="G149" s="3" t="s">
        <v>920</v>
      </c>
      <c r="H149" s="3" t="s">
        <v>388</v>
      </c>
      <c r="I149" s="3" t="s">
        <v>389</v>
      </c>
      <c r="J149" s="3" t="s">
        <v>390</v>
      </c>
      <c r="K149" s="3" t="s">
        <v>921</v>
      </c>
      <c r="L149" s="3" t="s">
        <v>388</v>
      </c>
      <c r="M149" s="3" t="s">
        <v>389</v>
      </c>
      <c r="N149" s="3" t="s">
        <v>390</v>
      </c>
      <c r="O149" s="3" t="s">
        <v>46</v>
      </c>
      <c r="P149" s="3" t="s">
        <v>922</v>
      </c>
      <c r="Q149" s="3" t="s">
        <v>923</v>
      </c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>
        <v>14000</v>
      </c>
      <c r="AL149" s="4">
        <v>43846</v>
      </c>
      <c r="AM149" s="3"/>
      <c r="AN149" s="3" t="s">
        <v>157</v>
      </c>
    </row>
    <row r="150" spans="1:40" ht="13.5">
      <c r="A150" s="3">
        <v>144</v>
      </c>
      <c r="B150" s="3" t="str">
        <f>"201600124567"</f>
        <v>201600124567</v>
      </c>
      <c r="C150" s="3">
        <v>123531</v>
      </c>
      <c r="D150" s="3" t="s">
        <v>924</v>
      </c>
      <c r="E150" s="3">
        <v>20489697042</v>
      </c>
      <c r="F150" s="3" t="s">
        <v>720</v>
      </c>
      <c r="G150" s="3" t="s">
        <v>721</v>
      </c>
      <c r="H150" s="3" t="s">
        <v>515</v>
      </c>
      <c r="I150" s="3" t="s">
        <v>515</v>
      </c>
      <c r="J150" s="3" t="s">
        <v>722</v>
      </c>
      <c r="K150" s="3" t="s">
        <v>721</v>
      </c>
      <c r="L150" s="3" t="s">
        <v>515</v>
      </c>
      <c r="M150" s="3" t="s">
        <v>515</v>
      </c>
      <c r="N150" s="3" t="s">
        <v>722</v>
      </c>
      <c r="O150" s="3" t="s">
        <v>71</v>
      </c>
      <c r="P150" s="3" t="s">
        <v>925</v>
      </c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>
        <v>6500</v>
      </c>
      <c r="AL150" s="4">
        <v>42620</v>
      </c>
      <c r="AM150" s="3"/>
      <c r="AN150" s="3" t="s">
        <v>725</v>
      </c>
    </row>
    <row r="151" spans="1:40" ht="13.5">
      <c r="A151" s="3">
        <v>145</v>
      </c>
      <c r="B151" s="3" t="str">
        <f>"201900152756"</f>
        <v>201900152756</v>
      </c>
      <c r="C151" s="3">
        <v>138754</v>
      </c>
      <c r="D151" s="3" t="s">
        <v>926</v>
      </c>
      <c r="E151" s="3">
        <v>20503840121</v>
      </c>
      <c r="F151" s="3" t="s">
        <v>380</v>
      </c>
      <c r="G151" s="3" t="s">
        <v>381</v>
      </c>
      <c r="H151" s="3" t="s">
        <v>59</v>
      </c>
      <c r="I151" s="3" t="s">
        <v>59</v>
      </c>
      <c r="J151" s="3" t="s">
        <v>382</v>
      </c>
      <c r="K151" s="3"/>
      <c r="L151" s="3"/>
      <c r="M151" s="3"/>
      <c r="N151" s="3"/>
      <c r="O151" s="3" t="s">
        <v>71</v>
      </c>
      <c r="P151" s="3" t="s">
        <v>927</v>
      </c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>
        <v>6500</v>
      </c>
      <c r="AL151" s="4">
        <v>43728</v>
      </c>
      <c r="AM151" s="3"/>
      <c r="AN151" s="3" t="s">
        <v>384</v>
      </c>
    </row>
    <row r="152" spans="1:40" ht="27.75">
      <c r="A152" s="3">
        <v>146</v>
      </c>
      <c r="B152" s="3" t="str">
        <f>"201500128624"</f>
        <v>201500128624</v>
      </c>
      <c r="C152" s="3">
        <v>108768</v>
      </c>
      <c r="D152" s="3" t="s">
        <v>928</v>
      </c>
      <c r="E152" s="3">
        <v>20119207640</v>
      </c>
      <c r="F152" s="3" t="s">
        <v>874</v>
      </c>
      <c r="G152" s="3" t="s">
        <v>875</v>
      </c>
      <c r="H152" s="3" t="s">
        <v>109</v>
      </c>
      <c r="I152" s="3" t="s">
        <v>109</v>
      </c>
      <c r="J152" s="3" t="s">
        <v>109</v>
      </c>
      <c r="K152" s="3"/>
      <c r="L152" s="3"/>
      <c r="M152" s="3"/>
      <c r="N152" s="3"/>
      <c r="O152" s="3" t="s">
        <v>46</v>
      </c>
      <c r="P152" s="3" t="s">
        <v>929</v>
      </c>
      <c r="Q152" s="3" t="s">
        <v>930</v>
      </c>
      <c r="R152" s="3" t="s">
        <v>931</v>
      </c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>
        <v>14500</v>
      </c>
      <c r="AL152" s="4">
        <v>42284</v>
      </c>
      <c r="AM152" s="3"/>
      <c r="AN152" s="3" t="s">
        <v>111</v>
      </c>
    </row>
    <row r="153" spans="1:40" ht="27.75">
      <c r="A153" s="3">
        <v>147</v>
      </c>
      <c r="B153" s="3" t="str">
        <f>"201200222259"</f>
        <v>201200222259</v>
      </c>
      <c r="C153" s="3">
        <v>99009</v>
      </c>
      <c r="D153" s="3" t="s">
        <v>932</v>
      </c>
      <c r="E153" s="3">
        <v>20550781817</v>
      </c>
      <c r="F153" s="3" t="s">
        <v>933</v>
      </c>
      <c r="G153" s="3" t="s">
        <v>934</v>
      </c>
      <c r="H153" s="3" t="s">
        <v>59</v>
      </c>
      <c r="I153" s="3" t="s">
        <v>59</v>
      </c>
      <c r="J153" s="3" t="s">
        <v>881</v>
      </c>
      <c r="K153" s="3"/>
      <c r="L153" s="3"/>
      <c r="M153" s="3"/>
      <c r="N153" s="3"/>
      <c r="O153" s="3" t="s">
        <v>71</v>
      </c>
      <c r="P153" s="3" t="s">
        <v>935</v>
      </c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>
        <v>6400</v>
      </c>
      <c r="AL153" s="4">
        <v>41263</v>
      </c>
      <c r="AM153" s="3"/>
      <c r="AN153" s="3" t="s">
        <v>936</v>
      </c>
    </row>
    <row r="154" spans="1:40" ht="27.75">
      <c r="A154" s="3">
        <v>148</v>
      </c>
      <c r="B154" s="3" t="str">
        <f>"201900049790"</f>
        <v>201900049790</v>
      </c>
      <c r="C154" s="3">
        <v>142300</v>
      </c>
      <c r="D154" s="3" t="s">
        <v>937</v>
      </c>
      <c r="E154" s="3">
        <v>20549233334</v>
      </c>
      <c r="F154" s="3" t="s">
        <v>938</v>
      </c>
      <c r="G154" s="3" t="s">
        <v>939</v>
      </c>
      <c r="H154" s="3" t="s">
        <v>59</v>
      </c>
      <c r="I154" s="3" t="s">
        <v>59</v>
      </c>
      <c r="J154" s="3" t="s">
        <v>102</v>
      </c>
      <c r="K154" s="3" t="s">
        <v>940</v>
      </c>
      <c r="L154" s="3" t="s">
        <v>59</v>
      </c>
      <c r="M154" s="3" t="s">
        <v>59</v>
      </c>
      <c r="N154" s="3" t="s">
        <v>102</v>
      </c>
      <c r="O154" s="3" t="s">
        <v>71</v>
      </c>
      <c r="P154" s="3" t="s">
        <v>941</v>
      </c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>
        <v>6500</v>
      </c>
      <c r="AL154" s="4">
        <v>43559</v>
      </c>
      <c r="AM154" s="3"/>
      <c r="AN154" s="3" t="s">
        <v>942</v>
      </c>
    </row>
    <row r="155" spans="1:40" ht="27.75">
      <c r="A155" s="3">
        <v>149</v>
      </c>
      <c r="B155" s="3" t="str">
        <f>"202000109957"</f>
        <v>202000109957</v>
      </c>
      <c r="C155" s="3">
        <v>121503</v>
      </c>
      <c r="D155" s="3" t="s">
        <v>943</v>
      </c>
      <c r="E155" s="3">
        <v>20545112486</v>
      </c>
      <c r="F155" s="3" t="s">
        <v>944</v>
      </c>
      <c r="G155" s="3" t="s">
        <v>945</v>
      </c>
      <c r="H155" s="3" t="s">
        <v>59</v>
      </c>
      <c r="I155" s="3" t="s">
        <v>59</v>
      </c>
      <c r="J155" s="3" t="s">
        <v>641</v>
      </c>
      <c r="K155" s="3"/>
      <c r="L155" s="3" t="s">
        <v>59</v>
      </c>
      <c r="M155" s="3" t="s">
        <v>59</v>
      </c>
      <c r="N155" s="3" t="s">
        <v>641</v>
      </c>
      <c r="O155" s="3" t="s">
        <v>71</v>
      </c>
      <c r="P155" s="3" t="s">
        <v>946</v>
      </c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>
        <v>6300</v>
      </c>
      <c r="AL155" s="4">
        <v>44084</v>
      </c>
      <c r="AM155" s="3"/>
      <c r="AN155" s="3" t="s">
        <v>758</v>
      </c>
    </row>
    <row r="156" spans="1:40" ht="13.5">
      <c r="A156" s="3">
        <v>150</v>
      </c>
      <c r="B156" s="3" t="str">
        <f>"201600086103"</f>
        <v>201600086103</v>
      </c>
      <c r="C156" s="3">
        <v>93565</v>
      </c>
      <c r="D156" s="3" t="s">
        <v>947</v>
      </c>
      <c r="E156" s="3">
        <v>10199469504</v>
      </c>
      <c r="F156" s="3" t="s">
        <v>948</v>
      </c>
      <c r="G156" s="3" t="s">
        <v>949</v>
      </c>
      <c r="H156" s="3" t="s">
        <v>175</v>
      </c>
      <c r="I156" s="3" t="s">
        <v>785</v>
      </c>
      <c r="J156" s="3" t="s">
        <v>785</v>
      </c>
      <c r="K156" s="3" t="s">
        <v>949</v>
      </c>
      <c r="L156" s="3" t="s">
        <v>175</v>
      </c>
      <c r="M156" s="3" t="s">
        <v>785</v>
      </c>
      <c r="N156" s="3" t="s">
        <v>785</v>
      </c>
      <c r="O156" s="3" t="s">
        <v>46</v>
      </c>
      <c r="P156" s="3" t="s">
        <v>950</v>
      </c>
      <c r="Q156" s="3" t="s">
        <v>951</v>
      </c>
      <c r="R156" s="3" t="s">
        <v>952</v>
      </c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>
        <v>13000</v>
      </c>
      <c r="AL156" s="4">
        <v>42531</v>
      </c>
      <c r="AM156" s="3"/>
      <c r="AN156" s="3" t="s">
        <v>948</v>
      </c>
    </row>
    <row r="157" spans="1:40" ht="27.75">
      <c r="A157" s="3">
        <v>151</v>
      </c>
      <c r="B157" s="3" t="str">
        <f>"201600100898"</f>
        <v>201600100898</v>
      </c>
      <c r="C157" s="3">
        <v>122609</v>
      </c>
      <c r="D157" s="3" t="s">
        <v>953</v>
      </c>
      <c r="E157" s="3">
        <v>10199469580</v>
      </c>
      <c r="F157" s="3" t="s">
        <v>954</v>
      </c>
      <c r="G157" s="3" t="s">
        <v>955</v>
      </c>
      <c r="H157" s="3" t="s">
        <v>219</v>
      </c>
      <c r="I157" s="3" t="s">
        <v>220</v>
      </c>
      <c r="J157" s="3" t="s">
        <v>956</v>
      </c>
      <c r="K157" s="3" t="s">
        <v>955</v>
      </c>
      <c r="L157" s="3" t="s">
        <v>219</v>
      </c>
      <c r="M157" s="3" t="s">
        <v>220</v>
      </c>
      <c r="N157" s="3" t="s">
        <v>956</v>
      </c>
      <c r="O157" s="3" t="s">
        <v>46</v>
      </c>
      <c r="P157" s="3" t="s">
        <v>957</v>
      </c>
      <c r="Q157" s="3" t="s">
        <v>958</v>
      </c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>
        <v>14000</v>
      </c>
      <c r="AL157" s="4">
        <v>42572</v>
      </c>
      <c r="AM157" s="3"/>
      <c r="AN157" s="3" t="s">
        <v>959</v>
      </c>
    </row>
    <row r="158" spans="1:40" ht="13.5">
      <c r="A158" s="3">
        <v>152</v>
      </c>
      <c r="B158" s="3" t="str">
        <f>"201900174628"</f>
        <v>201900174628</v>
      </c>
      <c r="C158" s="3">
        <v>147349</v>
      </c>
      <c r="D158" s="3" t="s">
        <v>960</v>
      </c>
      <c r="E158" s="3">
        <v>20605298720</v>
      </c>
      <c r="F158" s="3" t="s">
        <v>961</v>
      </c>
      <c r="G158" s="3" t="s">
        <v>962</v>
      </c>
      <c r="H158" s="3" t="s">
        <v>197</v>
      </c>
      <c r="I158" s="3" t="s">
        <v>197</v>
      </c>
      <c r="J158" s="3" t="s">
        <v>963</v>
      </c>
      <c r="K158" s="3" t="s">
        <v>964</v>
      </c>
      <c r="L158" s="3" t="s">
        <v>197</v>
      </c>
      <c r="M158" s="3" t="s">
        <v>197</v>
      </c>
      <c r="N158" s="3" t="s">
        <v>963</v>
      </c>
      <c r="O158" s="3" t="s">
        <v>71</v>
      </c>
      <c r="P158" s="3" t="s">
        <v>965</v>
      </c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>
        <v>6400</v>
      </c>
      <c r="AL158" s="4">
        <v>43764</v>
      </c>
      <c r="AM158" s="3"/>
      <c r="AN158" s="3" t="s">
        <v>966</v>
      </c>
    </row>
    <row r="159" spans="1:40" ht="13.5">
      <c r="A159" s="3">
        <v>153</v>
      </c>
      <c r="B159" s="3" t="str">
        <f>"201700174091"</f>
        <v>201700174091</v>
      </c>
      <c r="C159" s="3">
        <v>132405</v>
      </c>
      <c r="D159" s="3" t="s">
        <v>967</v>
      </c>
      <c r="E159" s="3">
        <v>20318791245</v>
      </c>
      <c r="F159" s="3" t="s">
        <v>968</v>
      </c>
      <c r="G159" s="3" t="s">
        <v>969</v>
      </c>
      <c r="H159" s="3" t="s">
        <v>219</v>
      </c>
      <c r="I159" s="3" t="s">
        <v>220</v>
      </c>
      <c r="J159" s="3" t="s">
        <v>221</v>
      </c>
      <c r="K159" s="3" t="s">
        <v>969</v>
      </c>
      <c r="L159" s="3" t="s">
        <v>219</v>
      </c>
      <c r="M159" s="3" t="s">
        <v>220</v>
      </c>
      <c r="N159" s="3" t="s">
        <v>221</v>
      </c>
      <c r="O159" s="3" t="s">
        <v>46</v>
      </c>
      <c r="P159" s="3" t="s">
        <v>970</v>
      </c>
      <c r="Q159" s="3" t="s">
        <v>971</v>
      </c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>
        <v>13600</v>
      </c>
      <c r="AL159" s="4">
        <v>43032</v>
      </c>
      <c r="AM159" s="3"/>
      <c r="AN159" s="3" t="s">
        <v>972</v>
      </c>
    </row>
    <row r="160" spans="1:40" ht="13.5">
      <c r="A160" s="3">
        <v>154</v>
      </c>
      <c r="B160" s="3" t="str">
        <f>"201700220247"</f>
        <v>201700220247</v>
      </c>
      <c r="C160" s="3">
        <v>133707</v>
      </c>
      <c r="D160" s="3" t="s">
        <v>973</v>
      </c>
      <c r="E160" s="3">
        <v>20548771022</v>
      </c>
      <c r="F160" s="3" t="s">
        <v>847</v>
      </c>
      <c r="G160" s="3" t="s">
        <v>974</v>
      </c>
      <c r="H160" s="3" t="s">
        <v>59</v>
      </c>
      <c r="I160" s="3" t="s">
        <v>59</v>
      </c>
      <c r="J160" s="3" t="s">
        <v>442</v>
      </c>
      <c r="K160" s="3"/>
      <c r="L160" s="3"/>
      <c r="M160" s="3"/>
      <c r="N160" s="3"/>
      <c r="O160" s="3" t="s">
        <v>71</v>
      </c>
      <c r="P160" s="3" t="s">
        <v>975</v>
      </c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>
        <v>6500</v>
      </c>
      <c r="AL160" s="4">
        <v>43097</v>
      </c>
      <c r="AM160" s="3"/>
      <c r="AN160" s="3" t="s">
        <v>851</v>
      </c>
    </row>
    <row r="161" spans="1:40" ht="27.75">
      <c r="A161" s="3">
        <v>155</v>
      </c>
      <c r="B161" s="3" t="str">
        <f>"201500128630"</f>
        <v>201500128630</v>
      </c>
      <c r="C161" s="3">
        <v>104094</v>
      </c>
      <c r="D161" s="3" t="s">
        <v>976</v>
      </c>
      <c r="E161" s="3">
        <v>20119207640</v>
      </c>
      <c r="F161" s="3" t="s">
        <v>874</v>
      </c>
      <c r="G161" s="3" t="s">
        <v>875</v>
      </c>
      <c r="H161" s="3" t="s">
        <v>109</v>
      </c>
      <c r="I161" s="3" t="s">
        <v>109</v>
      </c>
      <c r="J161" s="3" t="s">
        <v>109</v>
      </c>
      <c r="K161" s="3" t="s">
        <v>977</v>
      </c>
      <c r="L161" s="3" t="s">
        <v>109</v>
      </c>
      <c r="M161" s="3" t="s">
        <v>109</v>
      </c>
      <c r="N161" s="3" t="s">
        <v>109</v>
      </c>
      <c r="O161" s="3" t="s">
        <v>46</v>
      </c>
      <c r="P161" s="3" t="s">
        <v>978</v>
      </c>
      <c r="Q161" s="3" t="s">
        <v>877</v>
      </c>
      <c r="R161" s="3" t="s">
        <v>931</v>
      </c>
      <c r="S161" s="3" t="s">
        <v>930</v>
      </c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>
        <v>14500</v>
      </c>
      <c r="AL161" s="4">
        <v>42290</v>
      </c>
      <c r="AM161" s="3"/>
      <c r="AN161" s="3" t="s">
        <v>111</v>
      </c>
    </row>
    <row r="162" spans="1:40" ht="13.5">
      <c r="A162" s="3">
        <v>156</v>
      </c>
      <c r="B162" s="3" t="str">
        <f>"201800036135"</f>
        <v>201800036135</v>
      </c>
      <c r="C162" s="3">
        <v>108442</v>
      </c>
      <c r="D162" s="3" t="s">
        <v>979</v>
      </c>
      <c r="E162" s="3">
        <v>20517767396</v>
      </c>
      <c r="F162" s="3" t="s">
        <v>980</v>
      </c>
      <c r="G162" s="3" t="s">
        <v>981</v>
      </c>
      <c r="H162" s="3" t="s">
        <v>59</v>
      </c>
      <c r="I162" s="3" t="s">
        <v>59</v>
      </c>
      <c r="J162" s="3" t="s">
        <v>581</v>
      </c>
      <c r="K162" s="3"/>
      <c r="L162" s="3"/>
      <c r="M162" s="3"/>
      <c r="N162" s="3"/>
      <c r="O162" s="3" t="s">
        <v>71</v>
      </c>
      <c r="P162" s="3" t="s">
        <v>982</v>
      </c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>
        <v>6500</v>
      </c>
      <c r="AL162" s="4">
        <v>43179</v>
      </c>
      <c r="AM162" s="3"/>
      <c r="AN162" s="3" t="s">
        <v>983</v>
      </c>
    </row>
    <row r="163" spans="1:40" ht="27.75">
      <c r="A163" s="3">
        <v>157</v>
      </c>
      <c r="B163" s="3" t="str">
        <f>"201600106957"</f>
        <v>201600106957</v>
      </c>
      <c r="C163" s="3">
        <v>121973</v>
      </c>
      <c r="D163" s="3" t="s">
        <v>984</v>
      </c>
      <c r="E163" s="3">
        <v>20119207640</v>
      </c>
      <c r="F163" s="3" t="s">
        <v>874</v>
      </c>
      <c r="G163" s="3" t="s">
        <v>875</v>
      </c>
      <c r="H163" s="3" t="s">
        <v>109</v>
      </c>
      <c r="I163" s="3" t="s">
        <v>109</v>
      </c>
      <c r="J163" s="3" t="s">
        <v>109</v>
      </c>
      <c r="K163" s="3"/>
      <c r="L163" s="3"/>
      <c r="M163" s="3"/>
      <c r="N163" s="3"/>
      <c r="O163" s="3" t="s">
        <v>46</v>
      </c>
      <c r="P163" s="3" t="s">
        <v>985</v>
      </c>
      <c r="Q163" s="3" t="s">
        <v>986</v>
      </c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>
        <v>14500</v>
      </c>
      <c r="AL163" s="4">
        <v>42599</v>
      </c>
      <c r="AM163" s="3"/>
      <c r="AN163" s="3" t="s">
        <v>111</v>
      </c>
    </row>
    <row r="164" spans="1:40" ht="13.5">
      <c r="A164" s="3">
        <v>158</v>
      </c>
      <c r="B164" s="3" t="str">
        <f>"201800065785"</f>
        <v>201800065785</v>
      </c>
      <c r="C164" s="3">
        <v>121236</v>
      </c>
      <c r="D164" s="3" t="s">
        <v>987</v>
      </c>
      <c r="E164" s="3">
        <v>20428254687</v>
      </c>
      <c r="F164" s="3" t="s">
        <v>988</v>
      </c>
      <c r="G164" s="3" t="s">
        <v>989</v>
      </c>
      <c r="H164" s="3" t="s">
        <v>197</v>
      </c>
      <c r="I164" s="3" t="s">
        <v>197</v>
      </c>
      <c r="J164" s="3" t="s">
        <v>197</v>
      </c>
      <c r="K164" s="3"/>
      <c r="L164" s="3"/>
      <c r="M164" s="3"/>
      <c r="N164" s="3"/>
      <c r="O164" s="3" t="s">
        <v>71</v>
      </c>
      <c r="P164" s="3" t="s">
        <v>990</v>
      </c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>
        <v>6500</v>
      </c>
      <c r="AL164" s="4">
        <v>43209</v>
      </c>
      <c r="AM164" s="3"/>
      <c r="AN164" s="3" t="s">
        <v>991</v>
      </c>
    </row>
    <row r="165" spans="1:40" ht="13.5">
      <c r="A165" s="3">
        <v>159</v>
      </c>
      <c r="B165" s="3" t="str">
        <f>"202000000720"</f>
        <v>202000000720</v>
      </c>
      <c r="C165" s="3">
        <v>123510</v>
      </c>
      <c r="D165" s="3" t="s">
        <v>992</v>
      </c>
      <c r="E165" s="3">
        <v>20569238618</v>
      </c>
      <c r="F165" s="3" t="s">
        <v>151</v>
      </c>
      <c r="G165" s="3" t="s">
        <v>993</v>
      </c>
      <c r="H165" s="3" t="s">
        <v>388</v>
      </c>
      <c r="I165" s="3" t="s">
        <v>389</v>
      </c>
      <c r="J165" s="3" t="s">
        <v>390</v>
      </c>
      <c r="K165" s="3"/>
      <c r="L165" s="3"/>
      <c r="M165" s="3"/>
      <c r="N165" s="3"/>
      <c r="O165" s="3" t="s">
        <v>46</v>
      </c>
      <c r="P165" s="3" t="s">
        <v>994</v>
      </c>
      <c r="Q165" s="3" t="s">
        <v>995</v>
      </c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>
        <v>14000</v>
      </c>
      <c r="AL165" s="4">
        <v>43838</v>
      </c>
      <c r="AM165" s="3"/>
      <c r="AN165" s="3" t="s">
        <v>157</v>
      </c>
    </row>
    <row r="166" spans="1:40" ht="13.5">
      <c r="A166" s="3">
        <v>160</v>
      </c>
      <c r="B166" s="3" t="str">
        <f>"201900021126"</f>
        <v>201900021126</v>
      </c>
      <c r="C166" s="3">
        <v>141255</v>
      </c>
      <c r="D166" s="3" t="s">
        <v>996</v>
      </c>
      <c r="E166" s="3">
        <v>20402554861</v>
      </c>
      <c r="F166" s="3" t="s">
        <v>997</v>
      </c>
      <c r="G166" s="3" t="s">
        <v>998</v>
      </c>
      <c r="H166" s="3" t="s">
        <v>219</v>
      </c>
      <c r="I166" s="3" t="s">
        <v>220</v>
      </c>
      <c r="J166" s="3" t="s">
        <v>221</v>
      </c>
      <c r="K166" s="3"/>
      <c r="L166" s="3"/>
      <c r="M166" s="3"/>
      <c r="N166" s="3"/>
      <c r="O166" s="3" t="s">
        <v>71</v>
      </c>
      <c r="P166" s="3" t="s">
        <v>999</v>
      </c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>
        <v>6000</v>
      </c>
      <c r="AL166" s="4">
        <v>43504</v>
      </c>
      <c r="AM166" s="3"/>
      <c r="AN166" s="3" t="s">
        <v>1000</v>
      </c>
    </row>
    <row r="167" spans="1:40" ht="27.75">
      <c r="A167" s="3">
        <v>161</v>
      </c>
      <c r="B167" s="3" t="str">
        <f>"201600146326"</f>
        <v>201600146326</v>
      </c>
      <c r="C167" s="3">
        <v>124313</v>
      </c>
      <c r="D167" s="3" t="s">
        <v>1001</v>
      </c>
      <c r="E167" s="3">
        <v>10415108945</v>
      </c>
      <c r="F167" s="3" t="s">
        <v>1002</v>
      </c>
      <c r="G167" s="3" t="s">
        <v>1003</v>
      </c>
      <c r="H167" s="3" t="s">
        <v>59</v>
      </c>
      <c r="I167" s="3" t="s">
        <v>1004</v>
      </c>
      <c r="J167" s="3" t="s">
        <v>1005</v>
      </c>
      <c r="K167" s="3" t="s">
        <v>1003</v>
      </c>
      <c r="L167" s="3" t="s">
        <v>59</v>
      </c>
      <c r="M167" s="3" t="s">
        <v>1004</v>
      </c>
      <c r="N167" s="3" t="s">
        <v>1005</v>
      </c>
      <c r="O167" s="3" t="s">
        <v>71</v>
      </c>
      <c r="P167" s="3" t="s">
        <v>1006</v>
      </c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>
        <v>6000</v>
      </c>
      <c r="AL167" s="4">
        <v>42659</v>
      </c>
      <c r="AM167" s="3"/>
      <c r="AN167" s="3" t="s">
        <v>1002</v>
      </c>
    </row>
    <row r="168" spans="1:40" ht="13.5">
      <c r="A168" s="3">
        <v>162</v>
      </c>
      <c r="B168" s="3" t="str">
        <f>"201900206098"</f>
        <v>201900206098</v>
      </c>
      <c r="C168" s="3">
        <v>118290</v>
      </c>
      <c r="D168" s="3" t="s">
        <v>1007</v>
      </c>
      <c r="E168" s="3">
        <v>20166717389</v>
      </c>
      <c r="F168" s="3" t="s">
        <v>317</v>
      </c>
      <c r="G168" s="3" t="s">
        <v>320</v>
      </c>
      <c r="H168" s="3" t="s">
        <v>319</v>
      </c>
      <c r="I168" s="3" t="s">
        <v>319</v>
      </c>
      <c r="J168" s="3" t="s">
        <v>319</v>
      </c>
      <c r="K168" s="3" t="s">
        <v>320</v>
      </c>
      <c r="L168" s="3" t="s">
        <v>319</v>
      </c>
      <c r="M168" s="3" t="s">
        <v>319</v>
      </c>
      <c r="N168" s="3" t="s">
        <v>319</v>
      </c>
      <c r="O168" s="3" t="s">
        <v>71</v>
      </c>
      <c r="P168" s="3" t="s">
        <v>1008</v>
      </c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>
        <v>6500</v>
      </c>
      <c r="AL168" s="4">
        <v>43810</v>
      </c>
      <c r="AM168" s="3"/>
      <c r="AN168" s="3" t="s">
        <v>322</v>
      </c>
    </row>
    <row r="169" spans="1:40" ht="13.5">
      <c r="A169" s="3">
        <v>163</v>
      </c>
      <c r="B169" s="3" t="str">
        <f>"201700218045"</f>
        <v>201700218045</v>
      </c>
      <c r="C169" s="3">
        <v>133651</v>
      </c>
      <c r="D169" s="3" t="s">
        <v>1009</v>
      </c>
      <c r="E169" s="3">
        <v>20507666672</v>
      </c>
      <c r="F169" s="3" t="s">
        <v>1010</v>
      </c>
      <c r="G169" s="3" t="s">
        <v>1011</v>
      </c>
      <c r="H169" s="3" t="s">
        <v>59</v>
      </c>
      <c r="I169" s="3" t="s">
        <v>59</v>
      </c>
      <c r="J169" s="3" t="s">
        <v>1012</v>
      </c>
      <c r="K169" s="3"/>
      <c r="L169" s="3"/>
      <c r="M169" s="3"/>
      <c r="N169" s="3"/>
      <c r="O169" s="3" t="s">
        <v>71</v>
      </c>
      <c r="P169" s="3" t="s">
        <v>1013</v>
      </c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>
        <v>3200</v>
      </c>
      <c r="AL169" s="4">
        <v>43091</v>
      </c>
      <c r="AM169" s="3"/>
      <c r="AN169" s="3" t="s">
        <v>1014</v>
      </c>
    </row>
    <row r="170" spans="1:40" ht="13.5">
      <c r="A170" s="3">
        <v>164</v>
      </c>
      <c r="B170" s="3" t="str">
        <f>"201900073374"</f>
        <v>201900073374</v>
      </c>
      <c r="C170" s="3">
        <v>88455</v>
      </c>
      <c r="D170" s="3" t="s">
        <v>1015</v>
      </c>
      <c r="E170" s="3">
        <v>20512735321</v>
      </c>
      <c r="F170" s="3" t="s">
        <v>1016</v>
      </c>
      <c r="G170" s="3" t="s">
        <v>1017</v>
      </c>
      <c r="H170" s="3" t="s">
        <v>59</v>
      </c>
      <c r="I170" s="3" t="s">
        <v>59</v>
      </c>
      <c r="J170" s="3" t="s">
        <v>581</v>
      </c>
      <c r="K170" s="3"/>
      <c r="L170" s="3" t="s">
        <v>59</v>
      </c>
      <c r="M170" s="3" t="s">
        <v>59</v>
      </c>
      <c r="N170" s="3" t="s">
        <v>581</v>
      </c>
      <c r="O170" s="3" t="s">
        <v>71</v>
      </c>
      <c r="P170" s="3" t="s">
        <v>1018</v>
      </c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>
        <v>1600</v>
      </c>
      <c r="AL170" s="4">
        <v>43595</v>
      </c>
      <c r="AM170" s="3"/>
      <c r="AN170" s="3" t="s">
        <v>1019</v>
      </c>
    </row>
    <row r="171" spans="1:40" ht="27.75">
      <c r="A171" s="3">
        <v>165</v>
      </c>
      <c r="B171" s="3" t="str">
        <f>"202000146478"</f>
        <v>202000146478</v>
      </c>
      <c r="C171" s="3">
        <v>151964</v>
      </c>
      <c r="D171" s="3" t="s">
        <v>1020</v>
      </c>
      <c r="E171" s="3">
        <v>20566226830</v>
      </c>
      <c r="F171" s="3" t="s">
        <v>1021</v>
      </c>
      <c r="G171" s="3" t="s">
        <v>1022</v>
      </c>
      <c r="H171" s="3" t="s">
        <v>59</v>
      </c>
      <c r="I171" s="3" t="s">
        <v>59</v>
      </c>
      <c r="J171" s="3" t="s">
        <v>93</v>
      </c>
      <c r="K171" s="3" t="s">
        <v>1023</v>
      </c>
      <c r="L171" s="3" t="s">
        <v>59</v>
      </c>
      <c r="M171" s="3" t="s">
        <v>59</v>
      </c>
      <c r="N171" s="3" t="s">
        <v>93</v>
      </c>
      <c r="O171" s="3" t="s">
        <v>71</v>
      </c>
      <c r="P171" s="3" t="s">
        <v>1024</v>
      </c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>
        <v>3000</v>
      </c>
      <c r="AL171" s="4">
        <v>44127</v>
      </c>
      <c r="AM171" s="3"/>
      <c r="AN171" s="3" t="s">
        <v>399</v>
      </c>
    </row>
    <row r="172" spans="1:40" ht="27.75">
      <c r="A172" s="3">
        <v>166</v>
      </c>
      <c r="B172" s="3" t="str">
        <f>"201400133760"</f>
        <v>201400133760</v>
      </c>
      <c r="C172" s="3">
        <v>112035</v>
      </c>
      <c r="D172" s="3" t="s">
        <v>1025</v>
      </c>
      <c r="E172" s="3">
        <v>10316004089</v>
      </c>
      <c r="F172" s="3" t="s">
        <v>1026</v>
      </c>
      <c r="G172" s="3" t="s">
        <v>1027</v>
      </c>
      <c r="H172" s="3" t="s">
        <v>59</v>
      </c>
      <c r="I172" s="3" t="s">
        <v>59</v>
      </c>
      <c r="J172" s="3" t="s">
        <v>799</v>
      </c>
      <c r="K172" s="3" t="s">
        <v>1027</v>
      </c>
      <c r="L172" s="3" t="s">
        <v>59</v>
      </c>
      <c r="M172" s="3" t="s">
        <v>59</v>
      </c>
      <c r="N172" s="3" t="s">
        <v>799</v>
      </c>
      <c r="O172" s="3" t="s">
        <v>46</v>
      </c>
      <c r="P172" s="3" t="s">
        <v>1028</v>
      </c>
      <c r="Q172" s="3" t="s">
        <v>1029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>
        <v>13000</v>
      </c>
      <c r="AL172" s="4">
        <v>41927</v>
      </c>
      <c r="AM172" s="3"/>
      <c r="AN172" s="3" t="s">
        <v>1026</v>
      </c>
    </row>
    <row r="173" spans="1:40" ht="13.5">
      <c r="A173" s="3">
        <v>167</v>
      </c>
      <c r="B173" s="3" t="str">
        <f>"201900214482"</f>
        <v>201900214482</v>
      </c>
      <c r="C173" s="3">
        <v>120211</v>
      </c>
      <c r="D173" s="3" t="s">
        <v>1030</v>
      </c>
      <c r="E173" s="3">
        <v>20548771022</v>
      </c>
      <c r="F173" s="3" t="s">
        <v>847</v>
      </c>
      <c r="G173" s="3" t="s">
        <v>1031</v>
      </c>
      <c r="H173" s="3" t="s">
        <v>59</v>
      </c>
      <c r="I173" s="3" t="s">
        <v>59</v>
      </c>
      <c r="J173" s="3" t="s">
        <v>442</v>
      </c>
      <c r="K173" s="3"/>
      <c r="L173" s="3"/>
      <c r="M173" s="3"/>
      <c r="N173" s="3"/>
      <c r="O173" s="3" t="s">
        <v>46</v>
      </c>
      <c r="P173" s="3" t="s">
        <v>1032</v>
      </c>
      <c r="Q173" s="3" t="s">
        <v>850</v>
      </c>
      <c r="R173" s="3" t="s">
        <v>1033</v>
      </c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>
        <v>14000</v>
      </c>
      <c r="AL173" s="4">
        <v>43850</v>
      </c>
      <c r="AM173" s="3"/>
      <c r="AN173" s="3" t="s">
        <v>851</v>
      </c>
    </row>
    <row r="174" spans="1:40" ht="13.5">
      <c r="A174" s="3">
        <v>168</v>
      </c>
      <c r="B174" s="3" t="str">
        <f>"1452254"</f>
        <v>1452254</v>
      </c>
      <c r="C174" s="3">
        <v>62997</v>
      </c>
      <c r="D174" s="3" t="s">
        <v>1034</v>
      </c>
      <c r="E174" s="3">
        <v>20334129595</v>
      </c>
      <c r="F174" s="3" t="s">
        <v>634</v>
      </c>
      <c r="G174" s="3" t="s">
        <v>1035</v>
      </c>
      <c r="H174" s="3" t="s">
        <v>59</v>
      </c>
      <c r="I174" s="3" t="s">
        <v>59</v>
      </c>
      <c r="J174" s="3" t="s">
        <v>102</v>
      </c>
      <c r="K174" s="3"/>
      <c r="L174" s="3"/>
      <c r="M174" s="3"/>
      <c r="N174" s="3"/>
      <c r="O174" s="3" t="s">
        <v>71</v>
      </c>
      <c r="P174" s="3" t="s">
        <v>1036</v>
      </c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>
        <v>6000</v>
      </c>
      <c r="AL174" s="4">
        <v>40534</v>
      </c>
      <c r="AM174" s="3"/>
      <c r="AN174" s="3" t="s">
        <v>1037</v>
      </c>
    </row>
    <row r="175" spans="1:40" ht="13.5">
      <c r="A175" s="3">
        <v>169</v>
      </c>
      <c r="B175" s="3" t="str">
        <f>"202000120998"</f>
        <v>202000120998</v>
      </c>
      <c r="C175" s="3">
        <v>108170</v>
      </c>
      <c r="D175" s="3" t="s">
        <v>1038</v>
      </c>
      <c r="E175" s="3">
        <v>10329836849</v>
      </c>
      <c r="F175" s="3" t="s">
        <v>1039</v>
      </c>
      <c r="G175" s="3" t="s">
        <v>1040</v>
      </c>
      <c r="H175" s="3" t="s">
        <v>161</v>
      </c>
      <c r="I175" s="3" t="s">
        <v>162</v>
      </c>
      <c r="J175" s="3" t="s">
        <v>474</v>
      </c>
      <c r="K175" s="3" t="s">
        <v>1040</v>
      </c>
      <c r="L175" s="3" t="s">
        <v>161</v>
      </c>
      <c r="M175" s="3" t="s">
        <v>162</v>
      </c>
      <c r="N175" s="3" t="s">
        <v>474</v>
      </c>
      <c r="O175" s="3" t="s">
        <v>46</v>
      </c>
      <c r="P175" s="3" t="s">
        <v>1041</v>
      </c>
      <c r="Q175" s="3" t="s">
        <v>1042</v>
      </c>
      <c r="R175" s="3" t="s">
        <v>1043</v>
      </c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>
        <v>8000</v>
      </c>
      <c r="AL175" s="4">
        <v>44092</v>
      </c>
      <c r="AM175" s="3"/>
      <c r="AN175" s="3" t="s">
        <v>1039</v>
      </c>
    </row>
    <row r="176" spans="1:40" ht="27.75">
      <c r="A176" s="3">
        <v>170</v>
      </c>
      <c r="B176" s="3" t="str">
        <f>"201400157288"</f>
        <v>201400157288</v>
      </c>
      <c r="C176" s="3">
        <v>112706</v>
      </c>
      <c r="D176" s="3" t="s">
        <v>1044</v>
      </c>
      <c r="E176" s="3">
        <v>20143743374</v>
      </c>
      <c r="F176" s="3" t="s">
        <v>1045</v>
      </c>
      <c r="G176" s="3" t="s">
        <v>1046</v>
      </c>
      <c r="H176" s="3" t="s">
        <v>59</v>
      </c>
      <c r="I176" s="3" t="s">
        <v>623</v>
      </c>
      <c r="J176" s="3" t="s">
        <v>623</v>
      </c>
      <c r="K176" s="3"/>
      <c r="L176" s="3"/>
      <c r="M176" s="3"/>
      <c r="N176" s="3"/>
      <c r="O176" s="3" t="s">
        <v>71</v>
      </c>
      <c r="P176" s="3" t="s">
        <v>1047</v>
      </c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>
        <v>6500</v>
      </c>
      <c r="AL176" s="4">
        <v>41977</v>
      </c>
      <c r="AM176" s="3"/>
      <c r="AN176" s="3" t="s">
        <v>1048</v>
      </c>
    </row>
    <row r="177" spans="1:40" ht="27.75">
      <c r="A177" s="3">
        <v>171</v>
      </c>
      <c r="B177" s="3" t="str">
        <f>"201500060449"</f>
        <v>201500060449</v>
      </c>
      <c r="C177" s="3">
        <v>115351</v>
      </c>
      <c r="D177" s="3" t="s">
        <v>1049</v>
      </c>
      <c r="E177" s="3">
        <v>20513321563</v>
      </c>
      <c r="F177" s="3" t="s">
        <v>1050</v>
      </c>
      <c r="G177" s="3" t="s">
        <v>1051</v>
      </c>
      <c r="H177" s="3" t="s">
        <v>59</v>
      </c>
      <c r="I177" s="3" t="s">
        <v>59</v>
      </c>
      <c r="J177" s="3" t="s">
        <v>641</v>
      </c>
      <c r="K177" s="3" t="s">
        <v>1051</v>
      </c>
      <c r="L177" s="3" t="s">
        <v>59</v>
      </c>
      <c r="M177" s="3" t="s">
        <v>59</v>
      </c>
      <c r="N177" s="3" t="s">
        <v>641</v>
      </c>
      <c r="O177" s="3" t="s">
        <v>71</v>
      </c>
      <c r="P177" s="3" t="s">
        <v>1052</v>
      </c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>
        <v>1000</v>
      </c>
      <c r="AL177" s="4">
        <v>42146</v>
      </c>
      <c r="AM177" s="3"/>
      <c r="AN177" s="3" t="s">
        <v>1053</v>
      </c>
    </row>
    <row r="178" spans="1:40" ht="13.5">
      <c r="A178" s="3">
        <v>172</v>
      </c>
      <c r="B178" s="3" t="str">
        <f>"201700138866"</f>
        <v>201700138866</v>
      </c>
      <c r="C178" s="3">
        <v>131518</v>
      </c>
      <c r="D178" s="3" t="s">
        <v>1054</v>
      </c>
      <c r="E178" s="3">
        <v>20602256449</v>
      </c>
      <c r="F178" s="3" t="s">
        <v>1055</v>
      </c>
      <c r="G178" s="3" t="s">
        <v>1056</v>
      </c>
      <c r="H178" s="3" t="s">
        <v>127</v>
      </c>
      <c r="I178" s="3" t="s">
        <v>127</v>
      </c>
      <c r="J178" s="3" t="s">
        <v>508</v>
      </c>
      <c r="K178" s="3" t="s">
        <v>1057</v>
      </c>
      <c r="L178" s="3" t="s">
        <v>127</v>
      </c>
      <c r="M178" s="3" t="s">
        <v>127</v>
      </c>
      <c r="N178" s="3" t="s">
        <v>508</v>
      </c>
      <c r="O178" s="3" t="s">
        <v>71</v>
      </c>
      <c r="P178" s="3" t="s">
        <v>1058</v>
      </c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>
        <v>6500</v>
      </c>
      <c r="AL178" s="4">
        <v>42979</v>
      </c>
      <c r="AM178" s="3"/>
      <c r="AN178" s="3" t="s">
        <v>1059</v>
      </c>
    </row>
    <row r="179" spans="1:40" ht="13.5">
      <c r="A179" s="3">
        <v>173</v>
      </c>
      <c r="B179" s="3" t="str">
        <f>"202000124956"</f>
        <v>202000124956</v>
      </c>
      <c r="C179" s="3">
        <v>124969</v>
      </c>
      <c r="D179" s="3" t="s">
        <v>1060</v>
      </c>
      <c r="E179" s="3">
        <v>20548891788</v>
      </c>
      <c r="F179" s="3" t="s">
        <v>293</v>
      </c>
      <c r="G179" s="3" t="s">
        <v>84</v>
      </c>
      <c r="H179" s="3" t="s">
        <v>85</v>
      </c>
      <c r="I179" s="3" t="s">
        <v>86</v>
      </c>
      <c r="J179" s="3" t="s">
        <v>86</v>
      </c>
      <c r="K179" s="3"/>
      <c r="L179" s="3"/>
      <c r="M179" s="3"/>
      <c r="N179" s="3"/>
      <c r="O179" s="3" t="s">
        <v>46</v>
      </c>
      <c r="P179" s="3" t="s">
        <v>1061</v>
      </c>
      <c r="Q179" s="3" t="s">
        <v>1062</v>
      </c>
      <c r="R179" s="3" t="s">
        <v>1063</v>
      </c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>
        <v>14000</v>
      </c>
      <c r="AL179" s="4">
        <v>44093</v>
      </c>
      <c r="AM179" s="3"/>
      <c r="AN179" s="3" t="s">
        <v>297</v>
      </c>
    </row>
    <row r="180" spans="1:40" ht="13.5">
      <c r="A180" s="3">
        <v>174</v>
      </c>
      <c r="B180" s="3" t="str">
        <f>"201500012554"</f>
        <v>201500012554</v>
      </c>
      <c r="C180" s="3">
        <v>113722</v>
      </c>
      <c r="D180" s="3" t="s">
        <v>1064</v>
      </c>
      <c r="E180" s="3">
        <v>20480333005</v>
      </c>
      <c r="F180" s="3" t="s">
        <v>1065</v>
      </c>
      <c r="G180" s="3" t="s">
        <v>1066</v>
      </c>
      <c r="H180" s="3" t="s">
        <v>161</v>
      </c>
      <c r="I180" s="3" t="s">
        <v>162</v>
      </c>
      <c r="J180" s="3" t="s">
        <v>162</v>
      </c>
      <c r="K180" s="3"/>
      <c r="L180" s="3"/>
      <c r="M180" s="3"/>
      <c r="N180" s="3"/>
      <c r="O180" s="3" t="s">
        <v>46</v>
      </c>
      <c r="P180" s="3" t="s">
        <v>1067</v>
      </c>
      <c r="Q180" s="3" t="s">
        <v>1068</v>
      </c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>
        <v>13000</v>
      </c>
      <c r="AL180" s="4">
        <v>42052</v>
      </c>
      <c r="AM180" s="3"/>
      <c r="AN180" s="3" t="s">
        <v>1069</v>
      </c>
    </row>
    <row r="181" spans="1:40" ht="13.5">
      <c r="A181" s="3">
        <v>175</v>
      </c>
      <c r="B181" s="3" t="str">
        <f>"201700130508"</f>
        <v>201700130508</v>
      </c>
      <c r="C181" s="3">
        <v>108816</v>
      </c>
      <c r="D181" s="3" t="s">
        <v>1070</v>
      </c>
      <c r="E181" s="3">
        <v>20565783409</v>
      </c>
      <c r="F181" s="3" t="s">
        <v>1071</v>
      </c>
      <c r="G181" s="3" t="s">
        <v>1072</v>
      </c>
      <c r="H181" s="3" t="s">
        <v>59</v>
      </c>
      <c r="I181" s="3" t="s">
        <v>59</v>
      </c>
      <c r="J181" s="3" t="s">
        <v>1073</v>
      </c>
      <c r="K181" s="3"/>
      <c r="L181" s="3"/>
      <c r="M181" s="3"/>
      <c r="N181" s="3"/>
      <c r="O181" s="3" t="s">
        <v>71</v>
      </c>
      <c r="P181" s="3" t="s">
        <v>1074</v>
      </c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>
        <v>1600</v>
      </c>
      <c r="AL181" s="4">
        <v>42964</v>
      </c>
      <c r="AM181" s="3"/>
      <c r="AN181" s="3" t="s">
        <v>1075</v>
      </c>
    </row>
    <row r="182" spans="1:40" ht="27.75">
      <c r="A182" s="3">
        <v>176</v>
      </c>
      <c r="B182" s="3" t="str">
        <f>"201500155978"</f>
        <v>201500155978</v>
      </c>
      <c r="C182" s="3">
        <v>118643</v>
      </c>
      <c r="D182" s="3" t="s">
        <v>1076</v>
      </c>
      <c r="E182" s="3">
        <v>20600629825</v>
      </c>
      <c r="F182" s="3" t="s">
        <v>1077</v>
      </c>
      <c r="G182" s="3" t="s">
        <v>1078</v>
      </c>
      <c r="H182" s="3" t="s">
        <v>59</v>
      </c>
      <c r="I182" s="3" t="s">
        <v>59</v>
      </c>
      <c r="J182" s="3" t="s">
        <v>881</v>
      </c>
      <c r="K182" s="3"/>
      <c r="L182" s="3"/>
      <c r="M182" s="3"/>
      <c r="N182" s="3"/>
      <c r="O182" s="3" t="s">
        <v>46</v>
      </c>
      <c r="P182" s="3" t="s">
        <v>1079</v>
      </c>
      <c r="Q182" s="3" t="s">
        <v>1080</v>
      </c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>
        <v>14500</v>
      </c>
      <c r="AL182" s="4">
        <v>42334</v>
      </c>
      <c r="AM182" s="3"/>
      <c r="AN182" s="3" t="s">
        <v>936</v>
      </c>
    </row>
    <row r="183" spans="1:40" ht="13.5">
      <c r="A183" s="3">
        <v>177</v>
      </c>
      <c r="B183" s="3" t="str">
        <f>"201900076459"</f>
        <v>201900076459</v>
      </c>
      <c r="C183" s="3">
        <v>107796</v>
      </c>
      <c r="D183" s="3" t="s">
        <v>1081</v>
      </c>
      <c r="E183" s="3">
        <v>20490335839</v>
      </c>
      <c r="F183" s="3" t="s">
        <v>1082</v>
      </c>
      <c r="G183" s="3" t="s">
        <v>1083</v>
      </c>
      <c r="H183" s="3" t="s">
        <v>1084</v>
      </c>
      <c r="I183" s="3" t="s">
        <v>1085</v>
      </c>
      <c r="J183" s="3" t="s">
        <v>1085</v>
      </c>
      <c r="K183" s="3" t="s">
        <v>1083</v>
      </c>
      <c r="L183" s="3" t="s">
        <v>1084</v>
      </c>
      <c r="M183" s="3" t="s">
        <v>1085</v>
      </c>
      <c r="N183" s="3" t="s">
        <v>1085</v>
      </c>
      <c r="O183" s="3" t="s">
        <v>71</v>
      </c>
      <c r="P183" s="3" t="s">
        <v>1086</v>
      </c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>
        <v>3500</v>
      </c>
      <c r="AL183" s="4">
        <v>43598</v>
      </c>
      <c r="AM183" s="3"/>
      <c r="AN183" s="3" t="s">
        <v>1087</v>
      </c>
    </row>
    <row r="184" spans="1:40" ht="13.5">
      <c r="A184" s="3">
        <v>178</v>
      </c>
      <c r="B184" s="3" t="str">
        <f>"201900073368"</f>
        <v>201900073368</v>
      </c>
      <c r="C184" s="3">
        <v>62328</v>
      </c>
      <c r="D184" s="3" t="s">
        <v>1088</v>
      </c>
      <c r="E184" s="3">
        <v>20512735321</v>
      </c>
      <c r="F184" s="3" t="s">
        <v>1016</v>
      </c>
      <c r="G184" s="3" t="s">
        <v>1089</v>
      </c>
      <c r="H184" s="3" t="s">
        <v>59</v>
      </c>
      <c r="I184" s="3" t="s">
        <v>59</v>
      </c>
      <c r="J184" s="3" t="s">
        <v>581</v>
      </c>
      <c r="K184" s="3"/>
      <c r="L184" s="3" t="s">
        <v>59</v>
      </c>
      <c r="M184" s="3" t="s">
        <v>59</v>
      </c>
      <c r="N184" s="3" t="s">
        <v>581</v>
      </c>
      <c r="O184" s="3" t="s">
        <v>71</v>
      </c>
      <c r="P184" s="3" t="s">
        <v>1090</v>
      </c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>
        <v>2000</v>
      </c>
      <c r="AL184" s="4">
        <v>43595</v>
      </c>
      <c r="AM184" s="3"/>
      <c r="AN184" s="3" t="s">
        <v>770</v>
      </c>
    </row>
    <row r="185" spans="1:40" ht="13.5">
      <c r="A185" s="3">
        <v>179</v>
      </c>
      <c r="B185" s="3" t="str">
        <f>"201700185643"</f>
        <v>201700185643</v>
      </c>
      <c r="C185" s="3">
        <v>82998</v>
      </c>
      <c r="D185" s="3" t="s">
        <v>1091</v>
      </c>
      <c r="E185" s="3">
        <v>20601029741</v>
      </c>
      <c r="F185" s="3" t="s">
        <v>1092</v>
      </c>
      <c r="G185" s="3" t="s">
        <v>1093</v>
      </c>
      <c r="H185" s="3" t="s">
        <v>59</v>
      </c>
      <c r="I185" s="3" t="s">
        <v>59</v>
      </c>
      <c r="J185" s="3" t="s">
        <v>102</v>
      </c>
      <c r="K185" s="3" t="s">
        <v>1093</v>
      </c>
      <c r="L185" s="3" t="s">
        <v>59</v>
      </c>
      <c r="M185" s="3" t="s">
        <v>59</v>
      </c>
      <c r="N185" s="3" t="s">
        <v>102</v>
      </c>
      <c r="O185" s="3" t="s">
        <v>46</v>
      </c>
      <c r="P185" s="3" t="s">
        <v>1094</v>
      </c>
      <c r="Q185" s="3" t="s">
        <v>1095</v>
      </c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>
        <v>11500</v>
      </c>
      <c r="AL185" s="4">
        <v>43047</v>
      </c>
      <c r="AM185" s="3"/>
      <c r="AN185" s="3" t="s">
        <v>1096</v>
      </c>
    </row>
    <row r="186" spans="1:40" ht="13.5">
      <c r="A186" s="3">
        <v>180</v>
      </c>
      <c r="B186" s="3" t="str">
        <f>"201400027202"</f>
        <v>201400027202</v>
      </c>
      <c r="C186" s="3">
        <v>108251</v>
      </c>
      <c r="D186" s="3" t="s">
        <v>1097</v>
      </c>
      <c r="E186" s="3">
        <v>20548771022</v>
      </c>
      <c r="F186" s="3" t="s">
        <v>847</v>
      </c>
      <c r="G186" s="3" t="s">
        <v>1098</v>
      </c>
      <c r="H186" s="3" t="s">
        <v>59</v>
      </c>
      <c r="I186" s="3" t="s">
        <v>59</v>
      </c>
      <c r="J186" s="3" t="s">
        <v>442</v>
      </c>
      <c r="K186" s="3"/>
      <c r="L186" s="3"/>
      <c r="M186" s="3"/>
      <c r="N186" s="3"/>
      <c r="O186" s="3" t="s">
        <v>71</v>
      </c>
      <c r="P186" s="3" t="s">
        <v>1099</v>
      </c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>
        <v>6500</v>
      </c>
      <c r="AL186" s="4">
        <v>41709</v>
      </c>
      <c r="AM186" s="3"/>
      <c r="AN186" s="3" t="s">
        <v>851</v>
      </c>
    </row>
    <row r="187" spans="1:40" ht="13.5">
      <c r="A187" s="3">
        <v>181</v>
      </c>
      <c r="B187" s="3" t="str">
        <f>"201900031274"</f>
        <v>201900031274</v>
      </c>
      <c r="C187" s="3">
        <v>141552</v>
      </c>
      <c r="D187" s="3" t="s">
        <v>1100</v>
      </c>
      <c r="E187" s="3">
        <v>10199410861</v>
      </c>
      <c r="F187" s="3" t="s">
        <v>1101</v>
      </c>
      <c r="G187" s="3" t="s">
        <v>1102</v>
      </c>
      <c r="H187" s="3" t="s">
        <v>219</v>
      </c>
      <c r="I187" s="3" t="s">
        <v>220</v>
      </c>
      <c r="J187" s="3" t="s">
        <v>410</v>
      </c>
      <c r="K187" s="3"/>
      <c r="L187" s="3"/>
      <c r="M187" s="3"/>
      <c r="N187" s="3"/>
      <c r="O187" s="3" t="s">
        <v>46</v>
      </c>
      <c r="P187" s="3" t="s">
        <v>1103</v>
      </c>
      <c r="Q187" s="3" t="s">
        <v>1104</v>
      </c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>
        <v>15400</v>
      </c>
      <c r="AL187" s="4">
        <v>43523</v>
      </c>
      <c r="AM187" s="3"/>
      <c r="AN187" s="3" t="s">
        <v>1101</v>
      </c>
    </row>
    <row r="188" spans="1:40" ht="13.5">
      <c r="A188" s="3">
        <v>182</v>
      </c>
      <c r="B188" s="3" t="str">
        <f>"201900188851"</f>
        <v>201900188851</v>
      </c>
      <c r="C188" s="3">
        <v>104507</v>
      </c>
      <c r="D188" s="3" t="s">
        <v>1105</v>
      </c>
      <c r="E188" s="3">
        <v>20604571708</v>
      </c>
      <c r="F188" s="3" t="s">
        <v>1106</v>
      </c>
      <c r="G188" s="3" t="s">
        <v>1107</v>
      </c>
      <c r="H188" s="3" t="s">
        <v>59</v>
      </c>
      <c r="I188" s="3" t="s">
        <v>59</v>
      </c>
      <c r="J188" s="3" t="s">
        <v>1108</v>
      </c>
      <c r="K188" s="3" t="s">
        <v>1107</v>
      </c>
      <c r="L188" s="3" t="s">
        <v>59</v>
      </c>
      <c r="M188" s="3" t="s">
        <v>59</v>
      </c>
      <c r="N188" s="3" t="s">
        <v>1108</v>
      </c>
      <c r="O188" s="3" t="s">
        <v>71</v>
      </c>
      <c r="P188" s="3" t="s">
        <v>1109</v>
      </c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>
        <v>6000</v>
      </c>
      <c r="AL188" s="4">
        <v>43784</v>
      </c>
      <c r="AM188" s="3"/>
      <c r="AN188" s="3" t="s">
        <v>1110</v>
      </c>
    </row>
    <row r="189" spans="1:40" ht="13.5">
      <c r="A189" s="3">
        <v>183</v>
      </c>
      <c r="B189" s="3" t="str">
        <f>"201800191798"</f>
        <v>201800191798</v>
      </c>
      <c r="C189" s="3">
        <v>139748</v>
      </c>
      <c r="D189" s="3" t="s">
        <v>1111</v>
      </c>
      <c r="E189" s="3">
        <v>20600538510</v>
      </c>
      <c r="F189" s="3" t="s">
        <v>1112</v>
      </c>
      <c r="G189" s="3" t="s">
        <v>1113</v>
      </c>
      <c r="H189" s="3" t="s">
        <v>59</v>
      </c>
      <c r="I189" s="3" t="s">
        <v>59</v>
      </c>
      <c r="J189" s="3" t="s">
        <v>555</v>
      </c>
      <c r="K189" s="3"/>
      <c r="L189" s="3"/>
      <c r="M189" s="3"/>
      <c r="N189" s="3"/>
      <c r="O189" s="3" t="s">
        <v>71</v>
      </c>
      <c r="P189" s="3" t="s">
        <v>1114</v>
      </c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>
        <v>6500</v>
      </c>
      <c r="AL189" s="4">
        <v>43424</v>
      </c>
      <c r="AM189" s="3"/>
      <c r="AN189" s="3" t="s">
        <v>1115</v>
      </c>
    </row>
    <row r="190" spans="1:40" ht="13.5">
      <c r="A190" s="3">
        <v>184</v>
      </c>
      <c r="B190" s="3" t="str">
        <f>"201800201447"</f>
        <v>201800201447</v>
      </c>
      <c r="C190" s="3">
        <v>104504</v>
      </c>
      <c r="D190" s="3" t="s">
        <v>1116</v>
      </c>
      <c r="E190" s="3">
        <v>20565898052</v>
      </c>
      <c r="F190" s="3" t="s">
        <v>1117</v>
      </c>
      <c r="G190" s="3" t="s">
        <v>1118</v>
      </c>
      <c r="H190" s="3" t="s">
        <v>59</v>
      </c>
      <c r="I190" s="3" t="s">
        <v>59</v>
      </c>
      <c r="J190" s="3" t="s">
        <v>555</v>
      </c>
      <c r="K190" s="3" t="s">
        <v>1118</v>
      </c>
      <c r="L190" s="3" t="s">
        <v>59</v>
      </c>
      <c r="M190" s="3" t="s">
        <v>59</v>
      </c>
      <c r="N190" s="3" t="s">
        <v>555</v>
      </c>
      <c r="O190" s="3" t="s">
        <v>71</v>
      </c>
      <c r="P190" s="3" t="s">
        <v>1119</v>
      </c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>
        <v>6000</v>
      </c>
      <c r="AL190" s="4">
        <v>43444</v>
      </c>
      <c r="AM190" s="3"/>
      <c r="AN190" s="3" t="s">
        <v>1120</v>
      </c>
    </row>
    <row r="191" spans="1:40" ht="13.5">
      <c r="A191" s="3">
        <v>185</v>
      </c>
      <c r="B191" s="3" t="str">
        <f>"201800089816"</f>
        <v>201800089816</v>
      </c>
      <c r="C191" s="3">
        <v>118246</v>
      </c>
      <c r="D191" s="3" t="s">
        <v>1121</v>
      </c>
      <c r="E191" s="3">
        <v>20556564362</v>
      </c>
      <c r="F191" s="3" t="s">
        <v>772</v>
      </c>
      <c r="G191" s="3" t="s">
        <v>773</v>
      </c>
      <c r="H191" s="3" t="s">
        <v>59</v>
      </c>
      <c r="I191" s="3" t="s">
        <v>59</v>
      </c>
      <c r="J191" s="3" t="s">
        <v>213</v>
      </c>
      <c r="K191" s="3"/>
      <c r="L191" s="3"/>
      <c r="M191" s="3"/>
      <c r="N191" s="3"/>
      <c r="O191" s="3" t="s">
        <v>71</v>
      </c>
      <c r="P191" s="3" t="s">
        <v>1122</v>
      </c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>
        <v>6500</v>
      </c>
      <c r="AL191" s="4">
        <v>43259</v>
      </c>
      <c r="AM191" s="3"/>
      <c r="AN191" s="3" t="s">
        <v>775</v>
      </c>
    </row>
    <row r="192" spans="1:40" ht="13.5">
      <c r="A192" s="3">
        <v>186</v>
      </c>
      <c r="B192" s="3" t="str">
        <f>"201600176595"</f>
        <v>201600176595</v>
      </c>
      <c r="C192" s="3">
        <v>124270</v>
      </c>
      <c r="D192" s="3" t="s">
        <v>1123</v>
      </c>
      <c r="E192" s="3">
        <v>20143743374</v>
      </c>
      <c r="F192" s="3" t="s">
        <v>1124</v>
      </c>
      <c r="G192" s="3" t="s">
        <v>450</v>
      </c>
      <c r="H192" s="3" t="s">
        <v>85</v>
      </c>
      <c r="I192" s="3" t="s">
        <v>86</v>
      </c>
      <c r="J192" s="3" t="s">
        <v>86</v>
      </c>
      <c r="K192" s="3"/>
      <c r="L192" s="3"/>
      <c r="M192" s="3"/>
      <c r="N192" s="3"/>
      <c r="O192" s="3" t="s">
        <v>46</v>
      </c>
      <c r="P192" s="3" t="s">
        <v>1125</v>
      </c>
      <c r="Q192" s="3" t="s">
        <v>1126</v>
      </c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>
        <v>14000</v>
      </c>
      <c r="AL192" s="4">
        <v>42706</v>
      </c>
      <c r="AM192" s="3"/>
      <c r="AN192" s="3" t="s">
        <v>1127</v>
      </c>
    </row>
    <row r="193" spans="1:40" ht="13.5">
      <c r="A193" s="3">
        <v>187</v>
      </c>
      <c r="B193" s="3" t="str">
        <f>"201200164580"</f>
        <v>201200164580</v>
      </c>
      <c r="C193" s="3">
        <v>98162</v>
      </c>
      <c r="D193" s="3" t="s">
        <v>1128</v>
      </c>
      <c r="E193" s="3">
        <v>20548155810</v>
      </c>
      <c r="F193" s="3" t="s">
        <v>1129</v>
      </c>
      <c r="G193" s="3" t="s">
        <v>1130</v>
      </c>
      <c r="H193" s="3" t="s">
        <v>59</v>
      </c>
      <c r="I193" s="3" t="s">
        <v>59</v>
      </c>
      <c r="J193" s="3" t="s">
        <v>799</v>
      </c>
      <c r="K193" s="3" t="s">
        <v>1130</v>
      </c>
      <c r="L193" s="3" t="s">
        <v>59</v>
      </c>
      <c r="M193" s="3" t="s">
        <v>59</v>
      </c>
      <c r="N193" s="3" t="s">
        <v>799</v>
      </c>
      <c r="O193" s="3" t="s">
        <v>71</v>
      </c>
      <c r="P193" s="3" t="s">
        <v>1131</v>
      </c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>
        <v>6500</v>
      </c>
      <c r="AL193" s="4">
        <v>41152</v>
      </c>
      <c r="AM193" s="3"/>
      <c r="AN193" s="3" t="s">
        <v>1132</v>
      </c>
    </row>
    <row r="194" spans="1:40" ht="13.5">
      <c r="A194" s="3">
        <v>188</v>
      </c>
      <c r="B194" s="3" t="str">
        <f>"201900016916"</f>
        <v>201900016916</v>
      </c>
      <c r="C194" s="3">
        <v>107682</v>
      </c>
      <c r="D194" s="3" t="s">
        <v>1133</v>
      </c>
      <c r="E194" s="3">
        <v>20519765170</v>
      </c>
      <c r="F194" s="3" t="s">
        <v>1134</v>
      </c>
      <c r="G194" s="3" t="s">
        <v>1135</v>
      </c>
      <c r="H194" s="3" t="s">
        <v>109</v>
      </c>
      <c r="I194" s="3" t="s">
        <v>109</v>
      </c>
      <c r="J194" s="3" t="s">
        <v>109</v>
      </c>
      <c r="K194" s="3" t="s">
        <v>1135</v>
      </c>
      <c r="L194" s="3" t="s">
        <v>109</v>
      </c>
      <c r="M194" s="3" t="s">
        <v>109</v>
      </c>
      <c r="N194" s="3" t="s">
        <v>109</v>
      </c>
      <c r="O194" s="3" t="s">
        <v>46</v>
      </c>
      <c r="P194" s="3" t="s">
        <v>1136</v>
      </c>
      <c r="Q194" s="3" t="s">
        <v>1137</v>
      </c>
      <c r="R194" s="3" t="s">
        <v>1138</v>
      </c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>
        <v>13000</v>
      </c>
      <c r="AL194" s="4">
        <v>43496</v>
      </c>
      <c r="AM194" s="3"/>
      <c r="AN194" s="3" t="s">
        <v>1139</v>
      </c>
    </row>
    <row r="195" spans="1:40" ht="13.5">
      <c r="A195" s="3">
        <v>189</v>
      </c>
      <c r="B195" s="3" t="str">
        <f>"201700221867"</f>
        <v>201700221867</v>
      </c>
      <c r="C195" s="3">
        <v>133762</v>
      </c>
      <c r="D195" s="3" t="s">
        <v>1140</v>
      </c>
      <c r="E195" s="3">
        <v>10209765107</v>
      </c>
      <c r="F195" s="3" t="s">
        <v>1141</v>
      </c>
      <c r="G195" s="3" t="s">
        <v>1142</v>
      </c>
      <c r="H195" s="3" t="s">
        <v>219</v>
      </c>
      <c r="I195" s="3" t="s">
        <v>288</v>
      </c>
      <c r="J195" s="3" t="s">
        <v>288</v>
      </c>
      <c r="K195" s="3" t="s">
        <v>1142</v>
      </c>
      <c r="L195" s="3" t="s">
        <v>219</v>
      </c>
      <c r="M195" s="3" t="s">
        <v>288</v>
      </c>
      <c r="N195" s="3" t="s">
        <v>288</v>
      </c>
      <c r="O195" s="3" t="s">
        <v>46</v>
      </c>
      <c r="P195" s="3" t="s">
        <v>1143</v>
      </c>
      <c r="Q195" s="3" t="s">
        <v>1144</v>
      </c>
      <c r="R195" s="3" t="s">
        <v>1145</v>
      </c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>
        <v>14000</v>
      </c>
      <c r="AL195" s="4">
        <v>43097</v>
      </c>
      <c r="AM195" s="3"/>
      <c r="AN195" s="3" t="s">
        <v>1141</v>
      </c>
    </row>
    <row r="196" spans="1:40" ht="13.5">
      <c r="A196" s="3">
        <v>190</v>
      </c>
      <c r="B196" s="3" t="str">
        <f>"201700072329"</f>
        <v>201700072329</v>
      </c>
      <c r="C196" s="3">
        <v>128467</v>
      </c>
      <c r="D196" s="3" t="s">
        <v>1146</v>
      </c>
      <c r="E196" s="3">
        <v>10032080222</v>
      </c>
      <c r="F196" s="3" t="s">
        <v>1147</v>
      </c>
      <c r="G196" s="3" t="s">
        <v>1148</v>
      </c>
      <c r="H196" s="3" t="s">
        <v>189</v>
      </c>
      <c r="I196" s="3" t="s">
        <v>1149</v>
      </c>
      <c r="J196" s="3" t="s">
        <v>1149</v>
      </c>
      <c r="K196" s="3" t="s">
        <v>1148</v>
      </c>
      <c r="L196" s="3" t="s">
        <v>189</v>
      </c>
      <c r="M196" s="3" t="s">
        <v>1149</v>
      </c>
      <c r="N196" s="3" t="s">
        <v>1149</v>
      </c>
      <c r="O196" s="3" t="s">
        <v>71</v>
      </c>
      <c r="P196" s="3" t="s">
        <v>1150</v>
      </c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>
        <v>6300</v>
      </c>
      <c r="AL196" s="4">
        <v>42877</v>
      </c>
      <c r="AM196" s="3"/>
      <c r="AN196" s="3" t="s">
        <v>1151</v>
      </c>
    </row>
    <row r="197" spans="1:40" ht="13.5">
      <c r="A197" s="3">
        <v>191</v>
      </c>
      <c r="B197" s="3" t="str">
        <f>"201400048606"</f>
        <v>201400048606</v>
      </c>
      <c r="C197" s="3">
        <v>104131</v>
      </c>
      <c r="D197" s="3" t="s">
        <v>1152</v>
      </c>
      <c r="E197" s="3">
        <v>20556688509</v>
      </c>
      <c r="F197" s="3" t="s">
        <v>1153</v>
      </c>
      <c r="G197" s="3" t="s">
        <v>1154</v>
      </c>
      <c r="H197" s="3" t="s">
        <v>59</v>
      </c>
      <c r="I197" s="3" t="s">
        <v>59</v>
      </c>
      <c r="J197" s="3" t="s">
        <v>881</v>
      </c>
      <c r="K197" s="3"/>
      <c r="L197" s="3"/>
      <c r="M197" s="3"/>
      <c r="N197" s="3"/>
      <c r="O197" s="3" t="s">
        <v>71</v>
      </c>
      <c r="P197" s="3" t="s">
        <v>1155</v>
      </c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>
        <v>6500</v>
      </c>
      <c r="AL197" s="4">
        <v>41758</v>
      </c>
      <c r="AM197" s="3"/>
      <c r="AN197" s="3" t="s">
        <v>1156</v>
      </c>
    </row>
    <row r="198" spans="1:40" ht="13.5">
      <c r="A198" s="3">
        <v>192</v>
      </c>
      <c r="B198" s="3" t="str">
        <f>"201600145660"</f>
        <v>201600145660</v>
      </c>
      <c r="C198" s="3">
        <v>124297</v>
      </c>
      <c r="D198" s="3" t="s">
        <v>1157</v>
      </c>
      <c r="E198" s="3">
        <v>20543736431</v>
      </c>
      <c r="F198" s="3" t="s">
        <v>559</v>
      </c>
      <c r="G198" s="3" t="s">
        <v>1158</v>
      </c>
      <c r="H198" s="3" t="s">
        <v>59</v>
      </c>
      <c r="I198" s="3" t="s">
        <v>59</v>
      </c>
      <c r="J198" s="3" t="s">
        <v>153</v>
      </c>
      <c r="K198" s="3"/>
      <c r="L198" s="3"/>
      <c r="M198" s="3"/>
      <c r="N198" s="3"/>
      <c r="O198" s="3" t="s">
        <v>71</v>
      </c>
      <c r="P198" s="3" t="s">
        <v>1159</v>
      </c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>
        <v>6500</v>
      </c>
      <c r="AL198" s="4">
        <v>42658</v>
      </c>
      <c r="AM198" s="3"/>
      <c r="AN198" s="3" t="s">
        <v>1160</v>
      </c>
    </row>
    <row r="199" spans="1:40" ht="27.75">
      <c r="A199" s="3">
        <v>193</v>
      </c>
      <c r="B199" s="3" t="str">
        <f>"201800156810"</f>
        <v>201800156810</v>
      </c>
      <c r="C199" s="3">
        <v>138720</v>
      </c>
      <c r="D199" s="3" t="s">
        <v>1161</v>
      </c>
      <c r="E199" s="3">
        <v>20549233334</v>
      </c>
      <c r="F199" s="3" t="s">
        <v>938</v>
      </c>
      <c r="G199" s="3" t="s">
        <v>1162</v>
      </c>
      <c r="H199" s="3" t="s">
        <v>59</v>
      </c>
      <c r="I199" s="3" t="s">
        <v>59</v>
      </c>
      <c r="J199" s="3" t="s">
        <v>102</v>
      </c>
      <c r="K199" s="3" t="s">
        <v>1162</v>
      </c>
      <c r="L199" s="3" t="s">
        <v>59</v>
      </c>
      <c r="M199" s="3" t="s">
        <v>59</v>
      </c>
      <c r="N199" s="3" t="s">
        <v>102</v>
      </c>
      <c r="O199" s="3" t="s">
        <v>71</v>
      </c>
      <c r="P199" s="3" t="s">
        <v>1163</v>
      </c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>
        <v>6500</v>
      </c>
      <c r="AL199" s="4">
        <v>43366</v>
      </c>
      <c r="AM199" s="3"/>
      <c r="AN199" s="3" t="s">
        <v>942</v>
      </c>
    </row>
    <row r="200" spans="1:40" ht="13.5">
      <c r="A200" s="3">
        <v>194</v>
      </c>
      <c r="B200" s="3" t="str">
        <f>"201400123043"</f>
        <v>201400123043</v>
      </c>
      <c r="C200" s="3">
        <v>111703</v>
      </c>
      <c r="D200" s="3" t="s">
        <v>1164</v>
      </c>
      <c r="E200" s="3">
        <v>20536075195</v>
      </c>
      <c r="F200" s="3" t="s">
        <v>206</v>
      </c>
      <c r="G200" s="3" t="s">
        <v>1165</v>
      </c>
      <c r="H200" s="3" t="s">
        <v>59</v>
      </c>
      <c r="I200" s="3" t="s">
        <v>59</v>
      </c>
      <c r="J200" s="3" t="s">
        <v>102</v>
      </c>
      <c r="K200" s="3"/>
      <c r="L200" s="3"/>
      <c r="M200" s="3"/>
      <c r="N200" s="3"/>
      <c r="O200" s="3" t="s">
        <v>71</v>
      </c>
      <c r="P200" s="3" t="s">
        <v>1166</v>
      </c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>
        <v>6000</v>
      </c>
      <c r="AL200" s="4">
        <v>41908</v>
      </c>
      <c r="AM200" s="3"/>
      <c r="AN200" s="3" t="s">
        <v>209</v>
      </c>
    </row>
    <row r="201" spans="1:40" ht="13.5">
      <c r="A201" s="3">
        <v>195</v>
      </c>
      <c r="B201" s="3" t="str">
        <f>"202000018079"</f>
        <v>202000018079</v>
      </c>
      <c r="C201" s="3">
        <v>149038</v>
      </c>
      <c r="D201" s="3" t="s">
        <v>1167</v>
      </c>
      <c r="E201" s="3">
        <v>20605609709</v>
      </c>
      <c r="F201" s="3" t="s">
        <v>1168</v>
      </c>
      <c r="G201" s="3" t="s">
        <v>1169</v>
      </c>
      <c r="H201" s="3" t="s">
        <v>44</v>
      </c>
      <c r="I201" s="3" t="s">
        <v>44</v>
      </c>
      <c r="J201" s="3" t="s">
        <v>1170</v>
      </c>
      <c r="K201" s="3"/>
      <c r="L201" s="3"/>
      <c r="M201" s="3"/>
      <c r="N201" s="3"/>
      <c r="O201" s="3" t="s">
        <v>46</v>
      </c>
      <c r="P201" s="3" t="s">
        <v>1171</v>
      </c>
      <c r="Q201" s="3" t="s">
        <v>1172</v>
      </c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>
        <v>13600</v>
      </c>
      <c r="AL201" s="4">
        <v>43868</v>
      </c>
      <c r="AM201" s="3"/>
      <c r="AN201" s="3" t="s">
        <v>1173</v>
      </c>
    </row>
    <row r="202" spans="1:40" ht="13.5">
      <c r="A202" s="3">
        <v>196</v>
      </c>
      <c r="B202" s="3" t="str">
        <f>"201500132148"</f>
        <v>201500132148</v>
      </c>
      <c r="C202" s="3">
        <v>117762</v>
      </c>
      <c r="D202" s="3" t="s">
        <v>1174</v>
      </c>
      <c r="E202" s="3">
        <v>20600596897</v>
      </c>
      <c r="F202" s="3" t="s">
        <v>1175</v>
      </c>
      <c r="G202" s="3" t="s">
        <v>1176</v>
      </c>
      <c r="H202" s="3" t="s">
        <v>219</v>
      </c>
      <c r="I202" s="3" t="s">
        <v>1177</v>
      </c>
      <c r="J202" s="3" t="s">
        <v>1178</v>
      </c>
      <c r="K202" s="3"/>
      <c r="L202" s="3"/>
      <c r="M202" s="3"/>
      <c r="N202" s="3"/>
      <c r="O202" s="3" t="s">
        <v>46</v>
      </c>
      <c r="P202" s="3" t="s">
        <v>1179</v>
      </c>
      <c r="Q202" s="3" t="s">
        <v>1180</v>
      </c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>
        <v>13000</v>
      </c>
      <c r="AL202" s="4">
        <v>42283</v>
      </c>
      <c r="AM202" s="3"/>
      <c r="AN202" s="3" t="s">
        <v>1181</v>
      </c>
    </row>
    <row r="203" spans="1:40" ht="13.5">
      <c r="A203" s="3">
        <v>197</v>
      </c>
      <c r="B203" s="3" t="str">
        <f>"201500150267"</f>
        <v>201500150267</v>
      </c>
      <c r="C203" s="3">
        <v>43240</v>
      </c>
      <c r="D203" s="3" t="s">
        <v>1182</v>
      </c>
      <c r="E203" s="3">
        <v>20515858360</v>
      </c>
      <c r="F203" s="3" t="s">
        <v>1183</v>
      </c>
      <c r="G203" s="3" t="s">
        <v>840</v>
      </c>
      <c r="H203" s="3" t="s">
        <v>59</v>
      </c>
      <c r="I203" s="3" t="s">
        <v>59</v>
      </c>
      <c r="J203" s="3" t="s">
        <v>555</v>
      </c>
      <c r="K203" s="3" t="s">
        <v>840</v>
      </c>
      <c r="L203" s="3" t="s">
        <v>59</v>
      </c>
      <c r="M203" s="3" t="s">
        <v>59</v>
      </c>
      <c r="N203" s="3" t="s">
        <v>555</v>
      </c>
      <c r="O203" s="3" t="s">
        <v>71</v>
      </c>
      <c r="P203" s="3" t="s">
        <v>1184</v>
      </c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>
        <v>1500</v>
      </c>
      <c r="AL203" s="4">
        <v>42328</v>
      </c>
      <c r="AM203" s="3"/>
      <c r="AN203" s="3" t="s">
        <v>842</v>
      </c>
    </row>
    <row r="204" spans="1:40" ht="13.5">
      <c r="A204" s="3">
        <v>198</v>
      </c>
      <c r="B204" s="3" t="str">
        <f>"201800165302"</f>
        <v>201800165302</v>
      </c>
      <c r="C204" s="3">
        <v>124848</v>
      </c>
      <c r="D204" s="3" t="s">
        <v>1185</v>
      </c>
      <c r="E204" s="3">
        <v>20487079635</v>
      </c>
      <c r="F204" s="3" t="s">
        <v>1186</v>
      </c>
      <c r="G204" s="3" t="s">
        <v>1187</v>
      </c>
      <c r="H204" s="3" t="s">
        <v>1188</v>
      </c>
      <c r="I204" s="3" t="s">
        <v>1189</v>
      </c>
      <c r="J204" s="3" t="s">
        <v>1189</v>
      </c>
      <c r="K204" s="3" t="s">
        <v>1190</v>
      </c>
      <c r="L204" s="3" t="s">
        <v>1188</v>
      </c>
      <c r="M204" s="3" t="s">
        <v>1189</v>
      </c>
      <c r="N204" s="3" t="s">
        <v>1189</v>
      </c>
      <c r="O204" s="3" t="s">
        <v>46</v>
      </c>
      <c r="P204" s="3" t="s">
        <v>1191</v>
      </c>
      <c r="Q204" s="3" t="s">
        <v>1192</v>
      </c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>
        <v>14000</v>
      </c>
      <c r="AL204" s="4">
        <v>43395</v>
      </c>
      <c r="AM204" s="3"/>
      <c r="AN204" s="3" t="s">
        <v>1193</v>
      </c>
    </row>
    <row r="205" spans="1:40" ht="13.5">
      <c r="A205" s="3">
        <v>199</v>
      </c>
      <c r="B205" s="3" t="str">
        <f>"201700089772"</f>
        <v>201700089772</v>
      </c>
      <c r="C205" s="3">
        <v>128762</v>
      </c>
      <c r="D205" s="3" t="s">
        <v>1194</v>
      </c>
      <c r="E205" s="3">
        <v>10166622412</v>
      </c>
      <c r="F205" s="3" t="s">
        <v>1195</v>
      </c>
      <c r="G205" s="3" t="s">
        <v>450</v>
      </c>
      <c r="H205" s="3" t="s">
        <v>85</v>
      </c>
      <c r="I205" s="3" t="s">
        <v>86</v>
      </c>
      <c r="J205" s="3" t="s">
        <v>86</v>
      </c>
      <c r="K205" s="3"/>
      <c r="L205" s="3"/>
      <c r="M205" s="3"/>
      <c r="N205" s="3"/>
      <c r="O205" s="3" t="s">
        <v>46</v>
      </c>
      <c r="P205" s="3" t="s">
        <v>1196</v>
      </c>
      <c r="Q205" s="3" t="s">
        <v>1197</v>
      </c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>
        <v>15000</v>
      </c>
      <c r="AL205" s="4">
        <v>42900</v>
      </c>
      <c r="AM205" s="3"/>
      <c r="AN205" s="3" t="s">
        <v>1195</v>
      </c>
    </row>
    <row r="206" spans="1:40" ht="13.5">
      <c r="A206" s="3">
        <v>200</v>
      </c>
      <c r="B206" s="3" t="str">
        <f>"201700215548"</f>
        <v>201700215548</v>
      </c>
      <c r="C206" s="3">
        <v>133577</v>
      </c>
      <c r="D206" s="3" t="s">
        <v>1198</v>
      </c>
      <c r="E206" s="3">
        <v>20503840121</v>
      </c>
      <c r="F206" s="3" t="s">
        <v>380</v>
      </c>
      <c r="G206" s="3" t="s">
        <v>381</v>
      </c>
      <c r="H206" s="3" t="s">
        <v>59</v>
      </c>
      <c r="I206" s="3" t="s">
        <v>59</v>
      </c>
      <c r="J206" s="3" t="s">
        <v>382</v>
      </c>
      <c r="K206" s="3" t="s">
        <v>1199</v>
      </c>
      <c r="L206" s="3" t="s">
        <v>59</v>
      </c>
      <c r="M206" s="3" t="s">
        <v>59</v>
      </c>
      <c r="N206" s="3" t="s">
        <v>382</v>
      </c>
      <c r="O206" s="3" t="s">
        <v>71</v>
      </c>
      <c r="P206" s="3" t="s">
        <v>1200</v>
      </c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>
        <v>6500</v>
      </c>
      <c r="AL206" s="4">
        <v>43103</v>
      </c>
      <c r="AM206" s="3"/>
      <c r="AN206" s="3" t="s">
        <v>1201</v>
      </c>
    </row>
    <row r="207" spans="1:40" ht="13.5">
      <c r="A207" s="3">
        <v>201</v>
      </c>
      <c r="B207" s="3" t="str">
        <f>"201800035459"</f>
        <v>201800035459</v>
      </c>
      <c r="C207" s="3">
        <v>133221</v>
      </c>
      <c r="D207" s="3" t="s">
        <v>1202</v>
      </c>
      <c r="E207" s="3">
        <v>20507458999</v>
      </c>
      <c r="F207" s="3" t="s">
        <v>1203</v>
      </c>
      <c r="G207" s="3" t="s">
        <v>1204</v>
      </c>
      <c r="H207" s="3" t="s">
        <v>85</v>
      </c>
      <c r="I207" s="3" t="s">
        <v>86</v>
      </c>
      <c r="J207" s="3" t="s">
        <v>86</v>
      </c>
      <c r="K207" s="3"/>
      <c r="L207" s="3"/>
      <c r="M207" s="3"/>
      <c r="N207" s="3"/>
      <c r="O207" s="3" t="s">
        <v>71</v>
      </c>
      <c r="P207" s="3" t="s">
        <v>1205</v>
      </c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>
        <v>6500</v>
      </c>
      <c r="AL207" s="4">
        <v>43163</v>
      </c>
      <c r="AM207" s="3"/>
      <c r="AN207" s="3" t="s">
        <v>1206</v>
      </c>
    </row>
    <row r="208" spans="1:40" ht="13.5">
      <c r="A208" s="3">
        <v>202</v>
      </c>
      <c r="B208" s="3" t="str">
        <f>"201600165315"</f>
        <v>201600165315</v>
      </c>
      <c r="C208" s="3">
        <v>92828</v>
      </c>
      <c r="D208" s="3" t="s">
        <v>1207</v>
      </c>
      <c r="E208" s="3">
        <v>20275873480</v>
      </c>
      <c r="F208" s="3" t="s">
        <v>1208</v>
      </c>
      <c r="G208" s="3" t="s">
        <v>1209</v>
      </c>
      <c r="H208" s="3" t="s">
        <v>85</v>
      </c>
      <c r="I208" s="3" t="s">
        <v>86</v>
      </c>
      <c r="J208" s="3" t="s">
        <v>86</v>
      </c>
      <c r="K208" s="3"/>
      <c r="L208" s="3"/>
      <c r="M208" s="3"/>
      <c r="N208" s="3"/>
      <c r="O208" s="3" t="s">
        <v>46</v>
      </c>
      <c r="P208" s="3" t="s">
        <v>1210</v>
      </c>
      <c r="Q208" s="3" t="s">
        <v>1211</v>
      </c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>
        <v>13000</v>
      </c>
      <c r="AL208" s="4">
        <v>42689</v>
      </c>
      <c r="AM208" s="3"/>
      <c r="AN208" s="3" t="s">
        <v>1212</v>
      </c>
    </row>
    <row r="209" spans="1:40" ht="13.5">
      <c r="A209" s="3">
        <v>203</v>
      </c>
      <c r="B209" s="3" t="str">
        <f>"202000020140"</f>
        <v>202000020140</v>
      </c>
      <c r="C209" s="3">
        <v>149095</v>
      </c>
      <c r="D209" s="3" t="s">
        <v>1213</v>
      </c>
      <c r="E209" s="3">
        <v>20556670391</v>
      </c>
      <c r="F209" s="3" t="s">
        <v>1214</v>
      </c>
      <c r="G209" s="3" t="s">
        <v>1215</v>
      </c>
      <c r="H209" s="3" t="s">
        <v>59</v>
      </c>
      <c r="I209" s="3" t="s">
        <v>59</v>
      </c>
      <c r="J209" s="3" t="s">
        <v>641</v>
      </c>
      <c r="K209" s="3" t="s">
        <v>1215</v>
      </c>
      <c r="L209" s="3" t="s">
        <v>59</v>
      </c>
      <c r="M209" s="3" t="s">
        <v>59</v>
      </c>
      <c r="N209" s="3" t="s">
        <v>641</v>
      </c>
      <c r="O209" s="3" t="s">
        <v>71</v>
      </c>
      <c r="P209" s="3" t="s">
        <v>1216</v>
      </c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>
        <v>2000</v>
      </c>
      <c r="AL209" s="4">
        <v>43867</v>
      </c>
      <c r="AM209" s="3"/>
      <c r="AN209" s="3" t="s">
        <v>1217</v>
      </c>
    </row>
    <row r="210" spans="1:40" ht="13.5">
      <c r="A210" s="3">
        <v>204</v>
      </c>
      <c r="B210" s="3" t="str">
        <f>"201800209040"</f>
        <v>201800209040</v>
      </c>
      <c r="C210" s="3">
        <v>122771</v>
      </c>
      <c r="D210" s="3" t="s">
        <v>1218</v>
      </c>
      <c r="E210" s="3">
        <v>20549098372</v>
      </c>
      <c r="F210" s="3" t="s">
        <v>281</v>
      </c>
      <c r="G210" s="3" t="s">
        <v>1219</v>
      </c>
      <c r="H210" s="3" t="s">
        <v>59</v>
      </c>
      <c r="I210" s="3" t="s">
        <v>59</v>
      </c>
      <c r="J210" s="3" t="s">
        <v>250</v>
      </c>
      <c r="K210" s="3"/>
      <c r="L210" s="3"/>
      <c r="M210" s="3"/>
      <c r="N210" s="3"/>
      <c r="O210" s="3" t="s">
        <v>46</v>
      </c>
      <c r="P210" s="3" t="s">
        <v>1220</v>
      </c>
      <c r="Q210" s="3" t="s">
        <v>255</v>
      </c>
      <c r="R210" s="3" t="s">
        <v>1221</v>
      </c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>
        <v>14000</v>
      </c>
      <c r="AL210" s="4">
        <v>43452</v>
      </c>
      <c r="AM210" s="3"/>
      <c r="AN210" s="3" t="s">
        <v>257</v>
      </c>
    </row>
    <row r="211" spans="1:40" ht="13.5">
      <c r="A211" s="3">
        <v>205</v>
      </c>
      <c r="B211" s="3" t="str">
        <f>"202000020143"</f>
        <v>202000020143</v>
      </c>
      <c r="C211" s="3">
        <v>149096</v>
      </c>
      <c r="D211" s="3" t="s">
        <v>1222</v>
      </c>
      <c r="E211" s="3">
        <v>20556670391</v>
      </c>
      <c r="F211" s="3" t="s">
        <v>1214</v>
      </c>
      <c r="G211" s="3" t="s">
        <v>1215</v>
      </c>
      <c r="H211" s="3" t="s">
        <v>59</v>
      </c>
      <c r="I211" s="3" t="s">
        <v>59</v>
      </c>
      <c r="J211" s="3" t="s">
        <v>641</v>
      </c>
      <c r="K211" s="3" t="s">
        <v>1215</v>
      </c>
      <c r="L211" s="3" t="s">
        <v>59</v>
      </c>
      <c r="M211" s="3" t="s">
        <v>59</v>
      </c>
      <c r="N211" s="3" t="s">
        <v>641</v>
      </c>
      <c r="O211" s="3" t="s">
        <v>71</v>
      </c>
      <c r="P211" s="3" t="s">
        <v>1223</v>
      </c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>
        <v>1800</v>
      </c>
      <c r="AL211" s="4">
        <v>43867</v>
      </c>
      <c r="AM211" s="3"/>
      <c r="AN211" s="3" t="s">
        <v>1217</v>
      </c>
    </row>
    <row r="212" spans="1:40" ht="13.5">
      <c r="A212" s="3">
        <v>206</v>
      </c>
      <c r="B212" s="3" t="str">
        <f>"201600062671"</f>
        <v>201600062671</v>
      </c>
      <c r="C212" s="3">
        <v>121162</v>
      </c>
      <c r="D212" s="3" t="s">
        <v>1224</v>
      </c>
      <c r="E212" s="3">
        <v>20334129595</v>
      </c>
      <c r="F212" s="3" t="s">
        <v>1225</v>
      </c>
      <c r="G212" s="3" t="s">
        <v>1226</v>
      </c>
      <c r="H212" s="3" t="s">
        <v>59</v>
      </c>
      <c r="I212" s="3" t="s">
        <v>59</v>
      </c>
      <c r="J212" s="3" t="s">
        <v>102</v>
      </c>
      <c r="K212" s="3"/>
      <c r="L212" s="3"/>
      <c r="M212" s="3"/>
      <c r="N212" s="3"/>
      <c r="O212" s="3" t="s">
        <v>71</v>
      </c>
      <c r="P212" s="3" t="s">
        <v>1227</v>
      </c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>
        <v>6500</v>
      </c>
      <c r="AL212" s="4">
        <v>42495</v>
      </c>
      <c r="AM212" s="3"/>
      <c r="AN212" s="3" t="s">
        <v>637</v>
      </c>
    </row>
    <row r="213" spans="1:40" ht="13.5">
      <c r="A213" s="3">
        <v>207</v>
      </c>
      <c r="B213" s="3" t="str">
        <f>"201600165318"</f>
        <v>201600165318</v>
      </c>
      <c r="C213" s="3">
        <v>124281</v>
      </c>
      <c r="D213" s="3" t="s">
        <v>1228</v>
      </c>
      <c r="E213" s="3">
        <v>20275873480</v>
      </c>
      <c r="F213" s="3" t="s">
        <v>1208</v>
      </c>
      <c r="G213" s="3" t="s">
        <v>1229</v>
      </c>
      <c r="H213" s="3" t="s">
        <v>85</v>
      </c>
      <c r="I213" s="3" t="s">
        <v>86</v>
      </c>
      <c r="J213" s="3" t="s">
        <v>86</v>
      </c>
      <c r="K213" s="3"/>
      <c r="L213" s="3"/>
      <c r="M213" s="3"/>
      <c r="N213" s="3"/>
      <c r="O213" s="3" t="s">
        <v>46</v>
      </c>
      <c r="P213" s="3" t="s">
        <v>1230</v>
      </c>
      <c r="Q213" s="3" t="s">
        <v>1231</v>
      </c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>
        <v>14000</v>
      </c>
      <c r="AL213" s="4">
        <v>42689</v>
      </c>
      <c r="AM213" s="3"/>
      <c r="AN213" s="3" t="s">
        <v>1212</v>
      </c>
    </row>
    <row r="214" spans="1:40" ht="27.75">
      <c r="A214" s="3">
        <v>208</v>
      </c>
      <c r="B214" s="3" t="str">
        <f>"201500053882"</f>
        <v>201500053882</v>
      </c>
      <c r="C214" s="3">
        <v>115117</v>
      </c>
      <c r="D214" s="3" t="s">
        <v>1232</v>
      </c>
      <c r="E214" s="3">
        <v>20479636304</v>
      </c>
      <c r="F214" s="3" t="s">
        <v>1233</v>
      </c>
      <c r="G214" s="3" t="s">
        <v>1234</v>
      </c>
      <c r="H214" s="3" t="s">
        <v>319</v>
      </c>
      <c r="I214" s="3" t="s">
        <v>1235</v>
      </c>
      <c r="J214" s="3" t="s">
        <v>1235</v>
      </c>
      <c r="K214" s="3" t="s">
        <v>1234</v>
      </c>
      <c r="L214" s="3" t="s">
        <v>319</v>
      </c>
      <c r="M214" s="3" t="s">
        <v>1235</v>
      </c>
      <c r="N214" s="3" t="s">
        <v>1235</v>
      </c>
      <c r="O214" s="3" t="s">
        <v>46</v>
      </c>
      <c r="P214" s="3" t="s">
        <v>1236</v>
      </c>
      <c r="Q214" s="3" t="s">
        <v>1237</v>
      </c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>
        <v>13675</v>
      </c>
      <c r="AL214" s="4">
        <v>42132</v>
      </c>
      <c r="AM214" s="3"/>
      <c r="AN214" s="3" t="s">
        <v>1238</v>
      </c>
    </row>
    <row r="215" spans="1:40" ht="27.75">
      <c r="A215" s="3">
        <v>209</v>
      </c>
      <c r="B215" s="3" t="str">
        <f>"201600004160"</f>
        <v>201600004160</v>
      </c>
      <c r="C215" s="3">
        <v>119396</v>
      </c>
      <c r="D215" s="3" t="s">
        <v>1239</v>
      </c>
      <c r="E215" s="3">
        <v>10456372916</v>
      </c>
      <c r="F215" s="3" t="s">
        <v>1240</v>
      </c>
      <c r="G215" s="3" t="s">
        <v>1241</v>
      </c>
      <c r="H215" s="3" t="s">
        <v>85</v>
      </c>
      <c r="I215" s="3" t="s">
        <v>1242</v>
      </c>
      <c r="J215" s="3" t="s">
        <v>1243</v>
      </c>
      <c r="K215" s="3"/>
      <c r="L215" s="3"/>
      <c r="M215" s="3"/>
      <c r="N215" s="3"/>
      <c r="O215" s="3" t="s">
        <v>71</v>
      </c>
      <c r="P215" s="3" t="s">
        <v>1244</v>
      </c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>
        <v>6500</v>
      </c>
      <c r="AL215" s="4">
        <v>42383</v>
      </c>
      <c r="AM215" s="3"/>
      <c r="AN215" s="3" t="s">
        <v>1240</v>
      </c>
    </row>
    <row r="216" spans="1:40" ht="13.5">
      <c r="A216" s="3">
        <v>210</v>
      </c>
      <c r="B216" s="3" t="str">
        <f>"201600188310"</f>
        <v>201600188310</v>
      </c>
      <c r="C216" s="3">
        <v>125618</v>
      </c>
      <c r="D216" s="3" t="s">
        <v>1245</v>
      </c>
      <c r="E216" s="3">
        <v>20507034013</v>
      </c>
      <c r="F216" s="3" t="s">
        <v>460</v>
      </c>
      <c r="G216" s="3" t="s">
        <v>1246</v>
      </c>
      <c r="H216" s="3" t="s">
        <v>59</v>
      </c>
      <c r="I216" s="3" t="s">
        <v>59</v>
      </c>
      <c r="J216" s="3" t="s">
        <v>462</v>
      </c>
      <c r="K216" s="3"/>
      <c r="L216" s="3"/>
      <c r="M216" s="3"/>
      <c r="N216" s="3"/>
      <c r="O216" s="3" t="s">
        <v>46</v>
      </c>
      <c r="P216" s="3" t="s">
        <v>1247</v>
      </c>
      <c r="Q216" s="3" t="s">
        <v>1248</v>
      </c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>
        <v>14000</v>
      </c>
      <c r="AL216" s="4">
        <v>42734</v>
      </c>
      <c r="AM216" s="3"/>
      <c r="AN216" s="3" t="s">
        <v>464</v>
      </c>
    </row>
    <row r="217" spans="1:40" ht="13.5">
      <c r="A217" s="3">
        <v>211</v>
      </c>
      <c r="B217" s="3" t="str">
        <f>"201900191424"</f>
        <v>201900191424</v>
      </c>
      <c r="C217" s="3">
        <v>104675</v>
      </c>
      <c r="D217" s="3" t="s">
        <v>1249</v>
      </c>
      <c r="E217" s="3">
        <v>20536600290</v>
      </c>
      <c r="F217" s="3" t="s">
        <v>1250</v>
      </c>
      <c r="G217" s="3" t="s">
        <v>1251</v>
      </c>
      <c r="H217" s="3" t="s">
        <v>127</v>
      </c>
      <c r="I217" s="3" t="s">
        <v>127</v>
      </c>
      <c r="J217" s="3" t="s">
        <v>128</v>
      </c>
      <c r="K217" s="3" t="s">
        <v>1251</v>
      </c>
      <c r="L217" s="3" t="s">
        <v>127</v>
      </c>
      <c r="M217" s="3" t="s">
        <v>127</v>
      </c>
      <c r="N217" s="3" t="s">
        <v>128</v>
      </c>
      <c r="O217" s="3" t="s">
        <v>71</v>
      </c>
      <c r="P217" s="3" t="s">
        <v>1252</v>
      </c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>
        <v>1500</v>
      </c>
      <c r="AL217" s="4">
        <v>43794</v>
      </c>
      <c r="AM217" s="3"/>
      <c r="AN217" s="3" t="s">
        <v>310</v>
      </c>
    </row>
    <row r="218" spans="1:40" ht="13.5">
      <c r="A218" s="3">
        <v>212</v>
      </c>
      <c r="B218" s="3" t="str">
        <f>"201600110160"</f>
        <v>201600110160</v>
      </c>
      <c r="C218" s="3">
        <v>85561</v>
      </c>
      <c r="D218" s="3" t="s">
        <v>1253</v>
      </c>
      <c r="E218" s="3">
        <v>20494109132</v>
      </c>
      <c r="F218" s="3" t="s">
        <v>1254</v>
      </c>
      <c r="G218" s="3" t="s">
        <v>1255</v>
      </c>
      <c r="H218" s="3" t="s">
        <v>175</v>
      </c>
      <c r="I218" s="3" t="s">
        <v>785</v>
      </c>
      <c r="J218" s="3" t="s">
        <v>1256</v>
      </c>
      <c r="K218" s="3" t="s">
        <v>1255</v>
      </c>
      <c r="L218" s="3" t="s">
        <v>175</v>
      </c>
      <c r="M218" s="3" t="s">
        <v>785</v>
      </c>
      <c r="N218" s="3" t="s">
        <v>1256</v>
      </c>
      <c r="O218" s="3" t="s">
        <v>46</v>
      </c>
      <c r="P218" s="3" t="s">
        <v>1257</v>
      </c>
      <c r="Q218" s="3" t="s">
        <v>1258</v>
      </c>
      <c r="R218" s="3" t="s">
        <v>1259</v>
      </c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>
        <v>13500</v>
      </c>
      <c r="AL218" s="4">
        <v>42583</v>
      </c>
      <c r="AM218" s="3"/>
      <c r="AN218" s="3" t="s">
        <v>1260</v>
      </c>
    </row>
    <row r="219" spans="1:40" ht="13.5">
      <c r="A219" s="3">
        <v>213</v>
      </c>
      <c r="B219" s="3" t="str">
        <f>"201800213893"</f>
        <v>201800213893</v>
      </c>
      <c r="C219" s="3">
        <v>140524</v>
      </c>
      <c r="D219" s="3" t="s">
        <v>1261</v>
      </c>
      <c r="E219" s="3">
        <v>20601162386</v>
      </c>
      <c r="F219" s="3" t="s">
        <v>440</v>
      </c>
      <c r="G219" s="3" t="s">
        <v>1262</v>
      </c>
      <c r="H219" s="3" t="s">
        <v>59</v>
      </c>
      <c r="I219" s="3" t="s">
        <v>59</v>
      </c>
      <c r="J219" s="3" t="s">
        <v>442</v>
      </c>
      <c r="K219" s="3" t="s">
        <v>1262</v>
      </c>
      <c r="L219" s="3" t="s">
        <v>59</v>
      </c>
      <c r="M219" s="3" t="s">
        <v>59</v>
      </c>
      <c r="N219" s="3" t="s">
        <v>442</v>
      </c>
      <c r="O219" s="3" t="s">
        <v>71</v>
      </c>
      <c r="P219" s="3" t="s">
        <v>1263</v>
      </c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>
        <v>1900</v>
      </c>
      <c r="AL219" s="4">
        <v>43467</v>
      </c>
      <c r="AM219" s="3"/>
      <c r="AN219" s="3" t="s">
        <v>444</v>
      </c>
    </row>
    <row r="220" spans="1:40" ht="13.5">
      <c r="A220" s="3">
        <v>214</v>
      </c>
      <c r="B220" s="3" t="str">
        <f>"201300157715"</f>
        <v>201300157715</v>
      </c>
      <c r="C220" s="3">
        <v>92946</v>
      </c>
      <c r="D220" s="3" t="s">
        <v>1264</v>
      </c>
      <c r="E220" s="3">
        <v>20548891788</v>
      </c>
      <c r="F220" s="3" t="s">
        <v>1265</v>
      </c>
      <c r="G220" s="3" t="s">
        <v>1266</v>
      </c>
      <c r="H220" s="3" t="s">
        <v>59</v>
      </c>
      <c r="I220" s="3" t="s">
        <v>59</v>
      </c>
      <c r="J220" s="3" t="s">
        <v>153</v>
      </c>
      <c r="K220" s="3" t="s">
        <v>1266</v>
      </c>
      <c r="L220" s="3" t="s">
        <v>59</v>
      </c>
      <c r="M220" s="3" t="s">
        <v>59</v>
      </c>
      <c r="N220" s="3" t="s">
        <v>153</v>
      </c>
      <c r="O220" s="3" t="s">
        <v>71</v>
      </c>
      <c r="P220" s="3" t="s">
        <v>1267</v>
      </c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>
        <v>6500</v>
      </c>
      <c r="AL220" s="4">
        <v>41558</v>
      </c>
      <c r="AM220" s="3"/>
      <c r="AN220" s="3" t="s">
        <v>297</v>
      </c>
    </row>
    <row r="221" spans="1:40" ht="13.5">
      <c r="A221" s="3">
        <v>215</v>
      </c>
      <c r="B221" s="3" t="str">
        <f>"201800213341"</f>
        <v>201800213341</v>
      </c>
      <c r="C221" s="3">
        <v>93008</v>
      </c>
      <c r="D221" s="3" t="s">
        <v>1268</v>
      </c>
      <c r="E221" s="3">
        <v>20408003106</v>
      </c>
      <c r="F221" s="3" t="s">
        <v>1269</v>
      </c>
      <c r="G221" s="3" t="s">
        <v>1270</v>
      </c>
      <c r="H221" s="3" t="s">
        <v>388</v>
      </c>
      <c r="I221" s="3" t="s">
        <v>1271</v>
      </c>
      <c r="J221" s="3" t="s">
        <v>1271</v>
      </c>
      <c r="K221" s="3"/>
      <c r="L221" s="3"/>
      <c r="M221" s="3"/>
      <c r="N221" s="3"/>
      <c r="O221" s="3" t="s">
        <v>71</v>
      </c>
      <c r="P221" s="3" t="s">
        <v>1272</v>
      </c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>
        <v>5500</v>
      </c>
      <c r="AL221" s="4">
        <v>43461</v>
      </c>
      <c r="AM221" s="3"/>
      <c r="AN221" s="3" t="s">
        <v>1273</v>
      </c>
    </row>
    <row r="222" spans="1:40" ht="27.75">
      <c r="A222" s="3">
        <v>216</v>
      </c>
      <c r="B222" s="3" t="str">
        <f>"201900201659"</f>
        <v>201900201659</v>
      </c>
      <c r="C222" s="3">
        <v>148146</v>
      </c>
      <c r="D222" s="3" t="s">
        <v>1274</v>
      </c>
      <c r="E222" s="3">
        <v>20565783409</v>
      </c>
      <c r="F222" s="3" t="s">
        <v>1275</v>
      </c>
      <c r="G222" s="3" t="s">
        <v>1276</v>
      </c>
      <c r="H222" s="3" t="s">
        <v>59</v>
      </c>
      <c r="I222" s="3" t="s">
        <v>59</v>
      </c>
      <c r="J222" s="3" t="s">
        <v>1073</v>
      </c>
      <c r="K222" s="3" t="s">
        <v>1277</v>
      </c>
      <c r="L222" s="3" t="s">
        <v>59</v>
      </c>
      <c r="M222" s="3" t="s">
        <v>59</v>
      </c>
      <c r="N222" s="3" t="s">
        <v>1073</v>
      </c>
      <c r="O222" s="3" t="s">
        <v>71</v>
      </c>
      <c r="P222" s="3" t="s">
        <v>1278</v>
      </c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>
        <v>4300</v>
      </c>
      <c r="AL222" s="4">
        <v>43804</v>
      </c>
      <c r="AM222" s="3"/>
      <c r="AN222" s="3" t="s">
        <v>1075</v>
      </c>
    </row>
    <row r="223" spans="1:40" ht="27.75">
      <c r="A223" s="3">
        <v>217</v>
      </c>
      <c r="B223" s="3" t="str">
        <f>"201700116813"</f>
        <v>201700116813</v>
      </c>
      <c r="C223" s="3">
        <v>130716</v>
      </c>
      <c r="D223" s="3" t="s">
        <v>1279</v>
      </c>
      <c r="E223" s="3">
        <v>20410312396</v>
      </c>
      <c r="F223" s="3" t="s">
        <v>1280</v>
      </c>
      <c r="G223" s="3" t="s">
        <v>1281</v>
      </c>
      <c r="H223" s="3" t="s">
        <v>197</v>
      </c>
      <c r="I223" s="3" t="s">
        <v>197</v>
      </c>
      <c r="J223" s="3" t="s">
        <v>403</v>
      </c>
      <c r="K223" s="3"/>
      <c r="L223" s="3" t="s">
        <v>197</v>
      </c>
      <c r="M223" s="3" t="s">
        <v>197</v>
      </c>
      <c r="N223" s="3" t="s">
        <v>403</v>
      </c>
      <c r="O223" s="3" t="s">
        <v>46</v>
      </c>
      <c r="P223" s="3" t="s">
        <v>1282</v>
      </c>
      <c r="Q223" s="3" t="s">
        <v>1283</v>
      </c>
      <c r="R223" s="3" t="s">
        <v>1284</v>
      </c>
      <c r="S223" s="3" t="s">
        <v>1285</v>
      </c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>
        <v>14000</v>
      </c>
      <c r="AL223" s="4">
        <v>42940</v>
      </c>
      <c r="AM223" s="3"/>
      <c r="AN223" s="3" t="s">
        <v>1286</v>
      </c>
    </row>
    <row r="224" spans="1:40" ht="13.5">
      <c r="A224" s="3">
        <v>218</v>
      </c>
      <c r="B224" s="3" t="str">
        <f>"201500095530"</f>
        <v>201500095530</v>
      </c>
      <c r="C224" s="3">
        <v>116522</v>
      </c>
      <c r="D224" s="3" t="s">
        <v>1287</v>
      </c>
      <c r="E224" s="3">
        <v>20506147353</v>
      </c>
      <c r="F224" s="3" t="s">
        <v>1288</v>
      </c>
      <c r="G224" s="3" t="s">
        <v>1289</v>
      </c>
      <c r="H224" s="3" t="s">
        <v>59</v>
      </c>
      <c r="I224" s="3" t="s">
        <v>59</v>
      </c>
      <c r="J224" s="3" t="s">
        <v>555</v>
      </c>
      <c r="K224" s="3"/>
      <c r="L224" s="3"/>
      <c r="M224" s="3"/>
      <c r="N224" s="3"/>
      <c r="O224" s="3" t="s">
        <v>71</v>
      </c>
      <c r="P224" s="3" t="s">
        <v>1290</v>
      </c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>
        <v>6500</v>
      </c>
      <c r="AL224" s="4">
        <v>42206</v>
      </c>
      <c r="AM224" s="3"/>
      <c r="AN224" s="3" t="s">
        <v>1291</v>
      </c>
    </row>
    <row r="225" spans="1:40" ht="13.5">
      <c r="A225" s="3">
        <v>219</v>
      </c>
      <c r="B225" s="3" t="str">
        <f>"202000133724"</f>
        <v>202000133724</v>
      </c>
      <c r="C225" s="3">
        <v>151581</v>
      </c>
      <c r="D225" s="3" t="s">
        <v>1292</v>
      </c>
      <c r="E225" s="3">
        <v>20504649386</v>
      </c>
      <c r="F225" s="3" t="s">
        <v>1293</v>
      </c>
      <c r="G225" s="3" t="s">
        <v>1294</v>
      </c>
      <c r="H225" s="3" t="s">
        <v>59</v>
      </c>
      <c r="I225" s="3" t="s">
        <v>59</v>
      </c>
      <c r="J225" s="3" t="s">
        <v>93</v>
      </c>
      <c r="K225" s="3"/>
      <c r="L225" s="3" t="s">
        <v>59</v>
      </c>
      <c r="M225" s="3" t="s">
        <v>59</v>
      </c>
      <c r="N225" s="3" t="s">
        <v>93</v>
      </c>
      <c r="O225" s="3" t="s">
        <v>71</v>
      </c>
      <c r="P225" s="3" t="s">
        <v>1295</v>
      </c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>
        <v>6500</v>
      </c>
      <c r="AL225" s="4">
        <v>44124</v>
      </c>
      <c r="AM225" s="3"/>
      <c r="AN225" s="3" t="s">
        <v>1296</v>
      </c>
    </row>
    <row r="226" spans="1:40" ht="13.5">
      <c r="A226" s="3">
        <v>220</v>
      </c>
      <c r="B226" s="3" t="str">
        <f>"202000122243"</f>
        <v>202000122243</v>
      </c>
      <c r="C226" s="3">
        <v>123352</v>
      </c>
      <c r="D226" s="3" t="s">
        <v>1297</v>
      </c>
      <c r="E226" s="3">
        <v>20603202806</v>
      </c>
      <c r="F226" s="3" t="s">
        <v>1298</v>
      </c>
      <c r="G226" s="3" t="s">
        <v>1299</v>
      </c>
      <c r="H226" s="3" t="s">
        <v>59</v>
      </c>
      <c r="I226" s="3" t="s">
        <v>59</v>
      </c>
      <c r="J226" s="3" t="s">
        <v>1300</v>
      </c>
      <c r="K226" s="3"/>
      <c r="L226" s="3" t="s">
        <v>59</v>
      </c>
      <c r="M226" s="3" t="s">
        <v>59</v>
      </c>
      <c r="N226" s="3" t="s">
        <v>1300</v>
      </c>
      <c r="O226" s="3" t="s">
        <v>71</v>
      </c>
      <c r="P226" s="3" t="s">
        <v>1301</v>
      </c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>
        <v>3250</v>
      </c>
      <c r="AL226" s="4">
        <v>44104</v>
      </c>
      <c r="AM226" s="3"/>
      <c r="AN226" s="3" t="s">
        <v>1302</v>
      </c>
    </row>
    <row r="227" spans="1:40" ht="27.75">
      <c r="A227" s="3">
        <v>221</v>
      </c>
      <c r="B227" s="3" t="str">
        <f>"201900025344"</f>
        <v>201900025344</v>
      </c>
      <c r="C227" s="3">
        <v>141386</v>
      </c>
      <c r="D227" s="3" t="s">
        <v>1303</v>
      </c>
      <c r="E227" s="3">
        <v>20603024495</v>
      </c>
      <c r="F227" s="3" t="s">
        <v>1304</v>
      </c>
      <c r="G227" s="3" t="s">
        <v>1305</v>
      </c>
      <c r="H227" s="3" t="s">
        <v>59</v>
      </c>
      <c r="I227" s="3" t="s">
        <v>59</v>
      </c>
      <c r="J227" s="3" t="s">
        <v>243</v>
      </c>
      <c r="K227" s="3" t="s">
        <v>1306</v>
      </c>
      <c r="L227" s="3" t="s">
        <v>59</v>
      </c>
      <c r="M227" s="3" t="s">
        <v>59</v>
      </c>
      <c r="N227" s="3" t="s">
        <v>243</v>
      </c>
      <c r="O227" s="3" t="s">
        <v>71</v>
      </c>
      <c r="P227" s="3" t="s">
        <v>1307</v>
      </c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>
        <v>6700</v>
      </c>
      <c r="AL227" s="4">
        <v>43514</v>
      </c>
      <c r="AM227" s="3"/>
      <c r="AN227" s="3" t="s">
        <v>246</v>
      </c>
    </row>
    <row r="228" spans="1:40" ht="13.5">
      <c r="A228" s="3">
        <v>222</v>
      </c>
      <c r="B228" s="3" t="str">
        <f>"202000125944"</f>
        <v>202000125944</v>
      </c>
      <c r="C228" s="3">
        <v>112799</v>
      </c>
      <c r="D228" s="3" t="s">
        <v>1308</v>
      </c>
      <c r="E228" s="3">
        <v>20480025106</v>
      </c>
      <c r="F228" s="3" t="s">
        <v>1309</v>
      </c>
      <c r="G228" s="3" t="s">
        <v>1310</v>
      </c>
      <c r="H228" s="3" t="s">
        <v>1311</v>
      </c>
      <c r="I228" s="3" t="s">
        <v>1312</v>
      </c>
      <c r="J228" s="3" t="s">
        <v>1313</v>
      </c>
      <c r="K228" s="3" t="s">
        <v>1310</v>
      </c>
      <c r="L228" s="3" t="s">
        <v>1311</v>
      </c>
      <c r="M228" s="3" t="s">
        <v>1312</v>
      </c>
      <c r="N228" s="3" t="s">
        <v>1313</v>
      </c>
      <c r="O228" s="3" t="s">
        <v>46</v>
      </c>
      <c r="P228" s="3" t="s">
        <v>1314</v>
      </c>
      <c r="Q228" s="3" t="s">
        <v>1315</v>
      </c>
      <c r="R228" s="3" t="s">
        <v>1316</v>
      </c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>
        <v>13000</v>
      </c>
      <c r="AL228" s="4">
        <v>44122</v>
      </c>
      <c r="AM228" s="3"/>
      <c r="AN228" s="3" t="s">
        <v>1317</v>
      </c>
    </row>
    <row r="229" spans="1:40" ht="13.5">
      <c r="A229" s="3">
        <v>223</v>
      </c>
      <c r="B229" s="3" t="str">
        <f>"202000022390"</f>
        <v>202000022390</v>
      </c>
      <c r="C229" s="3">
        <v>112902</v>
      </c>
      <c r="D229" s="3" t="s">
        <v>1318</v>
      </c>
      <c r="E229" s="3">
        <v>20602639577</v>
      </c>
      <c r="F229" s="3" t="s">
        <v>1319</v>
      </c>
      <c r="G229" s="3" t="s">
        <v>1320</v>
      </c>
      <c r="H229" s="3" t="s">
        <v>59</v>
      </c>
      <c r="I229" s="3" t="s">
        <v>59</v>
      </c>
      <c r="J229" s="3" t="s">
        <v>641</v>
      </c>
      <c r="K229" s="3" t="s">
        <v>1320</v>
      </c>
      <c r="L229" s="3" t="s">
        <v>59</v>
      </c>
      <c r="M229" s="3" t="s">
        <v>59</v>
      </c>
      <c r="N229" s="3" t="s">
        <v>641</v>
      </c>
      <c r="O229" s="3" t="s">
        <v>71</v>
      </c>
      <c r="P229" s="3" t="s">
        <v>1321</v>
      </c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>
        <v>1300</v>
      </c>
      <c r="AL229" s="4">
        <v>43871</v>
      </c>
      <c r="AM229" s="3"/>
      <c r="AN229" s="3" t="s">
        <v>1322</v>
      </c>
    </row>
    <row r="230" spans="1:40" ht="27.75">
      <c r="A230" s="3">
        <v>224</v>
      </c>
      <c r="B230" s="3" t="str">
        <f>"201300147368"</f>
        <v>201300147368</v>
      </c>
      <c r="C230" s="3">
        <v>85181</v>
      </c>
      <c r="D230" s="3" t="s">
        <v>1323</v>
      </c>
      <c r="E230" s="3">
        <v>20458378747</v>
      </c>
      <c r="F230" s="3" t="s">
        <v>57</v>
      </c>
      <c r="G230" s="3" t="s">
        <v>1324</v>
      </c>
      <c r="H230" s="3" t="s">
        <v>59</v>
      </c>
      <c r="I230" s="3" t="s">
        <v>59</v>
      </c>
      <c r="J230" s="3" t="s">
        <v>60</v>
      </c>
      <c r="K230" s="3" t="s">
        <v>1325</v>
      </c>
      <c r="L230" s="3" t="s">
        <v>59</v>
      </c>
      <c r="M230" s="3" t="s">
        <v>59</v>
      </c>
      <c r="N230" s="3" t="s">
        <v>60</v>
      </c>
      <c r="O230" s="3" t="s">
        <v>71</v>
      </c>
      <c r="P230" s="3" t="s">
        <v>1326</v>
      </c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>
        <v>4000</v>
      </c>
      <c r="AL230" s="4">
        <v>41536</v>
      </c>
      <c r="AM230" s="3"/>
      <c r="AN230" s="3" t="s">
        <v>66</v>
      </c>
    </row>
    <row r="231" spans="1:40" ht="13.5">
      <c r="A231" s="3">
        <v>225</v>
      </c>
      <c r="B231" s="3" t="str">
        <f>"201900183783"</f>
        <v>201900183783</v>
      </c>
      <c r="C231" s="3">
        <v>147650</v>
      </c>
      <c r="D231" s="3" t="s">
        <v>1327</v>
      </c>
      <c r="E231" s="3">
        <v>20408971943</v>
      </c>
      <c r="F231" s="3" t="s">
        <v>1328</v>
      </c>
      <c r="G231" s="3" t="s">
        <v>1329</v>
      </c>
      <c r="H231" s="3" t="s">
        <v>1330</v>
      </c>
      <c r="I231" s="3" t="s">
        <v>1331</v>
      </c>
      <c r="J231" s="3" t="s">
        <v>1332</v>
      </c>
      <c r="K231" s="3" t="s">
        <v>1333</v>
      </c>
      <c r="L231" s="3" t="s">
        <v>1330</v>
      </c>
      <c r="M231" s="3" t="s">
        <v>1331</v>
      </c>
      <c r="N231" s="3" t="s">
        <v>1332</v>
      </c>
      <c r="O231" s="3" t="s">
        <v>71</v>
      </c>
      <c r="P231" s="3" t="s">
        <v>1334</v>
      </c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>
        <v>4500</v>
      </c>
      <c r="AL231" s="4">
        <v>43785</v>
      </c>
      <c r="AM231" s="3"/>
      <c r="AN231" s="3" t="s">
        <v>1335</v>
      </c>
    </row>
    <row r="232" spans="1:40" ht="13.5">
      <c r="A232" s="3">
        <v>226</v>
      </c>
      <c r="B232" s="3" t="str">
        <f>"201400143797"</f>
        <v>201400143797</v>
      </c>
      <c r="C232" s="3">
        <v>85285</v>
      </c>
      <c r="D232" s="3" t="s">
        <v>1336</v>
      </c>
      <c r="E232" s="3">
        <v>20517774929</v>
      </c>
      <c r="F232" s="3" t="s">
        <v>738</v>
      </c>
      <c r="G232" s="3" t="s">
        <v>1337</v>
      </c>
      <c r="H232" s="3" t="s">
        <v>197</v>
      </c>
      <c r="I232" s="3" t="s">
        <v>197</v>
      </c>
      <c r="J232" s="3" t="s">
        <v>963</v>
      </c>
      <c r="K232" s="3" t="s">
        <v>1337</v>
      </c>
      <c r="L232" s="3" t="s">
        <v>197</v>
      </c>
      <c r="M232" s="3" t="s">
        <v>197</v>
      </c>
      <c r="N232" s="3" t="s">
        <v>963</v>
      </c>
      <c r="O232" s="3" t="s">
        <v>46</v>
      </c>
      <c r="P232" s="3" t="s">
        <v>1338</v>
      </c>
      <c r="Q232" s="3" t="s">
        <v>1339</v>
      </c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>
        <v>11500</v>
      </c>
      <c r="AL232" s="4">
        <v>41946</v>
      </c>
      <c r="AM232" s="3"/>
      <c r="AN232" s="3" t="s">
        <v>650</v>
      </c>
    </row>
    <row r="233" spans="1:40" ht="13.5">
      <c r="A233" s="3">
        <v>227</v>
      </c>
      <c r="B233" s="3" t="str">
        <f>"201700215158"</f>
        <v>201700215158</v>
      </c>
      <c r="C233" s="3">
        <v>109599</v>
      </c>
      <c r="D233" s="3" t="s">
        <v>1340</v>
      </c>
      <c r="E233" s="3">
        <v>20600153405</v>
      </c>
      <c r="F233" s="3" t="s">
        <v>1341</v>
      </c>
      <c r="G233" s="3" t="s">
        <v>1342</v>
      </c>
      <c r="H233" s="3" t="s">
        <v>44</v>
      </c>
      <c r="I233" s="3" t="s">
        <v>44</v>
      </c>
      <c r="J233" s="3" t="s">
        <v>1343</v>
      </c>
      <c r="K233" s="3"/>
      <c r="L233" s="3"/>
      <c r="M233" s="3"/>
      <c r="N233" s="3"/>
      <c r="O233" s="3" t="s">
        <v>71</v>
      </c>
      <c r="P233" s="3" t="s">
        <v>1344</v>
      </c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>
        <v>1250</v>
      </c>
      <c r="AL233" s="4">
        <v>43087</v>
      </c>
      <c r="AM233" s="3"/>
      <c r="AN233" s="3" t="s">
        <v>1345</v>
      </c>
    </row>
    <row r="234" spans="1:40" ht="13.5">
      <c r="A234" s="3">
        <v>228</v>
      </c>
      <c r="B234" s="3" t="str">
        <f>"201400054747"</f>
        <v>201400054747</v>
      </c>
      <c r="C234" s="3">
        <v>109192</v>
      </c>
      <c r="D234" s="3" t="s">
        <v>1346</v>
      </c>
      <c r="E234" s="3">
        <v>20548771022</v>
      </c>
      <c r="F234" s="3" t="s">
        <v>1347</v>
      </c>
      <c r="G234" s="3" t="s">
        <v>1348</v>
      </c>
      <c r="H234" s="3" t="s">
        <v>59</v>
      </c>
      <c r="I234" s="3" t="s">
        <v>59</v>
      </c>
      <c r="J234" s="3" t="s">
        <v>442</v>
      </c>
      <c r="K234" s="3"/>
      <c r="L234" s="3"/>
      <c r="M234" s="3"/>
      <c r="N234" s="3"/>
      <c r="O234" s="3" t="s">
        <v>71</v>
      </c>
      <c r="P234" s="3" t="s">
        <v>1349</v>
      </c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>
        <v>6500</v>
      </c>
      <c r="AL234" s="4">
        <v>41765</v>
      </c>
      <c r="AM234" s="3"/>
      <c r="AN234" s="3" t="s">
        <v>851</v>
      </c>
    </row>
    <row r="235" spans="1:40" ht="13.5">
      <c r="A235" s="3">
        <v>229</v>
      </c>
      <c r="B235" s="3" t="str">
        <f>"201800062041"</f>
        <v>201800062041</v>
      </c>
      <c r="C235" s="3">
        <v>44449</v>
      </c>
      <c r="D235" s="3" t="s">
        <v>1350</v>
      </c>
      <c r="E235" s="3">
        <v>20602559018</v>
      </c>
      <c r="F235" s="3" t="s">
        <v>1351</v>
      </c>
      <c r="G235" s="3" t="s">
        <v>1352</v>
      </c>
      <c r="H235" s="3" t="s">
        <v>85</v>
      </c>
      <c r="I235" s="3" t="s">
        <v>86</v>
      </c>
      <c r="J235" s="3" t="s">
        <v>86</v>
      </c>
      <c r="K235" s="3"/>
      <c r="L235" s="3"/>
      <c r="M235" s="3"/>
      <c r="N235" s="3"/>
      <c r="O235" s="3" t="s">
        <v>71</v>
      </c>
      <c r="P235" s="3" t="s">
        <v>1353</v>
      </c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>
        <v>3300</v>
      </c>
      <c r="AL235" s="4">
        <v>43209</v>
      </c>
      <c r="AM235" s="3"/>
      <c r="AN235" s="3" t="s">
        <v>1354</v>
      </c>
    </row>
    <row r="236" spans="1:40" ht="27.75">
      <c r="A236" s="3">
        <v>230</v>
      </c>
      <c r="B236" s="3" t="str">
        <f>"202000131346"</f>
        <v>202000131346</v>
      </c>
      <c r="C236" s="3">
        <v>151549</v>
      </c>
      <c r="D236" s="3" t="s">
        <v>1355</v>
      </c>
      <c r="E236" s="3">
        <v>20101011403</v>
      </c>
      <c r="F236" s="3" t="s">
        <v>1356</v>
      </c>
      <c r="G236" s="3" t="s">
        <v>1357</v>
      </c>
      <c r="H236" s="3" t="s">
        <v>59</v>
      </c>
      <c r="I236" s="3" t="s">
        <v>59</v>
      </c>
      <c r="J236" s="3" t="s">
        <v>182</v>
      </c>
      <c r="K236" s="3"/>
      <c r="L236" s="3" t="s">
        <v>59</v>
      </c>
      <c r="M236" s="3" t="s">
        <v>59</v>
      </c>
      <c r="N236" s="3" t="s">
        <v>182</v>
      </c>
      <c r="O236" s="3" t="s">
        <v>71</v>
      </c>
      <c r="P236" s="3" t="s">
        <v>1358</v>
      </c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>
        <v>6500</v>
      </c>
      <c r="AL236" s="4">
        <v>44119</v>
      </c>
      <c r="AM236" s="3"/>
      <c r="AN236" s="3" t="s">
        <v>1359</v>
      </c>
    </row>
    <row r="237" spans="1:40" ht="13.5">
      <c r="A237" s="3">
        <v>231</v>
      </c>
      <c r="B237" s="3" t="str">
        <f>"201400045698"</f>
        <v>201400045698</v>
      </c>
      <c r="C237" s="3">
        <v>84689</v>
      </c>
      <c r="D237" s="3" t="s">
        <v>1360</v>
      </c>
      <c r="E237" s="3">
        <v>20410312396</v>
      </c>
      <c r="F237" s="3" t="s">
        <v>1361</v>
      </c>
      <c r="G237" s="3" t="s">
        <v>1362</v>
      </c>
      <c r="H237" s="3" t="s">
        <v>197</v>
      </c>
      <c r="I237" s="3" t="s">
        <v>197</v>
      </c>
      <c r="J237" s="3" t="s">
        <v>403</v>
      </c>
      <c r="K237" s="3" t="s">
        <v>1362</v>
      </c>
      <c r="L237" s="3" t="s">
        <v>197</v>
      </c>
      <c r="M237" s="3" t="s">
        <v>197</v>
      </c>
      <c r="N237" s="3" t="s">
        <v>403</v>
      </c>
      <c r="O237" s="3" t="s">
        <v>46</v>
      </c>
      <c r="P237" s="3" t="s">
        <v>1363</v>
      </c>
      <c r="Q237" s="3" t="s">
        <v>1284</v>
      </c>
      <c r="R237" s="3" t="s">
        <v>1285</v>
      </c>
      <c r="S237" s="3" t="s">
        <v>1364</v>
      </c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>
        <v>13200</v>
      </c>
      <c r="AL237" s="4">
        <v>41752</v>
      </c>
      <c r="AM237" s="3"/>
      <c r="AN237" s="3" t="s">
        <v>1365</v>
      </c>
    </row>
    <row r="238" spans="1:40" ht="13.5">
      <c r="A238" s="3">
        <v>232</v>
      </c>
      <c r="B238" s="3" t="str">
        <f>"201300054455"</f>
        <v>201300054455</v>
      </c>
      <c r="C238" s="3">
        <v>101215</v>
      </c>
      <c r="D238" s="3" t="s">
        <v>1366</v>
      </c>
      <c r="E238" s="3">
        <v>20524525110</v>
      </c>
      <c r="F238" s="3" t="s">
        <v>1367</v>
      </c>
      <c r="G238" s="3" t="s">
        <v>1368</v>
      </c>
      <c r="H238" s="3" t="s">
        <v>59</v>
      </c>
      <c r="I238" s="3" t="s">
        <v>59</v>
      </c>
      <c r="J238" s="3" t="s">
        <v>229</v>
      </c>
      <c r="K238" s="3"/>
      <c r="L238" s="3"/>
      <c r="M238" s="3"/>
      <c r="N238" s="3"/>
      <c r="O238" s="3" t="s">
        <v>46</v>
      </c>
      <c r="P238" s="3" t="s">
        <v>1369</v>
      </c>
      <c r="Q238" s="3" t="s">
        <v>1370</v>
      </c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>
        <v>13500</v>
      </c>
      <c r="AL238" s="4">
        <v>41359</v>
      </c>
      <c r="AM238" s="3"/>
      <c r="AN238" s="3" t="s">
        <v>1371</v>
      </c>
    </row>
    <row r="239" spans="1:40" ht="13.5">
      <c r="A239" s="3">
        <v>233</v>
      </c>
      <c r="B239" s="3" t="str">
        <f>"201400168913"</f>
        <v>201400168913</v>
      </c>
      <c r="C239" s="3">
        <v>113066</v>
      </c>
      <c r="D239" s="3" t="s">
        <v>1372</v>
      </c>
      <c r="E239" s="3">
        <v>20487134679</v>
      </c>
      <c r="F239" s="3" t="s">
        <v>1373</v>
      </c>
      <c r="G239" s="3" t="s">
        <v>1374</v>
      </c>
      <c r="H239" s="3" t="s">
        <v>219</v>
      </c>
      <c r="I239" s="3" t="s">
        <v>220</v>
      </c>
      <c r="J239" s="3" t="s">
        <v>220</v>
      </c>
      <c r="K239" s="3"/>
      <c r="L239" s="3"/>
      <c r="M239" s="3"/>
      <c r="N239" s="3"/>
      <c r="O239" s="3" t="s">
        <v>46</v>
      </c>
      <c r="P239" s="3" t="s">
        <v>1375</v>
      </c>
      <c r="Q239" s="3" t="s">
        <v>1376</v>
      </c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>
        <v>13454</v>
      </c>
      <c r="AL239" s="4">
        <v>42011</v>
      </c>
      <c r="AM239" s="3"/>
      <c r="AN239" s="3" t="s">
        <v>1377</v>
      </c>
    </row>
    <row r="240" spans="1:40" ht="13.5">
      <c r="A240" s="3">
        <v>234</v>
      </c>
      <c r="B240" s="3" t="str">
        <f>"201900044178"</f>
        <v>201900044178</v>
      </c>
      <c r="C240" s="3">
        <v>129155</v>
      </c>
      <c r="D240" s="3" t="s">
        <v>1378</v>
      </c>
      <c r="E240" s="3">
        <v>20549098372</v>
      </c>
      <c r="F240" s="3" t="s">
        <v>281</v>
      </c>
      <c r="G240" s="3" t="s">
        <v>1379</v>
      </c>
      <c r="H240" s="3" t="s">
        <v>59</v>
      </c>
      <c r="I240" s="3" t="s">
        <v>59</v>
      </c>
      <c r="J240" s="3" t="s">
        <v>250</v>
      </c>
      <c r="K240" s="3"/>
      <c r="L240" s="3" t="s">
        <v>59</v>
      </c>
      <c r="M240" s="3" t="s">
        <v>59</v>
      </c>
      <c r="N240" s="3" t="s">
        <v>250</v>
      </c>
      <c r="O240" s="3" t="s">
        <v>46</v>
      </c>
      <c r="P240" s="3" t="s">
        <v>1380</v>
      </c>
      <c r="Q240" s="3" t="s">
        <v>252</v>
      </c>
      <c r="R240" s="3" t="s">
        <v>253</v>
      </c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>
        <v>14000</v>
      </c>
      <c r="AL240" s="4">
        <v>43543</v>
      </c>
      <c r="AM240" s="3"/>
      <c r="AN240" s="3" t="s">
        <v>257</v>
      </c>
    </row>
    <row r="241" spans="1:40" ht="27.75">
      <c r="A241" s="3">
        <v>235</v>
      </c>
      <c r="B241" s="3" t="str">
        <f>"201900055221"</f>
        <v>201900055221</v>
      </c>
      <c r="C241" s="3">
        <v>142485</v>
      </c>
      <c r="D241" s="3" t="s">
        <v>1381</v>
      </c>
      <c r="E241" s="3">
        <v>20603748817</v>
      </c>
      <c r="F241" s="3" t="s">
        <v>1382</v>
      </c>
      <c r="G241" s="3" t="s">
        <v>1383</v>
      </c>
      <c r="H241" s="3" t="s">
        <v>189</v>
      </c>
      <c r="I241" s="3" t="s">
        <v>1384</v>
      </c>
      <c r="J241" s="3" t="s">
        <v>1385</v>
      </c>
      <c r="K241" s="3" t="s">
        <v>1383</v>
      </c>
      <c r="L241" s="3" t="s">
        <v>189</v>
      </c>
      <c r="M241" s="3" t="s">
        <v>1384</v>
      </c>
      <c r="N241" s="3" t="s">
        <v>1385</v>
      </c>
      <c r="O241" s="3" t="s">
        <v>71</v>
      </c>
      <c r="P241" s="3" t="s">
        <v>1386</v>
      </c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>
        <v>4780</v>
      </c>
      <c r="AL241" s="4">
        <v>43564</v>
      </c>
      <c r="AM241" s="3"/>
      <c r="AN241" s="3" t="s">
        <v>1387</v>
      </c>
    </row>
    <row r="242" spans="1:40" ht="27.75">
      <c r="A242" s="3">
        <v>236</v>
      </c>
      <c r="B242" s="3" t="str">
        <f>"201900142878"</f>
        <v>201900142878</v>
      </c>
      <c r="C242" s="3">
        <v>146128</v>
      </c>
      <c r="D242" s="3" t="s">
        <v>1388</v>
      </c>
      <c r="E242" s="3">
        <v>20604898715</v>
      </c>
      <c r="F242" s="3" t="s">
        <v>1389</v>
      </c>
      <c r="G242" s="3" t="s">
        <v>1390</v>
      </c>
      <c r="H242" s="3" t="s">
        <v>59</v>
      </c>
      <c r="I242" s="3" t="s">
        <v>59</v>
      </c>
      <c r="J242" s="3" t="s">
        <v>881</v>
      </c>
      <c r="K242" s="3" t="s">
        <v>1390</v>
      </c>
      <c r="L242" s="3" t="s">
        <v>59</v>
      </c>
      <c r="M242" s="3" t="s">
        <v>59</v>
      </c>
      <c r="N242" s="3" t="s">
        <v>881</v>
      </c>
      <c r="O242" s="3" t="s">
        <v>71</v>
      </c>
      <c r="P242" s="3" t="s">
        <v>1391</v>
      </c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>
        <v>6000</v>
      </c>
      <c r="AL242" s="4">
        <v>43712</v>
      </c>
      <c r="AM242" s="3"/>
      <c r="AN242" s="3" t="s">
        <v>1392</v>
      </c>
    </row>
    <row r="243" spans="1:40" ht="27.75">
      <c r="A243" s="3">
        <v>237</v>
      </c>
      <c r="B243" s="3" t="str">
        <f>"201900052347"</f>
        <v>201900052347</v>
      </c>
      <c r="C243" s="3">
        <v>43414</v>
      </c>
      <c r="D243" s="3" t="s">
        <v>1393</v>
      </c>
      <c r="E243" s="3">
        <v>20413401268</v>
      </c>
      <c r="F243" s="3" t="s">
        <v>42</v>
      </c>
      <c r="G243" s="3" t="s">
        <v>1394</v>
      </c>
      <c r="H243" s="3" t="s">
        <v>44</v>
      </c>
      <c r="I243" s="3" t="s">
        <v>44</v>
      </c>
      <c r="J243" s="3" t="s">
        <v>45</v>
      </c>
      <c r="K243" s="3"/>
      <c r="L243" s="3"/>
      <c r="M243" s="3"/>
      <c r="N243" s="3"/>
      <c r="O243" s="3" t="s">
        <v>71</v>
      </c>
      <c r="P243" s="3" t="s">
        <v>1395</v>
      </c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>
        <v>3505</v>
      </c>
      <c r="AL243" s="4">
        <v>43560</v>
      </c>
      <c r="AM243" s="3"/>
      <c r="AN243" s="3" t="s">
        <v>55</v>
      </c>
    </row>
    <row r="244" spans="1:40" ht="13.5">
      <c r="A244" s="3">
        <v>238</v>
      </c>
      <c r="B244" s="3" t="str">
        <f>"201600163669"</f>
        <v>201600163669</v>
      </c>
      <c r="C244" s="3">
        <v>107348</v>
      </c>
      <c r="D244" s="3" t="s">
        <v>1396</v>
      </c>
      <c r="E244" s="3">
        <v>20275873480</v>
      </c>
      <c r="F244" s="3" t="s">
        <v>1208</v>
      </c>
      <c r="G244" s="3" t="s">
        <v>1229</v>
      </c>
      <c r="H244" s="3" t="s">
        <v>85</v>
      </c>
      <c r="I244" s="3" t="s">
        <v>86</v>
      </c>
      <c r="J244" s="3" t="s">
        <v>86</v>
      </c>
      <c r="K244" s="3"/>
      <c r="L244" s="3"/>
      <c r="M244" s="3"/>
      <c r="N244" s="3"/>
      <c r="O244" s="3" t="s">
        <v>46</v>
      </c>
      <c r="P244" s="3" t="s">
        <v>1397</v>
      </c>
      <c r="Q244" s="3" t="s">
        <v>1398</v>
      </c>
      <c r="R244" s="3" t="s">
        <v>1399</v>
      </c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>
        <v>14000</v>
      </c>
      <c r="AL244" s="4">
        <v>42682</v>
      </c>
      <c r="AM244" s="3"/>
      <c r="AN244" s="3" t="s">
        <v>1212</v>
      </c>
    </row>
    <row r="245" spans="1:40" ht="13.5">
      <c r="A245" s="3">
        <v>239</v>
      </c>
      <c r="B245" s="3" t="str">
        <f>"202000016887"</f>
        <v>202000016887</v>
      </c>
      <c r="C245" s="3">
        <v>118366</v>
      </c>
      <c r="D245" s="3" t="s">
        <v>1400</v>
      </c>
      <c r="E245" s="3">
        <v>20516511975</v>
      </c>
      <c r="F245" s="3" t="s">
        <v>1401</v>
      </c>
      <c r="G245" s="3" t="s">
        <v>1402</v>
      </c>
      <c r="H245" s="3" t="s">
        <v>44</v>
      </c>
      <c r="I245" s="3" t="s">
        <v>44</v>
      </c>
      <c r="J245" s="3" t="s">
        <v>1403</v>
      </c>
      <c r="K245" s="3"/>
      <c r="L245" s="3"/>
      <c r="M245" s="3"/>
      <c r="N245" s="3"/>
      <c r="O245" s="3" t="s">
        <v>71</v>
      </c>
      <c r="P245" s="3" t="s">
        <v>1404</v>
      </c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>
        <v>6000</v>
      </c>
      <c r="AL245" s="4">
        <v>43861</v>
      </c>
      <c r="AM245" s="3"/>
      <c r="AN245" s="3" t="s">
        <v>1405</v>
      </c>
    </row>
    <row r="246" spans="1:40" ht="13.5">
      <c r="A246" s="3">
        <v>240</v>
      </c>
      <c r="B246" s="3" t="str">
        <f>"201600066107"</f>
        <v>201600066107</v>
      </c>
      <c r="C246" s="3">
        <v>121285</v>
      </c>
      <c r="D246" s="3" t="s">
        <v>1406</v>
      </c>
      <c r="E246" s="3">
        <v>20600688341</v>
      </c>
      <c r="F246" s="3" t="s">
        <v>1407</v>
      </c>
      <c r="G246" s="3" t="s">
        <v>1408</v>
      </c>
      <c r="H246" s="3" t="s">
        <v>85</v>
      </c>
      <c r="I246" s="3" t="s">
        <v>86</v>
      </c>
      <c r="J246" s="3" t="s">
        <v>86</v>
      </c>
      <c r="K246" s="3"/>
      <c r="L246" s="3"/>
      <c r="M246" s="3"/>
      <c r="N246" s="3"/>
      <c r="O246" s="3" t="s">
        <v>46</v>
      </c>
      <c r="P246" s="3" t="s">
        <v>1409</v>
      </c>
      <c r="Q246" s="3" t="s">
        <v>1410</v>
      </c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>
        <v>14000</v>
      </c>
      <c r="AL246" s="4">
        <v>42495</v>
      </c>
      <c r="AM246" s="3"/>
      <c r="AN246" s="3" t="s">
        <v>1411</v>
      </c>
    </row>
    <row r="247" spans="1:40" ht="42">
      <c r="A247" s="3">
        <v>241</v>
      </c>
      <c r="B247" s="3" t="str">
        <f>"201600023229"</f>
        <v>201600023229</v>
      </c>
      <c r="C247" s="3">
        <v>119985</v>
      </c>
      <c r="D247" s="3" t="s">
        <v>1412</v>
      </c>
      <c r="E247" s="3">
        <v>20486255171</v>
      </c>
      <c r="F247" s="3" t="s">
        <v>553</v>
      </c>
      <c r="G247" s="3" t="s">
        <v>1413</v>
      </c>
      <c r="H247" s="3" t="s">
        <v>59</v>
      </c>
      <c r="I247" s="3" t="s">
        <v>623</v>
      </c>
      <c r="J247" s="3" t="s">
        <v>624</v>
      </c>
      <c r="K247" s="3" t="s">
        <v>1414</v>
      </c>
      <c r="L247" s="3" t="s">
        <v>59</v>
      </c>
      <c r="M247" s="3" t="s">
        <v>623</v>
      </c>
      <c r="N247" s="3" t="s">
        <v>624</v>
      </c>
      <c r="O247" s="3" t="s">
        <v>71</v>
      </c>
      <c r="P247" s="3" t="s">
        <v>1415</v>
      </c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>
        <v>2200</v>
      </c>
      <c r="AL247" s="4">
        <v>42431</v>
      </c>
      <c r="AM247" s="3"/>
      <c r="AN247" s="3" t="s">
        <v>557</v>
      </c>
    </row>
    <row r="248" spans="1:40" ht="13.5">
      <c r="A248" s="3">
        <v>242</v>
      </c>
      <c r="B248" s="3" t="str">
        <f>"202000016883"</f>
        <v>202000016883</v>
      </c>
      <c r="C248" s="3">
        <v>117141</v>
      </c>
      <c r="D248" s="3" t="s">
        <v>1416</v>
      </c>
      <c r="E248" s="3">
        <v>20516511975</v>
      </c>
      <c r="F248" s="3" t="s">
        <v>1417</v>
      </c>
      <c r="G248" s="3" t="s">
        <v>1418</v>
      </c>
      <c r="H248" s="3" t="s">
        <v>44</v>
      </c>
      <c r="I248" s="3" t="s">
        <v>44</v>
      </c>
      <c r="J248" s="3" t="s">
        <v>1403</v>
      </c>
      <c r="K248" s="3" t="s">
        <v>1402</v>
      </c>
      <c r="L248" s="3" t="s">
        <v>44</v>
      </c>
      <c r="M248" s="3" t="s">
        <v>44</v>
      </c>
      <c r="N248" s="3" t="s">
        <v>1403</v>
      </c>
      <c r="O248" s="3" t="s">
        <v>71</v>
      </c>
      <c r="P248" s="3" t="s">
        <v>1419</v>
      </c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>
        <v>4700</v>
      </c>
      <c r="AL248" s="4">
        <v>43867</v>
      </c>
      <c r="AM248" s="3"/>
      <c r="AN248" s="3" t="s">
        <v>1405</v>
      </c>
    </row>
    <row r="249" spans="1:40" ht="13.5">
      <c r="A249" s="3">
        <v>243</v>
      </c>
      <c r="B249" s="3" t="str">
        <f>"201800084674"</f>
        <v>201800084674</v>
      </c>
      <c r="C249" s="3">
        <v>136307</v>
      </c>
      <c r="D249" s="3" t="s">
        <v>1420</v>
      </c>
      <c r="E249" s="3">
        <v>20600770625</v>
      </c>
      <c r="F249" s="3" t="s">
        <v>1421</v>
      </c>
      <c r="G249" s="3" t="s">
        <v>1422</v>
      </c>
      <c r="H249" s="3" t="s">
        <v>197</v>
      </c>
      <c r="I249" s="3" t="s">
        <v>197</v>
      </c>
      <c r="J249" s="3" t="s">
        <v>197</v>
      </c>
      <c r="K249" s="3"/>
      <c r="L249" s="3"/>
      <c r="M249" s="3"/>
      <c r="N249" s="3"/>
      <c r="O249" s="3" t="s">
        <v>46</v>
      </c>
      <c r="P249" s="3" t="s">
        <v>1423</v>
      </c>
      <c r="Q249" s="3" t="s">
        <v>1424</v>
      </c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>
        <v>14000</v>
      </c>
      <c r="AL249" s="4">
        <v>43243</v>
      </c>
      <c r="AM249" s="3"/>
      <c r="AN249" s="3" t="s">
        <v>1425</v>
      </c>
    </row>
    <row r="250" spans="1:40" ht="13.5">
      <c r="A250" s="3">
        <v>244</v>
      </c>
      <c r="B250" s="3" t="str">
        <f>"201300135923"</f>
        <v>201300135923</v>
      </c>
      <c r="C250" s="3">
        <v>104808</v>
      </c>
      <c r="D250" s="3" t="s">
        <v>1426</v>
      </c>
      <c r="E250" s="3">
        <v>20548771022</v>
      </c>
      <c r="F250" s="3" t="s">
        <v>847</v>
      </c>
      <c r="G250" s="3" t="s">
        <v>1427</v>
      </c>
      <c r="H250" s="3" t="s">
        <v>59</v>
      </c>
      <c r="I250" s="3" t="s">
        <v>59</v>
      </c>
      <c r="J250" s="3" t="s">
        <v>442</v>
      </c>
      <c r="K250" s="3" t="s">
        <v>1427</v>
      </c>
      <c r="L250" s="3" t="s">
        <v>59</v>
      </c>
      <c r="M250" s="3" t="s">
        <v>59</v>
      </c>
      <c r="N250" s="3" t="s">
        <v>442</v>
      </c>
      <c r="O250" s="3" t="s">
        <v>71</v>
      </c>
      <c r="P250" s="3" t="s">
        <v>1428</v>
      </c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>
        <v>3500</v>
      </c>
      <c r="AL250" s="4">
        <v>41516</v>
      </c>
      <c r="AM250" s="3"/>
      <c r="AN250" s="3" t="s">
        <v>1429</v>
      </c>
    </row>
    <row r="251" spans="1:40" ht="42">
      <c r="A251" s="3">
        <v>245</v>
      </c>
      <c r="B251" s="3" t="str">
        <f>"201900160507"</f>
        <v>201900160507</v>
      </c>
      <c r="C251" s="3">
        <v>122269</v>
      </c>
      <c r="D251" s="3" t="s">
        <v>1430</v>
      </c>
      <c r="E251" s="3">
        <v>20605094792</v>
      </c>
      <c r="F251" s="3" t="s">
        <v>1431</v>
      </c>
      <c r="G251" s="3" t="s">
        <v>1432</v>
      </c>
      <c r="H251" s="3" t="s">
        <v>59</v>
      </c>
      <c r="I251" s="3" t="s">
        <v>59</v>
      </c>
      <c r="J251" s="3" t="s">
        <v>768</v>
      </c>
      <c r="K251" s="3"/>
      <c r="L251" s="3" t="s">
        <v>59</v>
      </c>
      <c r="M251" s="3" t="s">
        <v>59</v>
      </c>
      <c r="N251" s="3" t="s">
        <v>768</v>
      </c>
      <c r="O251" s="3" t="s">
        <v>46</v>
      </c>
      <c r="P251" s="3" t="s">
        <v>1433</v>
      </c>
      <c r="Q251" s="3" t="s">
        <v>806</v>
      </c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>
        <v>14000</v>
      </c>
      <c r="AL251" s="4">
        <v>43742</v>
      </c>
      <c r="AM251" s="3"/>
      <c r="AN251" s="3" t="s">
        <v>1434</v>
      </c>
    </row>
    <row r="252" spans="1:40" ht="13.5">
      <c r="A252" s="3">
        <v>246</v>
      </c>
      <c r="B252" s="3" t="str">
        <f>"201300186206"</f>
        <v>201300186206</v>
      </c>
      <c r="C252" s="3">
        <v>41542</v>
      </c>
      <c r="D252" s="3" t="s">
        <v>1435</v>
      </c>
      <c r="E252" s="3">
        <v>20334129595</v>
      </c>
      <c r="F252" s="3" t="s">
        <v>634</v>
      </c>
      <c r="G252" s="3" t="s">
        <v>1436</v>
      </c>
      <c r="H252" s="3" t="s">
        <v>59</v>
      </c>
      <c r="I252" s="3" t="s">
        <v>59</v>
      </c>
      <c r="J252" s="3" t="s">
        <v>102</v>
      </c>
      <c r="K252" s="3" t="s">
        <v>1436</v>
      </c>
      <c r="L252" s="3" t="s">
        <v>59</v>
      </c>
      <c r="M252" s="3" t="s">
        <v>59</v>
      </c>
      <c r="N252" s="3" t="s">
        <v>102</v>
      </c>
      <c r="O252" s="3" t="s">
        <v>71</v>
      </c>
      <c r="P252" s="3" t="s">
        <v>1437</v>
      </c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>
        <v>3800</v>
      </c>
      <c r="AL252" s="4">
        <v>41613</v>
      </c>
      <c r="AM252" s="3"/>
      <c r="AN252" s="3" t="s">
        <v>1438</v>
      </c>
    </row>
    <row r="253" spans="1:40" ht="27.75">
      <c r="A253" s="3">
        <v>247</v>
      </c>
      <c r="B253" s="3" t="str">
        <f>"201900068889"</f>
        <v>201900068889</v>
      </c>
      <c r="C253" s="3">
        <v>114482</v>
      </c>
      <c r="D253" s="3" t="s">
        <v>1439</v>
      </c>
      <c r="E253" s="3">
        <v>20523750705</v>
      </c>
      <c r="F253" s="3" t="s">
        <v>1440</v>
      </c>
      <c r="G253" s="3" t="s">
        <v>1441</v>
      </c>
      <c r="H253" s="3" t="s">
        <v>219</v>
      </c>
      <c r="I253" s="3" t="s">
        <v>1177</v>
      </c>
      <c r="J253" s="3" t="s">
        <v>1442</v>
      </c>
      <c r="K253" s="3"/>
      <c r="L253" s="3"/>
      <c r="M253" s="3"/>
      <c r="N253" s="3"/>
      <c r="O253" s="3" t="s">
        <v>46</v>
      </c>
      <c r="P253" s="3" t="s">
        <v>1443</v>
      </c>
      <c r="Q253" s="3" t="s">
        <v>1444</v>
      </c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>
        <v>14000</v>
      </c>
      <c r="AL253" s="4">
        <v>43585</v>
      </c>
      <c r="AM253" s="3"/>
      <c r="AN253" s="3" t="s">
        <v>1445</v>
      </c>
    </row>
    <row r="254" spans="1:40" ht="13.5">
      <c r="A254" s="3">
        <v>248</v>
      </c>
      <c r="B254" s="3" t="str">
        <f>"201900144949"</f>
        <v>201900144949</v>
      </c>
      <c r="C254" s="3">
        <v>114917</v>
      </c>
      <c r="D254" s="3" t="s">
        <v>1446</v>
      </c>
      <c r="E254" s="3">
        <v>10078697798</v>
      </c>
      <c r="F254" s="3" t="s">
        <v>1447</v>
      </c>
      <c r="G254" s="3" t="s">
        <v>1448</v>
      </c>
      <c r="H254" s="3" t="s">
        <v>85</v>
      </c>
      <c r="I254" s="3" t="s">
        <v>86</v>
      </c>
      <c r="J254" s="3" t="s">
        <v>86</v>
      </c>
      <c r="K254" s="3" t="s">
        <v>1448</v>
      </c>
      <c r="L254" s="3" t="s">
        <v>85</v>
      </c>
      <c r="M254" s="3" t="s">
        <v>86</v>
      </c>
      <c r="N254" s="3" t="s">
        <v>86</v>
      </c>
      <c r="O254" s="3" t="s">
        <v>71</v>
      </c>
      <c r="P254" s="3" t="s">
        <v>1449</v>
      </c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>
        <v>1430</v>
      </c>
      <c r="AL254" s="4">
        <v>43730</v>
      </c>
      <c r="AM254" s="3"/>
      <c r="AN254" s="3" t="s">
        <v>1447</v>
      </c>
    </row>
    <row r="255" spans="1:40" ht="13.5">
      <c r="A255" s="3">
        <v>249</v>
      </c>
      <c r="B255" s="3" t="str">
        <f>"201600012582"</f>
        <v>201600012582</v>
      </c>
      <c r="C255" s="3">
        <v>119080</v>
      </c>
      <c r="D255" s="3" t="s">
        <v>1450</v>
      </c>
      <c r="E255" s="3">
        <v>20569104506</v>
      </c>
      <c r="F255" s="3" t="s">
        <v>1451</v>
      </c>
      <c r="G255" s="3" t="s">
        <v>1452</v>
      </c>
      <c r="H255" s="3" t="s">
        <v>388</v>
      </c>
      <c r="I255" s="3" t="s">
        <v>389</v>
      </c>
      <c r="J255" s="3" t="s">
        <v>870</v>
      </c>
      <c r="K255" s="3"/>
      <c r="L255" s="3"/>
      <c r="M255" s="3"/>
      <c r="N255" s="3"/>
      <c r="O255" s="3" t="s">
        <v>46</v>
      </c>
      <c r="P255" s="3" t="s">
        <v>1453</v>
      </c>
      <c r="Q255" s="3" t="s">
        <v>1454</v>
      </c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>
        <v>14000</v>
      </c>
      <c r="AL255" s="4">
        <v>42403</v>
      </c>
      <c r="AM255" s="3"/>
      <c r="AN255" s="3" t="s">
        <v>1455</v>
      </c>
    </row>
    <row r="256" spans="1:40" ht="13.5">
      <c r="A256" s="3">
        <v>250</v>
      </c>
      <c r="B256" s="3" t="str">
        <f>"201700164911"</f>
        <v>201700164911</v>
      </c>
      <c r="C256" s="3">
        <v>121445</v>
      </c>
      <c r="D256" s="3" t="s">
        <v>1456</v>
      </c>
      <c r="E256" s="3">
        <v>20566149151</v>
      </c>
      <c r="F256" s="3" t="s">
        <v>1457</v>
      </c>
      <c r="G256" s="3" t="s">
        <v>1458</v>
      </c>
      <c r="H256" s="3" t="s">
        <v>59</v>
      </c>
      <c r="I256" s="3" t="s">
        <v>59</v>
      </c>
      <c r="J256" s="3" t="s">
        <v>229</v>
      </c>
      <c r="K256" s="3"/>
      <c r="L256" s="3"/>
      <c r="M256" s="3"/>
      <c r="N256" s="3"/>
      <c r="O256" s="3" t="s">
        <v>46</v>
      </c>
      <c r="P256" s="3" t="s">
        <v>1459</v>
      </c>
      <c r="Q256" s="3" t="s">
        <v>1460</v>
      </c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>
        <v>14500</v>
      </c>
      <c r="AL256" s="4">
        <v>43015</v>
      </c>
      <c r="AM256" s="3"/>
      <c r="AN256" s="3" t="s">
        <v>1461</v>
      </c>
    </row>
    <row r="257" spans="1:40" ht="13.5">
      <c r="A257" s="3">
        <v>251</v>
      </c>
      <c r="B257" s="3" t="str">
        <f>"201800030837"</f>
        <v>201800030837</v>
      </c>
      <c r="C257" s="3">
        <v>98725</v>
      </c>
      <c r="D257" s="3" t="s">
        <v>1462</v>
      </c>
      <c r="E257" s="3">
        <v>20517767396</v>
      </c>
      <c r="F257" s="3" t="s">
        <v>980</v>
      </c>
      <c r="G257" s="3" t="s">
        <v>1463</v>
      </c>
      <c r="H257" s="3" t="s">
        <v>59</v>
      </c>
      <c r="I257" s="3" t="s">
        <v>59</v>
      </c>
      <c r="J257" s="3" t="s">
        <v>581</v>
      </c>
      <c r="K257" s="3" t="s">
        <v>1463</v>
      </c>
      <c r="L257" s="3" t="s">
        <v>59</v>
      </c>
      <c r="M257" s="3" t="s">
        <v>59</v>
      </c>
      <c r="N257" s="3" t="s">
        <v>581</v>
      </c>
      <c r="O257" s="3" t="s">
        <v>71</v>
      </c>
      <c r="P257" s="3" t="s">
        <v>1464</v>
      </c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>
        <v>3000</v>
      </c>
      <c r="AL257" s="4">
        <v>43160</v>
      </c>
      <c r="AM257" s="3"/>
      <c r="AN257" s="3" t="s">
        <v>1465</v>
      </c>
    </row>
    <row r="258" spans="1:40" ht="13.5">
      <c r="A258" s="3">
        <v>252</v>
      </c>
      <c r="B258" s="3" t="str">
        <f>"201700145018"</f>
        <v>201700145018</v>
      </c>
      <c r="C258" s="3">
        <v>131683</v>
      </c>
      <c r="D258" s="3" t="s">
        <v>1466</v>
      </c>
      <c r="E258" s="3">
        <v>20549098372</v>
      </c>
      <c r="F258" s="3" t="s">
        <v>281</v>
      </c>
      <c r="G258" s="3" t="s">
        <v>1379</v>
      </c>
      <c r="H258" s="3" t="s">
        <v>59</v>
      </c>
      <c r="I258" s="3" t="s">
        <v>59</v>
      </c>
      <c r="J258" s="3" t="s">
        <v>250</v>
      </c>
      <c r="K258" s="3"/>
      <c r="L258" s="3"/>
      <c r="M258" s="3"/>
      <c r="N258" s="3"/>
      <c r="O258" s="3" t="s">
        <v>71</v>
      </c>
      <c r="P258" s="3" t="s">
        <v>1467</v>
      </c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>
        <v>6800</v>
      </c>
      <c r="AL258" s="4">
        <v>42986</v>
      </c>
      <c r="AM258" s="3"/>
      <c r="AN258" s="3" t="s">
        <v>257</v>
      </c>
    </row>
    <row r="259" spans="1:40" ht="27.75">
      <c r="A259" s="3">
        <v>253</v>
      </c>
      <c r="B259" s="3" t="str">
        <f>"201800200946"</f>
        <v>201800200946</v>
      </c>
      <c r="C259" s="3">
        <v>91200</v>
      </c>
      <c r="D259" s="3" t="s">
        <v>1468</v>
      </c>
      <c r="E259" s="3">
        <v>20602559018</v>
      </c>
      <c r="F259" s="3" t="s">
        <v>1351</v>
      </c>
      <c r="G259" s="3" t="s">
        <v>1469</v>
      </c>
      <c r="H259" s="3" t="s">
        <v>85</v>
      </c>
      <c r="I259" s="3" t="s">
        <v>86</v>
      </c>
      <c r="J259" s="3" t="s">
        <v>86</v>
      </c>
      <c r="K259" s="3"/>
      <c r="L259" s="3"/>
      <c r="M259" s="3"/>
      <c r="N259" s="3"/>
      <c r="O259" s="3" t="s">
        <v>71</v>
      </c>
      <c r="P259" s="3" t="s">
        <v>1470</v>
      </c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>
        <v>6400</v>
      </c>
      <c r="AL259" s="4">
        <v>43444</v>
      </c>
      <c r="AM259" s="3"/>
      <c r="AN259" s="3" t="s">
        <v>1354</v>
      </c>
    </row>
    <row r="260" spans="1:40" ht="13.5">
      <c r="A260" s="3">
        <v>254</v>
      </c>
      <c r="B260" s="3" t="str">
        <f>"202000120685"</f>
        <v>202000120685</v>
      </c>
      <c r="C260" s="3">
        <v>103545</v>
      </c>
      <c r="D260" s="3" t="s">
        <v>1471</v>
      </c>
      <c r="E260" s="3">
        <v>10225214561</v>
      </c>
      <c r="F260" s="3" t="s">
        <v>1472</v>
      </c>
      <c r="G260" s="3" t="s">
        <v>1473</v>
      </c>
      <c r="H260" s="3" t="s">
        <v>515</v>
      </c>
      <c r="I260" s="3" t="s">
        <v>515</v>
      </c>
      <c r="J260" s="3" t="s">
        <v>515</v>
      </c>
      <c r="K260" s="3"/>
      <c r="L260" s="3"/>
      <c r="M260" s="3"/>
      <c r="N260" s="3"/>
      <c r="O260" s="3" t="s">
        <v>46</v>
      </c>
      <c r="P260" s="3" t="s">
        <v>1474</v>
      </c>
      <c r="Q260" s="3" t="s">
        <v>1475</v>
      </c>
      <c r="R260" s="3" t="s">
        <v>1476</v>
      </c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>
        <v>13000</v>
      </c>
      <c r="AL260" s="4">
        <v>44091</v>
      </c>
      <c r="AM260" s="3"/>
      <c r="AN260" s="3" t="s">
        <v>1472</v>
      </c>
    </row>
    <row r="261" spans="1:40" ht="27.75">
      <c r="A261" s="3">
        <v>255</v>
      </c>
      <c r="B261" s="3" t="str">
        <f>"201500103793"</f>
        <v>201500103793</v>
      </c>
      <c r="C261" s="3">
        <v>115560</v>
      </c>
      <c r="D261" s="3" t="s">
        <v>1477</v>
      </c>
      <c r="E261" s="3">
        <v>20523147987</v>
      </c>
      <c r="F261" s="3" t="s">
        <v>1478</v>
      </c>
      <c r="G261" s="3" t="s">
        <v>1479</v>
      </c>
      <c r="H261" s="3" t="s">
        <v>59</v>
      </c>
      <c r="I261" s="3" t="s">
        <v>59</v>
      </c>
      <c r="J261" s="3" t="s">
        <v>70</v>
      </c>
      <c r="K261" s="3" t="s">
        <v>1479</v>
      </c>
      <c r="L261" s="3" t="s">
        <v>59</v>
      </c>
      <c r="M261" s="3" t="s">
        <v>59</v>
      </c>
      <c r="N261" s="3" t="s">
        <v>70</v>
      </c>
      <c r="O261" s="3" t="s">
        <v>46</v>
      </c>
      <c r="P261" s="3" t="s">
        <v>1480</v>
      </c>
      <c r="Q261" s="3" t="s">
        <v>1481</v>
      </c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>
        <v>14000</v>
      </c>
      <c r="AL261" s="4">
        <v>42227</v>
      </c>
      <c r="AM261" s="3"/>
      <c r="AN261" s="3" t="s">
        <v>532</v>
      </c>
    </row>
    <row r="262" spans="1:40" ht="13.5">
      <c r="A262" s="3">
        <v>256</v>
      </c>
      <c r="B262" s="3" t="str">
        <f>"201600115693"</f>
        <v>201600115693</v>
      </c>
      <c r="C262" s="3">
        <v>88130</v>
      </c>
      <c r="D262" s="3" t="s">
        <v>1482</v>
      </c>
      <c r="E262" s="3">
        <v>20600934555</v>
      </c>
      <c r="F262" s="3" t="s">
        <v>1483</v>
      </c>
      <c r="G262" s="3" t="s">
        <v>1484</v>
      </c>
      <c r="H262" s="3" t="s">
        <v>85</v>
      </c>
      <c r="I262" s="3" t="s">
        <v>86</v>
      </c>
      <c r="J262" s="3" t="s">
        <v>86</v>
      </c>
      <c r="K262" s="3"/>
      <c r="L262" s="3"/>
      <c r="M262" s="3"/>
      <c r="N262" s="3"/>
      <c r="O262" s="3" t="s">
        <v>71</v>
      </c>
      <c r="P262" s="3" t="s">
        <v>1485</v>
      </c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>
        <v>6200</v>
      </c>
      <c r="AL262" s="4">
        <v>42594</v>
      </c>
      <c r="AM262" s="3"/>
      <c r="AN262" s="3" t="s">
        <v>1486</v>
      </c>
    </row>
    <row r="263" spans="1:40" ht="13.5">
      <c r="A263" s="3">
        <v>257</v>
      </c>
      <c r="B263" s="3" t="str">
        <f>"201300095462"</f>
        <v>201300095462</v>
      </c>
      <c r="C263" s="3">
        <v>101243</v>
      </c>
      <c r="D263" s="3" t="s">
        <v>1487</v>
      </c>
      <c r="E263" s="3">
        <v>20548891788</v>
      </c>
      <c r="F263" s="3" t="s">
        <v>293</v>
      </c>
      <c r="G263" s="3" t="s">
        <v>1488</v>
      </c>
      <c r="H263" s="3" t="s">
        <v>59</v>
      </c>
      <c r="I263" s="3" t="s">
        <v>59</v>
      </c>
      <c r="J263" s="3" t="s">
        <v>153</v>
      </c>
      <c r="K263" s="3" t="s">
        <v>1488</v>
      </c>
      <c r="L263" s="3" t="s">
        <v>59</v>
      </c>
      <c r="M263" s="3" t="s">
        <v>59</v>
      </c>
      <c r="N263" s="3" t="s">
        <v>153</v>
      </c>
      <c r="O263" s="3" t="s">
        <v>71</v>
      </c>
      <c r="P263" s="3" t="s">
        <v>1489</v>
      </c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>
        <v>6500</v>
      </c>
      <c r="AL263" s="4">
        <v>41428</v>
      </c>
      <c r="AM263" s="3"/>
      <c r="AN263" s="3" t="s">
        <v>297</v>
      </c>
    </row>
    <row r="264" spans="1:40" ht="27.75">
      <c r="A264" s="3">
        <v>258</v>
      </c>
      <c r="B264" s="3" t="str">
        <f>"202000114286"</f>
        <v>202000114286</v>
      </c>
      <c r="C264" s="3">
        <v>150913</v>
      </c>
      <c r="D264" s="3" t="s">
        <v>1490</v>
      </c>
      <c r="E264" s="3">
        <v>20555691263</v>
      </c>
      <c r="F264" s="3" t="s">
        <v>1491</v>
      </c>
      <c r="G264" s="3" t="s">
        <v>1492</v>
      </c>
      <c r="H264" s="3" t="s">
        <v>59</v>
      </c>
      <c r="I264" s="3" t="s">
        <v>59</v>
      </c>
      <c r="J264" s="3" t="s">
        <v>134</v>
      </c>
      <c r="K264" s="3" t="s">
        <v>1492</v>
      </c>
      <c r="L264" s="3" t="s">
        <v>59</v>
      </c>
      <c r="M264" s="3" t="s">
        <v>59</v>
      </c>
      <c r="N264" s="3" t="s">
        <v>134</v>
      </c>
      <c r="O264" s="3" t="s">
        <v>71</v>
      </c>
      <c r="P264" s="3" t="s">
        <v>1493</v>
      </c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>
        <v>6500</v>
      </c>
      <c r="AL264" s="4">
        <v>44083</v>
      </c>
      <c r="AM264" s="3"/>
      <c r="AN264" s="3" t="s">
        <v>1494</v>
      </c>
    </row>
    <row r="265" spans="1:40" ht="27.75">
      <c r="A265" s="3">
        <v>259</v>
      </c>
      <c r="B265" s="3" t="str">
        <f>"202000085274"</f>
        <v>202000085274</v>
      </c>
      <c r="C265" s="3">
        <v>150059</v>
      </c>
      <c r="D265" s="3" t="s">
        <v>1495</v>
      </c>
      <c r="E265" s="3">
        <v>20603044020</v>
      </c>
      <c r="F265" s="3" t="s">
        <v>1496</v>
      </c>
      <c r="G265" s="3" t="s">
        <v>1497</v>
      </c>
      <c r="H265" s="3" t="s">
        <v>1498</v>
      </c>
      <c r="I265" s="3" t="s">
        <v>1499</v>
      </c>
      <c r="J265" s="3" t="s">
        <v>1500</v>
      </c>
      <c r="K265" s="3" t="s">
        <v>1501</v>
      </c>
      <c r="L265" s="3" t="s">
        <v>1498</v>
      </c>
      <c r="M265" s="3" t="s">
        <v>1499</v>
      </c>
      <c r="N265" s="3" t="s">
        <v>1500</v>
      </c>
      <c r="O265" s="3" t="s">
        <v>71</v>
      </c>
      <c r="P265" s="3" t="s">
        <v>1502</v>
      </c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>
        <v>2000</v>
      </c>
      <c r="AL265" s="4">
        <v>44053</v>
      </c>
      <c r="AM265" s="3"/>
      <c r="AN265" s="3" t="s">
        <v>1503</v>
      </c>
    </row>
    <row r="266" spans="1:40" ht="13.5">
      <c r="A266" s="3">
        <v>260</v>
      </c>
      <c r="B266" s="3" t="str">
        <f>"201900098365"</f>
        <v>201900098365</v>
      </c>
      <c r="C266" s="3">
        <v>120839</v>
      </c>
      <c r="D266" s="3" t="s">
        <v>1504</v>
      </c>
      <c r="E266" s="3">
        <v>20602130259</v>
      </c>
      <c r="F266" s="3" t="s">
        <v>1505</v>
      </c>
      <c r="G266" s="3" t="s">
        <v>1506</v>
      </c>
      <c r="H266" s="3" t="s">
        <v>59</v>
      </c>
      <c r="I266" s="3" t="s">
        <v>59</v>
      </c>
      <c r="J266" s="3" t="s">
        <v>799</v>
      </c>
      <c r="K266" s="3"/>
      <c r="L266" s="3"/>
      <c r="M266" s="3"/>
      <c r="N266" s="3"/>
      <c r="O266" s="3" t="s">
        <v>46</v>
      </c>
      <c r="P266" s="3" t="s">
        <v>1507</v>
      </c>
      <c r="Q266" s="3" t="s">
        <v>1508</v>
      </c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>
        <v>14000</v>
      </c>
      <c r="AL266" s="4">
        <v>43636</v>
      </c>
      <c r="AM266" s="3"/>
      <c r="AN266" s="3" t="s">
        <v>1509</v>
      </c>
    </row>
    <row r="267" spans="1:40" ht="13.5">
      <c r="A267" s="3">
        <v>261</v>
      </c>
      <c r="B267" s="3" t="str">
        <f>"201800215249"</f>
        <v>201800215249</v>
      </c>
      <c r="C267" s="3">
        <v>128526</v>
      </c>
      <c r="D267" s="3" t="s">
        <v>1510</v>
      </c>
      <c r="E267" s="3">
        <v>20549098372</v>
      </c>
      <c r="F267" s="3" t="s">
        <v>281</v>
      </c>
      <c r="G267" s="3" t="s">
        <v>1511</v>
      </c>
      <c r="H267" s="3" t="s">
        <v>59</v>
      </c>
      <c r="I267" s="3" t="s">
        <v>59</v>
      </c>
      <c r="J267" s="3" t="s">
        <v>250</v>
      </c>
      <c r="K267" s="3"/>
      <c r="L267" s="3" t="s">
        <v>59</v>
      </c>
      <c r="M267" s="3" t="s">
        <v>59</v>
      </c>
      <c r="N267" s="3" t="s">
        <v>250</v>
      </c>
      <c r="O267" s="3" t="s">
        <v>46</v>
      </c>
      <c r="P267" s="3" t="s">
        <v>1512</v>
      </c>
      <c r="Q267" s="3" t="s">
        <v>1221</v>
      </c>
      <c r="R267" s="3" t="s">
        <v>255</v>
      </c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>
        <v>14000</v>
      </c>
      <c r="AL267" s="4">
        <v>43465</v>
      </c>
      <c r="AM267" s="3"/>
      <c r="AN267" s="3" t="s">
        <v>257</v>
      </c>
    </row>
    <row r="268" spans="1:40" ht="13.5">
      <c r="A268" s="3">
        <v>262</v>
      </c>
      <c r="B268" s="3" t="str">
        <f>"201800021109"</f>
        <v>201800021109</v>
      </c>
      <c r="C268" s="3">
        <v>87361</v>
      </c>
      <c r="D268" s="3" t="s">
        <v>1513</v>
      </c>
      <c r="E268" s="3">
        <v>20502794052</v>
      </c>
      <c r="F268" s="3" t="s">
        <v>1514</v>
      </c>
      <c r="G268" s="3" t="s">
        <v>1515</v>
      </c>
      <c r="H268" s="3" t="s">
        <v>59</v>
      </c>
      <c r="I268" s="3" t="s">
        <v>59</v>
      </c>
      <c r="J268" s="3" t="s">
        <v>1012</v>
      </c>
      <c r="K268" s="3" t="s">
        <v>1516</v>
      </c>
      <c r="L268" s="3" t="s">
        <v>59</v>
      </c>
      <c r="M268" s="3" t="s">
        <v>59</v>
      </c>
      <c r="N268" s="3" t="s">
        <v>59</v>
      </c>
      <c r="O268" s="3" t="s">
        <v>71</v>
      </c>
      <c r="P268" s="3" t="s">
        <v>1517</v>
      </c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>
        <v>6500</v>
      </c>
      <c r="AL268" s="4">
        <v>43143</v>
      </c>
      <c r="AM268" s="3"/>
      <c r="AN268" s="3" t="s">
        <v>590</v>
      </c>
    </row>
    <row r="269" spans="1:40" ht="13.5">
      <c r="A269" s="3">
        <v>263</v>
      </c>
      <c r="B269" s="3" t="str">
        <f>"201800169140"</f>
        <v>201800169140</v>
      </c>
      <c r="C269" s="3">
        <v>112274</v>
      </c>
      <c r="D269" s="3" t="s">
        <v>1518</v>
      </c>
      <c r="E269" s="3">
        <v>20534290251</v>
      </c>
      <c r="F269" s="3" t="s">
        <v>820</v>
      </c>
      <c r="G269" s="3" t="s">
        <v>821</v>
      </c>
      <c r="H269" s="3" t="s">
        <v>197</v>
      </c>
      <c r="I269" s="3" t="s">
        <v>822</v>
      </c>
      <c r="J269" s="3" t="s">
        <v>822</v>
      </c>
      <c r="K269" s="3"/>
      <c r="L269" s="3"/>
      <c r="M269" s="3"/>
      <c r="N269" s="3"/>
      <c r="O269" s="3" t="s">
        <v>46</v>
      </c>
      <c r="P269" s="3" t="s">
        <v>1519</v>
      </c>
      <c r="Q269" s="3" t="s">
        <v>825</v>
      </c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>
        <v>9000</v>
      </c>
      <c r="AL269" s="4">
        <v>43385</v>
      </c>
      <c r="AM269" s="3"/>
      <c r="AN269" s="3" t="s">
        <v>1520</v>
      </c>
    </row>
    <row r="270" spans="1:40" ht="27.75">
      <c r="A270" s="3">
        <v>264</v>
      </c>
      <c r="B270" s="3" t="str">
        <f>"201700108514"</f>
        <v>201700108514</v>
      </c>
      <c r="C270" s="3">
        <v>90221</v>
      </c>
      <c r="D270" s="3" t="s">
        <v>1521</v>
      </c>
      <c r="E270" s="3">
        <v>20601861446</v>
      </c>
      <c r="F270" s="3" t="s">
        <v>1522</v>
      </c>
      <c r="G270" s="3" t="s">
        <v>1523</v>
      </c>
      <c r="H270" s="3" t="s">
        <v>59</v>
      </c>
      <c r="I270" s="3" t="s">
        <v>59</v>
      </c>
      <c r="J270" s="3" t="s">
        <v>555</v>
      </c>
      <c r="K270" s="3"/>
      <c r="L270" s="3" t="s">
        <v>59</v>
      </c>
      <c r="M270" s="3" t="s">
        <v>59</v>
      </c>
      <c r="N270" s="3" t="s">
        <v>555</v>
      </c>
      <c r="O270" s="3" t="s">
        <v>71</v>
      </c>
      <c r="P270" s="3" t="s">
        <v>1524</v>
      </c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>
        <v>1630</v>
      </c>
      <c r="AL270" s="4">
        <v>42928</v>
      </c>
      <c r="AM270" s="3"/>
      <c r="AN270" s="3" t="s">
        <v>1525</v>
      </c>
    </row>
    <row r="271" spans="1:40" ht="13.5">
      <c r="A271" s="3">
        <v>265</v>
      </c>
      <c r="B271" s="3" t="str">
        <f>"201500073289"</f>
        <v>201500073289</v>
      </c>
      <c r="C271" s="3">
        <v>115786</v>
      </c>
      <c r="D271" s="3" t="s">
        <v>1526</v>
      </c>
      <c r="E271" s="3">
        <v>20548253315</v>
      </c>
      <c r="F271" s="3" t="s">
        <v>501</v>
      </c>
      <c r="G271" s="3" t="s">
        <v>1527</v>
      </c>
      <c r="H271" s="3" t="s">
        <v>59</v>
      </c>
      <c r="I271" s="3" t="s">
        <v>59</v>
      </c>
      <c r="J271" s="3" t="s">
        <v>59</v>
      </c>
      <c r="K271" s="3"/>
      <c r="L271" s="3"/>
      <c r="M271" s="3"/>
      <c r="N271" s="3"/>
      <c r="O271" s="3" t="s">
        <v>71</v>
      </c>
      <c r="P271" s="3" t="s">
        <v>1528</v>
      </c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>
        <v>6200</v>
      </c>
      <c r="AL271" s="4">
        <v>42163</v>
      </c>
      <c r="AM271" s="3"/>
      <c r="AN271" s="3" t="s">
        <v>504</v>
      </c>
    </row>
    <row r="272" spans="1:40" ht="13.5">
      <c r="A272" s="3">
        <v>266</v>
      </c>
      <c r="B272" s="3" t="str">
        <f>"202000096705"</f>
        <v>202000096705</v>
      </c>
      <c r="C272" s="3">
        <v>120837</v>
      </c>
      <c r="D272" s="3" t="s">
        <v>1529</v>
      </c>
      <c r="E272" s="3">
        <v>20548891788</v>
      </c>
      <c r="F272" s="3" t="s">
        <v>293</v>
      </c>
      <c r="G272" s="3" t="s">
        <v>1530</v>
      </c>
      <c r="H272" s="3" t="s">
        <v>59</v>
      </c>
      <c r="I272" s="3" t="s">
        <v>59</v>
      </c>
      <c r="J272" s="3" t="s">
        <v>153</v>
      </c>
      <c r="K272" s="3" t="s">
        <v>1530</v>
      </c>
      <c r="L272" s="3" t="s">
        <v>59</v>
      </c>
      <c r="M272" s="3" t="s">
        <v>59</v>
      </c>
      <c r="N272" s="3" t="s">
        <v>153</v>
      </c>
      <c r="O272" s="3" t="s">
        <v>46</v>
      </c>
      <c r="P272" s="3" t="s">
        <v>1531</v>
      </c>
      <c r="Q272" s="3" t="s">
        <v>1532</v>
      </c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>
        <v>14000</v>
      </c>
      <c r="AL272" s="4">
        <v>44053</v>
      </c>
      <c r="AM272" s="3"/>
      <c r="AN272" s="3" t="s">
        <v>297</v>
      </c>
    </row>
    <row r="273" spans="1:40" ht="13.5">
      <c r="A273" s="3">
        <v>267</v>
      </c>
      <c r="B273" s="3" t="str">
        <f>"202000096704"</f>
        <v>202000096704</v>
      </c>
      <c r="C273" s="3">
        <v>117752</v>
      </c>
      <c r="D273" s="3" t="s">
        <v>1533</v>
      </c>
      <c r="E273" s="3">
        <v>20548891788</v>
      </c>
      <c r="F273" s="3" t="s">
        <v>1534</v>
      </c>
      <c r="G273" s="3" t="s">
        <v>1530</v>
      </c>
      <c r="H273" s="3" t="s">
        <v>59</v>
      </c>
      <c r="I273" s="3" t="s">
        <v>59</v>
      </c>
      <c r="J273" s="3" t="s">
        <v>153</v>
      </c>
      <c r="K273" s="3" t="s">
        <v>1530</v>
      </c>
      <c r="L273" s="3" t="s">
        <v>59</v>
      </c>
      <c r="M273" s="3" t="s">
        <v>59</v>
      </c>
      <c r="N273" s="3" t="s">
        <v>153</v>
      </c>
      <c r="O273" s="3" t="s">
        <v>46</v>
      </c>
      <c r="P273" s="3" t="s">
        <v>1535</v>
      </c>
      <c r="Q273" s="3" t="s">
        <v>1536</v>
      </c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>
        <v>14000</v>
      </c>
      <c r="AL273" s="4">
        <v>44053</v>
      </c>
      <c r="AM273" s="3"/>
      <c r="AN273" s="3" t="s">
        <v>1537</v>
      </c>
    </row>
    <row r="274" spans="1:40" ht="13.5">
      <c r="A274" s="3">
        <v>268</v>
      </c>
      <c r="B274" s="3" t="str">
        <f>"202000096701"</f>
        <v>202000096701</v>
      </c>
      <c r="C274" s="3">
        <v>124968</v>
      </c>
      <c r="D274" s="3" t="s">
        <v>1538</v>
      </c>
      <c r="E274" s="3">
        <v>20548891788</v>
      </c>
      <c r="F274" s="3" t="s">
        <v>293</v>
      </c>
      <c r="G274" s="3" t="s">
        <v>1530</v>
      </c>
      <c r="H274" s="3" t="s">
        <v>59</v>
      </c>
      <c r="I274" s="3" t="s">
        <v>59</v>
      </c>
      <c r="J274" s="3" t="s">
        <v>153</v>
      </c>
      <c r="K274" s="3" t="s">
        <v>1530</v>
      </c>
      <c r="L274" s="3" t="s">
        <v>59</v>
      </c>
      <c r="M274" s="3" t="s">
        <v>59</v>
      </c>
      <c r="N274" s="3" t="s">
        <v>153</v>
      </c>
      <c r="O274" s="3" t="s">
        <v>71</v>
      </c>
      <c r="P274" s="3" t="s">
        <v>1539</v>
      </c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>
        <v>6500</v>
      </c>
      <c r="AL274" s="4">
        <v>44053</v>
      </c>
      <c r="AM274" s="3"/>
      <c r="AN274" s="3" t="s">
        <v>297</v>
      </c>
    </row>
    <row r="275" spans="1:40" ht="13.5">
      <c r="A275" s="3">
        <v>269</v>
      </c>
      <c r="B275" s="3" t="str">
        <f>"201900130517"</f>
        <v>201900130517</v>
      </c>
      <c r="C275" s="3">
        <v>145703</v>
      </c>
      <c r="D275" s="3" t="s">
        <v>1540</v>
      </c>
      <c r="E275" s="3">
        <v>20408062536</v>
      </c>
      <c r="F275" s="3" t="s">
        <v>1541</v>
      </c>
      <c r="G275" s="3" t="s">
        <v>1542</v>
      </c>
      <c r="H275" s="3" t="s">
        <v>59</v>
      </c>
      <c r="I275" s="3" t="s">
        <v>235</v>
      </c>
      <c r="J275" s="3" t="s">
        <v>1543</v>
      </c>
      <c r="K275" s="3" t="s">
        <v>1544</v>
      </c>
      <c r="L275" s="3" t="s">
        <v>59</v>
      </c>
      <c r="M275" s="3" t="s">
        <v>235</v>
      </c>
      <c r="N275" s="3" t="s">
        <v>1543</v>
      </c>
      <c r="O275" s="3" t="s">
        <v>71</v>
      </c>
      <c r="P275" s="3" t="s">
        <v>1545</v>
      </c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>
        <v>6500</v>
      </c>
      <c r="AL275" s="4">
        <v>43692</v>
      </c>
      <c r="AM275" s="3"/>
      <c r="AN275" s="3" t="s">
        <v>1546</v>
      </c>
    </row>
    <row r="276" spans="1:40" ht="13.5">
      <c r="A276" s="3">
        <v>270</v>
      </c>
      <c r="B276" s="3" t="str">
        <f>"202000096700"</f>
        <v>202000096700</v>
      </c>
      <c r="C276" s="3">
        <v>128524</v>
      </c>
      <c r="D276" s="3" t="s">
        <v>1547</v>
      </c>
      <c r="E276" s="3">
        <v>20548891788</v>
      </c>
      <c r="F276" s="3" t="s">
        <v>293</v>
      </c>
      <c r="G276" s="3" t="s">
        <v>1530</v>
      </c>
      <c r="H276" s="3" t="s">
        <v>59</v>
      </c>
      <c r="I276" s="3" t="s">
        <v>59</v>
      </c>
      <c r="J276" s="3" t="s">
        <v>153</v>
      </c>
      <c r="K276" s="3" t="s">
        <v>1530</v>
      </c>
      <c r="L276" s="3" t="s">
        <v>59</v>
      </c>
      <c r="M276" s="3" t="s">
        <v>59</v>
      </c>
      <c r="N276" s="3" t="s">
        <v>153</v>
      </c>
      <c r="O276" s="3" t="s">
        <v>71</v>
      </c>
      <c r="P276" s="3" t="s">
        <v>1548</v>
      </c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>
        <v>4000</v>
      </c>
      <c r="AL276" s="4">
        <v>44053</v>
      </c>
      <c r="AM276" s="3"/>
      <c r="AN276" s="3" t="s">
        <v>297</v>
      </c>
    </row>
    <row r="277" spans="1:40" ht="27.75">
      <c r="A277" s="3">
        <v>271</v>
      </c>
      <c r="B277" s="3" t="str">
        <f>"201600095163"</f>
        <v>201600095163</v>
      </c>
      <c r="C277" s="3">
        <v>116940</v>
      </c>
      <c r="D277" s="3" t="s">
        <v>1549</v>
      </c>
      <c r="E277" s="3">
        <v>20545112486</v>
      </c>
      <c r="F277" s="3" t="s">
        <v>944</v>
      </c>
      <c r="G277" s="3" t="s">
        <v>1550</v>
      </c>
      <c r="H277" s="3" t="s">
        <v>59</v>
      </c>
      <c r="I277" s="3" t="s">
        <v>59</v>
      </c>
      <c r="J277" s="3" t="s">
        <v>641</v>
      </c>
      <c r="K277" s="3" t="s">
        <v>756</v>
      </c>
      <c r="L277" s="3" t="s">
        <v>59</v>
      </c>
      <c r="M277" s="3" t="s">
        <v>59</v>
      </c>
      <c r="N277" s="3" t="s">
        <v>641</v>
      </c>
      <c r="O277" s="3" t="s">
        <v>46</v>
      </c>
      <c r="P277" s="3" t="s">
        <v>1551</v>
      </c>
      <c r="Q277" s="3" t="s">
        <v>1248</v>
      </c>
      <c r="R277" s="3" t="s">
        <v>1552</v>
      </c>
      <c r="S277" s="3" t="s">
        <v>1553</v>
      </c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>
        <v>14000</v>
      </c>
      <c r="AL277" s="4">
        <v>42555</v>
      </c>
      <c r="AM277" s="3"/>
      <c r="AN277" s="3" t="s">
        <v>758</v>
      </c>
    </row>
    <row r="278" spans="1:40" ht="13.5">
      <c r="A278" s="3">
        <v>272</v>
      </c>
      <c r="B278" s="3" t="str">
        <f>"202000110883"</f>
        <v>202000110883</v>
      </c>
      <c r="C278" s="3">
        <v>100399</v>
      </c>
      <c r="D278" s="3" t="s">
        <v>1554</v>
      </c>
      <c r="E278" s="3">
        <v>20513611308</v>
      </c>
      <c r="F278" s="3" t="s">
        <v>100</v>
      </c>
      <c r="G278" s="3" t="s">
        <v>1555</v>
      </c>
      <c r="H278" s="3" t="s">
        <v>59</v>
      </c>
      <c r="I278" s="3" t="s">
        <v>59</v>
      </c>
      <c r="J278" s="3" t="s">
        <v>102</v>
      </c>
      <c r="K278" s="3" t="s">
        <v>1555</v>
      </c>
      <c r="L278" s="3" t="s">
        <v>59</v>
      </c>
      <c r="M278" s="3" t="s">
        <v>59</v>
      </c>
      <c r="N278" s="3" t="s">
        <v>102</v>
      </c>
      <c r="O278" s="3" t="s">
        <v>71</v>
      </c>
      <c r="P278" s="3" t="s">
        <v>1556</v>
      </c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>
        <v>6500</v>
      </c>
      <c r="AL278" s="4">
        <v>44074</v>
      </c>
      <c r="AM278" s="3"/>
      <c r="AN278" s="3" t="s">
        <v>637</v>
      </c>
    </row>
    <row r="279" spans="1:40" ht="27.75">
      <c r="A279" s="3">
        <v>273</v>
      </c>
      <c r="B279" s="3" t="str">
        <f>"201700187629"</f>
        <v>201700187629</v>
      </c>
      <c r="C279" s="3">
        <v>106266</v>
      </c>
      <c r="D279" s="3" t="s">
        <v>1557</v>
      </c>
      <c r="E279" s="3">
        <v>20600430891</v>
      </c>
      <c r="F279" s="3" t="s">
        <v>496</v>
      </c>
      <c r="G279" s="3" t="s">
        <v>1558</v>
      </c>
      <c r="H279" s="3" t="s">
        <v>59</v>
      </c>
      <c r="I279" s="3" t="s">
        <v>59</v>
      </c>
      <c r="J279" s="3" t="s">
        <v>555</v>
      </c>
      <c r="K279" s="3" t="s">
        <v>1559</v>
      </c>
      <c r="L279" s="3" t="s">
        <v>59</v>
      </c>
      <c r="M279" s="3" t="s">
        <v>59</v>
      </c>
      <c r="N279" s="3" t="s">
        <v>213</v>
      </c>
      <c r="O279" s="3" t="s">
        <v>71</v>
      </c>
      <c r="P279" s="3" t="s">
        <v>1560</v>
      </c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>
        <v>6700</v>
      </c>
      <c r="AL279" s="4">
        <v>43048</v>
      </c>
      <c r="AM279" s="3"/>
      <c r="AN279" s="3" t="s">
        <v>499</v>
      </c>
    </row>
    <row r="280" spans="1:40" ht="27.75">
      <c r="A280" s="3">
        <v>274</v>
      </c>
      <c r="B280" s="3" t="str">
        <f>"201500169791"</f>
        <v>201500169791</v>
      </c>
      <c r="C280" s="3">
        <v>119077</v>
      </c>
      <c r="D280" s="3" t="s">
        <v>1561</v>
      </c>
      <c r="E280" s="3">
        <v>20600794877</v>
      </c>
      <c r="F280" s="3" t="s">
        <v>1562</v>
      </c>
      <c r="G280" s="3" t="s">
        <v>1563</v>
      </c>
      <c r="H280" s="3" t="s">
        <v>515</v>
      </c>
      <c r="I280" s="3" t="s">
        <v>515</v>
      </c>
      <c r="J280" s="3" t="s">
        <v>722</v>
      </c>
      <c r="K280" s="3"/>
      <c r="L280" s="3"/>
      <c r="M280" s="3"/>
      <c r="N280" s="3"/>
      <c r="O280" s="3" t="s">
        <v>46</v>
      </c>
      <c r="P280" s="3" t="s">
        <v>1564</v>
      </c>
      <c r="Q280" s="3" t="s">
        <v>1565</v>
      </c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>
        <v>13600</v>
      </c>
      <c r="AL280" s="4">
        <v>42356</v>
      </c>
      <c r="AM280" s="3"/>
      <c r="AN280" s="3" t="s">
        <v>1566</v>
      </c>
    </row>
    <row r="281" spans="1:40" ht="27.75">
      <c r="A281" s="3">
        <v>275</v>
      </c>
      <c r="B281" s="3" t="str">
        <f>"201500174532"</f>
        <v>201500174532</v>
      </c>
      <c r="C281" s="3">
        <v>102655</v>
      </c>
      <c r="D281" s="3" t="s">
        <v>1567</v>
      </c>
      <c r="E281" s="3">
        <v>20539718810</v>
      </c>
      <c r="F281" s="3" t="s">
        <v>138</v>
      </c>
      <c r="G281" s="3" t="s">
        <v>1568</v>
      </c>
      <c r="H281" s="3" t="s">
        <v>85</v>
      </c>
      <c r="I281" s="3" t="s">
        <v>86</v>
      </c>
      <c r="J281" s="3" t="s">
        <v>86</v>
      </c>
      <c r="K281" s="3"/>
      <c r="L281" s="3" t="s">
        <v>85</v>
      </c>
      <c r="M281" s="3" t="s">
        <v>86</v>
      </c>
      <c r="N281" s="3" t="s">
        <v>86</v>
      </c>
      <c r="O281" s="3" t="s">
        <v>71</v>
      </c>
      <c r="P281" s="3" t="s">
        <v>1569</v>
      </c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>
        <v>3500</v>
      </c>
      <c r="AL281" s="4">
        <v>42364</v>
      </c>
      <c r="AM281" s="3"/>
      <c r="AN281" s="3" t="s">
        <v>143</v>
      </c>
    </row>
    <row r="282" spans="1:40" ht="13.5">
      <c r="A282" s="3">
        <v>276</v>
      </c>
      <c r="B282" s="3" t="str">
        <f>"201600042625"</f>
        <v>201600042625</v>
      </c>
      <c r="C282" s="3">
        <v>120557</v>
      </c>
      <c r="D282" s="3" t="s">
        <v>1570</v>
      </c>
      <c r="E282" s="3">
        <v>20569104506</v>
      </c>
      <c r="F282" s="3" t="s">
        <v>1571</v>
      </c>
      <c r="G282" s="3" t="s">
        <v>1572</v>
      </c>
      <c r="H282" s="3" t="s">
        <v>388</v>
      </c>
      <c r="I282" s="3" t="s">
        <v>389</v>
      </c>
      <c r="J282" s="3" t="s">
        <v>870</v>
      </c>
      <c r="K282" s="3"/>
      <c r="L282" s="3"/>
      <c r="M282" s="3"/>
      <c r="N282" s="3"/>
      <c r="O282" s="3" t="s">
        <v>46</v>
      </c>
      <c r="P282" s="3" t="s">
        <v>1573</v>
      </c>
      <c r="Q282" s="3" t="s">
        <v>1574</v>
      </c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>
        <v>14000</v>
      </c>
      <c r="AL282" s="4">
        <v>42463</v>
      </c>
      <c r="AM282" s="3"/>
      <c r="AN282" s="3" t="s">
        <v>1455</v>
      </c>
    </row>
    <row r="283" spans="1:40" ht="27.75">
      <c r="A283" s="3">
        <v>277</v>
      </c>
      <c r="B283" s="3" t="str">
        <f>"202000121287"</f>
        <v>202000121287</v>
      </c>
      <c r="C283" s="3">
        <v>151142</v>
      </c>
      <c r="D283" s="3" t="s">
        <v>1575</v>
      </c>
      <c r="E283" s="3">
        <v>20600538510</v>
      </c>
      <c r="F283" s="3" t="s">
        <v>1112</v>
      </c>
      <c r="G283" s="3" t="s">
        <v>1576</v>
      </c>
      <c r="H283" s="3" t="s">
        <v>59</v>
      </c>
      <c r="I283" s="3" t="s">
        <v>59</v>
      </c>
      <c r="J283" s="3" t="s">
        <v>555</v>
      </c>
      <c r="K283" s="3" t="s">
        <v>1576</v>
      </c>
      <c r="L283" s="3" t="s">
        <v>59</v>
      </c>
      <c r="M283" s="3" t="s">
        <v>59</v>
      </c>
      <c r="N283" s="3" t="s">
        <v>555</v>
      </c>
      <c r="O283" s="3" t="s">
        <v>46</v>
      </c>
      <c r="P283" s="3" t="s">
        <v>1577</v>
      </c>
      <c r="Q283" s="3" t="s">
        <v>1578</v>
      </c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>
        <v>13500</v>
      </c>
      <c r="AL283" s="4">
        <v>44088</v>
      </c>
      <c r="AM283" s="3"/>
      <c r="AN283" s="3" t="s">
        <v>1579</v>
      </c>
    </row>
    <row r="284" spans="1:40" ht="13.5">
      <c r="A284" s="3">
        <v>278</v>
      </c>
      <c r="B284" s="3" t="str">
        <f>"201600052571"</f>
        <v>201600052571</v>
      </c>
      <c r="C284" s="3">
        <v>120842</v>
      </c>
      <c r="D284" s="3" t="s">
        <v>1580</v>
      </c>
      <c r="E284" s="3">
        <v>20522217574</v>
      </c>
      <c r="F284" s="3" t="s">
        <v>227</v>
      </c>
      <c r="G284" s="3" t="s">
        <v>1581</v>
      </c>
      <c r="H284" s="3" t="s">
        <v>85</v>
      </c>
      <c r="I284" s="3" t="s">
        <v>86</v>
      </c>
      <c r="J284" s="3" t="s">
        <v>86</v>
      </c>
      <c r="K284" s="3"/>
      <c r="L284" s="3"/>
      <c r="M284" s="3"/>
      <c r="N284" s="3"/>
      <c r="O284" s="3" t="s">
        <v>46</v>
      </c>
      <c r="P284" s="3" t="s">
        <v>1582</v>
      </c>
      <c r="Q284" s="3" t="s">
        <v>327</v>
      </c>
      <c r="R284" s="3" t="s">
        <v>715</v>
      </c>
      <c r="S284" s="3" t="s">
        <v>716</v>
      </c>
      <c r="T284" s="3" t="s">
        <v>717</v>
      </c>
      <c r="U284" s="3" t="s">
        <v>718</v>
      </c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>
        <v>14000</v>
      </c>
      <c r="AL284" s="4">
        <v>42474</v>
      </c>
      <c r="AM284" s="3"/>
      <c r="AN284" s="3" t="s">
        <v>1583</v>
      </c>
    </row>
    <row r="285" spans="1:40" ht="13.5">
      <c r="A285" s="3">
        <v>279</v>
      </c>
      <c r="B285" s="3" t="str">
        <f>"201900014339"</f>
        <v>201900014339</v>
      </c>
      <c r="C285" s="3">
        <v>128525</v>
      </c>
      <c r="D285" s="3" t="s">
        <v>1584</v>
      </c>
      <c r="E285" s="3">
        <v>20549098372</v>
      </c>
      <c r="F285" s="3" t="s">
        <v>248</v>
      </c>
      <c r="G285" s="3" t="s">
        <v>249</v>
      </c>
      <c r="H285" s="3" t="s">
        <v>59</v>
      </c>
      <c r="I285" s="3" t="s">
        <v>59</v>
      </c>
      <c r="J285" s="3" t="s">
        <v>250</v>
      </c>
      <c r="K285" s="3"/>
      <c r="L285" s="3" t="s">
        <v>59</v>
      </c>
      <c r="M285" s="3" t="s">
        <v>59</v>
      </c>
      <c r="N285" s="3" t="s">
        <v>250</v>
      </c>
      <c r="O285" s="3" t="s">
        <v>46</v>
      </c>
      <c r="P285" s="3" t="s">
        <v>1585</v>
      </c>
      <c r="Q285" s="3" t="s">
        <v>256</v>
      </c>
      <c r="R285" s="3" t="s">
        <v>1586</v>
      </c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>
        <v>14000</v>
      </c>
      <c r="AL285" s="4">
        <v>43495</v>
      </c>
      <c r="AM285" s="3"/>
      <c r="AN285" s="3" t="s">
        <v>257</v>
      </c>
    </row>
    <row r="286" spans="1:40" ht="27.75">
      <c r="A286" s="3">
        <v>280</v>
      </c>
      <c r="B286" s="3" t="str">
        <f>"202000133064"</f>
        <v>202000133064</v>
      </c>
      <c r="C286" s="3">
        <v>147365</v>
      </c>
      <c r="D286" s="3" t="s">
        <v>1587</v>
      </c>
      <c r="E286" s="3">
        <v>20606386088</v>
      </c>
      <c r="F286" s="3" t="s">
        <v>1588</v>
      </c>
      <c r="G286" s="3" t="s">
        <v>1589</v>
      </c>
      <c r="H286" s="3" t="s">
        <v>59</v>
      </c>
      <c r="I286" s="3" t="s">
        <v>59</v>
      </c>
      <c r="J286" s="3" t="s">
        <v>442</v>
      </c>
      <c r="K286" s="3" t="s">
        <v>1589</v>
      </c>
      <c r="L286" s="3" t="s">
        <v>59</v>
      </c>
      <c r="M286" s="3" t="s">
        <v>59</v>
      </c>
      <c r="N286" s="3" t="s">
        <v>442</v>
      </c>
      <c r="O286" s="3" t="s">
        <v>71</v>
      </c>
      <c r="P286" s="3" t="s">
        <v>1590</v>
      </c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>
        <v>6000</v>
      </c>
      <c r="AL286" s="4">
        <v>44111</v>
      </c>
      <c r="AM286" s="3"/>
      <c r="AN286" s="3" t="s">
        <v>1591</v>
      </c>
    </row>
    <row r="287" spans="1:40" ht="27.75">
      <c r="A287" s="3">
        <v>281</v>
      </c>
      <c r="B287" s="3" t="str">
        <f>"201800077931"</f>
        <v>201800077931</v>
      </c>
      <c r="C287" s="3">
        <v>136099</v>
      </c>
      <c r="D287" s="3" t="s">
        <v>1592</v>
      </c>
      <c r="E287" s="3">
        <v>20506151547</v>
      </c>
      <c r="F287" s="3" t="s">
        <v>1593</v>
      </c>
      <c r="G287" s="3" t="s">
        <v>1594</v>
      </c>
      <c r="H287" s="3" t="s">
        <v>59</v>
      </c>
      <c r="I287" s="3" t="s">
        <v>59</v>
      </c>
      <c r="J287" s="3" t="s">
        <v>768</v>
      </c>
      <c r="K287" s="3" t="s">
        <v>1595</v>
      </c>
      <c r="L287" s="3" t="s">
        <v>59</v>
      </c>
      <c r="M287" s="3" t="s">
        <v>59</v>
      </c>
      <c r="N287" s="3" t="s">
        <v>382</v>
      </c>
      <c r="O287" s="3" t="s">
        <v>71</v>
      </c>
      <c r="P287" s="3" t="s">
        <v>1596</v>
      </c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>
        <v>6250</v>
      </c>
      <c r="AL287" s="4">
        <v>43238</v>
      </c>
      <c r="AM287" s="3"/>
      <c r="AN287" s="3" t="s">
        <v>1597</v>
      </c>
    </row>
    <row r="288" spans="1:40" ht="27.75">
      <c r="A288" s="3">
        <v>282</v>
      </c>
      <c r="B288" s="3" t="str">
        <f>"201800207162"</f>
        <v>201800207162</v>
      </c>
      <c r="C288" s="3">
        <v>118569</v>
      </c>
      <c r="D288" s="3" t="s">
        <v>1598</v>
      </c>
      <c r="E288" s="3">
        <v>20506151547</v>
      </c>
      <c r="F288" s="3" t="s">
        <v>1599</v>
      </c>
      <c r="G288" s="3" t="s">
        <v>1600</v>
      </c>
      <c r="H288" s="3" t="s">
        <v>85</v>
      </c>
      <c r="I288" s="3" t="s">
        <v>86</v>
      </c>
      <c r="J288" s="3" t="s">
        <v>86</v>
      </c>
      <c r="K288" s="3"/>
      <c r="L288" s="3"/>
      <c r="M288" s="3"/>
      <c r="N288" s="3"/>
      <c r="O288" s="3" t="s">
        <v>71</v>
      </c>
      <c r="P288" s="3" t="s">
        <v>1601</v>
      </c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>
        <v>6500</v>
      </c>
      <c r="AL288" s="4">
        <v>43453</v>
      </c>
      <c r="AM288" s="3"/>
      <c r="AN288" s="3" t="s">
        <v>1597</v>
      </c>
    </row>
    <row r="289" spans="1:40" ht="13.5">
      <c r="A289" s="3">
        <v>283</v>
      </c>
      <c r="B289" s="3" t="str">
        <f>"201600068338"</f>
        <v>201600068338</v>
      </c>
      <c r="C289" s="3">
        <v>89952</v>
      </c>
      <c r="D289" s="3" t="s">
        <v>1602</v>
      </c>
      <c r="E289" s="3">
        <v>20600920228</v>
      </c>
      <c r="F289" s="3" t="s">
        <v>608</v>
      </c>
      <c r="G289" s="3" t="s">
        <v>228</v>
      </c>
      <c r="H289" s="3" t="s">
        <v>59</v>
      </c>
      <c r="I289" s="3" t="s">
        <v>59</v>
      </c>
      <c r="J289" s="3" t="s">
        <v>229</v>
      </c>
      <c r="K289" s="3" t="s">
        <v>1603</v>
      </c>
      <c r="L289" s="3" t="s">
        <v>59</v>
      </c>
      <c r="M289" s="3" t="s">
        <v>59</v>
      </c>
      <c r="N289" s="3" t="s">
        <v>229</v>
      </c>
      <c r="O289" s="3" t="s">
        <v>71</v>
      </c>
      <c r="P289" s="3" t="s">
        <v>1604</v>
      </c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>
        <v>5500</v>
      </c>
      <c r="AL289" s="4">
        <v>42503</v>
      </c>
      <c r="AM289" s="3"/>
      <c r="AN289" s="3" t="s">
        <v>1605</v>
      </c>
    </row>
    <row r="290" spans="1:40" ht="27.75">
      <c r="A290" s="3">
        <v>284</v>
      </c>
      <c r="B290" s="3" t="str">
        <f>"201600003064"</f>
        <v>201600003064</v>
      </c>
      <c r="C290" s="3">
        <v>105748</v>
      </c>
      <c r="D290" s="3" t="s">
        <v>1606</v>
      </c>
      <c r="E290" s="3">
        <v>20506151547</v>
      </c>
      <c r="F290" s="3" t="s">
        <v>1599</v>
      </c>
      <c r="G290" s="3" t="s">
        <v>1607</v>
      </c>
      <c r="H290" s="3" t="s">
        <v>59</v>
      </c>
      <c r="I290" s="3" t="s">
        <v>59</v>
      </c>
      <c r="J290" s="3" t="s">
        <v>382</v>
      </c>
      <c r="K290" s="3"/>
      <c r="L290" s="3"/>
      <c r="M290" s="3"/>
      <c r="N290" s="3"/>
      <c r="O290" s="3" t="s">
        <v>46</v>
      </c>
      <c r="P290" s="3" t="s">
        <v>1608</v>
      </c>
      <c r="Q290" s="3" t="s">
        <v>1609</v>
      </c>
      <c r="R290" s="3" t="s">
        <v>1610</v>
      </c>
      <c r="S290" s="3" t="s">
        <v>1611</v>
      </c>
      <c r="T290" s="3" t="s">
        <v>1612</v>
      </c>
      <c r="U290" s="3" t="s">
        <v>1613</v>
      </c>
      <c r="V290" s="3" t="s">
        <v>1614</v>
      </c>
      <c r="W290" s="3" t="s">
        <v>1615</v>
      </c>
      <c r="X290" s="3" t="s">
        <v>1616</v>
      </c>
      <c r="Y290" s="3" t="s">
        <v>1617</v>
      </c>
      <c r="Z290" s="3" t="s">
        <v>1618</v>
      </c>
      <c r="AA290" s="3" t="s">
        <v>1619</v>
      </c>
      <c r="AB290" s="3" t="s">
        <v>1620</v>
      </c>
      <c r="AC290" s="3" t="s">
        <v>1621</v>
      </c>
      <c r="AD290" s="3" t="s">
        <v>1622</v>
      </c>
      <c r="AE290" s="3" t="s">
        <v>1623</v>
      </c>
      <c r="AF290" s="3" t="s">
        <v>1624</v>
      </c>
      <c r="AG290" s="3"/>
      <c r="AH290" s="3"/>
      <c r="AI290" s="3"/>
      <c r="AJ290" s="3"/>
      <c r="AK290" s="3">
        <v>14280</v>
      </c>
      <c r="AL290" s="4">
        <v>42394</v>
      </c>
      <c r="AM290" s="3"/>
      <c r="AN290" s="3" t="s">
        <v>1597</v>
      </c>
    </row>
    <row r="291" spans="1:40" ht="13.5">
      <c r="A291" s="3">
        <v>285</v>
      </c>
      <c r="B291" s="3" t="str">
        <f>"201600084187"</f>
        <v>201600084187</v>
      </c>
      <c r="C291" s="3">
        <v>121939</v>
      </c>
      <c r="D291" s="3" t="s">
        <v>1625</v>
      </c>
      <c r="E291" s="3">
        <v>20402173476</v>
      </c>
      <c r="F291" s="3" t="s">
        <v>1626</v>
      </c>
      <c r="G291" s="3" t="s">
        <v>1627</v>
      </c>
      <c r="H291" s="3" t="s">
        <v>219</v>
      </c>
      <c r="I291" s="3" t="s">
        <v>220</v>
      </c>
      <c r="J291" s="3" t="s">
        <v>221</v>
      </c>
      <c r="K291" s="3"/>
      <c r="L291" s="3"/>
      <c r="M291" s="3"/>
      <c r="N291" s="3"/>
      <c r="O291" s="3" t="s">
        <v>46</v>
      </c>
      <c r="P291" s="3" t="s">
        <v>1628</v>
      </c>
      <c r="Q291" s="3" t="s">
        <v>1629</v>
      </c>
      <c r="R291" s="3" t="s">
        <v>1630</v>
      </c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>
        <v>14280</v>
      </c>
      <c r="AL291" s="4">
        <v>42535</v>
      </c>
      <c r="AM291" s="3"/>
      <c r="AN291" s="3" t="s">
        <v>1631</v>
      </c>
    </row>
    <row r="292" spans="1:40" ht="13.5">
      <c r="A292" s="3">
        <v>286</v>
      </c>
      <c r="B292" s="3" t="str">
        <f>"1487685"</f>
        <v>1487685</v>
      </c>
      <c r="C292" s="3">
        <v>92846</v>
      </c>
      <c r="D292" s="3" t="s">
        <v>1632</v>
      </c>
      <c r="E292" s="3">
        <v>20467282388</v>
      </c>
      <c r="F292" s="3" t="s">
        <v>688</v>
      </c>
      <c r="G292" s="3" t="s">
        <v>689</v>
      </c>
      <c r="H292" s="3" t="s">
        <v>127</v>
      </c>
      <c r="I292" s="3" t="s">
        <v>127</v>
      </c>
      <c r="J292" s="3" t="s">
        <v>690</v>
      </c>
      <c r="K292" s="3" t="s">
        <v>689</v>
      </c>
      <c r="L292" s="3"/>
      <c r="M292" s="3"/>
      <c r="N292" s="3"/>
      <c r="O292" s="3" t="s">
        <v>71</v>
      </c>
      <c r="P292" s="3" t="s">
        <v>1633</v>
      </c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>
        <v>3200</v>
      </c>
      <c r="AL292" s="4">
        <v>40704</v>
      </c>
      <c r="AM292" s="3"/>
      <c r="AN292" s="3" t="s">
        <v>692</v>
      </c>
    </row>
    <row r="293" spans="1:40" ht="27.75">
      <c r="A293" s="3">
        <v>287</v>
      </c>
      <c r="B293" s="3" t="str">
        <f>"201900122620"</f>
        <v>201900122620</v>
      </c>
      <c r="C293" s="3">
        <v>118278</v>
      </c>
      <c r="D293" s="3" t="s">
        <v>1634</v>
      </c>
      <c r="E293" s="3">
        <v>20545708729</v>
      </c>
      <c r="F293" s="3" t="s">
        <v>1635</v>
      </c>
      <c r="G293" s="3" t="s">
        <v>1636</v>
      </c>
      <c r="H293" s="3" t="s">
        <v>59</v>
      </c>
      <c r="I293" s="3" t="s">
        <v>59</v>
      </c>
      <c r="J293" s="3" t="s">
        <v>734</v>
      </c>
      <c r="K293" s="3"/>
      <c r="L293" s="3"/>
      <c r="M293" s="3"/>
      <c r="N293" s="3"/>
      <c r="O293" s="3" t="s">
        <v>46</v>
      </c>
      <c r="P293" s="3" t="s">
        <v>1637</v>
      </c>
      <c r="Q293" s="3" t="s">
        <v>795</v>
      </c>
      <c r="R293" s="3" t="s">
        <v>794</v>
      </c>
      <c r="S293" s="3" t="s">
        <v>793</v>
      </c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>
        <v>12700</v>
      </c>
      <c r="AL293" s="4">
        <v>43704</v>
      </c>
      <c r="AM293" s="3"/>
      <c r="AN293" s="3" t="s">
        <v>637</v>
      </c>
    </row>
    <row r="294" spans="1:40" ht="27.75">
      <c r="A294" s="3">
        <v>288</v>
      </c>
      <c r="B294" s="3" t="str">
        <f>"201900154051"</f>
        <v>201900154051</v>
      </c>
      <c r="C294" s="3">
        <v>117087</v>
      </c>
      <c r="D294" s="3" t="s">
        <v>1638</v>
      </c>
      <c r="E294" s="3">
        <v>20604767114</v>
      </c>
      <c r="F294" s="3" t="s">
        <v>1639</v>
      </c>
      <c r="G294" s="3" t="s">
        <v>1640</v>
      </c>
      <c r="H294" s="3" t="s">
        <v>59</v>
      </c>
      <c r="I294" s="3" t="s">
        <v>59</v>
      </c>
      <c r="J294" s="3" t="s">
        <v>250</v>
      </c>
      <c r="K294" s="3"/>
      <c r="L294" s="3"/>
      <c r="M294" s="3"/>
      <c r="N294" s="3"/>
      <c r="O294" s="3" t="s">
        <v>71</v>
      </c>
      <c r="P294" s="3" t="s">
        <v>1641</v>
      </c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>
        <v>6200</v>
      </c>
      <c r="AL294" s="4">
        <v>43734</v>
      </c>
      <c r="AM294" s="3"/>
      <c r="AN294" s="3" t="s">
        <v>1642</v>
      </c>
    </row>
    <row r="295" spans="1:40" ht="13.5">
      <c r="A295" s="3">
        <v>289</v>
      </c>
      <c r="B295" s="3" t="str">
        <f>"201700085583"</f>
        <v>201700085583</v>
      </c>
      <c r="C295" s="3">
        <v>128997</v>
      </c>
      <c r="D295" s="3" t="s">
        <v>1643</v>
      </c>
      <c r="E295" s="3">
        <v>20541487710</v>
      </c>
      <c r="F295" s="3" t="s">
        <v>1644</v>
      </c>
      <c r="G295" s="3" t="s">
        <v>1645</v>
      </c>
      <c r="H295" s="3" t="s">
        <v>219</v>
      </c>
      <c r="I295" s="3" t="s">
        <v>1177</v>
      </c>
      <c r="J295" s="3" t="s">
        <v>1646</v>
      </c>
      <c r="K295" s="3" t="s">
        <v>1645</v>
      </c>
      <c r="L295" s="3" t="s">
        <v>219</v>
      </c>
      <c r="M295" s="3" t="s">
        <v>1177</v>
      </c>
      <c r="N295" s="3" t="s">
        <v>1646</v>
      </c>
      <c r="O295" s="3" t="s">
        <v>46</v>
      </c>
      <c r="P295" s="3" t="s">
        <v>1647</v>
      </c>
      <c r="Q295" s="3" t="s">
        <v>1648</v>
      </c>
      <c r="R295" s="3" t="s">
        <v>1649</v>
      </c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>
        <v>14000</v>
      </c>
      <c r="AL295" s="4">
        <v>42906</v>
      </c>
      <c r="AM295" s="3"/>
      <c r="AN295" s="3" t="s">
        <v>1650</v>
      </c>
    </row>
    <row r="296" spans="1:40" ht="27.75">
      <c r="A296" s="3">
        <v>290</v>
      </c>
      <c r="B296" s="3" t="str">
        <f>"202000147605"</f>
        <v>202000147605</v>
      </c>
      <c r="C296" s="3">
        <v>152028</v>
      </c>
      <c r="D296" s="3" t="s">
        <v>1651</v>
      </c>
      <c r="E296" s="3">
        <v>20604178704</v>
      </c>
      <c r="F296" s="3" t="s">
        <v>1652</v>
      </c>
      <c r="G296" s="3" t="s">
        <v>1653</v>
      </c>
      <c r="H296" s="3" t="s">
        <v>85</v>
      </c>
      <c r="I296" s="3" t="s">
        <v>86</v>
      </c>
      <c r="J296" s="3" t="s">
        <v>86</v>
      </c>
      <c r="K296" s="3"/>
      <c r="L296" s="3"/>
      <c r="M296" s="3"/>
      <c r="N296" s="3"/>
      <c r="O296" s="3" t="s">
        <v>46</v>
      </c>
      <c r="P296" s="3" t="s">
        <v>1654</v>
      </c>
      <c r="Q296" s="3" t="s">
        <v>1655</v>
      </c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>
        <v>14000</v>
      </c>
      <c r="AL296" s="4">
        <v>44129</v>
      </c>
      <c r="AM296" s="3"/>
      <c r="AN296" s="3" t="s">
        <v>1656</v>
      </c>
    </row>
    <row r="297" spans="1:40" ht="27.75">
      <c r="A297" s="3">
        <v>291</v>
      </c>
      <c r="B297" s="3" t="str">
        <f>"202000078339"</f>
        <v>202000078339</v>
      </c>
      <c r="C297" s="3">
        <v>149904</v>
      </c>
      <c r="D297" s="3" t="s">
        <v>1657</v>
      </c>
      <c r="E297" s="3">
        <v>20558087758</v>
      </c>
      <c r="F297" s="3" t="s">
        <v>1658</v>
      </c>
      <c r="G297" s="3" t="s">
        <v>1659</v>
      </c>
      <c r="H297" s="3" t="s">
        <v>1498</v>
      </c>
      <c r="I297" s="3" t="s">
        <v>1499</v>
      </c>
      <c r="J297" s="3" t="s">
        <v>1660</v>
      </c>
      <c r="K297" s="3" t="s">
        <v>1661</v>
      </c>
      <c r="L297" s="3" t="s">
        <v>44</v>
      </c>
      <c r="M297" s="3" t="s">
        <v>44</v>
      </c>
      <c r="N297" s="3" t="s">
        <v>1403</v>
      </c>
      <c r="O297" s="3" t="s">
        <v>71</v>
      </c>
      <c r="P297" s="3" t="s">
        <v>1662</v>
      </c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>
        <v>6500</v>
      </c>
      <c r="AL297" s="4">
        <v>44050</v>
      </c>
      <c r="AM297" s="3"/>
      <c r="AN297" s="3" t="s">
        <v>1663</v>
      </c>
    </row>
    <row r="298" spans="1:40" ht="13.5">
      <c r="A298" s="3">
        <v>292</v>
      </c>
      <c r="B298" s="3" t="str">
        <f>"201300038751"</f>
        <v>201300038751</v>
      </c>
      <c r="C298" s="3">
        <v>101164</v>
      </c>
      <c r="D298" s="3" t="s">
        <v>1664</v>
      </c>
      <c r="E298" s="3">
        <v>20545708729</v>
      </c>
      <c r="F298" s="3" t="s">
        <v>1665</v>
      </c>
      <c r="G298" s="3" t="s">
        <v>1666</v>
      </c>
      <c r="H298" s="3" t="s">
        <v>59</v>
      </c>
      <c r="I298" s="3" t="s">
        <v>59</v>
      </c>
      <c r="J298" s="3" t="s">
        <v>734</v>
      </c>
      <c r="K298" s="3" t="s">
        <v>1666</v>
      </c>
      <c r="L298" s="3" t="s">
        <v>59</v>
      </c>
      <c r="M298" s="3" t="s">
        <v>59</v>
      </c>
      <c r="N298" s="3" t="s">
        <v>734</v>
      </c>
      <c r="O298" s="3" t="s">
        <v>71</v>
      </c>
      <c r="P298" s="3" t="s">
        <v>1667</v>
      </c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>
        <v>6500</v>
      </c>
      <c r="AL298" s="4">
        <v>41324</v>
      </c>
      <c r="AM298" s="3"/>
      <c r="AN298" s="3" t="s">
        <v>637</v>
      </c>
    </row>
    <row r="299" spans="1:40" ht="13.5">
      <c r="A299" s="3">
        <v>293</v>
      </c>
      <c r="B299" s="3" t="str">
        <f>"201600052582"</f>
        <v>201600052582</v>
      </c>
      <c r="C299" s="3">
        <v>120838</v>
      </c>
      <c r="D299" s="3" t="s">
        <v>1668</v>
      </c>
      <c r="E299" s="3">
        <v>20522217574</v>
      </c>
      <c r="F299" s="3" t="s">
        <v>227</v>
      </c>
      <c r="G299" s="3" t="s">
        <v>1581</v>
      </c>
      <c r="H299" s="3" t="s">
        <v>85</v>
      </c>
      <c r="I299" s="3" t="s">
        <v>86</v>
      </c>
      <c r="J299" s="3" t="s">
        <v>86</v>
      </c>
      <c r="K299" s="3"/>
      <c r="L299" s="3"/>
      <c r="M299" s="3"/>
      <c r="N299" s="3"/>
      <c r="O299" s="3" t="s">
        <v>46</v>
      </c>
      <c r="P299" s="3" t="s">
        <v>1669</v>
      </c>
      <c r="Q299" s="3" t="s">
        <v>327</v>
      </c>
      <c r="R299" s="3" t="s">
        <v>715</v>
      </c>
      <c r="S299" s="3" t="s">
        <v>716</v>
      </c>
      <c r="T299" s="3" t="s">
        <v>717</v>
      </c>
      <c r="U299" s="3" t="s">
        <v>718</v>
      </c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>
        <v>14000</v>
      </c>
      <c r="AL299" s="4">
        <v>42473</v>
      </c>
      <c r="AM299" s="3"/>
      <c r="AN299" s="3" t="s">
        <v>1583</v>
      </c>
    </row>
    <row r="300" spans="1:40" ht="13.5">
      <c r="A300" s="3">
        <v>294</v>
      </c>
      <c r="B300" s="3" t="str">
        <f>"201700084709"</f>
        <v>201700084709</v>
      </c>
      <c r="C300" s="3">
        <v>113585</v>
      </c>
      <c r="D300" s="3" t="s">
        <v>1670</v>
      </c>
      <c r="E300" s="3">
        <v>20522217574</v>
      </c>
      <c r="F300" s="3" t="s">
        <v>227</v>
      </c>
      <c r="G300" s="3" t="s">
        <v>1671</v>
      </c>
      <c r="H300" s="3" t="s">
        <v>59</v>
      </c>
      <c r="I300" s="3" t="s">
        <v>59</v>
      </c>
      <c r="J300" s="3" t="s">
        <v>229</v>
      </c>
      <c r="K300" s="3"/>
      <c r="L300" s="3"/>
      <c r="M300" s="3"/>
      <c r="N300" s="3"/>
      <c r="O300" s="3" t="s">
        <v>71</v>
      </c>
      <c r="P300" s="3" t="s">
        <v>1672</v>
      </c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>
        <v>6000</v>
      </c>
      <c r="AL300" s="4">
        <v>42893</v>
      </c>
      <c r="AM300" s="3"/>
      <c r="AN300" s="3" t="s">
        <v>231</v>
      </c>
    </row>
    <row r="301" spans="1:40" ht="13.5">
      <c r="A301" s="3">
        <v>295</v>
      </c>
      <c r="B301" s="3" t="str">
        <f>"202000123003"</f>
        <v>202000123003</v>
      </c>
      <c r="C301" s="3">
        <v>151269</v>
      </c>
      <c r="D301" s="3" t="s">
        <v>1673</v>
      </c>
      <c r="E301" s="3">
        <v>20542206188</v>
      </c>
      <c r="F301" s="3" t="s">
        <v>1674</v>
      </c>
      <c r="G301" s="3" t="s">
        <v>1675</v>
      </c>
      <c r="H301" s="3" t="s">
        <v>175</v>
      </c>
      <c r="I301" s="3" t="s">
        <v>175</v>
      </c>
      <c r="J301" s="3" t="s">
        <v>418</v>
      </c>
      <c r="K301" s="3"/>
      <c r="L301" s="3"/>
      <c r="M301" s="3"/>
      <c r="N301" s="3"/>
      <c r="O301" s="3" t="s">
        <v>71</v>
      </c>
      <c r="P301" s="3" t="s">
        <v>1676</v>
      </c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>
        <v>6500</v>
      </c>
      <c r="AL301" s="4">
        <v>44095</v>
      </c>
      <c r="AM301" s="3"/>
      <c r="AN301" s="3" t="s">
        <v>1677</v>
      </c>
    </row>
    <row r="302" spans="1:40" ht="13.5">
      <c r="A302" s="3">
        <v>296</v>
      </c>
      <c r="B302" s="3" t="str">
        <f>"201800200714"</f>
        <v>201800200714</v>
      </c>
      <c r="C302" s="3">
        <v>105323</v>
      </c>
      <c r="D302" s="3" t="s">
        <v>1678</v>
      </c>
      <c r="E302" s="3">
        <v>20530919626</v>
      </c>
      <c r="F302" s="3" t="s">
        <v>1679</v>
      </c>
      <c r="G302" s="3" t="s">
        <v>1680</v>
      </c>
      <c r="H302" s="3" t="s">
        <v>59</v>
      </c>
      <c r="I302" s="3" t="s">
        <v>235</v>
      </c>
      <c r="J302" s="3" t="s">
        <v>1681</v>
      </c>
      <c r="K302" s="3" t="s">
        <v>1680</v>
      </c>
      <c r="L302" s="3" t="s">
        <v>59</v>
      </c>
      <c r="M302" s="3" t="s">
        <v>235</v>
      </c>
      <c r="N302" s="3" t="s">
        <v>1681</v>
      </c>
      <c r="O302" s="3" t="s">
        <v>46</v>
      </c>
      <c r="P302" s="3" t="s">
        <v>1682</v>
      </c>
      <c r="Q302" s="3" t="s">
        <v>1683</v>
      </c>
      <c r="R302" s="3" t="s">
        <v>1684</v>
      </c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>
        <v>14000</v>
      </c>
      <c r="AL302" s="4">
        <v>43438</v>
      </c>
      <c r="AM302" s="3"/>
      <c r="AN302" s="3" t="s">
        <v>1685</v>
      </c>
    </row>
    <row r="303" spans="1:40" ht="13.5">
      <c r="A303" s="3">
        <v>297</v>
      </c>
      <c r="B303" s="3" t="str">
        <f>"201700025017"</f>
        <v>201700025017</v>
      </c>
      <c r="C303" s="3">
        <v>112189</v>
      </c>
      <c r="D303" s="3" t="s">
        <v>1686</v>
      </c>
      <c r="E303" s="3">
        <v>20519765170</v>
      </c>
      <c r="F303" s="3" t="s">
        <v>1134</v>
      </c>
      <c r="G303" s="3" t="s">
        <v>1135</v>
      </c>
      <c r="H303" s="3" t="s">
        <v>109</v>
      </c>
      <c r="I303" s="3" t="s">
        <v>109</v>
      </c>
      <c r="J303" s="3" t="s">
        <v>109</v>
      </c>
      <c r="K303" s="3" t="s">
        <v>1135</v>
      </c>
      <c r="L303" s="3" t="s">
        <v>109</v>
      </c>
      <c r="M303" s="3" t="s">
        <v>109</v>
      </c>
      <c r="N303" s="3" t="s">
        <v>109</v>
      </c>
      <c r="O303" s="3" t="s">
        <v>46</v>
      </c>
      <c r="P303" s="3" t="s">
        <v>1687</v>
      </c>
      <c r="Q303" s="3" t="s">
        <v>1137</v>
      </c>
      <c r="R303" s="3" t="s">
        <v>1688</v>
      </c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>
        <v>13000</v>
      </c>
      <c r="AL303" s="4">
        <v>42793</v>
      </c>
      <c r="AM303" s="3"/>
      <c r="AN303" s="3" t="s">
        <v>1139</v>
      </c>
    </row>
    <row r="304" spans="1:40" ht="13.5">
      <c r="A304" s="3">
        <v>298</v>
      </c>
      <c r="B304" s="3" t="str">
        <f>"201400010532"</f>
        <v>201400010532</v>
      </c>
      <c r="C304" s="3">
        <v>101161</v>
      </c>
      <c r="D304" s="3" t="s">
        <v>1689</v>
      </c>
      <c r="E304" s="3">
        <v>20542204188</v>
      </c>
      <c r="F304" s="3" t="s">
        <v>416</v>
      </c>
      <c r="G304" s="3" t="s">
        <v>1690</v>
      </c>
      <c r="H304" s="3" t="s">
        <v>175</v>
      </c>
      <c r="I304" s="3" t="s">
        <v>175</v>
      </c>
      <c r="J304" s="3" t="s">
        <v>418</v>
      </c>
      <c r="K304" s="3"/>
      <c r="L304" s="3"/>
      <c r="M304" s="3"/>
      <c r="N304" s="3"/>
      <c r="O304" s="3" t="s">
        <v>71</v>
      </c>
      <c r="P304" s="3" t="s">
        <v>1691</v>
      </c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>
        <v>4300</v>
      </c>
      <c r="AL304" s="4">
        <v>41668</v>
      </c>
      <c r="AM304" s="3"/>
      <c r="AN304" s="3" t="s">
        <v>420</v>
      </c>
    </row>
    <row r="305" spans="1:40" ht="13.5">
      <c r="A305" s="3">
        <v>299</v>
      </c>
      <c r="B305" s="3" t="str">
        <f>"201600068346"</f>
        <v>201600068346</v>
      </c>
      <c r="C305" s="3">
        <v>89954</v>
      </c>
      <c r="D305" s="3" t="s">
        <v>1692</v>
      </c>
      <c r="E305" s="3">
        <v>20600920228</v>
      </c>
      <c r="F305" s="3" t="s">
        <v>608</v>
      </c>
      <c r="G305" s="3" t="s">
        <v>228</v>
      </c>
      <c r="H305" s="3" t="s">
        <v>59</v>
      </c>
      <c r="I305" s="3" t="s">
        <v>59</v>
      </c>
      <c r="J305" s="3" t="s">
        <v>229</v>
      </c>
      <c r="K305" s="3" t="s">
        <v>228</v>
      </c>
      <c r="L305" s="3" t="s">
        <v>59</v>
      </c>
      <c r="M305" s="3" t="s">
        <v>59</v>
      </c>
      <c r="N305" s="3" t="s">
        <v>229</v>
      </c>
      <c r="O305" s="3" t="s">
        <v>71</v>
      </c>
      <c r="P305" s="3" t="s">
        <v>1693</v>
      </c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>
        <v>5500</v>
      </c>
      <c r="AL305" s="4">
        <v>42503</v>
      </c>
      <c r="AM305" s="3"/>
      <c r="AN305" s="3" t="s">
        <v>1694</v>
      </c>
    </row>
    <row r="306" spans="1:40" ht="13.5">
      <c r="A306" s="3">
        <v>300</v>
      </c>
      <c r="B306" s="3" t="str">
        <f>"202000011824"</f>
        <v>202000011824</v>
      </c>
      <c r="C306" s="3">
        <v>95108</v>
      </c>
      <c r="D306" s="3" t="s">
        <v>1695</v>
      </c>
      <c r="E306" s="3">
        <v>20485842170</v>
      </c>
      <c r="F306" s="3" t="s">
        <v>1696</v>
      </c>
      <c r="G306" s="3" t="s">
        <v>1697</v>
      </c>
      <c r="H306" s="3" t="s">
        <v>219</v>
      </c>
      <c r="I306" s="3" t="s">
        <v>220</v>
      </c>
      <c r="J306" s="3" t="s">
        <v>410</v>
      </c>
      <c r="K306" s="3" t="s">
        <v>1697</v>
      </c>
      <c r="L306" s="3" t="s">
        <v>219</v>
      </c>
      <c r="M306" s="3" t="s">
        <v>220</v>
      </c>
      <c r="N306" s="3" t="s">
        <v>410</v>
      </c>
      <c r="O306" s="3" t="s">
        <v>46</v>
      </c>
      <c r="P306" s="3" t="s">
        <v>1698</v>
      </c>
      <c r="Q306" s="3" t="s">
        <v>1699</v>
      </c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>
        <v>10000</v>
      </c>
      <c r="AL306" s="4">
        <v>43851</v>
      </c>
      <c r="AM306" s="3"/>
      <c r="AN306" s="3" t="s">
        <v>1700</v>
      </c>
    </row>
    <row r="307" spans="1:40" ht="13.5">
      <c r="A307" s="3">
        <v>301</v>
      </c>
      <c r="B307" s="3" t="str">
        <f>"201600084172"</f>
        <v>201600084172</v>
      </c>
      <c r="C307" s="3">
        <v>121938</v>
      </c>
      <c r="D307" s="3" t="s">
        <v>1701</v>
      </c>
      <c r="E307" s="3">
        <v>20402173476</v>
      </c>
      <c r="F307" s="3" t="s">
        <v>1626</v>
      </c>
      <c r="G307" s="3" t="s">
        <v>1627</v>
      </c>
      <c r="H307" s="3" t="s">
        <v>219</v>
      </c>
      <c r="I307" s="3" t="s">
        <v>220</v>
      </c>
      <c r="J307" s="3" t="s">
        <v>221</v>
      </c>
      <c r="K307" s="3"/>
      <c r="L307" s="3"/>
      <c r="M307" s="3"/>
      <c r="N307" s="3"/>
      <c r="O307" s="3" t="s">
        <v>46</v>
      </c>
      <c r="P307" s="3" t="s">
        <v>1702</v>
      </c>
      <c r="Q307" s="3" t="s">
        <v>1630</v>
      </c>
      <c r="R307" s="3" t="s">
        <v>1629</v>
      </c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>
        <v>14280</v>
      </c>
      <c r="AL307" s="4">
        <v>42534</v>
      </c>
      <c r="AM307" s="3"/>
      <c r="AN307" s="3" t="s">
        <v>1631</v>
      </c>
    </row>
    <row r="308" spans="1:40" ht="13.5">
      <c r="A308" s="3">
        <v>302</v>
      </c>
      <c r="B308" s="3" t="str">
        <f>"201800040908"</f>
        <v>201800040908</v>
      </c>
      <c r="C308" s="3">
        <v>119686</v>
      </c>
      <c r="D308" s="3" t="s">
        <v>1703</v>
      </c>
      <c r="E308" s="3">
        <v>20517767396</v>
      </c>
      <c r="F308" s="3" t="s">
        <v>980</v>
      </c>
      <c r="G308" s="3" t="s">
        <v>1704</v>
      </c>
      <c r="H308" s="3" t="s">
        <v>59</v>
      </c>
      <c r="I308" s="3" t="s">
        <v>59</v>
      </c>
      <c r="J308" s="3" t="s">
        <v>581</v>
      </c>
      <c r="K308" s="3" t="s">
        <v>1705</v>
      </c>
      <c r="L308" s="3" t="s">
        <v>59</v>
      </c>
      <c r="M308" s="3" t="s">
        <v>59</v>
      </c>
      <c r="N308" s="3" t="s">
        <v>581</v>
      </c>
      <c r="O308" s="3" t="s">
        <v>46</v>
      </c>
      <c r="P308" s="3" t="s">
        <v>1706</v>
      </c>
      <c r="Q308" s="3" t="s">
        <v>586</v>
      </c>
      <c r="R308" s="3" t="s">
        <v>583</v>
      </c>
      <c r="S308" s="3" t="s">
        <v>585</v>
      </c>
      <c r="T308" s="3" t="s">
        <v>589</v>
      </c>
      <c r="U308" s="3" t="s">
        <v>588</v>
      </c>
      <c r="V308" s="3" t="s">
        <v>1707</v>
      </c>
      <c r="W308" s="3" t="s">
        <v>584</v>
      </c>
      <c r="X308" s="3" t="s">
        <v>1708</v>
      </c>
      <c r="Y308" s="3" t="s">
        <v>1709</v>
      </c>
      <c r="Z308" s="3" t="s">
        <v>1710</v>
      </c>
      <c r="AA308" s="3" t="s">
        <v>1711</v>
      </c>
      <c r="AB308" s="3" t="s">
        <v>587</v>
      </c>
      <c r="AC308" s="3"/>
      <c r="AD308" s="3"/>
      <c r="AE308" s="3"/>
      <c r="AF308" s="3"/>
      <c r="AG308" s="3"/>
      <c r="AH308" s="3"/>
      <c r="AI308" s="3"/>
      <c r="AJ308" s="3"/>
      <c r="AK308" s="3">
        <v>14000</v>
      </c>
      <c r="AL308" s="4">
        <v>43179</v>
      </c>
      <c r="AM308" s="3"/>
      <c r="AN308" s="3" t="s">
        <v>983</v>
      </c>
    </row>
    <row r="309" spans="1:40" ht="27.75">
      <c r="A309" s="3">
        <v>303</v>
      </c>
      <c r="B309" s="3" t="str">
        <f>"201700085301"</f>
        <v>201700085301</v>
      </c>
      <c r="C309" s="3">
        <v>116326</v>
      </c>
      <c r="D309" s="3" t="s">
        <v>1712</v>
      </c>
      <c r="E309" s="3">
        <v>20449333731</v>
      </c>
      <c r="F309" s="3" t="s">
        <v>372</v>
      </c>
      <c r="G309" s="3" t="s">
        <v>373</v>
      </c>
      <c r="H309" s="3" t="s">
        <v>109</v>
      </c>
      <c r="I309" s="3" t="s">
        <v>109</v>
      </c>
      <c r="J309" s="3" t="s">
        <v>109</v>
      </c>
      <c r="K309" s="3" t="s">
        <v>1713</v>
      </c>
      <c r="L309" s="3" t="s">
        <v>109</v>
      </c>
      <c r="M309" s="3" t="s">
        <v>109</v>
      </c>
      <c r="N309" s="3" t="s">
        <v>109</v>
      </c>
      <c r="O309" s="3" t="s">
        <v>46</v>
      </c>
      <c r="P309" s="3" t="s">
        <v>1714</v>
      </c>
      <c r="Q309" s="3" t="s">
        <v>377</v>
      </c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>
        <v>13000</v>
      </c>
      <c r="AL309" s="4">
        <v>42895</v>
      </c>
      <c r="AM309" s="3"/>
      <c r="AN309" s="3" t="s">
        <v>1715</v>
      </c>
    </row>
    <row r="310" spans="1:40" ht="13.5">
      <c r="A310" s="3">
        <v>304</v>
      </c>
      <c r="B310" s="3" t="str">
        <f>"201500129353"</f>
        <v>201500129353</v>
      </c>
      <c r="C310" s="3">
        <v>117688</v>
      </c>
      <c r="D310" s="3" t="s">
        <v>1716</v>
      </c>
      <c r="E310" s="3">
        <v>20143743374</v>
      </c>
      <c r="F310" s="3" t="s">
        <v>1124</v>
      </c>
      <c r="G310" s="3" t="s">
        <v>1717</v>
      </c>
      <c r="H310" s="3" t="s">
        <v>85</v>
      </c>
      <c r="I310" s="3" t="s">
        <v>86</v>
      </c>
      <c r="J310" s="3" t="s">
        <v>86</v>
      </c>
      <c r="K310" s="3"/>
      <c r="L310" s="3"/>
      <c r="M310" s="3"/>
      <c r="N310" s="3"/>
      <c r="O310" s="3" t="s">
        <v>46</v>
      </c>
      <c r="P310" s="3" t="s">
        <v>1718</v>
      </c>
      <c r="Q310" s="3" t="s">
        <v>1719</v>
      </c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>
        <v>14000</v>
      </c>
      <c r="AL310" s="4">
        <v>42279</v>
      </c>
      <c r="AM310" s="3"/>
      <c r="AN310" s="3" t="s">
        <v>1127</v>
      </c>
    </row>
    <row r="311" spans="1:40" ht="13.5">
      <c r="A311" s="3">
        <v>305</v>
      </c>
      <c r="B311" s="3" t="str">
        <f>"201800190330"</f>
        <v>201800190330</v>
      </c>
      <c r="C311" s="3">
        <v>139689</v>
      </c>
      <c r="D311" s="3" t="s">
        <v>1720</v>
      </c>
      <c r="E311" s="3">
        <v>10225214561</v>
      </c>
      <c r="F311" s="3" t="s">
        <v>1721</v>
      </c>
      <c r="G311" s="3" t="s">
        <v>1722</v>
      </c>
      <c r="H311" s="3" t="s">
        <v>515</v>
      </c>
      <c r="I311" s="3" t="s">
        <v>515</v>
      </c>
      <c r="J311" s="3" t="s">
        <v>515</v>
      </c>
      <c r="K311" s="3"/>
      <c r="L311" s="3"/>
      <c r="M311" s="3"/>
      <c r="N311" s="3"/>
      <c r="O311" s="3" t="s">
        <v>71</v>
      </c>
      <c r="P311" s="3" t="s">
        <v>1723</v>
      </c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>
        <v>5500</v>
      </c>
      <c r="AL311" s="4">
        <v>43420</v>
      </c>
      <c r="AM311" s="3"/>
      <c r="AN311" s="3" t="s">
        <v>1721</v>
      </c>
    </row>
    <row r="312" spans="1:40" ht="13.5">
      <c r="A312" s="3">
        <v>306</v>
      </c>
      <c r="B312" s="3" t="str">
        <f>"202000074416"</f>
        <v>202000074416</v>
      </c>
      <c r="C312" s="3">
        <v>122977</v>
      </c>
      <c r="D312" s="3" t="s">
        <v>1724</v>
      </c>
      <c r="E312" s="3">
        <v>20486100487</v>
      </c>
      <c r="F312" s="3" t="s">
        <v>1725</v>
      </c>
      <c r="G312" s="3" t="s">
        <v>1726</v>
      </c>
      <c r="H312" s="3" t="s">
        <v>219</v>
      </c>
      <c r="I312" s="3" t="s">
        <v>220</v>
      </c>
      <c r="J312" s="3" t="s">
        <v>410</v>
      </c>
      <c r="K312" s="3" t="s">
        <v>1726</v>
      </c>
      <c r="L312" s="3" t="s">
        <v>219</v>
      </c>
      <c r="M312" s="3" t="s">
        <v>220</v>
      </c>
      <c r="N312" s="3" t="s">
        <v>410</v>
      </c>
      <c r="O312" s="3" t="s">
        <v>46</v>
      </c>
      <c r="P312" s="3" t="s">
        <v>1727</v>
      </c>
      <c r="Q312" s="3" t="s">
        <v>1728</v>
      </c>
      <c r="R312" s="3" t="s">
        <v>1729</v>
      </c>
      <c r="S312" s="3" t="s">
        <v>1730</v>
      </c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>
        <v>13500</v>
      </c>
      <c r="AL312" s="4">
        <v>44015</v>
      </c>
      <c r="AM312" s="3"/>
      <c r="AN312" s="3" t="s">
        <v>1731</v>
      </c>
    </row>
    <row r="313" spans="1:40" ht="13.5">
      <c r="A313" s="3">
        <v>307</v>
      </c>
      <c r="B313" s="3" t="str">
        <f>"201800122878"</f>
        <v>201800122878</v>
      </c>
      <c r="C313" s="3">
        <v>106552</v>
      </c>
      <c r="D313" s="3" t="s">
        <v>1732</v>
      </c>
      <c r="E313" s="3">
        <v>20458378747</v>
      </c>
      <c r="F313" s="3" t="s">
        <v>57</v>
      </c>
      <c r="G313" s="3" t="s">
        <v>816</v>
      </c>
      <c r="H313" s="3" t="s">
        <v>197</v>
      </c>
      <c r="I313" s="3" t="s">
        <v>260</v>
      </c>
      <c r="J313" s="3" t="s">
        <v>261</v>
      </c>
      <c r="K313" s="3"/>
      <c r="L313" s="3"/>
      <c r="M313" s="3"/>
      <c r="N313" s="3"/>
      <c r="O313" s="3" t="s">
        <v>46</v>
      </c>
      <c r="P313" s="3" t="s">
        <v>1733</v>
      </c>
      <c r="Q313" s="3" t="s">
        <v>263</v>
      </c>
      <c r="R313" s="3" t="s">
        <v>62</v>
      </c>
      <c r="S313" s="3" t="s">
        <v>65</v>
      </c>
      <c r="T313" s="3" t="s">
        <v>64</v>
      </c>
      <c r="U313" s="3" t="s">
        <v>63</v>
      </c>
      <c r="V313" s="3" t="s">
        <v>264</v>
      </c>
      <c r="W313" s="3" t="s">
        <v>265</v>
      </c>
      <c r="X313" s="3" t="s">
        <v>266</v>
      </c>
      <c r="Y313" s="3" t="s">
        <v>1734</v>
      </c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>
        <v>14000</v>
      </c>
      <c r="AL313" s="4">
        <v>43306</v>
      </c>
      <c r="AM313" s="3"/>
      <c r="AN313" s="3" t="s">
        <v>66</v>
      </c>
    </row>
    <row r="314" spans="1:40" ht="13.5">
      <c r="A314" s="3">
        <v>308</v>
      </c>
      <c r="B314" s="3" t="str">
        <f>"201300094374"</f>
        <v>201300094374</v>
      </c>
      <c r="C314" s="3">
        <v>103107</v>
      </c>
      <c r="D314" s="3" t="s">
        <v>1735</v>
      </c>
      <c r="E314" s="3">
        <v>20452453909</v>
      </c>
      <c r="F314" s="3" t="s">
        <v>1736</v>
      </c>
      <c r="G314" s="3" t="s">
        <v>1737</v>
      </c>
      <c r="H314" s="3" t="s">
        <v>197</v>
      </c>
      <c r="I314" s="3" t="s">
        <v>197</v>
      </c>
      <c r="J314" s="3" t="s">
        <v>403</v>
      </c>
      <c r="K314" s="3"/>
      <c r="L314" s="3"/>
      <c r="M314" s="3"/>
      <c r="N314" s="3"/>
      <c r="O314" s="3" t="s">
        <v>46</v>
      </c>
      <c r="P314" s="3" t="s">
        <v>1738</v>
      </c>
      <c r="Q314" s="3" t="s">
        <v>1739</v>
      </c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>
        <v>9000</v>
      </c>
      <c r="AL314" s="4">
        <v>41416</v>
      </c>
      <c r="AM314" s="3"/>
      <c r="AN314" s="3" t="s">
        <v>406</v>
      </c>
    </row>
    <row r="315" spans="1:40" ht="27.75">
      <c r="A315" s="3">
        <v>309</v>
      </c>
      <c r="B315" s="3" t="str">
        <f>"201900127808"</f>
        <v>201900127808</v>
      </c>
      <c r="C315" s="3">
        <v>145393</v>
      </c>
      <c r="D315" s="3" t="s">
        <v>1740</v>
      </c>
      <c r="E315" s="3">
        <v>20354286581</v>
      </c>
      <c r="F315" s="3" t="s">
        <v>1741</v>
      </c>
      <c r="G315" s="3" t="s">
        <v>1742</v>
      </c>
      <c r="H315" s="3" t="s">
        <v>85</v>
      </c>
      <c r="I315" s="3" t="s">
        <v>86</v>
      </c>
      <c r="J315" s="3" t="s">
        <v>86</v>
      </c>
      <c r="K315" s="3" t="s">
        <v>1742</v>
      </c>
      <c r="L315" s="3" t="s">
        <v>85</v>
      </c>
      <c r="M315" s="3" t="s">
        <v>86</v>
      </c>
      <c r="N315" s="3" t="s">
        <v>86</v>
      </c>
      <c r="O315" s="3" t="s">
        <v>46</v>
      </c>
      <c r="P315" s="3" t="s">
        <v>1743</v>
      </c>
      <c r="Q315" s="3" t="s">
        <v>1744</v>
      </c>
      <c r="R315" s="3" t="s">
        <v>1745</v>
      </c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>
        <v>14000</v>
      </c>
      <c r="AL315" s="4">
        <v>43686</v>
      </c>
      <c r="AM315" s="3"/>
      <c r="AN315" s="3" t="s">
        <v>1746</v>
      </c>
    </row>
    <row r="316" spans="1:40" ht="27.75">
      <c r="A316" s="3">
        <v>310</v>
      </c>
      <c r="B316" s="3" t="str">
        <f>"201900137944"</f>
        <v>201900137944</v>
      </c>
      <c r="C316" s="3">
        <v>146145</v>
      </c>
      <c r="D316" s="3" t="s">
        <v>1747</v>
      </c>
      <c r="E316" s="3">
        <v>20603261772</v>
      </c>
      <c r="F316" s="3" t="s">
        <v>1748</v>
      </c>
      <c r="G316" s="3" t="s">
        <v>1749</v>
      </c>
      <c r="H316" s="3" t="s">
        <v>59</v>
      </c>
      <c r="I316" s="3" t="s">
        <v>59</v>
      </c>
      <c r="J316" s="3" t="s">
        <v>102</v>
      </c>
      <c r="K316" s="3"/>
      <c r="L316" s="3"/>
      <c r="M316" s="3"/>
      <c r="N316" s="3"/>
      <c r="O316" s="3" t="s">
        <v>71</v>
      </c>
      <c r="P316" s="3" t="s">
        <v>1750</v>
      </c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>
        <v>2000</v>
      </c>
      <c r="AL316" s="4">
        <v>43708</v>
      </c>
      <c r="AM316" s="3"/>
      <c r="AN316" s="3" t="s">
        <v>1751</v>
      </c>
    </row>
    <row r="317" spans="1:40" ht="13.5">
      <c r="A317" s="3">
        <v>311</v>
      </c>
      <c r="B317" s="3" t="str">
        <f>"201300186539"</f>
        <v>201300186539</v>
      </c>
      <c r="C317" s="3">
        <v>106168</v>
      </c>
      <c r="D317" s="3" t="s">
        <v>1752</v>
      </c>
      <c r="E317" s="3">
        <v>20549098372</v>
      </c>
      <c r="F317" s="3" t="s">
        <v>1753</v>
      </c>
      <c r="G317" s="3" t="s">
        <v>1754</v>
      </c>
      <c r="H317" s="3" t="s">
        <v>59</v>
      </c>
      <c r="I317" s="3" t="s">
        <v>59</v>
      </c>
      <c r="J317" s="3" t="s">
        <v>250</v>
      </c>
      <c r="K317" s="3"/>
      <c r="L317" s="3" t="s">
        <v>59</v>
      </c>
      <c r="M317" s="3" t="s">
        <v>59</v>
      </c>
      <c r="N317" s="3" t="s">
        <v>250</v>
      </c>
      <c r="O317" s="3" t="s">
        <v>46</v>
      </c>
      <c r="P317" s="3" t="s">
        <v>1755</v>
      </c>
      <c r="Q317" s="3" t="s">
        <v>1756</v>
      </c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>
        <v>14000</v>
      </c>
      <c r="AL317" s="4">
        <v>41613</v>
      </c>
      <c r="AM317" s="3"/>
      <c r="AN317" s="3" t="s">
        <v>257</v>
      </c>
    </row>
    <row r="318" spans="1:40" ht="13.5">
      <c r="A318" s="3">
        <v>312</v>
      </c>
      <c r="B318" s="3" t="str">
        <f>"201900127807"</f>
        <v>201900127807</v>
      </c>
      <c r="C318" s="3">
        <v>145406</v>
      </c>
      <c r="D318" s="3" t="s">
        <v>1757</v>
      </c>
      <c r="E318" s="3">
        <v>20481244022</v>
      </c>
      <c r="F318" s="3" t="s">
        <v>597</v>
      </c>
      <c r="G318" s="3" t="s">
        <v>1758</v>
      </c>
      <c r="H318" s="3" t="s">
        <v>85</v>
      </c>
      <c r="I318" s="3" t="s">
        <v>86</v>
      </c>
      <c r="J318" s="3" t="s">
        <v>905</v>
      </c>
      <c r="K318" s="3" t="s">
        <v>1759</v>
      </c>
      <c r="L318" s="3" t="s">
        <v>85</v>
      </c>
      <c r="M318" s="3" t="s">
        <v>86</v>
      </c>
      <c r="N318" s="3" t="s">
        <v>905</v>
      </c>
      <c r="O318" s="3" t="s">
        <v>46</v>
      </c>
      <c r="P318" s="3" t="s">
        <v>1760</v>
      </c>
      <c r="Q318" s="3" t="s">
        <v>1761</v>
      </c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>
        <v>14000</v>
      </c>
      <c r="AL318" s="4">
        <v>43686</v>
      </c>
      <c r="AM318" s="3"/>
      <c r="AN318" s="3" t="s">
        <v>601</v>
      </c>
    </row>
    <row r="319" spans="1:40" ht="13.5">
      <c r="A319" s="3">
        <v>313</v>
      </c>
      <c r="B319" s="3" t="str">
        <f>"201500148789"</f>
        <v>201500148789</v>
      </c>
      <c r="C319" s="3">
        <v>118382</v>
      </c>
      <c r="D319" s="3" t="s">
        <v>1762</v>
      </c>
      <c r="E319" s="3">
        <v>20517774929</v>
      </c>
      <c r="F319" s="3" t="s">
        <v>738</v>
      </c>
      <c r="G319" s="3" t="s">
        <v>739</v>
      </c>
      <c r="H319" s="3" t="s">
        <v>197</v>
      </c>
      <c r="I319" s="3" t="s">
        <v>197</v>
      </c>
      <c r="J319" s="3" t="s">
        <v>197</v>
      </c>
      <c r="K319" s="3" t="s">
        <v>739</v>
      </c>
      <c r="L319" s="3" t="s">
        <v>197</v>
      </c>
      <c r="M319" s="3" t="s">
        <v>197</v>
      </c>
      <c r="N319" s="3" t="s">
        <v>197</v>
      </c>
      <c r="O319" s="3" t="s">
        <v>46</v>
      </c>
      <c r="P319" s="3" t="s">
        <v>1763</v>
      </c>
      <c r="Q319" s="3" t="s">
        <v>1764</v>
      </c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>
        <v>14000</v>
      </c>
      <c r="AL319" s="4">
        <v>42318</v>
      </c>
      <c r="AM319" s="3"/>
      <c r="AN319" s="3" t="s">
        <v>650</v>
      </c>
    </row>
    <row r="320" spans="1:40" ht="27.75">
      <c r="A320" s="3">
        <v>314</v>
      </c>
      <c r="B320" s="3" t="str">
        <f>"201900147458"</f>
        <v>201900147458</v>
      </c>
      <c r="C320" s="3">
        <v>146471</v>
      </c>
      <c r="D320" s="3" t="s">
        <v>1765</v>
      </c>
      <c r="E320" s="3">
        <v>20449333731</v>
      </c>
      <c r="F320" s="3" t="s">
        <v>372</v>
      </c>
      <c r="G320" s="3" t="s">
        <v>1766</v>
      </c>
      <c r="H320" s="3" t="s">
        <v>109</v>
      </c>
      <c r="I320" s="3" t="s">
        <v>109</v>
      </c>
      <c r="J320" s="3" t="s">
        <v>109</v>
      </c>
      <c r="K320" s="3" t="s">
        <v>1766</v>
      </c>
      <c r="L320" s="3" t="s">
        <v>109</v>
      </c>
      <c r="M320" s="3" t="s">
        <v>109</v>
      </c>
      <c r="N320" s="3" t="s">
        <v>109</v>
      </c>
      <c r="O320" s="3" t="s">
        <v>46</v>
      </c>
      <c r="P320" s="3" t="s">
        <v>1767</v>
      </c>
      <c r="Q320" s="3" t="s">
        <v>1768</v>
      </c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>
        <v>13600</v>
      </c>
      <c r="AL320" s="4">
        <v>43718</v>
      </c>
      <c r="AM320" s="3"/>
      <c r="AN320" s="3" t="s">
        <v>378</v>
      </c>
    </row>
    <row r="321" spans="1:40" ht="27.75">
      <c r="A321" s="3">
        <v>315</v>
      </c>
      <c r="B321" s="3" t="str">
        <f>"202000091773"</f>
        <v>202000091773</v>
      </c>
      <c r="C321" s="3">
        <v>150217</v>
      </c>
      <c r="D321" s="3" t="s">
        <v>1769</v>
      </c>
      <c r="E321" s="3">
        <v>20517384209</v>
      </c>
      <c r="F321" s="3" t="s">
        <v>1770</v>
      </c>
      <c r="G321" s="3" t="s">
        <v>1771</v>
      </c>
      <c r="H321" s="3" t="s">
        <v>59</v>
      </c>
      <c r="I321" s="3" t="s">
        <v>59</v>
      </c>
      <c r="J321" s="3" t="s">
        <v>102</v>
      </c>
      <c r="K321" s="3" t="s">
        <v>1771</v>
      </c>
      <c r="L321" s="3" t="s">
        <v>59</v>
      </c>
      <c r="M321" s="3" t="s">
        <v>59</v>
      </c>
      <c r="N321" s="3" t="s">
        <v>102</v>
      </c>
      <c r="O321" s="3" t="s">
        <v>71</v>
      </c>
      <c r="P321" s="3" t="s">
        <v>1772</v>
      </c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>
        <v>6500</v>
      </c>
      <c r="AL321" s="4">
        <v>44055</v>
      </c>
      <c r="AM321" s="3"/>
      <c r="AN321" s="3" t="s">
        <v>1773</v>
      </c>
    </row>
    <row r="322" spans="1:40" ht="27.75">
      <c r="A322" s="3">
        <v>316</v>
      </c>
      <c r="B322" s="3" t="str">
        <f>"201700211965"</f>
        <v>201700211965</v>
      </c>
      <c r="C322" s="3">
        <v>133456</v>
      </c>
      <c r="D322" s="3" t="s">
        <v>1774</v>
      </c>
      <c r="E322" s="3">
        <v>20481642770</v>
      </c>
      <c r="F322" s="3" t="s">
        <v>1775</v>
      </c>
      <c r="G322" s="3" t="s">
        <v>1776</v>
      </c>
      <c r="H322" s="3" t="s">
        <v>85</v>
      </c>
      <c r="I322" s="3" t="s">
        <v>86</v>
      </c>
      <c r="J322" s="3" t="s">
        <v>86</v>
      </c>
      <c r="K322" s="3"/>
      <c r="L322" s="3"/>
      <c r="M322" s="3"/>
      <c r="N322" s="3"/>
      <c r="O322" s="3" t="s">
        <v>46</v>
      </c>
      <c r="P322" s="3" t="s">
        <v>1777</v>
      </c>
      <c r="Q322" s="3" t="s">
        <v>1778</v>
      </c>
      <c r="R322" s="3" t="s">
        <v>1779</v>
      </c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>
        <v>14000</v>
      </c>
      <c r="AL322" s="4">
        <v>43088</v>
      </c>
      <c r="AM322" s="3"/>
      <c r="AN322" s="3" t="s">
        <v>1780</v>
      </c>
    </row>
    <row r="323" spans="1:40" ht="27.75">
      <c r="A323" s="3">
        <v>317</v>
      </c>
      <c r="B323" s="3" t="str">
        <f>"201800038100"</f>
        <v>201800038100</v>
      </c>
      <c r="C323" s="3">
        <v>117916</v>
      </c>
      <c r="D323" s="3" t="s">
        <v>1781</v>
      </c>
      <c r="E323" s="3">
        <v>20540717011</v>
      </c>
      <c r="F323" s="3" t="s">
        <v>195</v>
      </c>
      <c r="G323" s="3" t="s">
        <v>1782</v>
      </c>
      <c r="H323" s="3" t="s">
        <v>197</v>
      </c>
      <c r="I323" s="3" t="s">
        <v>197</v>
      </c>
      <c r="J323" s="3" t="s">
        <v>197</v>
      </c>
      <c r="K323" s="3" t="s">
        <v>1782</v>
      </c>
      <c r="L323" s="3" t="s">
        <v>197</v>
      </c>
      <c r="M323" s="3" t="s">
        <v>197</v>
      </c>
      <c r="N323" s="3" t="s">
        <v>197</v>
      </c>
      <c r="O323" s="3" t="s">
        <v>46</v>
      </c>
      <c r="P323" s="3" t="s">
        <v>1783</v>
      </c>
      <c r="Q323" s="3" t="s">
        <v>1784</v>
      </c>
      <c r="R323" s="3" t="s">
        <v>203</v>
      </c>
      <c r="S323" s="3" t="s">
        <v>201</v>
      </c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>
        <v>13500</v>
      </c>
      <c r="AL323" s="4">
        <v>43166</v>
      </c>
      <c r="AM323" s="3"/>
      <c r="AN323" s="3" t="s">
        <v>1785</v>
      </c>
    </row>
    <row r="324" spans="1:40" ht="27.75">
      <c r="A324" s="3">
        <v>318</v>
      </c>
      <c r="B324" s="3" t="str">
        <f>"201700218565"</f>
        <v>201700218565</v>
      </c>
      <c r="C324" s="3">
        <v>133661</v>
      </c>
      <c r="D324" s="3" t="s">
        <v>1786</v>
      </c>
      <c r="E324" s="3">
        <v>20503840121</v>
      </c>
      <c r="F324" s="3" t="s">
        <v>380</v>
      </c>
      <c r="G324" s="3" t="s">
        <v>1787</v>
      </c>
      <c r="H324" s="3" t="s">
        <v>59</v>
      </c>
      <c r="I324" s="3" t="s">
        <v>59</v>
      </c>
      <c r="J324" s="3" t="s">
        <v>382</v>
      </c>
      <c r="K324" s="3" t="s">
        <v>1199</v>
      </c>
      <c r="L324" s="3" t="s">
        <v>59</v>
      </c>
      <c r="M324" s="3" t="s">
        <v>59</v>
      </c>
      <c r="N324" s="3" t="s">
        <v>382</v>
      </c>
      <c r="O324" s="3" t="s">
        <v>71</v>
      </c>
      <c r="P324" s="3" t="s">
        <v>1788</v>
      </c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>
        <v>6500</v>
      </c>
      <c r="AL324" s="4">
        <v>43104</v>
      </c>
      <c r="AM324" s="3"/>
      <c r="AN324" s="3" t="s">
        <v>1201</v>
      </c>
    </row>
    <row r="325" spans="1:40" ht="13.5">
      <c r="A325" s="3">
        <v>319</v>
      </c>
      <c r="B325" s="3" t="str">
        <f>"202000003335"</f>
        <v>202000003335</v>
      </c>
      <c r="C325" s="3">
        <v>141589</v>
      </c>
      <c r="D325" s="3" t="s">
        <v>1789</v>
      </c>
      <c r="E325" s="3">
        <v>20551197591</v>
      </c>
      <c r="F325" s="3" t="s">
        <v>1790</v>
      </c>
      <c r="G325" s="3" t="s">
        <v>1791</v>
      </c>
      <c r="H325" s="3" t="s">
        <v>219</v>
      </c>
      <c r="I325" s="3" t="s">
        <v>220</v>
      </c>
      <c r="J325" s="3" t="s">
        <v>221</v>
      </c>
      <c r="K325" s="3" t="s">
        <v>1792</v>
      </c>
      <c r="L325" s="3" t="s">
        <v>219</v>
      </c>
      <c r="M325" s="3" t="s">
        <v>220</v>
      </c>
      <c r="N325" s="3" t="s">
        <v>221</v>
      </c>
      <c r="O325" s="3" t="s">
        <v>71</v>
      </c>
      <c r="P325" s="3" t="s">
        <v>1793</v>
      </c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>
        <v>6700</v>
      </c>
      <c r="AL325" s="4">
        <v>43843</v>
      </c>
      <c r="AM325" s="3"/>
      <c r="AN325" s="3" t="s">
        <v>1794</v>
      </c>
    </row>
    <row r="326" spans="1:40" ht="13.5">
      <c r="A326" s="3">
        <v>320</v>
      </c>
      <c r="B326" s="3" t="str">
        <f>"201400010197"</f>
        <v>201400010197</v>
      </c>
      <c r="C326" s="3">
        <v>107681</v>
      </c>
      <c r="D326" s="3" t="s">
        <v>1795</v>
      </c>
      <c r="E326" s="3">
        <v>20367525135</v>
      </c>
      <c r="F326" s="3" t="s">
        <v>1796</v>
      </c>
      <c r="G326" s="3" t="s">
        <v>1797</v>
      </c>
      <c r="H326" s="3" t="s">
        <v>197</v>
      </c>
      <c r="I326" s="3" t="s">
        <v>260</v>
      </c>
      <c r="J326" s="3" t="s">
        <v>261</v>
      </c>
      <c r="K326" s="3" t="s">
        <v>1797</v>
      </c>
      <c r="L326" s="3" t="s">
        <v>197</v>
      </c>
      <c r="M326" s="3" t="s">
        <v>260</v>
      </c>
      <c r="N326" s="3" t="s">
        <v>261</v>
      </c>
      <c r="O326" s="3" t="s">
        <v>71</v>
      </c>
      <c r="P326" s="3" t="s">
        <v>1798</v>
      </c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>
        <v>6400</v>
      </c>
      <c r="AL326" s="4">
        <v>41667</v>
      </c>
      <c r="AM326" s="3"/>
      <c r="AN326" s="3" t="s">
        <v>1799</v>
      </c>
    </row>
    <row r="327" spans="1:40" ht="27.75">
      <c r="A327" s="3">
        <v>321</v>
      </c>
      <c r="B327" s="3" t="str">
        <f>"201700211968"</f>
        <v>201700211968</v>
      </c>
      <c r="C327" s="3">
        <v>133455</v>
      </c>
      <c r="D327" s="3" t="s">
        <v>1800</v>
      </c>
      <c r="E327" s="3">
        <v>20481642770</v>
      </c>
      <c r="F327" s="3" t="s">
        <v>1775</v>
      </c>
      <c r="G327" s="3" t="s">
        <v>1776</v>
      </c>
      <c r="H327" s="3" t="s">
        <v>85</v>
      </c>
      <c r="I327" s="3" t="s">
        <v>86</v>
      </c>
      <c r="J327" s="3" t="s">
        <v>86</v>
      </c>
      <c r="K327" s="3"/>
      <c r="L327" s="3"/>
      <c r="M327" s="3"/>
      <c r="N327" s="3"/>
      <c r="O327" s="3" t="s">
        <v>46</v>
      </c>
      <c r="P327" s="3" t="s">
        <v>1801</v>
      </c>
      <c r="Q327" s="3" t="s">
        <v>1778</v>
      </c>
      <c r="R327" s="3" t="s">
        <v>1779</v>
      </c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>
        <v>14000</v>
      </c>
      <c r="AL327" s="4">
        <v>43087</v>
      </c>
      <c r="AM327" s="3"/>
      <c r="AN327" s="3" t="s">
        <v>1802</v>
      </c>
    </row>
    <row r="328" spans="1:40" ht="13.5">
      <c r="A328" s="3">
        <v>322</v>
      </c>
      <c r="B328" s="3" t="str">
        <f>"201900101323"</f>
        <v>201900101323</v>
      </c>
      <c r="C328" s="3">
        <v>144637</v>
      </c>
      <c r="D328" s="3" t="s">
        <v>1803</v>
      </c>
      <c r="E328" s="3">
        <v>20548771022</v>
      </c>
      <c r="F328" s="3" t="s">
        <v>847</v>
      </c>
      <c r="G328" s="3" t="s">
        <v>1804</v>
      </c>
      <c r="H328" s="3" t="s">
        <v>59</v>
      </c>
      <c r="I328" s="3" t="s">
        <v>59</v>
      </c>
      <c r="J328" s="3" t="s">
        <v>442</v>
      </c>
      <c r="K328" s="3" t="s">
        <v>1804</v>
      </c>
      <c r="L328" s="3" t="s">
        <v>59</v>
      </c>
      <c r="M328" s="3" t="s">
        <v>59</v>
      </c>
      <c r="N328" s="3" t="s">
        <v>442</v>
      </c>
      <c r="O328" s="3" t="s">
        <v>71</v>
      </c>
      <c r="P328" s="3" t="s">
        <v>1805</v>
      </c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>
        <v>6500</v>
      </c>
      <c r="AL328" s="4">
        <v>43644</v>
      </c>
      <c r="AM328" s="3"/>
      <c r="AN328" s="3" t="s">
        <v>851</v>
      </c>
    </row>
    <row r="329" spans="1:40" ht="27.75">
      <c r="A329" s="3">
        <v>323</v>
      </c>
      <c r="B329" s="3" t="str">
        <f>"201400155060"</f>
        <v>201400155060</v>
      </c>
      <c r="C329" s="3">
        <v>99353</v>
      </c>
      <c r="D329" s="3" t="s">
        <v>1806</v>
      </c>
      <c r="E329" s="3">
        <v>20566226830</v>
      </c>
      <c r="F329" s="3" t="s">
        <v>1807</v>
      </c>
      <c r="G329" s="3" t="s">
        <v>397</v>
      </c>
      <c r="H329" s="3" t="s">
        <v>59</v>
      </c>
      <c r="I329" s="3" t="s">
        <v>59</v>
      </c>
      <c r="J329" s="3" t="s">
        <v>93</v>
      </c>
      <c r="K329" s="3" t="s">
        <v>1808</v>
      </c>
      <c r="L329" s="3" t="s">
        <v>59</v>
      </c>
      <c r="M329" s="3" t="s">
        <v>59</v>
      </c>
      <c r="N329" s="3" t="s">
        <v>102</v>
      </c>
      <c r="O329" s="3" t="s">
        <v>71</v>
      </c>
      <c r="P329" s="3" t="s">
        <v>1809</v>
      </c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>
        <v>6200</v>
      </c>
      <c r="AL329" s="4">
        <v>41971</v>
      </c>
      <c r="AM329" s="3"/>
      <c r="AN329" s="3" t="s">
        <v>98</v>
      </c>
    </row>
    <row r="330" spans="1:40" ht="13.5">
      <c r="A330" s="3">
        <v>324</v>
      </c>
      <c r="B330" s="3" t="str">
        <f>"201800160112"</f>
        <v>201800160112</v>
      </c>
      <c r="C330" s="3">
        <v>42459</v>
      </c>
      <c r="D330" s="3" t="s">
        <v>1810</v>
      </c>
      <c r="E330" s="3">
        <v>20602639577</v>
      </c>
      <c r="F330" s="3" t="s">
        <v>1811</v>
      </c>
      <c r="G330" s="3" t="s">
        <v>1812</v>
      </c>
      <c r="H330" s="3" t="s">
        <v>59</v>
      </c>
      <c r="I330" s="3" t="s">
        <v>59</v>
      </c>
      <c r="J330" s="3" t="s">
        <v>641</v>
      </c>
      <c r="K330" s="3" t="s">
        <v>1812</v>
      </c>
      <c r="L330" s="3" t="s">
        <v>59</v>
      </c>
      <c r="M330" s="3" t="s">
        <v>59</v>
      </c>
      <c r="N330" s="3" t="s">
        <v>641</v>
      </c>
      <c r="O330" s="3" t="s">
        <v>71</v>
      </c>
      <c r="P330" s="3" t="s">
        <v>1813</v>
      </c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>
        <v>3500</v>
      </c>
      <c r="AL330" s="4">
        <v>43374</v>
      </c>
      <c r="AM330" s="3"/>
      <c r="AN330" s="3" t="s">
        <v>1814</v>
      </c>
    </row>
    <row r="331" spans="1:40" ht="13.5">
      <c r="A331" s="3">
        <v>325</v>
      </c>
      <c r="B331" s="3" t="str">
        <f>"201900207992"</f>
        <v>201900207992</v>
      </c>
      <c r="C331" s="3">
        <v>148325</v>
      </c>
      <c r="D331" s="3" t="s">
        <v>1815</v>
      </c>
      <c r="E331" s="3">
        <v>20554019693</v>
      </c>
      <c r="F331" s="3" t="s">
        <v>1816</v>
      </c>
      <c r="G331" s="3" t="s">
        <v>1817</v>
      </c>
      <c r="H331" s="3" t="s">
        <v>59</v>
      </c>
      <c r="I331" s="3" t="s">
        <v>59</v>
      </c>
      <c r="J331" s="3" t="s">
        <v>1818</v>
      </c>
      <c r="K331" s="3"/>
      <c r="L331" s="3"/>
      <c r="M331" s="3"/>
      <c r="N331" s="3"/>
      <c r="O331" s="3" t="s">
        <v>46</v>
      </c>
      <c r="P331" s="3" t="s">
        <v>1819</v>
      </c>
      <c r="Q331" s="3" t="s">
        <v>1820</v>
      </c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>
        <v>14000</v>
      </c>
      <c r="AL331" s="4">
        <v>43814</v>
      </c>
      <c r="AM331" s="3"/>
      <c r="AN331" s="3" t="s">
        <v>1821</v>
      </c>
    </row>
    <row r="332" spans="1:40" ht="13.5">
      <c r="A332" s="3">
        <v>326</v>
      </c>
      <c r="B332" s="3" t="str">
        <f>"201700038691"</f>
        <v>201700038691</v>
      </c>
      <c r="C332" s="3">
        <v>126845</v>
      </c>
      <c r="D332" s="3" t="s">
        <v>1822</v>
      </c>
      <c r="E332" s="3">
        <v>20601295769</v>
      </c>
      <c r="F332" s="3" t="s">
        <v>1823</v>
      </c>
      <c r="G332" s="3" t="s">
        <v>1824</v>
      </c>
      <c r="H332" s="3" t="s">
        <v>59</v>
      </c>
      <c r="I332" s="3" t="s">
        <v>59</v>
      </c>
      <c r="J332" s="3" t="s">
        <v>182</v>
      </c>
      <c r="K332" s="3"/>
      <c r="L332" s="3"/>
      <c r="M332" s="3"/>
      <c r="N332" s="3"/>
      <c r="O332" s="3" t="s">
        <v>71</v>
      </c>
      <c r="P332" s="3" t="s">
        <v>1825</v>
      </c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>
        <v>1600</v>
      </c>
      <c r="AL332" s="4">
        <v>42808</v>
      </c>
      <c r="AM332" s="3"/>
      <c r="AN332" s="3" t="s">
        <v>1826</v>
      </c>
    </row>
    <row r="333" spans="1:40" ht="13.5">
      <c r="A333" s="3">
        <v>327</v>
      </c>
      <c r="B333" s="3" t="str">
        <f>"201600112129"</f>
        <v>201600112129</v>
      </c>
      <c r="C333" s="3">
        <v>123055</v>
      </c>
      <c r="D333" s="3" t="s">
        <v>1827</v>
      </c>
      <c r="E333" s="3">
        <v>20601103347</v>
      </c>
      <c r="F333" s="3" t="s">
        <v>1828</v>
      </c>
      <c r="G333" s="3" t="s">
        <v>1829</v>
      </c>
      <c r="H333" s="3" t="s">
        <v>332</v>
      </c>
      <c r="I333" s="3" t="s">
        <v>332</v>
      </c>
      <c r="J333" s="3" t="s">
        <v>332</v>
      </c>
      <c r="K333" s="3"/>
      <c r="L333" s="3"/>
      <c r="M333" s="3"/>
      <c r="N333" s="3"/>
      <c r="O333" s="3" t="s">
        <v>71</v>
      </c>
      <c r="P333" s="3" t="s">
        <v>1830</v>
      </c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>
        <v>6000</v>
      </c>
      <c r="AL333" s="4">
        <v>42585</v>
      </c>
      <c r="AM333" s="3"/>
      <c r="AN333" s="3" t="s">
        <v>1831</v>
      </c>
    </row>
    <row r="334" spans="1:40" ht="13.5">
      <c r="A334" s="3">
        <v>328</v>
      </c>
      <c r="B334" s="3" t="str">
        <f>"201500146852"</f>
        <v>201500146852</v>
      </c>
      <c r="C334" s="3">
        <v>92827</v>
      </c>
      <c r="D334" s="3" t="s">
        <v>1832</v>
      </c>
      <c r="E334" s="3">
        <v>20275873480</v>
      </c>
      <c r="F334" s="3" t="s">
        <v>1208</v>
      </c>
      <c r="G334" s="3" t="s">
        <v>1833</v>
      </c>
      <c r="H334" s="3" t="s">
        <v>85</v>
      </c>
      <c r="I334" s="3" t="s">
        <v>86</v>
      </c>
      <c r="J334" s="3" t="s">
        <v>86</v>
      </c>
      <c r="K334" s="3" t="s">
        <v>1833</v>
      </c>
      <c r="L334" s="3" t="s">
        <v>85</v>
      </c>
      <c r="M334" s="3" t="s">
        <v>86</v>
      </c>
      <c r="N334" s="3" t="s">
        <v>86</v>
      </c>
      <c r="O334" s="3" t="s">
        <v>46</v>
      </c>
      <c r="P334" s="3" t="s">
        <v>1834</v>
      </c>
      <c r="Q334" s="3" t="s">
        <v>1398</v>
      </c>
      <c r="R334" s="3" t="s">
        <v>1399</v>
      </c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>
        <v>13000</v>
      </c>
      <c r="AL334" s="4">
        <v>42314</v>
      </c>
      <c r="AM334" s="3"/>
      <c r="AN334" s="3" t="s">
        <v>1212</v>
      </c>
    </row>
    <row r="335" spans="1:40" ht="42">
      <c r="A335" s="3">
        <v>329</v>
      </c>
      <c r="B335" s="3" t="str">
        <f>"201600126023"</f>
        <v>201600126023</v>
      </c>
      <c r="C335" s="3">
        <v>117151</v>
      </c>
      <c r="D335" s="3" t="s">
        <v>1835</v>
      </c>
      <c r="E335" s="3">
        <v>20601305772</v>
      </c>
      <c r="F335" s="3" t="s">
        <v>1836</v>
      </c>
      <c r="G335" s="3" t="s">
        <v>1837</v>
      </c>
      <c r="H335" s="3" t="s">
        <v>175</v>
      </c>
      <c r="I335" s="3" t="s">
        <v>690</v>
      </c>
      <c r="J335" s="3" t="s">
        <v>690</v>
      </c>
      <c r="K335" s="3" t="s">
        <v>1837</v>
      </c>
      <c r="L335" s="3" t="s">
        <v>175</v>
      </c>
      <c r="M335" s="3" t="s">
        <v>690</v>
      </c>
      <c r="N335" s="3" t="s">
        <v>690</v>
      </c>
      <c r="O335" s="3" t="s">
        <v>46</v>
      </c>
      <c r="P335" s="3" t="s">
        <v>1838</v>
      </c>
      <c r="Q335" s="3" t="s">
        <v>1839</v>
      </c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>
        <v>13500</v>
      </c>
      <c r="AL335" s="4">
        <v>42637</v>
      </c>
      <c r="AM335" s="3"/>
      <c r="AN335" s="3" t="s">
        <v>1840</v>
      </c>
    </row>
    <row r="336" spans="1:40" ht="13.5">
      <c r="A336" s="3">
        <v>330</v>
      </c>
      <c r="B336" s="3" t="str">
        <f>"202000108538"</f>
        <v>202000108538</v>
      </c>
      <c r="C336" s="3">
        <v>119743</v>
      </c>
      <c r="D336" s="3" t="s">
        <v>1841</v>
      </c>
      <c r="E336" s="3">
        <v>20487420337</v>
      </c>
      <c r="F336" s="3" t="s">
        <v>565</v>
      </c>
      <c r="G336" s="3" t="s">
        <v>566</v>
      </c>
      <c r="H336" s="3" t="s">
        <v>161</v>
      </c>
      <c r="I336" s="3" t="s">
        <v>162</v>
      </c>
      <c r="J336" s="3" t="s">
        <v>163</v>
      </c>
      <c r="K336" s="3" t="s">
        <v>1842</v>
      </c>
      <c r="L336" s="3" t="s">
        <v>161</v>
      </c>
      <c r="M336" s="3" t="s">
        <v>162</v>
      </c>
      <c r="N336" s="3" t="s">
        <v>163</v>
      </c>
      <c r="O336" s="3" t="s">
        <v>46</v>
      </c>
      <c r="P336" s="3" t="s">
        <v>1843</v>
      </c>
      <c r="Q336" s="3" t="s">
        <v>1844</v>
      </c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>
        <v>14000</v>
      </c>
      <c r="AL336" s="4">
        <v>44085</v>
      </c>
      <c r="AM336" s="3"/>
      <c r="AN336" s="3" t="s">
        <v>1845</v>
      </c>
    </row>
    <row r="337" spans="1:40" ht="13.5">
      <c r="A337" s="3">
        <v>331</v>
      </c>
      <c r="B337" s="3" t="str">
        <f>"201600028893"</f>
        <v>201600028893</v>
      </c>
      <c r="C337" s="3">
        <v>120167</v>
      </c>
      <c r="D337" s="3" t="s">
        <v>1846</v>
      </c>
      <c r="E337" s="3">
        <v>10409079861</v>
      </c>
      <c r="F337" s="3" t="s">
        <v>1847</v>
      </c>
      <c r="G337" s="3" t="s">
        <v>1848</v>
      </c>
      <c r="H337" s="3" t="s">
        <v>175</v>
      </c>
      <c r="I337" s="3" t="s">
        <v>785</v>
      </c>
      <c r="J337" s="3" t="s">
        <v>1256</v>
      </c>
      <c r="K337" s="3"/>
      <c r="L337" s="3"/>
      <c r="M337" s="3"/>
      <c r="N337" s="3"/>
      <c r="O337" s="3" t="s">
        <v>71</v>
      </c>
      <c r="P337" s="3" t="s">
        <v>1849</v>
      </c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>
        <v>2800</v>
      </c>
      <c r="AL337" s="4">
        <v>42433</v>
      </c>
      <c r="AM337" s="3"/>
      <c r="AN337" s="3" t="s">
        <v>1850</v>
      </c>
    </row>
    <row r="338" spans="1:40" ht="27.75">
      <c r="A338" s="3">
        <v>332</v>
      </c>
      <c r="B338" s="3" t="str">
        <f>"201900047210"</f>
        <v>201900047210</v>
      </c>
      <c r="C338" s="3">
        <v>128370</v>
      </c>
      <c r="D338" s="3" t="s">
        <v>1851</v>
      </c>
      <c r="E338" s="3">
        <v>20354286581</v>
      </c>
      <c r="F338" s="3" t="s">
        <v>1741</v>
      </c>
      <c r="G338" s="3" t="s">
        <v>1852</v>
      </c>
      <c r="H338" s="3" t="s">
        <v>85</v>
      </c>
      <c r="I338" s="3" t="s">
        <v>86</v>
      </c>
      <c r="J338" s="3" t="s">
        <v>86</v>
      </c>
      <c r="K338" s="3"/>
      <c r="L338" s="3"/>
      <c r="M338" s="3"/>
      <c r="N338" s="3"/>
      <c r="O338" s="3" t="s">
        <v>46</v>
      </c>
      <c r="P338" s="3" t="s">
        <v>1853</v>
      </c>
      <c r="Q338" s="3" t="s">
        <v>1744</v>
      </c>
      <c r="R338" s="3" t="s">
        <v>1745</v>
      </c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>
        <v>14000</v>
      </c>
      <c r="AL338" s="4">
        <v>43551</v>
      </c>
      <c r="AM338" s="3"/>
      <c r="AN338" s="3" t="s">
        <v>1746</v>
      </c>
    </row>
    <row r="339" spans="1:40" ht="42">
      <c r="A339" s="3">
        <v>333</v>
      </c>
      <c r="B339" s="3" t="str">
        <f>"201800124313"</f>
        <v>201800124313</v>
      </c>
      <c r="C339" s="3">
        <v>137732</v>
      </c>
      <c r="D339" s="3" t="s">
        <v>1854</v>
      </c>
      <c r="E339" s="3">
        <v>20530919626</v>
      </c>
      <c r="F339" s="3" t="s">
        <v>1855</v>
      </c>
      <c r="G339" s="3" t="s">
        <v>1856</v>
      </c>
      <c r="H339" s="3" t="s">
        <v>59</v>
      </c>
      <c r="I339" s="3" t="s">
        <v>235</v>
      </c>
      <c r="J339" s="3" t="s">
        <v>1681</v>
      </c>
      <c r="K339" s="3"/>
      <c r="L339" s="3"/>
      <c r="M339" s="3"/>
      <c r="N339" s="3"/>
      <c r="O339" s="3" t="s">
        <v>46</v>
      </c>
      <c r="P339" s="3" t="s">
        <v>1857</v>
      </c>
      <c r="Q339" s="3" t="s">
        <v>1683</v>
      </c>
      <c r="R339" s="3" t="s">
        <v>1684</v>
      </c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>
        <v>14000</v>
      </c>
      <c r="AL339" s="4">
        <v>43308</v>
      </c>
      <c r="AM339" s="3"/>
      <c r="AN339" s="3" t="s">
        <v>1858</v>
      </c>
    </row>
    <row r="340" spans="1:40" ht="13.5">
      <c r="A340" s="3">
        <v>334</v>
      </c>
      <c r="B340" s="3" t="str">
        <f>"201600181472"</f>
        <v>201600181472</v>
      </c>
      <c r="C340" s="3">
        <v>116363</v>
      </c>
      <c r="D340" s="3" t="s">
        <v>1859</v>
      </c>
      <c r="E340" s="3">
        <v>20534144351</v>
      </c>
      <c r="F340" s="3" t="s">
        <v>1860</v>
      </c>
      <c r="G340" s="3" t="s">
        <v>1861</v>
      </c>
      <c r="H340" s="3" t="s">
        <v>59</v>
      </c>
      <c r="I340" s="3" t="s">
        <v>235</v>
      </c>
      <c r="J340" s="3" t="s">
        <v>1681</v>
      </c>
      <c r="K340" s="3" t="s">
        <v>1861</v>
      </c>
      <c r="L340" s="3" t="s">
        <v>59</v>
      </c>
      <c r="M340" s="3" t="s">
        <v>235</v>
      </c>
      <c r="N340" s="3" t="s">
        <v>1681</v>
      </c>
      <c r="O340" s="3" t="s">
        <v>71</v>
      </c>
      <c r="P340" s="3" t="s">
        <v>1862</v>
      </c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>
        <v>2200</v>
      </c>
      <c r="AL340" s="4">
        <v>42733</v>
      </c>
      <c r="AM340" s="3"/>
      <c r="AN340" s="3" t="s">
        <v>1863</v>
      </c>
    </row>
    <row r="341" spans="1:40" ht="13.5">
      <c r="A341" s="3">
        <v>335</v>
      </c>
      <c r="B341" s="3" t="str">
        <f>"201900177062"</f>
        <v>201900177062</v>
      </c>
      <c r="C341" s="3">
        <v>112516</v>
      </c>
      <c r="D341" s="3" t="s">
        <v>1864</v>
      </c>
      <c r="E341" s="3">
        <v>10226406951</v>
      </c>
      <c r="F341" s="3" t="s">
        <v>1865</v>
      </c>
      <c r="G341" s="3" t="s">
        <v>1866</v>
      </c>
      <c r="H341" s="3" t="s">
        <v>515</v>
      </c>
      <c r="I341" s="3" t="s">
        <v>1867</v>
      </c>
      <c r="J341" s="3" t="s">
        <v>1867</v>
      </c>
      <c r="K341" s="3" t="s">
        <v>1866</v>
      </c>
      <c r="L341" s="3" t="s">
        <v>515</v>
      </c>
      <c r="M341" s="3" t="s">
        <v>1867</v>
      </c>
      <c r="N341" s="3" t="s">
        <v>1867</v>
      </c>
      <c r="O341" s="3" t="s">
        <v>46</v>
      </c>
      <c r="P341" s="3" t="s">
        <v>1868</v>
      </c>
      <c r="Q341" s="3" t="s">
        <v>1869</v>
      </c>
      <c r="R341" s="3" t="s">
        <v>1870</v>
      </c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>
        <v>14000</v>
      </c>
      <c r="AL341" s="4">
        <v>43773</v>
      </c>
      <c r="AM341" s="3"/>
      <c r="AN341" s="3" t="s">
        <v>1865</v>
      </c>
    </row>
    <row r="342" spans="1:40" ht="13.5">
      <c r="A342" s="3">
        <v>336</v>
      </c>
      <c r="B342" s="3" t="str">
        <f>"202000003346"</f>
        <v>202000003346</v>
      </c>
      <c r="C342" s="3">
        <v>145246</v>
      </c>
      <c r="D342" s="3" t="s">
        <v>1871</v>
      </c>
      <c r="E342" s="3">
        <v>20603024495</v>
      </c>
      <c r="F342" s="3" t="s">
        <v>241</v>
      </c>
      <c r="G342" s="3" t="s">
        <v>1872</v>
      </c>
      <c r="H342" s="3" t="s">
        <v>59</v>
      </c>
      <c r="I342" s="3" t="s">
        <v>59</v>
      </c>
      <c r="J342" s="3" t="s">
        <v>243</v>
      </c>
      <c r="K342" s="3"/>
      <c r="L342" s="3" t="s">
        <v>59</v>
      </c>
      <c r="M342" s="3" t="s">
        <v>59</v>
      </c>
      <c r="N342" s="3" t="s">
        <v>243</v>
      </c>
      <c r="O342" s="3" t="s">
        <v>46</v>
      </c>
      <c r="P342" s="3" t="s">
        <v>1873</v>
      </c>
      <c r="Q342" s="3" t="s">
        <v>1874</v>
      </c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>
        <v>14000</v>
      </c>
      <c r="AL342" s="4">
        <v>43842</v>
      </c>
      <c r="AM342" s="3"/>
      <c r="AN342" s="3" t="s">
        <v>246</v>
      </c>
    </row>
    <row r="343" spans="1:40" ht="13.5">
      <c r="A343" s="3">
        <v>337</v>
      </c>
      <c r="B343" s="3" t="str">
        <f>"202000020882"</f>
        <v>202000020882</v>
      </c>
      <c r="C343" s="3">
        <v>108568</v>
      </c>
      <c r="D343" s="3" t="s">
        <v>1875</v>
      </c>
      <c r="E343" s="3">
        <v>20487420337</v>
      </c>
      <c r="F343" s="3" t="s">
        <v>1876</v>
      </c>
      <c r="G343" s="3" t="s">
        <v>1877</v>
      </c>
      <c r="H343" s="3" t="s">
        <v>161</v>
      </c>
      <c r="I343" s="3" t="s">
        <v>162</v>
      </c>
      <c r="J343" s="3" t="s">
        <v>163</v>
      </c>
      <c r="K343" s="3" t="s">
        <v>1878</v>
      </c>
      <c r="L343" s="3" t="s">
        <v>161</v>
      </c>
      <c r="M343" s="3" t="s">
        <v>162</v>
      </c>
      <c r="N343" s="3" t="s">
        <v>163</v>
      </c>
      <c r="O343" s="3" t="s">
        <v>71</v>
      </c>
      <c r="P343" s="3" t="s">
        <v>1879</v>
      </c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>
        <v>6700</v>
      </c>
      <c r="AL343" s="4">
        <v>43870</v>
      </c>
      <c r="AM343" s="3"/>
      <c r="AN343" s="3" t="s">
        <v>1880</v>
      </c>
    </row>
    <row r="344" spans="1:40" ht="27.75">
      <c r="A344" s="3">
        <v>338</v>
      </c>
      <c r="B344" s="3" t="str">
        <f>"201600052072"</f>
        <v>201600052072</v>
      </c>
      <c r="C344" s="3">
        <v>120827</v>
      </c>
      <c r="D344" s="3" t="s">
        <v>1881</v>
      </c>
      <c r="E344" s="3">
        <v>20600770625</v>
      </c>
      <c r="F344" s="3" t="s">
        <v>1882</v>
      </c>
      <c r="G344" s="3" t="s">
        <v>1883</v>
      </c>
      <c r="H344" s="3" t="s">
        <v>197</v>
      </c>
      <c r="I344" s="3" t="s">
        <v>197</v>
      </c>
      <c r="J344" s="3" t="s">
        <v>197</v>
      </c>
      <c r="K344" s="3" t="s">
        <v>1884</v>
      </c>
      <c r="L344" s="3" t="s">
        <v>197</v>
      </c>
      <c r="M344" s="3" t="s">
        <v>197</v>
      </c>
      <c r="N344" s="3" t="s">
        <v>197</v>
      </c>
      <c r="O344" s="3" t="s">
        <v>71</v>
      </c>
      <c r="P344" s="3" t="s">
        <v>1885</v>
      </c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>
        <v>6500</v>
      </c>
      <c r="AL344" s="4">
        <v>42475</v>
      </c>
      <c r="AM344" s="3"/>
      <c r="AN344" s="3" t="s">
        <v>1425</v>
      </c>
    </row>
    <row r="345" spans="1:40" ht="13.5">
      <c r="A345" s="3">
        <v>339</v>
      </c>
      <c r="B345" s="3" t="str">
        <f>"201300055174"</f>
        <v>201300055174</v>
      </c>
      <c r="C345" s="3">
        <v>88375</v>
      </c>
      <c r="D345" s="3" t="s">
        <v>1886</v>
      </c>
      <c r="E345" s="3">
        <v>20113539594</v>
      </c>
      <c r="F345" s="3" t="s">
        <v>1887</v>
      </c>
      <c r="G345" s="3" t="s">
        <v>1888</v>
      </c>
      <c r="H345" s="3" t="s">
        <v>189</v>
      </c>
      <c r="I345" s="3" t="s">
        <v>189</v>
      </c>
      <c r="J345" s="3" t="s">
        <v>189</v>
      </c>
      <c r="K345" s="3"/>
      <c r="L345" s="3"/>
      <c r="M345" s="3"/>
      <c r="N345" s="3"/>
      <c r="O345" s="3" t="s">
        <v>71</v>
      </c>
      <c r="P345" s="3" t="s">
        <v>1889</v>
      </c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>
        <v>2600</v>
      </c>
      <c r="AL345" s="4">
        <v>41354</v>
      </c>
      <c r="AM345" s="3"/>
      <c r="AN345" s="3" t="s">
        <v>1890</v>
      </c>
    </row>
    <row r="346" spans="1:40" ht="13.5">
      <c r="A346" s="3">
        <v>340</v>
      </c>
      <c r="B346" s="3" t="str">
        <f>"201400104500"</f>
        <v>201400104500</v>
      </c>
      <c r="C346" s="3">
        <v>82467</v>
      </c>
      <c r="D346" s="3" t="s">
        <v>1891</v>
      </c>
      <c r="E346" s="3">
        <v>20486107902</v>
      </c>
      <c r="F346" s="3" t="s">
        <v>1892</v>
      </c>
      <c r="G346" s="3" t="s">
        <v>1893</v>
      </c>
      <c r="H346" s="3" t="s">
        <v>219</v>
      </c>
      <c r="I346" s="3" t="s">
        <v>220</v>
      </c>
      <c r="J346" s="3" t="s">
        <v>221</v>
      </c>
      <c r="K346" s="3" t="s">
        <v>1893</v>
      </c>
      <c r="L346" s="3" t="s">
        <v>219</v>
      </c>
      <c r="M346" s="3" t="s">
        <v>220</v>
      </c>
      <c r="N346" s="3" t="s">
        <v>221</v>
      </c>
      <c r="O346" s="3" t="s">
        <v>71</v>
      </c>
      <c r="P346" s="3" t="s">
        <v>1894</v>
      </c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>
        <v>13500</v>
      </c>
      <c r="AL346" s="4">
        <v>41877</v>
      </c>
      <c r="AM346" s="3"/>
      <c r="AN346" s="3" t="s">
        <v>1895</v>
      </c>
    </row>
    <row r="347" spans="1:40" ht="13.5">
      <c r="A347" s="3">
        <v>341</v>
      </c>
      <c r="B347" s="3" t="str">
        <f>"201400155287"</f>
        <v>201400155287</v>
      </c>
      <c r="C347" s="3">
        <v>31931</v>
      </c>
      <c r="D347" s="3" t="s">
        <v>1896</v>
      </c>
      <c r="E347" s="3">
        <v>20507034013</v>
      </c>
      <c r="F347" s="3" t="s">
        <v>460</v>
      </c>
      <c r="G347" s="3" t="s">
        <v>1897</v>
      </c>
      <c r="H347" s="3" t="s">
        <v>59</v>
      </c>
      <c r="I347" s="3" t="s">
        <v>59</v>
      </c>
      <c r="J347" s="3" t="s">
        <v>462</v>
      </c>
      <c r="K347" s="3" t="s">
        <v>1897</v>
      </c>
      <c r="L347" s="3" t="s">
        <v>59</v>
      </c>
      <c r="M347" s="3" t="s">
        <v>59</v>
      </c>
      <c r="N347" s="3" t="s">
        <v>462</v>
      </c>
      <c r="O347" s="3" t="s">
        <v>71</v>
      </c>
      <c r="P347" s="3" t="s">
        <v>1898</v>
      </c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>
        <v>3655</v>
      </c>
      <c r="AL347" s="4">
        <v>41978</v>
      </c>
      <c r="AM347" s="3"/>
      <c r="AN347" s="3" t="s">
        <v>1899</v>
      </c>
    </row>
    <row r="348" spans="1:40" ht="13.5">
      <c r="A348" s="3">
        <v>342</v>
      </c>
      <c r="B348" s="3" t="str">
        <f>"201700151572"</f>
        <v>201700151572</v>
      </c>
      <c r="C348" s="3">
        <v>131860</v>
      </c>
      <c r="D348" s="3" t="s">
        <v>1900</v>
      </c>
      <c r="E348" s="3">
        <v>20601348803</v>
      </c>
      <c r="F348" s="3" t="s">
        <v>1901</v>
      </c>
      <c r="G348" s="3" t="s">
        <v>1902</v>
      </c>
      <c r="H348" s="3" t="s">
        <v>85</v>
      </c>
      <c r="I348" s="3" t="s">
        <v>86</v>
      </c>
      <c r="J348" s="3" t="s">
        <v>905</v>
      </c>
      <c r="K348" s="3" t="s">
        <v>1902</v>
      </c>
      <c r="L348" s="3" t="s">
        <v>85</v>
      </c>
      <c r="M348" s="3" t="s">
        <v>86</v>
      </c>
      <c r="N348" s="3" t="s">
        <v>905</v>
      </c>
      <c r="O348" s="3" t="s">
        <v>71</v>
      </c>
      <c r="P348" s="3" t="s">
        <v>1903</v>
      </c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>
        <v>1800</v>
      </c>
      <c r="AL348" s="4">
        <v>42998</v>
      </c>
      <c r="AM348" s="3"/>
      <c r="AN348" s="3" t="s">
        <v>1904</v>
      </c>
    </row>
    <row r="349" spans="1:40" ht="27.75">
      <c r="A349" s="3">
        <v>343</v>
      </c>
      <c r="B349" s="3" t="str">
        <f>"201900179138"</f>
        <v>201900179138</v>
      </c>
      <c r="C349" s="3">
        <v>122257</v>
      </c>
      <c r="D349" s="3" t="s">
        <v>1905</v>
      </c>
      <c r="E349" s="3">
        <v>20506151547</v>
      </c>
      <c r="F349" s="3" t="s">
        <v>1599</v>
      </c>
      <c r="G349" s="3" t="s">
        <v>1906</v>
      </c>
      <c r="H349" s="3" t="s">
        <v>85</v>
      </c>
      <c r="I349" s="3" t="s">
        <v>86</v>
      </c>
      <c r="J349" s="3" t="s">
        <v>86</v>
      </c>
      <c r="K349" s="3"/>
      <c r="L349" s="3"/>
      <c r="M349" s="3"/>
      <c r="N349" s="3"/>
      <c r="O349" s="3" t="s">
        <v>46</v>
      </c>
      <c r="P349" s="3" t="s">
        <v>1907</v>
      </c>
      <c r="Q349" s="3" t="s">
        <v>1610</v>
      </c>
      <c r="R349" s="3" t="s">
        <v>1609</v>
      </c>
      <c r="S349" s="3" t="s">
        <v>1611</v>
      </c>
      <c r="T349" s="3" t="s">
        <v>1613</v>
      </c>
      <c r="U349" s="3" t="s">
        <v>1612</v>
      </c>
      <c r="V349" s="3" t="s">
        <v>1908</v>
      </c>
      <c r="W349" s="3" t="s">
        <v>1909</v>
      </c>
      <c r="X349" s="3" t="s">
        <v>1910</v>
      </c>
      <c r="Y349" s="3" t="s">
        <v>1911</v>
      </c>
      <c r="Z349" s="3" t="s">
        <v>1912</v>
      </c>
      <c r="AA349" s="3" t="s">
        <v>1913</v>
      </c>
      <c r="AB349" s="3" t="s">
        <v>1914</v>
      </c>
      <c r="AC349" s="3" t="s">
        <v>1915</v>
      </c>
      <c r="AD349" s="3" t="s">
        <v>1916</v>
      </c>
      <c r="AE349" s="3" t="s">
        <v>1917</v>
      </c>
      <c r="AF349" s="3" t="s">
        <v>1918</v>
      </c>
      <c r="AG349" s="3" t="s">
        <v>1919</v>
      </c>
      <c r="AH349" s="3"/>
      <c r="AI349" s="3"/>
      <c r="AJ349" s="3"/>
      <c r="AK349" s="3">
        <v>15000</v>
      </c>
      <c r="AL349" s="4">
        <v>43770</v>
      </c>
      <c r="AM349" s="3"/>
      <c r="AN349" s="3" t="s">
        <v>1597</v>
      </c>
    </row>
    <row r="350" spans="1:40" ht="27.75">
      <c r="A350" s="3">
        <v>344</v>
      </c>
      <c r="B350" s="3" t="str">
        <f>"201900179136"</f>
        <v>201900179136</v>
      </c>
      <c r="C350" s="3">
        <v>93939</v>
      </c>
      <c r="D350" s="3" t="s">
        <v>1920</v>
      </c>
      <c r="E350" s="3">
        <v>20506151547</v>
      </c>
      <c r="F350" s="3" t="s">
        <v>1599</v>
      </c>
      <c r="G350" s="3" t="s">
        <v>1921</v>
      </c>
      <c r="H350" s="3" t="s">
        <v>59</v>
      </c>
      <c r="I350" s="3" t="s">
        <v>59</v>
      </c>
      <c r="J350" s="3" t="s">
        <v>382</v>
      </c>
      <c r="K350" s="3"/>
      <c r="L350" s="3"/>
      <c r="M350" s="3"/>
      <c r="N350" s="3"/>
      <c r="O350" s="3" t="s">
        <v>46</v>
      </c>
      <c r="P350" s="3" t="s">
        <v>1922</v>
      </c>
      <c r="Q350" s="3" t="s">
        <v>1611</v>
      </c>
      <c r="R350" s="3" t="s">
        <v>1610</v>
      </c>
      <c r="S350" s="3" t="s">
        <v>1609</v>
      </c>
      <c r="T350" s="3" t="s">
        <v>1613</v>
      </c>
      <c r="U350" s="3" t="s">
        <v>1612</v>
      </c>
      <c r="V350" s="3" t="s">
        <v>1918</v>
      </c>
      <c r="W350" s="3" t="s">
        <v>1908</v>
      </c>
      <c r="X350" s="3" t="s">
        <v>1909</v>
      </c>
      <c r="Y350" s="3" t="s">
        <v>1911</v>
      </c>
      <c r="Z350" s="3" t="s">
        <v>1912</v>
      </c>
      <c r="AA350" s="3" t="s">
        <v>1913</v>
      </c>
      <c r="AB350" s="3" t="s">
        <v>1914</v>
      </c>
      <c r="AC350" s="3" t="s">
        <v>1915</v>
      </c>
      <c r="AD350" s="3" t="s">
        <v>1916</v>
      </c>
      <c r="AE350" s="3" t="s">
        <v>1917</v>
      </c>
      <c r="AF350" s="3" t="s">
        <v>1910</v>
      </c>
      <c r="AG350" s="3" t="s">
        <v>1923</v>
      </c>
      <c r="AH350" s="3" t="s">
        <v>1924</v>
      </c>
      <c r="AI350" s="3" t="s">
        <v>1925</v>
      </c>
      <c r="AJ350" s="3" t="s">
        <v>1919</v>
      </c>
      <c r="AK350" s="3">
        <v>13500</v>
      </c>
      <c r="AL350" s="4">
        <v>43772</v>
      </c>
      <c r="AM350" s="3"/>
      <c r="AN350" s="3" t="s">
        <v>1926</v>
      </c>
    </row>
    <row r="351" spans="1:40" ht="13.5">
      <c r="A351" s="3">
        <v>345</v>
      </c>
      <c r="B351" s="3" t="str">
        <f>"201900163541"</f>
        <v>201900163541</v>
      </c>
      <c r="C351" s="3">
        <v>63920</v>
      </c>
      <c r="D351" s="3" t="s">
        <v>1927</v>
      </c>
      <c r="E351" s="3">
        <v>20601348803</v>
      </c>
      <c r="F351" s="3" t="s">
        <v>1901</v>
      </c>
      <c r="G351" s="3" t="s">
        <v>1928</v>
      </c>
      <c r="H351" s="3" t="s">
        <v>85</v>
      </c>
      <c r="I351" s="3" t="s">
        <v>86</v>
      </c>
      <c r="J351" s="3" t="s">
        <v>905</v>
      </c>
      <c r="K351" s="3"/>
      <c r="L351" s="3"/>
      <c r="M351" s="3"/>
      <c r="N351" s="3"/>
      <c r="O351" s="3" t="s">
        <v>71</v>
      </c>
      <c r="P351" s="3" t="s">
        <v>1929</v>
      </c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>
        <v>4000</v>
      </c>
      <c r="AL351" s="4">
        <v>43745</v>
      </c>
      <c r="AM351" s="3"/>
      <c r="AN351" s="3" t="s">
        <v>1904</v>
      </c>
    </row>
    <row r="352" spans="1:40" ht="27.75">
      <c r="A352" s="3">
        <v>346</v>
      </c>
      <c r="B352" s="3" t="str">
        <f>"201900200443"</f>
        <v>201900200443</v>
      </c>
      <c r="C352" s="3">
        <v>148128</v>
      </c>
      <c r="D352" s="3" t="s">
        <v>1930</v>
      </c>
      <c r="E352" s="3">
        <v>10205668921</v>
      </c>
      <c r="F352" s="3" t="s">
        <v>1931</v>
      </c>
      <c r="G352" s="3" t="s">
        <v>1932</v>
      </c>
      <c r="H352" s="3" t="s">
        <v>1188</v>
      </c>
      <c r="I352" s="3" t="s">
        <v>1189</v>
      </c>
      <c r="J352" s="3" t="s">
        <v>1933</v>
      </c>
      <c r="K352" s="3" t="s">
        <v>1934</v>
      </c>
      <c r="L352" s="3" t="s">
        <v>1188</v>
      </c>
      <c r="M352" s="3" t="s">
        <v>1189</v>
      </c>
      <c r="N352" s="3" t="s">
        <v>1933</v>
      </c>
      <c r="O352" s="3" t="s">
        <v>46</v>
      </c>
      <c r="P352" s="3" t="s">
        <v>1935</v>
      </c>
      <c r="Q352" s="3" t="s">
        <v>1936</v>
      </c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>
        <v>10000</v>
      </c>
      <c r="AL352" s="4">
        <v>43805</v>
      </c>
      <c r="AM352" s="3"/>
      <c r="AN352" s="3" t="s">
        <v>1931</v>
      </c>
    </row>
    <row r="353" spans="1:40" ht="13.5">
      <c r="A353" s="3">
        <v>347</v>
      </c>
      <c r="B353" s="3" t="str">
        <f>"201800043441"</f>
        <v>201800043441</v>
      </c>
      <c r="C353" s="3">
        <v>95880</v>
      </c>
      <c r="D353" s="3" t="s">
        <v>1937</v>
      </c>
      <c r="E353" s="3">
        <v>20602907962</v>
      </c>
      <c r="F353" s="3" t="s">
        <v>1938</v>
      </c>
      <c r="G353" s="3" t="s">
        <v>1939</v>
      </c>
      <c r="H353" s="3" t="s">
        <v>197</v>
      </c>
      <c r="I353" s="3" t="s">
        <v>260</v>
      </c>
      <c r="J353" s="3" t="s">
        <v>261</v>
      </c>
      <c r="K353" s="3" t="s">
        <v>1939</v>
      </c>
      <c r="L353" s="3" t="s">
        <v>197</v>
      </c>
      <c r="M353" s="3" t="s">
        <v>260</v>
      </c>
      <c r="N353" s="3" t="s">
        <v>261</v>
      </c>
      <c r="O353" s="3" t="s">
        <v>71</v>
      </c>
      <c r="P353" s="3" t="s">
        <v>1940</v>
      </c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>
        <v>6500</v>
      </c>
      <c r="AL353" s="4">
        <v>43178</v>
      </c>
      <c r="AM353" s="3"/>
      <c r="AN353" s="3" t="s">
        <v>1941</v>
      </c>
    </row>
    <row r="354" spans="1:40" ht="13.5">
      <c r="A354" s="3">
        <v>348</v>
      </c>
      <c r="B354" s="3" t="str">
        <f>"201700067678"</f>
        <v>201700067678</v>
      </c>
      <c r="C354" s="3">
        <v>118245</v>
      </c>
      <c r="D354" s="3" t="s">
        <v>1942</v>
      </c>
      <c r="E354" s="3">
        <v>20524062420</v>
      </c>
      <c r="F354" s="3" t="s">
        <v>652</v>
      </c>
      <c r="G354" s="3" t="s">
        <v>653</v>
      </c>
      <c r="H354" s="3" t="s">
        <v>59</v>
      </c>
      <c r="I354" s="3" t="s">
        <v>59</v>
      </c>
      <c r="J354" s="3" t="s">
        <v>102</v>
      </c>
      <c r="K354" s="3"/>
      <c r="L354" s="3"/>
      <c r="M354" s="3"/>
      <c r="N354" s="3"/>
      <c r="O354" s="3" t="s">
        <v>71</v>
      </c>
      <c r="P354" s="3" t="s">
        <v>1943</v>
      </c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>
        <v>6500</v>
      </c>
      <c r="AL354" s="4">
        <v>42872</v>
      </c>
      <c r="AM354" s="3"/>
      <c r="AN354" s="3" t="s">
        <v>655</v>
      </c>
    </row>
    <row r="355" spans="1:40" ht="13.5">
      <c r="A355" s="3">
        <v>349</v>
      </c>
      <c r="B355" s="3" t="str">
        <f>"201600138364"</f>
        <v>201600138364</v>
      </c>
      <c r="C355" s="3">
        <v>122941</v>
      </c>
      <c r="D355" s="3" t="s">
        <v>1944</v>
      </c>
      <c r="E355" s="3">
        <v>20410312396</v>
      </c>
      <c r="F355" s="3" t="s">
        <v>1280</v>
      </c>
      <c r="G355" s="3" t="s">
        <v>1945</v>
      </c>
      <c r="H355" s="3" t="s">
        <v>197</v>
      </c>
      <c r="I355" s="3" t="s">
        <v>197</v>
      </c>
      <c r="J355" s="3" t="s">
        <v>403</v>
      </c>
      <c r="K355" s="3" t="s">
        <v>1946</v>
      </c>
      <c r="L355" s="3" t="s">
        <v>197</v>
      </c>
      <c r="M355" s="3" t="s">
        <v>197</v>
      </c>
      <c r="N355" s="3" t="s">
        <v>403</v>
      </c>
      <c r="O355" s="3" t="s">
        <v>46</v>
      </c>
      <c r="P355" s="3" t="s">
        <v>1947</v>
      </c>
      <c r="Q355" s="3" t="s">
        <v>1283</v>
      </c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>
        <v>13600</v>
      </c>
      <c r="AL355" s="4">
        <v>42636</v>
      </c>
      <c r="AM355" s="3"/>
      <c r="AN355" s="3" t="s">
        <v>1948</v>
      </c>
    </row>
    <row r="356" spans="1:40" ht="13.5">
      <c r="A356" s="3">
        <v>350</v>
      </c>
      <c r="B356" s="3" t="str">
        <f>"201700009243"</f>
        <v>201700009243</v>
      </c>
      <c r="C356" s="3">
        <v>126133</v>
      </c>
      <c r="D356" s="3" t="s">
        <v>1949</v>
      </c>
      <c r="E356" s="3">
        <v>20601638127</v>
      </c>
      <c r="F356" s="3" t="s">
        <v>1950</v>
      </c>
      <c r="G356" s="3" t="s">
        <v>1951</v>
      </c>
      <c r="H356" s="3" t="s">
        <v>59</v>
      </c>
      <c r="I356" s="3" t="s">
        <v>59</v>
      </c>
      <c r="J356" s="3" t="s">
        <v>641</v>
      </c>
      <c r="K356" s="3" t="s">
        <v>1952</v>
      </c>
      <c r="L356" s="3" t="s">
        <v>59</v>
      </c>
      <c r="M356" s="3" t="s">
        <v>59</v>
      </c>
      <c r="N356" s="3" t="s">
        <v>641</v>
      </c>
      <c r="O356" s="3" t="s">
        <v>71</v>
      </c>
      <c r="P356" s="3" t="s">
        <v>1953</v>
      </c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>
        <v>1850</v>
      </c>
      <c r="AL356" s="4">
        <v>42760</v>
      </c>
      <c r="AM356" s="3"/>
      <c r="AN356" s="3" t="s">
        <v>1954</v>
      </c>
    </row>
    <row r="357" spans="1:40" ht="27.75">
      <c r="A357" s="3">
        <v>351</v>
      </c>
      <c r="B357" s="3" t="str">
        <f>"201900179150"</f>
        <v>201900179150</v>
      </c>
      <c r="C357" s="3">
        <v>117909</v>
      </c>
      <c r="D357" s="3" t="s">
        <v>1955</v>
      </c>
      <c r="E357" s="3">
        <v>20506151547</v>
      </c>
      <c r="F357" s="3" t="s">
        <v>1956</v>
      </c>
      <c r="G357" s="3" t="s">
        <v>1957</v>
      </c>
      <c r="H357" s="3" t="s">
        <v>85</v>
      </c>
      <c r="I357" s="3" t="s">
        <v>86</v>
      </c>
      <c r="J357" s="3" t="s">
        <v>86</v>
      </c>
      <c r="K357" s="3" t="s">
        <v>1957</v>
      </c>
      <c r="L357" s="3" t="s">
        <v>85</v>
      </c>
      <c r="M357" s="3" t="s">
        <v>86</v>
      </c>
      <c r="N357" s="3" t="s">
        <v>86</v>
      </c>
      <c r="O357" s="3" t="s">
        <v>46</v>
      </c>
      <c r="P357" s="3" t="s">
        <v>1958</v>
      </c>
      <c r="Q357" s="3" t="s">
        <v>1609</v>
      </c>
      <c r="R357" s="3" t="s">
        <v>1610</v>
      </c>
      <c r="S357" s="3" t="s">
        <v>1611</v>
      </c>
      <c r="T357" s="3" t="s">
        <v>1612</v>
      </c>
      <c r="U357" s="3" t="s">
        <v>1613</v>
      </c>
      <c r="V357" s="3" t="s">
        <v>1908</v>
      </c>
      <c r="W357" s="3" t="s">
        <v>1909</v>
      </c>
      <c r="X357" s="3" t="s">
        <v>1910</v>
      </c>
      <c r="Y357" s="3" t="s">
        <v>1911</v>
      </c>
      <c r="Z357" s="3" t="s">
        <v>1912</v>
      </c>
      <c r="AA357" s="3" t="s">
        <v>1923</v>
      </c>
      <c r="AB357" s="3" t="s">
        <v>1913</v>
      </c>
      <c r="AC357" s="3" t="s">
        <v>1915</v>
      </c>
      <c r="AD357" s="3" t="s">
        <v>1917</v>
      </c>
      <c r="AE357" s="3" t="s">
        <v>1914</v>
      </c>
      <c r="AF357" s="3" t="s">
        <v>1916</v>
      </c>
      <c r="AG357" s="3" t="s">
        <v>1924</v>
      </c>
      <c r="AH357" s="3" t="s">
        <v>1925</v>
      </c>
      <c r="AI357" s="3" t="s">
        <v>1919</v>
      </c>
      <c r="AJ357" s="3" t="s">
        <v>1918</v>
      </c>
      <c r="AK357" s="3">
        <v>15000</v>
      </c>
      <c r="AL357" s="4">
        <v>43780</v>
      </c>
      <c r="AM357" s="3"/>
      <c r="AN357" s="3" t="s">
        <v>1597</v>
      </c>
    </row>
    <row r="358" spans="1:40" ht="13.5">
      <c r="A358" s="3">
        <v>352</v>
      </c>
      <c r="B358" s="3" t="str">
        <f>"201400155087"</f>
        <v>201400155087</v>
      </c>
      <c r="C358" s="3">
        <v>83576</v>
      </c>
      <c r="D358" s="3" t="s">
        <v>1959</v>
      </c>
      <c r="E358" s="3">
        <v>20566226830</v>
      </c>
      <c r="F358" s="3" t="s">
        <v>396</v>
      </c>
      <c r="G358" s="3" t="s">
        <v>397</v>
      </c>
      <c r="H358" s="3" t="s">
        <v>59</v>
      </c>
      <c r="I358" s="3" t="s">
        <v>59</v>
      </c>
      <c r="J358" s="3" t="s">
        <v>93</v>
      </c>
      <c r="K358" s="3"/>
      <c r="L358" s="3"/>
      <c r="M358" s="3"/>
      <c r="N358" s="3"/>
      <c r="O358" s="3" t="s">
        <v>71</v>
      </c>
      <c r="P358" s="3" t="s">
        <v>1960</v>
      </c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>
        <v>1500</v>
      </c>
      <c r="AL358" s="4">
        <v>41971</v>
      </c>
      <c r="AM358" s="3"/>
      <c r="AN358" s="3" t="s">
        <v>98</v>
      </c>
    </row>
    <row r="359" spans="1:40" ht="13.5">
      <c r="A359" s="3">
        <v>353</v>
      </c>
      <c r="B359" s="3" t="str">
        <f>"201700152734"</f>
        <v>201700152734</v>
      </c>
      <c r="C359" s="3">
        <v>97734</v>
      </c>
      <c r="D359" s="3" t="s">
        <v>1961</v>
      </c>
      <c r="E359" s="3">
        <v>20160883155</v>
      </c>
      <c r="F359" s="3" t="s">
        <v>1962</v>
      </c>
      <c r="G359" s="3" t="s">
        <v>1963</v>
      </c>
      <c r="H359" s="3" t="s">
        <v>59</v>
      </c>
      <c r="I359" s="3" t="s">
        <v>235</v>
      </c>
      <c r="J359" s="3" t="s">
        <v>1543</v>
      </c>
      <c r="K359" s="3"/>
      <c r="L359" s="3"/>
      <c r="M359" s="3"/>
      <c r="N359" s="3"/>
      <c r="O359" s="3" t="s">
        <v>46</v>
      </c>
      <c r="P359" s="3" t="s">
        <v>1964</v>
      </c>
      <c r="Q359" s="3" t="s">
        <v>1965</v>
      </c>
      <c r="R359" s="3" t="s">
        <v>1966</v>
      </c>
      <c r="S359" s="3" t="s">
        <v>1967</v>
      </c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>
        <v>9200</v>
      </c>
      <c r="AL359" s="4">
        <v>43003</v>
      </c>
      <c r="AM359" s="3"/>
      <c r="AN359" s="3" t="s">
        <v>1968</v>
      </c>
    </row>
    <row r="360" spans="1:40" ht="27.75">
      <c r="A360" s="3">
        <v>354</v>
      </c>
      <c r="B360" s="3" t="str">
        <f>"201800086592"</f>
        <v>201800086592</v>
      </c>
      <c r="C360" s="3">
        <v>136395</v>
      </c>
      <c r="D360" s="3" t="s">
        <v>1969</v>
      </c>
      <c r="E360" s="3">
        <v>20603044020</v>
      </c>
      <c r="F360" s="3" t="s">
        <v>1970</v>
      </c>
      <c r="G360" s="3" t="s">
        <v>1971</v>
      </c>
      <c r="H360" s="3" t="s">
        <v>1498</v>
      </c>
      <c r="I360" s="3" t="s">
        <v>1499</v>
      </c>
      <c r="J360" s="3" t="s">
        <v>1500</v>
      </c>
      <c r="K360" s="3" t="s">
        <v>1972</v>
      </c>
      <c r="L360" s="3" t="s">
        <v>1498</v>
      </c>
      <c r="M360" s="3" t="s">
        <v>1499</v>
      </c>
      <c r="N360" s="3" t="s">
        <v>1500</v>
      </c>
      <c r="O360" s="3" t="s">
        <v>71</v>
      </c>
      <c r="P360" s="3" t="s">
        <v>1973</v>
      </c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>
        <v>4000</v>
      </c>
      <c r="AL360" s="4">
        <v>43248</v>
      </c>
      <c r="AM360" s="3"/>
      <c r="AN360" s="3" t="s">
        <v>1503</v>
      </c>
    </row>
    <row r="361" spans="1:40" ht="13.5">
      <c r="A361" s="3">
        <v>355</v>
      </c>
      <c r="B361" s="3" t="str">
        <f>"201800206365"</f>
        <v>201800206365</v>
      </c>
      <c r="C361" s="3">
        <v>140308</v>
      </c>
      <c r="D361" s="3" t="s">
        <v>1974</v>
      </c>
      <c r="E361" s="3">
        <v>20487263720</v>
      </c>
      <c r="F361" s="3" t="s">
        <v>1975</v>
      </c>
      <c r="G361" s="3" t="s">
        <v>1976</v>
      </c>
      <c r="H361" s="3" t="s">
        <v>219</v>
      </c>
      <c r="I361" s="3" t="s">
        <v>1177</v>
      </c>
      <c r="J361" s="3" t="s">
        <v>1177</v>
      </c>
      <c r="K361" s="3" t="s">
        <v>1976</v>
      </c>
      <c r="L361" s="3" t="s">
        <v>219</v>
      </c>
      <c r="M361" s="3" t="s">
        <v>1177</v>
      </c>
      <c r="N361" s="3" t="s">
        <v>1177</v>
      </c>
      <c r="O361" s="3" t="s">
        <v>46</v>
      </c>
      <c r="P361" s="3" t="s">
        <v>1977</v>
      </c>
      <c r="Q361" s="3" t="s">
        <v>1978</v>
      </c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>
        <v>13000</v>
      </c>
      <c r="AL361" s="4">
        <v>43447</v>
      </c>
      <c r="AM361" s="3"/>
      <c r="AN361" s="3" t="s">
        <v>1979</v>
      </c>
    </row>
    <row r="362" spans="1:40" ht="27.75">
      <c r="A362" s="3">
        <v>356</v>
      </c>
      <c r="B362" s="3" t="str">
        <f>"201700216327"</f>
        <v>201700216327</v>
      </c>
      <c r="C362" s="3">
        <v>133597</v>
      </c>
      <c r="D362" s="3" t="s">
        <v>1980</v>
      </c>
      <c r="E362" s="3">
        <v>20503840121</v>
      </c>
      <c r="F362" s="3" t="s">
        <v>380</v>
      </c>
      <c r="G362" s="3" t="s">
        <v>1787</v>
      </c>
      <c r="H362" s="3" t="s">
        <v>59</v>
      </c>
      <c r="I362" s="3" t="s">
        <v>59</v>
      </c>
      <c r="J362" s="3" t="s">
        <v>382</v>
      </c>
      <c r="K362" s="3" t="s">
        <v>1199</v>
      </c>
      <c r="L362" s="3" t="s">
        <v>59</v>
      </c>
      <c r="M362" s="3" t="s">
        <v>59</v>
      </c>
      <c r="N362" s="3" t="s">
        <v>382</v>
      </c>
      <c r="O362" s="3" t="s">
        <v>71</v>
      </c>
      <c r="P362" s="3" t="s">
        <v>1981</v>
      </c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>
        <v>6500</v>
      </c>
      <c r="AL362" s="4">
        <v>43104</v>
      </c>
      <c r="AM362" s="3"/>
      <c r="AN362" s="3" t="s">
        <v>1201</v>
      </c>
    </row>
    <row r="363" spans="1:40" ht="13.5">
      <c r="A363" s="3">
        <v>357</v>
      </c>
      <c r="B363" s="3" t="str">
        <f>"202000074424"</f>
        <v>202000074424</v>
      </c>
      <c r="C363" s="3">
        <v>145903</v>
      </c>
      <c r="D363" s="3" t="s">
        <v>1982</v>
      </c>
      <c r="E363" s="3">
        <v>20486100487</v>
      </c>
      <c r="F363" s="3" t="s">
        <v>1725</v>
      </c>
      <c r="G363" s="3" t="s">
        <v>1983</v>
      </c>
      <c r="H363" s="3" t="s">
        <v>219</v>
      </c>
      <c r="I363" s="3" t="s">
        <v>220</v>
      </c>
      <c r="J363" s="3" t="s">
        <v>410</v>
      </c>
      <c r="K363" s="3" t="s">
        <v>1984</v>
      </c>
      <c r="L363" s="3" t="s">
        <v>219</v>
      </c>
      <c r="M363" s="3" t="s">
        <v>220</v>
      </c>
      <c r="N363" s="3" t="s">
        <v>410</v>
      </c>
      <c r="O363" s="3" t="s">
        <v>46</v>
      </c>
      <c r="P363" s="3" t="s">
        <v>1985</v>
      </c>
      <c r="Q363" s="3" t="s">
        <v>1729</v>
      </c>
      <c r="R363" s="3" t="s">
        <v>1730</v>
      </c>
      <c r="S363" s="3" t="s">
        <v>1728</v>
      </c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>
        <v>14250</v>
      </c>
      <c r="AL363" s="4">
        <v>44019</v>
      </c>
      <c r="AM363" s="3"/>
      <c r="AN363" s="3" t="s">
        <v>1731</v>
      </c>
    </row>
    <row r="364" spans="1:40" ht="13.5">
      <c r="A364" s="3">
        <v>358</v>
      </c>
      <c r="B364" s="3" t="str">
        <f>"201400104204"</f>
        <v>201400104204</v>
      </c>
      <c r="C364" s="3">
        <v>110717</v>
      </c>
      <c r="D364" s="3" t="s">
        <v>1986</v>
      </c>
      <c r="E364" s="3">
        <v>20402173476</v>
      </c>
      <c r="F364" s="3" t="s">
        <v>1987</v>
      </c>
      <c r="G364" s="3" t="s">
        <v>1988</v>
      </c>
      <c r="H364" s="3" t="s">
        <v>219</v>
      </c>
      <c r="I364" s="3" t="s">
        <v>220</v>
      </c>
      <c r="J364" s="3" t="s">
        <v>221</v>
      </c>
      <c r="K364" s="3" t="s">
        <v>1988</v>
      </c>
      <c r="L364" s="3" t="s">
        <v>219</v>
      </c>
      <c r="M364" s="3" t="s">
        <v>220</v>
      </c>
      <c r="N364" s="3" t="s">
        <v>221</v>
      </c>
      <c r="O364" s="3" t="s">
        <v>46</v>
      </c>
      <c r="P364" s="3" t="s">
        <v>1989</v>
      </c>
      <c r="Q364" s="3" t="s">
        <v>1990</v>
      </c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>
        <v>13454</v>
      </c>
      <c r="AL364" s="4">
        <v>41866</v>
      </c>
      <c r="AM364" s="3"/>
      <c r="AN364" s="3" t="s">
        <v>1631</v>
      </c>
    </row>
    <row r="365" spans="1:40" ht="27.75">
      <c r="A365" s="3">
        <v>359</v>
      </c>
      <c r="B365" s="3" t="str">
        <f>"201900179149"</f>
        <v>201900179149</v>
      </c>
      <c r="C365" s="3">
        <v>122258</v>
      </c>
      <c r="D365" s="3" t="s">
        <v>1991</v>
      </c>
      <c r="E365" s="3">
        <v>20506151547</v>
      </c>
      <c r="F365" s="3" t="s">
        <v>1599</v>
      </c>
      <c r="G365" s="3" t="s">
        <v>1957</v>
      </c>
      <c r="H365" s="3" t="s">
        <v>85</v>
      </c>
      <c r="I365" s="3" t="s">
        <v>86</v>
      </c>
      <c r="J365" s="3" t="s">
        <v>86</v>
      </c>
      <c r="K365" s="3"/>
      <c r="L365" s="3"/>
      <c r="M365" s="3"/>
      <c r="N365" s="3"/>
      <c r="O365" s="3" t="s">
        <v>46</v>
      </c>
      <c r="P365" s="3" t="s">
        <v>1992</v>
      </c>
      <c r="Q365" s="3" t="s">
        <v>1611</v>
      </c>
      <c r="R365" s="3" t="s">
        <v>1610</v>
      </c>
      <c r="S365" s="3" t="s">
        <v>1609</v>
      </c>
      <c r="T365" s="3" t="s">
        <v>1613</v>
      </c>
      <c r="U365" s="3" t="s">
        <v>1612</v>
      </c>
      <c r="V365" s="3" t="s">
        <v>1908</v>
      </c>
      <c r="W365" s="3" t="s">
        <v>1909</v>
      </c>
      <c r="X365" s="3" t="s">
        <v>1910</v>
      </c>
      <c r="Y365" s="3" t="s">
        <v>1911</v>
      </c>
      <c r="Z365" s="3" t="s">
        <v>1912</v>
      </c>
      <c r="AA365" s="3" t="s">
        <v>1913</v>
      </c>
      <c r="AB365" s="3" t="s">
        <v>1914</v>
      </c>
      <c r="AC365" s="3" t="s">
        <v>1915</v>
      </c>
      <c r="AD365" s="3" t="s">
        <v>1916</v>
      </c>
      <c r="AE365" s="3" t="s">
        <v>1917</v>
      </c>
      <c r="AF365" s="3" t="s">
        <v>1918</v>
      </c>
      <c r="AG365" s="3"/>
      <c r="AH365" s="3"/>
      <c r="AI365" s="3"/>
      <c r="AJ365" s="3"/>
      <c r="AK365" s="3">
        <v>15000</v>
      </c>
      <c r="AL365" s="4">
        <v>43773</v>
      </c>
      <c r="AM365" s="3"/>
      <c r="AN365" s="3" t="s">
        <v>1597</v>
      </c>
    </row>
    <row r="366" spans="1:40" ht="13.5">
      <c r="A366" s="3">
        <v>360</v>
      </c>
      <c r="B366" s="3" t="str">
        <f>"201500174050"</f>
        <v>201500174050</v>
      </c>
      <c r="C366" s="3">
        <v>116598</v>
      </c>
      <c r="D366" s="3" t="s">
        <v>1993</v>
      </c>
      <c r="E366" s="3">
        <v>10010042289</v>
      </c>
      <c r="F366" s="3" t="s">
        <v>810</v>
      </c>
      <c r="G366" s="3" t="s">
        <v>1994</v>
      </c>
      <c r="H366" s="3" t="s">
        <v>175</v>
      </c>
      <c r="I366" s="3" t="s">
        <v>1995</v>
      </c>
      <c r="J366" s="3" t="s">
        <v>1996</v>
      </c>
      <c r="K366" s="3"/>
      <c r="L366" s="3"/>
      <c r="M366" s="3"/>
      <c r="N366" s="3"/>
      <c r="O366" s="3" t="s">
        <v>71</v>
      </c>
      <c r="P366" s="3" t="s">
        <v>1997</v>
      </c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>
        <v>6500</v>
      </c>
      <c r="AL366" s="4">
        <v>42394</v>
      </c>
      <c r="AM366" s="3"/>
      <c r="AN366" s="3" t="s">
        <v>810</v>
      </c>
    </row>
    <row r="367" spans="1:40" ht="13.5">
      <c r="A367" s="3">
        <v>361</v>
      </c>
      <c r="B367" s="3" t="str">
        <f>"202000017501"</f>
        <v>202000017501</v>
      </c>
      <c r="C367" s="3">
        <v>104525</v>
      </c>
      <c r="D367" s="3" t="s">
        <v>1998</v>
      </c>
      <c r="E367" s="3">
        <v>20603202806</v>
      </c>
      <c r="F367" s="3" t="s">
        <v>1298</v>
      </c>
      <c r="G367" s="3" t="s">
        <v>1999</v>
      </c>
      <c r="H367" s="3" t="s">
        <v>59</v>
      </c>
      <c r="I367" s="3" t="s">
        <v>59</v>
      </c>
      <c r="J367" s="3" t="s">
        <v>1300</v>
      </c>
      <c r="K367" s="3" t="s">
        <v>1999</v>
      </c>
      <c r="L367" s="3" t="s">
        <v>59</v>
      </c>
      <c r="M367" s="3" t="s">
        <v>59</v>
      </c>
      <c r="N367" s="3" t="s">
        <v>59</v>
      </c>
      <c r="O367" s="3" t="s">
        <v>71</v>
      </c>
      <c r="P367" s="3" t="s">
        <v>2000</v>
      </c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>
        <v>4400</v>
      </c>
      <c r="AL367" s="4">
        <v>43866</v>
      </c>
      <c r="AM367" s="3"/>
      <c r="AN367" s="3" t="s">
        <v>2001</v>
      </c>
    </row>
    <row r="368" spans="1:40" ht="13.5">
      <c r="A368" s="3">
        <v>362</v>
      </c>
      <c r="B368" s="3" t="str">
        <f>"201600154629"</f>
        <v>201600154629</v>
      </c>
      <c r="C368" s="3">
        <v>124579</v>
      </c>
      <c r="D368" s="3" t="s">
        <v>2002</v>
      </c>
      <c r="E368" s="3">
        <v>20600688341</v>
      </c>
      <c r="F368" s="3" t="s">
        <v>1407</v>
      </c>
      <c r="G368" s="3" t="s">
        <v>2003</v>
      </c>
      <c r="H368" s="3" t="s">
        <v>85</v>
      </c>
      <c r="I368" s="3" t="s">
        <v>86</v>
      </c>
      <c r="J368" s="3" t="s">
        <v>86</v>
      </c>
      <c r="K368" s="3"/>
      <c r="L368" s="3"/>
      <c r="M368" s="3"/>
      <c r="N368" s="3"/>
      <c r="O368" s="3" t="s">
        <v>71</v>
      </c>
      <c r="P368" s="3" t="s">
        <v>2004</v>
      </c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>
        <v>6000</v>
      </c>
      <c r="AL368" s="4">
        <v>42667</v>
      </c>
      <c r="AM368" s="3"/>
      <c r="AN368" s="3" t="s">
        <v>1411</v>
      </c>
    </row>
    <row r="369" spans="1:40" ht="13.5">
      <c r="A369" s="3">
        <v>363</v>
      </c>
      <c r="B369" s="3" t="str">
        <f>"201600056848"</f>
        <v>201600056848</v>
      </c>
      <c r="C369" s="3">
        <v>120989</v>
      </c>
      <c r="D369" s="3" t="s">
        <v>2005</v>
      </c>
      <c r="E369" s="3">
        <v>20545708729</v>
      </c>
      <c r="F369" s="3" t="s">
        <v>2006</v>
      </c>
      <c r="G369" s="3" t="s">
        <v>2007</v>
      </c>
      <c r="H369" s="3" t="s">
        <v>59</v>
      </c>
      <c r="I369" s="3" t="s">
        <v>59</v>
      </c>
      <c r="J369" s="3" t="s">
        <v>734</v>
      </c>
      <c r="K369" s="3"/>
      <c r="L369" s="3"/>
      <c r="M369" s="3"/>
      <c r="N369" s="3"/>
      <c r="O369" s="3" t="s">
        <v>46</v>
      </c>
      <c r="P369" s="3" t="s">
        <v>2008</v>
      </c>
      <c r="Q369" s="3" t="s">
        <v>794</v>
      </c>
      <c r="R369" s="3" t="s">
        <v>795</v>
      </c>
      <c r="S369" s="3" t="s">
        <v>793</v>
      </c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>
        <v>13500</v>
      </c>
      <c r="AL369" s="4">
        <v>42491</v>
      </c>
      <c r="AM369" s="3"/>
      <c r="AN369" s="3" t="s">
        <v>2009</v>
      </c>
    </row>
    <row r="370" spans="1:40" ht="27.75">
      <c r="A370" s="3">
        <v>364</v>
      </c>
      <c r="B370" s="3" t="str">
        <f>"201900179144"</f>
        <v>201900179144</v>
      </c>
      <c r="C370" s="3">
        <v>117912</v>
      </c>
      <c r="D370" s="3" t="s">
        <v>2010</v>
      </c>
      <c r="E370" s="3">
        <v>20506151547</v>
      </c>
      <c r="F370" s="3" t="s">
        <v>1599</v>
      </c>
      <c r="G370" s="3" t="s">
        <v>2011</v>
      </c>
      <c r="H370" s="3" t="s">
        <v>59</v>
      </c>
      <c r="I370" s="3" t="s">
        <v>59</v>
      </c>
      <c r="J370" s="3" t="s">
        <v>382</v>
      </c>
      <c r="K370" s="3"/>
      <c r="L370" s="3"/>
      <c r="M370" s="3"/>
      <c r="N370" s="3"/>
      <c r="O370" s="3" t="s">
        <v>46</v>
      </c>
      <c r="P370" s="3" t="s">
        <v>2012</v>
      </c>
      <c r="Q370" s="3" t="s">
        <v>1611</v>
      </c>
      <c r="R370" s="3" t="s">
        <v>1610</v>
      </c>
      <c r="S370" s="3" t="s">
        <v>1609</v>
      </c>
      <c r="T370" s="3" t="s">
        <v>1613</v>
      </c>
      <c r="U370" s="3" t="s">
        <v>1612</v>
      </c>
      <c r="V370" s="3" t="s">
        <v>1919</v>
      </c>
      <c r="W370" s="3" t="s">
        <v>1918</v>
      </c>
      <c r="X370" s="3" t="s">
        <v>1908</v>
      </c>
      <c r="Y370" s="3" t="s">
        <v>1909</v>
      </c>
      <c r="Z370" s="3" t="s">
        <v>1911</v>
      </c>
      <c r="AA370" s="3" t="s">
        <v>1912</v>
      </c>
      <c r="AB370" s="3" t="s">
        <v>1913</v>
      </c>
      <c r="AC370" s="3" t="s">
        <v>1914</v>
      </c>
      <c r="AD370" s="3" t="s">
        <v>1915</v>
      </c>
      <c r="AE370" s="3" t="s">
        <v>1916</v>
      </c>
      <c r="AF370" s="3" t="s">
        <v>1917</v>
      </c>
      <c r="AG370" s="3" t="s">
        <v>1910</v>
      </c>
      <c r="AH370" s="3" t="s">
        <v>1923</v>
      </c>
      <c r="AI370" s="3" t="s">
        <v>1924</v>
      </c>
      <c r="AJ370" s="3" t="s">
        <v>1925</v>
      </c>
      <c r="AK370" s="3">
        <v>15000</v>
      </c>
      <c r="AL370" s="4">
        <v>43773</v>
      </c>
      <c r="AM370" s="3"/>
      <c r="AN370" s="3" t="s">
        <v>1597</v>
      </c>
    </row>
    <row r="371" spans="1:40" ht="13.5">
      <c r="A371" s="3">
        <v>365</v>
      </c>
      <c r="B371" s="3" t="str">
        <f>"202000005327"</f>
        <v>202000005327</v>
      </c>
      <c r="C371" s="3">
        <v>148708</v>
      </c>
      <c r="D371" s="3" t="s">
        <v>2013</v>
      </c>
      <c r="E371" s="3">
        <v>20548771022</v>
      </c>
      <c r="F371" s="3" t="s">
        <v>847</v>
      </c>
      <c r="G371" s="3" t="s">
        <v>2014</v>
      </c>
      <c r="H371" s="3" t="s">
        <v>59</v>
      </c>
      <c r="I371" s="3" t="s">
        <v>59</v>
      </c>
      <c r="J371" s="3" t="s">
        <v>442</v>
      </c>
      <c r="K371" s="3" t="s">
        <v>2015</v>
      </c>
      <c r="L371" s="3" t="s">
        <v>59</v>
      </c>
      <c r="M371" s="3" t="s">
        <v>59</v>
      </c>
      <c r="N371" s="3" t="s">
        <v>442</v>
      </c>
      <c r="O371" s="3" t="s">
        <v>71</v>
      </c>
      <c r="P371" s="3" t="s">
        <v>2016</v>
      </c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>
        <v>6500</v>
      </c>
      <c r="AL371" s="4">
        <v>43844</v>
      </c>
      <c r="AM371" s="3"/>
      <c r="AN371" s="3" t="s">
        <v>851</v>
      </c>
    </row>
    <row r="372" spans="1:40" ht="27.75">
      <c r="A372" s="3">
        <v>366</v>
      </c>
      <c r="B372" s="3" t="str">
        <f>"201600127170"</f>
        <v>201600127170</v>
      </c>
      <c r="C372" s="3">
        <v>123646</v>
      </c>
      <c r="D372" s="3" t="s">
        <v>2017</v>
      </c>
      <c r="E372" s="3">
        <v>20543688526</v>
      </c>
      <c r="F372" s="3" t="s">
        <v>2018</v>
      </c>
      <c r="G372" s="3" t="s">
        <v>2019</v>
      </c>
      <c r="H372" s="3" t="s">
        <v>197</v>
      </c>
      <c r="I372" s="3" t="s">
        <v>197</v>
      </c>
      <c r="J372" s="3" t="s">
        <v>197</v>
      </c>
      <c r="K372" s="3" t="s">
        <v>2020</v>
      </c>
      <c r="L372" s="3" t="s">
        <v>197</v>
      </c>
      <c r="M372" s="3" t="s">
        <v>197</v>
      </c>
      <c r="N372" s="3" t="s">
        <v>197</v>
      </c>
      <c r="O372" s="3" t="s">
        <v>46</v>
      </c>
      <c r="P372" s="3" t="s">
        <v>2021</v>
      </c>
      <c r="Q372" s="3" t="s">
        <v>2022</v>
      </c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>
        <v>9200</v>
      </c>
      <c r="AL372" s="4">
        <v>42619</v>
      </c>
      <c r="AM372" s="3"/>
      <c r="AN372" s="3"/>
    </row>
    <row r="373" spans="1:40" ht="27.75">
      <c r="A373" s="3">
        <v>367</v>
      </c>
      <c r="B373" s="3" t="str">
        <f>"201900201158"</f>
        <v>201900201158</v>
      </c>
      <c r="C373" s="3">
        <v>145526</v>
      </c>
      <c r="D373" s="3" t="s">
        <v>2023</v>
      </c>
      <c r="E373" s="3">
        <v>20549233334</v>
      </c>
      <c r="F373" s="3" t="s">
        <v>938</v>
      </c>
      <c r="G373" s="3" t="s">
        <v>2024</v>
      </c>
      <c r="H373" s="3" t="s">
        <v>59</v>
      </c>
      <c r="I373" s="3" t="s">
        <v>59</v>
      </c>
      <c r="J373" s="3" t="s">
        <v>102</v>
      </c>
      <c r="K373" s="3"/>
      <c r="L373" s="3"/>
      <c r="M373" s="3"/>
      <c r="N373" s="3"/>
      <c r="O373" s="3" t="s">
        <v>46</v>
      </c>
      <c r="P373" s="3" t="s">
        <v>2025</v>
      </c>
      <c r="Q373" s="3" t="s">
        <v>2026</v>
      </c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>
        <v>14000</v>
      </c>
      <c r="AL373" s="4">
        <v>43807</v>
      </c>
      <c r="AM373" s="3"/>
      <c r="AN373" s="3" t="s">
        <v>2027</v>
      </c>
    </row>
    <row r="374" spans="1:40" ht="13.5">
      <c r="A374" s="3">
        <v>368</v>
      </c>
      <c r="B374" s="3" t="str">
        <f>"201400173897"</f>
        <v>201400173897</v>
      </c>
      <c r="C374" s="3">
        <v>20825</v>
      </c>
      <c r="D374" s="3" t="s">
        <v>2028</v>
      </c>
      <c r="E374" s="3">
        <v>20507034013</v>
      </c>
      <c r="F374" s="3" t="s">
        <v>460</v>
      </c>
      <c r="G374" s="3" t="s">
        <v>2029</v>
      </c>
      <c r="H374" s="3" t="s">
        <v>59</v>
      </c>
      <c r="I374" s="3" t="s">
        <v>59</v>
      </c>
      <c r="J374" s="3" t="s">
        <v>462</v>
      </c>
      <c r="K374" s="3" t="s">
        <v>2029</v>
      </c>
      <c r="L374" s="3" t="s">
        <v>59</v>
      </c>
      <c r="M374" s="3" t="s">
        <v>59</v>
      </c>
      <c r="N374" s="3" t="s">
        <v>462</v>
      </c>
      <c r="O374" s="3" t="s">
        <v>71</v>
      </c>
      <c r="P374" s="3" t="s">
        <v>2030</v>
      </c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>
        <v>3866</v>
      </c>
      <c r="AL374" s="4">
        <v>42019</v>
      </c>
      <c r="AM374" s="3"/>
      <c r="AN374" s="3" t="s">
        <v>1899</v>
      </c>
    </row>
    <row r="375" spans="1:40" ht="13.5">
      <c r="A375" s="3">
        <v>369</v>
      </c>
      <c r="B375" s="3" t="str">
        <f>"201700191155"</f>
        <v>201700191155</v>
      </c>
      <c r="C375" s="3">
        <v>112497</v>
      </c>
      <c r="D375" s="3" t="s">
        <v>2031</v>
      </c>
      <c r="E375" s="3">
        <v>20502794052</v>
      </c>
      <c r="F375" s="3" t="s">
        <v>2032</v>
      </c>
      <c r="G375" s="3" t="s">
        <v>2033</v>
      </c>
      <c r="H375" s="3" t="s">
        <v>59</v>
      </c>
      <c r="I375" s="3" t="s">
        <v>59</v>
      </c>
      <c r="J375" s="3" t="s">
        <v>1012</v>
      </c>
      <c r="K375" s="3" t="s">
        <v>2034</v>
      </c>
      <c r="L375" s="3" t="s">
        <v>59</v>
      </c>
      <c r="M375" s="3" t="s">
        <v>59</v>
      </c>
      <c r="N375" s="3" t="s">
        <v>581</v>
      </c>
      <c r="O375" s="3" t="s">
        <v>46</v>
      </c>
      <c r="P375" s="3" t="s">
        <v>2035</v>
      </c>
      <c r="Q375" s="3" t="s">
        <v>1707</v>
      </c>
      <c r="R375" s="3" t="s">
        <v>585</v>
      </c>
      <c r="S375" s="3" t="s">
        <v>587</v>
      </c>
      <c r="T375" s="3" t="s">
        <v>588</v>
      </c>
      <c r="U375" s="3" t="s">
        <v>589</v>
      </c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>
        <v>13000</v>
      </c>
      <c r="AL375" s="4">
        <v>43053</v>
      </c>
      <c r="AM375" s="3"/>
      <c r="AN375" s="3" t="s">
        <v>590</v>
      </c>
    </row>
    <row r="376" spans="1:40" ht="13.5">
      <c r="A376" s="3">
        <v>370</v>
      </c>
      <c r="B376" s="3" t="str">
        <f>"201600061186"</f>
        <v>201600061186</v>
      </c>
      <c r="C376" s="3">
        <v>121119</v>
      </c>
      <c r="D376" s="3" t="s">
        <v>2036</v>
      </c>
      <c r="E376" s="3">
        <v>20402312859</v>
      </c>
      <c r="F376" s="3" t="s">
        <v>2037</v>
      </c>
      <c r="G376" s="3" t="s">
        <v>1717</v>
      </c>
      <c r="H376" s="3" t="s">
        <v>85</v>
      </c>
      <c r="I376" s="3" t="s">
        <v>86</v>
      </c>
      <c r="J376" s="3" t="s">
        <v>86</v>
      </c>
      <c r="K376" s="3"/>
      <c r="L376" s="3"/>
      <c r="M376" s="3"/>
      <c r="N376" s="3"/>
      <c r="O376" s="3" t="s">
        <v>46</v>
      </c>
      <c r="P376" s="3" t="s">
        <v>2038</v>
      </c>
      <c r="Q376" s="3" t="s">
        <v>2039</v>
      </c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>
        <v>13500</v>
      </c>
      <c r="AL376" s="4">
        <v>42486</v>
      </c>
      <c r="AM376" s="3"/>
      <c r="AN376" s="3" t="s">
        <v>2040</v>
      </c>
    </row>
    <row r="377" spans="1:40" ht="27.75">
      <c r="A377" s="3">
        <v>371</v>
      </c>
      <c r="B377" s="3" t="str">
        <f>"202000093351"</f>
        <v>202000093351</v>
      </c>
      <c r="C377" s="3">
        <v>119949</v>
      </c>
      <c r="D377" s="3" t="s">
        <v>2041</v>
      </c>
      <c r="E377" s="3">
        <v>20565676742</v>
      </c>
      <c r="F377" s="3" t="s">
        <v>324</v>
      </c>
      <c r="G377" s="3" t="s">
        <v>2042</v>
      </c>
      <c r="H377" s="3" t="s">
        <v>59</v>
      </c>
      <c r="I377" s="3" t="s">
        <v>59</v>
      </c>
      <c r="J377" s="3" t="s">
        <v>229</v>
      </c>
      <c r="K377" s="3"/>
      <c r="L377" s="3" t="s">
        <v>59</v>
      </c>
      <c r="M377" s="3" t="s">
        <v>59</v>
      </c>
      <c r="N377" s="3" t="s">
        <v>229</v>
      </c>
      <c r="O377" s="3" t="s">
        <v>71</v>
      </c>
      <c r="P377" s="3" t="s">
        <v>2043</v>
      </c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>
        <v>6000</v>
      </c>
      <c r="AL377" s="4">
        <v>44057</v>
      </c>
      <c r="AM377" s="3"/>
      <c r="AN377" s="3" t="s">
        <v>328</v>
      </c>
    </row>
    <row r="378" spans="1:40" ht="27.75">
      <c r="A378" s="3">
        <v>372</v>
      </c>
      <c r="B378" s="3" t="str">
        <f>"201500176300"</f>
        <v>201500176300</v>
      </c>
      <c r="C378" s="3">
        <v>119259</v>
      </c>
      <c r="D378" s="3" t="s">
        <v>2044</v>
      </c>
      <c r="E378" s="3">
        <v>20517774929</v>
      </c>
      <c r="F378" s="3" t="s">
        <v>738</v>
      </c>
      <c r="G378" s="3" t="s">
        <v>2045</v>
      </c>
      <c r="H378" s="3" t="s">
        <v>59</v>
      </c>
      <c r="I378" s="3" t="s">
        <v>59</v>
      </c>
      <c r="J378" s="3" t="s">
        <v>59</v>
      </c>
      <c r="K378" s="3"/>
      <c r="L378" s="3"/>
      <c r="M378" s="3"/>
      <c r="N378" s="3"/>
      <c r="O378" s="3" t="s">
        <v>46</v>
      </c>
      <c r="P378" s="3" t="s">
        <v>2046</v>
      </c>
      <c r="Q378" s="3" t="s">
        <v>2047</v>
      </c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>
        <v>14000</v>
      </c>
      <c r="AL378" s="4">
        <v>42376</v>
      </c>
      <c r="AM378" s="3"/>
      <c r="AN378" s="3" t="s">
        <v>650</v>
      </c>
    </row>
    <row r="379" spans="1:40" ht="13.5">
      <c r="A379" s="3">
        <v>373</v>
      </c>
      <c r="B379" s="3" t="str">
        <f>"202000018582"</f>
        <v>202000018582</v>
      </c>
      <c r="C379" s="3">
        <v>149053</v>
      </c>
      <c r="D379" s="3" t="s">
        <v>2048</v>
      </c>
      <c r="E379" s="3">
        <v>20548253315</v>
      </c>
      <c r="F379" s="3" t="s">
        <v>2049</v>
      </c>
      <c r="G379" s="3" t="s">
        <v>2050</v>
      </c>
      <c r="H379" s="3" t="s">
        <v>59</v>
      </c>
      <c r="I379" s="3" t="s">
        <v>59</v>
      </c>
      <c r="J379" s="3" t="s">
        <v>59</v>
      </c>
      <c r="K379" s="3"/>
      <c r="L379" s="3"/>
      <c r="M379" s="3"/>
      <c r="N379" s="3"/>
      <c r="O379" s="3" t="s">
        <v>46</v>
      </c>
      <c r="P379" s="3" t="s">
        <v>2051</v>
      </c>
      <c r="Q379" s="3" t="s">
        <v>2052</v>
      </c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>
        <v>15000</v>
      </c>
      <c r="AL379" s="4">
        <v>43871</v>
      </c>
      <c r="AM379" s="3"/>
      <c r="AN379" s="3" t="s">
        <v>504</v>
      </c>
    </row>
    <row r="380" spans="1:40" ht="13.5">
      <c r="A380" s="3">
        <v>374</v>
      </c>
      <c r="B380" s="3" t="str">
        <f>"201600171331"</f>
        <v>201600171331</v>
      </c>
      <c r="C380" s="3">
        <v>122832</v>
      </c>
      <c r="D380" s="3" t="s">
        <v>2053</v>
      </c>
      <c r="E380" s="3">
        <v>20275873480</v>
      </c>
      <c r="F380" s="3" t="s">
        <v>1208</v>
      </c>
      <c r="G380" s="3" t="s">
        <v>1229</v>
      </c>
      <c r="H380" s="3" t="s">
        <v>85</v>
      </c>
      <c r="I380" s="3" t="s">
        <v>86</v>
      </c>
      <c r="J380" s="3" t="s">
        <v>86</v>
      </c>
      <c r="K380" s="3"/>
      <c r="L380" s="3"/>
      <c r="M380" s="3"/>
      <c r="N380" s="3"/>
      <c r="O380" s="3" t="s">
        <v>46</v>
      </c>
      <c r="P380" s="3" t="s">
        <v>2054</v>
      </c>
      <c r="Q380" s="3" t="s">
        <v>2055</v>
      </c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>
        <v>14000</v>
      </c>
      <c r="AL380" s="4">
        <v>42699</v>
      </c>
      <c r="AM380" s="3"/>
      <c r="AN380" s="3" t="s">
        <v>2056</v>
      </c>
    </row>
    <row r="381" spans="1:40" ht="13.5">
      <c r="A381" s="3">
        <v>375</v>
      </c>
      <c r="B381" s="3" t="str">
        <f>"201900161797"</f>
        <v>201900161797</v>
      </c>
      <c r="C381" s="3">
        <v>110412</v>
      </c>
      <c r="D381" s="3" t="s">
        <v>2057</v>
      </c>
      <c r="E381" s="3">
        <v>20530088872</v>
      </c>
      <c r="F381" s="3" t="s">
        <v>2058</v>
      </c>
      <c r="G381" s="3" t="s">
        <v>2059</v>
      </c>
      <c r="H381" s="3" t="s">
        <v>332</v>
      </c>
      <c r="I381" s="3" t="s">
        <v>332</v>
      </c>
      <c r="J381" s="3" t="s">
        <v>332</v>
      </c>
      <c r="K381" s="3" t="s">
        <v>2059</v>
      </c>
      <c r="L381" s="3" t="s">
        <v>332</v>
      </c>
      <c r="M381" s="3" t="s">
        <v>332</v>
      </c>
      <c r="N381" s="3" t="s">
        <v>332</v>
      </c>
      <c r="O381" s="3" t="s">
        <v>71</v>
      </c>
      <c r="P381" s="3" t="s">
        <v>2060</v>
      </c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>
        <v>6400</v>
      </c>
      <c r="AL381" s="4">
        <v>43752</v>
      </c>
      <c r="AM381" s="3"/>
      <c r="AN381" s="3" t="s">
        <v>2061</v>
      </c>
    </row>
    <row r="382" spans="1:40" ht="13.5">
      <c r="A382" s="3">
        <v>376</v>
      </c>
      <c r="B382" s="3" t="str">
        <f>"201300165200"</f>
        <v>201300165200</v>
      </c>
      <c r="C382" s="3">
        <v>105617</v>
      </c>
      <c r="D382" s="3" t="s">
        <v>2062</v>
      </c>
      <c r="E382" s="3">
        <v>20517774929</v>
      </c>
      <c r="F382" s="3" t="s">
        <v>2063</v>
      </c>
      <c r="G382" s="3" t="s">
        <v>2064</v>
      </c>
      <c r="H382" s="3" t="s">
        <v>59</v>
      </c>
      <c r="I382" s="3" t="s">
        <v>59</v>
      </c>
      <c r="J382" s="3" t="s">
        <v>213</v>
      </c>
      <c r="K382" s="3"/>
      <c r="L382" s="3"/>
      <c r="M382" s="3"/>
      <c r="N382" s="3"/>
      <c r="O382" s="3" t="s">
        <v>46</v>
      </c>
      <c r="P382" s="3" t="s">
        <v>2065</v>
      </c>
      <c r="Q382" s="3" t="s">
        <v>2066</v>
      </c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>
        <v>10000</v>
      </c>
      <c r="AL382" s="4">
        <v>41571</v>
      </c>
      <c r="AM382" s="3"/>
      <c r="AN382" s="3" t="s">
        <v>650</v>
      </c>
    </row>
    <row r="383" spans="1:40" ht="13.5">
      <c r="A383" s="3">
        <v>377</v>
      </c>
      <c r="B383" s="3" t="str">
        <f>"201800079311"</f>
        <v>201800079311</v>
      </c>
      <c r="C383" s="3">
        <v>109178</v>
      </c>
      <c r="D383" s="3" t="s">
        <v>2067</v>
      </c>
      <c r="E383" s="3">
        <v>20486107902</v>
      </c>
      <c r="F383" s="3" t="s">
        <v>777</v>
      </c>
      <c r="G383" s="3" t="s">
        <v>2068</v>
      </c>
      <c r="H383" s="3" t="s">
        <v>219</v>
      </c>
      <c r="I383" s="3" t="s">
        <v>220</v>
      </c>
      <c r="J383" s="3" t="s">
        <v>221</v>
      </c>
      <c r="K383" s="3" t="s">
        <v>2069</v>
      </c>
      <c r="L383" s="3" t="s">
        <v>219</v>
      </c>
      <c r="M383" s="3" t="s">
        <v>220</v>
      </c>
      <c r="N383" s="3" t="s">
        <v>221</v>
      </c>
      <c r="O383" s="3" t="s">
        <v>71</v>
      </c>
      <c r="P383" s="3" t="s">
        <v>2070</v>
      </c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>
        <v>6000</v>
      </c>
      <c r="AL383" s="4">
        <v>43236</v>
      </c>
      <c r="AM383" s="3"/>
      <c r="AN383" s="3" t="s">
        <v>1895</v>
      </c>
    </row>
    <row r="384" spans="1:40" ht="13.5">
      <c r="A384" s="3">
        <v>378</v>
      </c>
      <c r="B384" s="3" t="str">
        <f>"201500111161"</f>
        <v>201500111161</v>
      </c>
      <c r="C384" s="3">
        <v>105513</v>
      </c>
      <c r="D384" s="3" t="s">
        <v>2071</v>
      </c>
      <c r="E384" s="3">
        <v>20282242819</v>
      </c>
      <c r="F384" s="3" t="s">
        <v>2072</v>
      </c>
      <c r="G384" s="3" t="s">
        <v>84</v>
      </c>
      <c r="H384" s="3" t="s">
        <v>85</v>
      </c>
      <c r="I384" s="3" t="s">
        <v>86</v>
      </c>
      <c r="J384" s="3" t="s">
        <v>86</v>
      </c>
      <c r="K384" s="3"/>
      <c r="L384" s="3"/>
      <c r="M384" s="3"/>
      <c r="N384" s="3"/>
      <c r="O384" s="3" t="s">
        <v>46</v>
      </c>
      <c r="P384" s="3" t="s">
        <v>2073</v>
      </c>
      <c r="Q384" s="3" t="s">
        <v>2074</v>
      </c>
      <c r="R384" s="3" t="s">
        <v>2075</v>
      </c>
      <c r="S384" s="3" t="s">
        <v>2076</v>
      </c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>
        <v>14000</v>
      </c>
      <c r="AL384" s="4">
        <v>42240</v>
      </c>
      <c r="AM384" s="3"/>
      <c r="AN384" s="3" t="s">
        <v>2077</v>
      </c>
    </row>
    <row r="385" spans="1:40" ht="13.5">
      <c r="A385" s="3">
        <v>379</v>
      </c>
      <c r="B385" s="3" t="str">
        <f>"201200213774"</f>
        <v>201200213774</v>
      </c>
      <c r="C385" s="3">
        <v>99615</v>
      </c>
      <c r="D385" s="3" t="s">
        <v>2078</v>
      </c>
      <c r="E385" s="3">
        <v>20548155810</v>
      </c>
      <c r="F385" s="3" t="s">
        <v>2079</v>
      </c>
      <c r="G385" s="3" t="s">
        <v>1130</v>
      </c>
      <c r="H385" s="3" t="s">
        <v>59</v>
      </c>
      <c r="I385" s="3" t="s">
        <v>59</v>
      </c>
      <c r="J385" s="3" t="s">
        <v>799</v>
      </c>
      <c r="K385" s="3" t="s">
        <v>2080</v>
      </c>
      <c r="L385" s="3" t="s">
        <v>59</v>
      </c>
      <c r="M385" s="3" t="s">
        <v>59</v>
      </c>
      <c r="N385" s="3" t="s">
        <v>799</v>
      </c>
      <c r="O385" s="3" t="s">
        <v>71</v>
      </c>
      <c r="P385" s="3" t="s">
        <v>2081</v>
      </c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>
        <v>6500</v>
      </c>
      <c r="AL385" s="4">
        <v>41249</v>
      </c>
      <c r="AM385" s="3"/>
      <c r="AN385" s="3" t="s">
        <v>2082</v>
      </c>
    </row>
    <row r="386" spans="1:40" ht="13.5">
      <c r="A386" s="3">
        <v>380</v>
      </c>
      <c r="B386" s="3" t="str">
        <f>"201500004908"</f>
        <v>201500004908</v>
      </c>
      <c r="C386" s="3">
        <v>109845</v>
      </c>
      <c r="D386" s="3" t="s">
        <v>2083</v>
      </c>
      <c r="E386" s="3">
        <v>20558288656</v>
      </c>
      <c r="F386" s="3" t="s">
        <v>2084</v>
      </c>
      <c r="G386" s="3" t="s">
        <v>2085</v>
      </c>
      <c r="H386" s="3" t="s">
        <v>44</v>
      </c>
      <c r="I386" s="3" t="s">
        <v>44</v>
      </c>
      <c r="J386" s="3" t="s">
        <v>2086</v>
      </c>
      <c r="K386" s="3" t="s">
        <v>2085</v>
      </c>
      <c r="L386" s="3" t="s">
        <v>44</v>
      </c>
      <c r="M386" s="3" t="s">
        <v>44</v>
      </c>
      <c r="N386" s="3" t="s">
        <v>2086</v>
      </c>
      <c r="O386" s="3" t="s">
        <v>71</v>
      </c>
      <c r="P386" s="3" t="s">
        <v>2087</v>
      </c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>
        <v>5000</v>
      </c>
      <c r="AL386" s="4">
        <v>42040</v>
      </c>
      <c r="AM386" s="3"/>
      <c r="AN386" s="3" t="s">
        <v>2088</v>
      </c>
    </row>
    <row r="387" spans="1:40" ht="27.75">
      <c r="A387" s="3">
        <v>381</v>
      </c>
      <c r="B387" s="3" t="str">
        <f>"202000005540"</f>
        <v>202000005540</v>
      </c>
      <c r="C387" s="3">
        <v>93350</v>
      </c>
      <c r="D387" s="3" t="s">
        <v>2089</v>
      </c>
      <c r="E387" s="3">
        <v>20602359981</v>
      </c>
      <c r="F387" s="3" t="s">
        <v>357</v>
      </c>
      <c r="G387" s="3" t="s">
        <v>2090</v>
      </c>
      <c r="H387" s="3" t="s">
        <v>59</v>
      </c>
      <c r="I387" s="3" t="s">
        <v>59</v>
      </c>
      <c r="J387" s="3" t="s">
        <v>70</v>
      </c>
      <c r="K387" s="3"/>
      <c r="L387" s="3" t="s">
        <v>59</v>
      </c>
      <c r="M387" s="3" t="s">
        <v>59</v>
      </c>
      <c r="N387" s="3" t="s">
        <v>70</v>
      </c>
      <c r="O387" s="3" t="s">
        <v>46</v>
      </c>
      <c r="P387" s="3" t="s">
        <v>2091</v>
      </c>
      <c r="Q387" s="3" t="s">
        <v>672</v>
      </c>
      <c r="R387" s="3" t="s">
        <v>2092</v>
      </c>
      <c r="S387" s="3" t="s">
        <v>2093</v>
      </c>
      <c r="T387" s="3" t="s">
        <v>2094</v>
      </c>
      <c r="U387" s="3" t="s">
        <v>2095</v>
      </c>
      <c r="V387" s="3" t="s">
        <v>2096</v>
      </c>
      <c r="W387" s="3" t="s">
        <v>2097</v>
      </c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>
        <v>11400</v>
      </c>
      <c r="AL387" s="4">
        <v>43846</v>
      </c>
      <c r="AM387" s="3"/>
      <c r="AN387" s="3" t="s">
        <v>360</v>
      </c>
    </row>
    <row r="388" spans="1:40" ht="13.5">
      <c r="A388" s="3">
        <v>382</v>
      </c>
      <c r="B388" s="3" t="str">
        <f>"201800209683"</f>
        <v>201800209683</v>
      </c>
      <c r="C388" s="3">
        <v>123025</v>
      </c>
      <c r="D388" s="3" t="s">
        <v>2098</v>
      </c>
      <c r="E388" s="3">
        <v>20364791080</v>
      </c>
      <c r="F388" s="3" t="s">
        <v>2099</v>
      </c>
      <c r="G388" s="3" t="s">
        <v>2100</v>
      </c>
      <c r="H388" s="3" t="s">
        <v>388</v>
      </c>
      <c r="I388" s="3" t="s">
        <v>1271</v>
      </c>
      <c r="J388" s="3" t="s">
        <v>2101</v>
      </c>
      <c r="K388" s="3"/>
      <c r="L388" s="3"/>
      <c r="M388" s="3"/>
      <c r="N388" s="3"/>
      <c r="O388" s="3" t="s">
        <v>46</v>
      </c>
      <c r="P388" s="3" t="s">
        <v>2102</v>
      </c>
      <c r="Q388" s="3" t="s">
        <v>2103</v>
      </c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>
        <v>13600</v>
      </c>
      <c r="AL388" s="4">
        <v>43453</v>
      </c>
      <c r="AM388" s="3"/>
      <c r="AN388" s="3" t="s">
        <v>2104</v>
      </c>
    </row>
    <row r="389" spans="1:40" ht="27.75">
      <c r="A389" s="3">
        <v>383</v>
      </c>
      <c r="B389" s="3" t="str">
        <f>"201900191455"</f>
        <v>201900191455</v>
      </c>
      <c r="C389" s="3">
        <v>120209</v>
      </c>
      <c r="D389" s="3" t="s">
        <v>2105</v>
      </c>
      <c r="E389" s="3">
        <v>10199469580</v>
      </c>
      <c r="F389" s="3" t="s">
        <v>959</v>
      </c>
      <c r="G389" s="3" t="s">
        <v>2106</v>
      </c>
      <c r="H389" s="3" t="s">
        <v>219</v>
      </c>
      <c r="I389" s="3" t="s">
        <v>220</v>
      </c>
      <c r="J389" s="3" t="s">
        <v>956</v>
      </c>
      <c r="K389" s="3" t="s">
        <v>2106</v>
      </c>
      <c r="L389" s="3" t="s">
        <v>219</v>
      </c>
      <c r="M389" s="3" t="s">
        <v>220</v>
      </c>
      <c r="N389" s="3" t="s">
        <v>956</v>
      </c>
      <c r="O389" s="3" t="s">
        <v>46</v>
      </c>
      <c r="P389" s="3" t="s">
        <v>2107</v>
      </c>
      <c r="Q389" s="3" t="s">
        <v>2108</v>
      </c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>
        <v>14000</v>
      </c>
      <c r="AL389" s="4">
        <v>43789</v>
      </c>
      <c r="AM389" s="3"/>
      <c r="AN389" s="3" t="s">
        <v>959</v>
      </c>
    </row>
    <row r="390" spans="1:40" ht="13.5">
      <c r="A390" s="3">
        <v>384</v>
      </c>
      <c r="B390" s="3" t="str">
        <f>"201700213960"</f>
        <v>201700213960</v>
      </c>
      <c r="C390" s="3">
        <v>133510</v>
      </c>
      <c r="D390" s="3" t="s">
        <v>2109</v>
      </c>
      <c r="E390" s="3">
        <v>10105903338</v>
      </c>
      <c r="F390" s="3" t="s">
        <v>2110</v>
      </c>
      <c r="G390" s="3" t="s">
        <v>2111</v>
      </c>
      <c r="H390" s="3" t="s">
        <v>2112</v>
      </c>
      <c r="I390" s="3" t="s">
        <v>2113</v>
      </c>
      <c r="J390" s="3" t="s">
        <v>2114</v>
      </c>
      <c r="K390" s="3" t="s">
        <v>2111</v>
      </c>
      <c r="L390" s="3" t="s">
        <v>2112</v>
      </c>
      <c r="M390" s="3" t="s">
        <v>2113</v>
      </c>
      <c r="N390" s="3" t="s">
        <v>2114</v>
      </c>
      <c r="O390" s="3" t="s">
        <v>71</v>
      </c>
      <c r="P390" s="3" t="s">
        <v>2115</v>
      </c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>
        <v>6000</v>
      </c>
      <c r="AL390" s="4">
        <v>43093</v>
      </c>
      <c r="AM390" s="3"/>
      <c r="AN390" s="3" t="s">
        <v>2110</v>
      </c>
    </row>
    <row r="391" spans="1:40" ht="13.5">
      <c r="A391" s="3">
        <v>385</v>
      </c>
      <c r="B391" s="3" t="str">
        <f>"201600147307"</f>
        <v>201600147307</v>
      </c>
      <c r="C391" s="3">
        <v>124351</v>
      </c>
      <c r="D391" s="3" t="s">
        <v>2116</v>
      </c>
      <c r="E391" s="3">
        <v>20334129595</v>
      </c>
      <c r="F391" s="3" t="s">
        <v>634</v>
      </c>
      <c r="G391" s="3" t="s">
        <v>2117</v>
      </c>
      <c r="H391" s="3" t="s">
        <v>59</v>
      </c>
      <c r="I391" s="3" t="s">
        <v>59</v>
      </c>
      <c r="J391" s="3" t="s">
        <v>102</v>
      </c>
      <c r="K391" s="3"/>
      <c r="L391" s="3"/>
      <c r="M391" s="3"/>
      <c r="N391" s="3"/>
      <c r="O391" s="3" t="s">
        <v>46</v>
      </c>
      <c r="P391" s="3" t="s">
        <v>2118</v>
      </c>
      <c r="Q391" s="3" t="s">
        <v>2119</v>
      </c>
      <c r="R391" s="3" t="s">
        <v>795</v>
      </c>
      <c r="S391" s="3" t="s">
        <v>794</v>
      </c>
      <c r="T391" s="3" t="s">
        <v>793</v>
      </c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>
        <v>14000</v>
      </c>
      <c r="AL391" s="4">
        <v>42658</v>
      </c>
      <c r="AM391" s="3"/>
      <c r="AN391" s="3" t="s">
        <v>2120</v>
      </c>
    </row>
    <row r="392" spans="1:40" ht="13.5">
      <c r="A392" s="3">
        <v>386</v>
      </c>
      <c r="B392" s="3" t="str">
        <f>"201600173481"</f>
        <v>201600173481</v>
      </c>
      <c r="C392" s="3">
        <v>108169</v>
      </c>
      <c r="D392" s="3" t="s">
        <v>2121</v>
      </c>
      <c r="E392" s="3">
        <v>20275873480</v>
      </c>
      <c r="F392" s="3" t="s">
        <v>1208</v>
      </c>
      <c r="G392" s="3" t="s">
        <v>1229</v>
      </c>
      <c r="H392" s="3" t="s">
        <v>85</v>
      </c>
      <c r="I392" s="3" t="s">
        <v>86</v>
      </c>
      <c r="J392" s="3" t="s">
        <v>86</v>
      </c>
      <c r="K392" s="3"/>
      <c r="L392" s="3"/>
      <c r="M392" s="3"/>
      <c r="N392" s="3"/>
      <c r="O392" s="3" t="s">
        <v>46</v>
      </c>
      <c r="P392" s="3" t="s">
        <v>2122</v>
      </c>
      <c r="Q392" s="3" t="s">
        <v>2123</v>
      </c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>
        <v>14000</v>
      </c>
      <c r="AL392" s="4">
        <v>42702</v>
      </c>
      <c r="AM392" s="3"/>
      <c r="AN392" s="3" t="s">
        <v>1212</v>
      </c>
    </row>
    <row r="393" spans="1:40" ht="27.75">
      <c r="A393" s="3">
        <v>387</v>
      </c>
      <c r="B393" s="3" t="str">
        <f>"201900082117"</f>
        <v>201900082117</v>
      </c>
      <c r="C393" s="3">
        <v>144215</v>
      </c>
      <c r="D393" s="3" t="s">
        <v>2124</v>
      </c>
      <c r="E393" s="3">
        <v>20569324531</v>
      </c>
      <c r="F393" s="3" t="s">
        <v>2125</v>
      </c>
      <c r="G393" s="3" t="s">
        <v>2126</v>
      </c>
      <c r="H393" s="3" t="s">
        <v>388</v>
      </c>
      <c r="I393" s="3" t="s">
        <v>389</v>
      </c>
      <c r="J393" s="3" t="s">
        <v>870</v>
      </c>
      <c r="K393" s="3" t="s">
        <v>2126</v>
      </c>
      <c r="L393" s="3" t="s">
        <v>388</v>
      </c>
      <c r="M393" s="3" t="s">
        <v>389</v>
      </c>
      <c r="N393" s="3" t="s">
        <v>870</v>
      </c>
      <c r="O393" s="3" t="s">
        <v>71</v>
      </c>
      <c r="P393" s="3" t="s">
        <v>2127</v>
      </c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>
        <v>7700</v>
      </c>
      <c r="AL393" s="4">
        <v>43613</v>
      </c>
      <c r="AM393" s="3"/>
      <c r="AN393" s="3" t="s">
        <v>2128</v>
      </c>
    </row>
    <row r="394" spans="1:40" ht="27.75">
      <c r="A394" s="3">
        <v>388</v>
      </c>
      <c r="B394" s="3" t="str">
        <f>"201700085299"</f>
        <v>201700085299</v>
      </c>
      <c r="C394" s="3">
        <v>121066</v>
      </c>
      <c r="D394" s="3" t="s">
        <v>2129</v>
      </c>
      <c r="E394" s="3">
        <v>20449333731</v>
      </c>
      <c r="F394" s="3" t="s">
        <v>372</v>
      </c>
      <c r="G394" s="3" t="s">
        <v>2130</v>
      </c>
      <c r="H394" s="3" t="s">
        <v>109</v>
      </c>
      <c r="I394" s="3" t="s">
        <v>109</v>
      </c>
      <c r="J394" s="3" t="s">
        <v>109</v>
      </c>
      <c r="K394" s="3"/>
      <c r="L394" s="3"/>
      <c r="M394" s="3"/>
      <c r="N394" s="3"/>
      <c r="O394" s="3" t="s">
        <v>46</v>
      </c>
      <c r="P394" s="3" t="s">
        <v>2131</v>
      </c>
      <c r="Q394" s="3" t="s">
        <v>376</v>
      </c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>
        <v>13600</v>
      </c>
      <c r="AL394" s="4">
        <v>42895</v>
      </c>
      <c r="AM394" s="3"/>
      <c r="AN394" s="3" t="s">
        <v>378</v>
      </c>
    </row>
    <row r="395" spans="1:40" ht="27.75">
      <c r="A395" s="3">
        <v>389</v>
      </c>
      <c r="B395" s="3" t="str">
        <f>"201900018952"</f>
        <v>201900018952</v>
      </c>
      <c r="C395" s="3">
        <v>141164</v>
      </c>
      <c r="D395" s="3" t="s">
        <v>2132</v>
      </c>
      <c r="E395" s="3">
        <v>20603398123</v>
      </c>
      <c r="F395" s="3" t="s">
        <v>2133</v>
      </c>
      <c r="G395" s="3" t="s">
        <v>2134</v>
      </c>
      <c r="H395" s="3" t="s">
        <v>515</v>
      </c>
      <c r="I395" s="3" t="s">
        <v>2135</v>
      </c>
      <c r="J395" s="3" t="s">
        <v>2136</v>
      </c>
      <c r="K395" s="3"/>
      <c r="L395" s="3"/>
      <c r="M395" s="3"/>
      <c r="N395" s="3"/>
      <c r="O395" s="3" t="s">
        <v>46</v>
      </c>
      <c r="P395" s="3" t="s">
        <v>2137</v>
      </c>
      <c r="Q395" s="3" t="s">
        <v>2138</v>
      </c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>
        <v>11000</v>
      </c>
      <c r="AL395" s="4">
        <v>43504</v>
      </c>
      <c r="AM395" s="3"/>
      <c r="AN395" s="3" t="s">
        <v>2139</v>
      </c>
    </row>
    <row r="396" spans="1:40" ht="27.75">
      <c r="A396" s="3">
        <v>390</v>
      </c>
      <c r="B396" s="3" t="str">
        <f>"202000074479"</f>
        <v>202000074479</v>
      </c>
      <c r="C396" s="3">
        <v>149815</v>
      </c>
      <c r="D396" s="3" t="s">
        <v>2140</v>
      </c>
      <c r="E396" s="3">
        <v>20600170377</v>
      </c>
      <c r="F396" s="3" t="s">
        <v>2141</v>
      </c>
      <c r="G396" s="3" t="s">
        <v>2142</v>
      </c>
      <c r="H396" s="3" t="s">
        <v>59</v>
      </c>
      <c r="I396" s="3" t="s">
        <v>59</v>
      </c>
      <c r="J396" s="3" t="s">
        <v>442</v>
      </c>
      <c r="K396" s="3"/>
      <c r="L396" s="3"/>
      <c r="M396" s="3"/>
      <c r="N396" s="3"/>
      <c r="O396" s="3" t="s">
        <v>46</v>
      </c>
      <c r="P396" s="3" t="s">
        <v>2143</v>
      </c>
      <c r="Q396" s="3" t="s">
        <v>2144</v>
      </c>
      <c r="R396" s="3" t="s">
        <v>2145</v>
      </c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>
        <v>14000</v>
      </c>
      <c r="AL396" s="4">
        <v>44085</v>
      </c>
      <c r="AM396" s="3"/>
      <c r="AN396" s="3" t="s">
        <v>2146</v>
      </c>
    </row>
    <row r="397" spans="1:40" ht="27.75">
      <c r="A397" s="3">
        <v>391</v>
      </c>
      <c r="B397" s="3" t="str">
        <f>"202000139374"</f>
        <v>202000139374</v>
      </c>
      <c r="C397" s="3">
        <v>151776</v>
      </c>
      <c r="D397" s="3" t="s">
        <v>2147</v>
      </c>
      <c r="E397" s="3">
        <v>20553288895</v>
      </c>
      <c r="F397" s="3" t="s">
        <v>2148</v>
      </c>
      <c r="G397" s="3" t="s">
        <v>2149</v>
      </c>
      <c r="H397" s="3" t="s">
        <v>59</v>
      </c>
      <c r="I397" s="3" t="s">
        <v>59</v>
      </c>
      <c r="J397" s="3" t="s">
        <v>213</v>
      </c>
      <c r="K397" s="3" t="s">
        <v>2149</v>
      </c>
      <c r="L397" s="3" t="s">
        <v>59</v>
      </c>
      <c r="M397" s="3" t="s">
        <v>59</v>
      </c>
      <c r="N397" s="3" t="s">
        <v>213</v>
      </c>
      <c r="O397" s="3" t="s">
        <v>71</v>
      </c>
      <c r="P397" s="3" t="s">
        <v>2150</v>
      </c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>
        <v>3440</v>
      </c>
      <c r="AL397" s="4">
        <v>44120</v>
      </c>
      <c r="AM397" s="3"/>
      <c r="AN397" s="3" t="s">
        <v>215</v>
      </c>
    </row>
    <row r="398" spans="1:40" ht="27.75">
      <c r="A398" s="3">
        <v>392</v>
      </c>
      <c r="B398" s="3" t="str">
        <f>"201700167394"</f>
        <v>201700167394</v>
      </c>
      <c r="C398" s="3">
        <v>117685</v>
      </c>
      <c r="D398" s="3" t="s">
        <v>2151</v>
      </c>
      <c r="E398" s="3">
        <v>20440135502</v>
      </c>
      <c r="F398" s="3" t="s">
        <v>2152</v>
      </c>
      <c r="G398" s="3" t="s">
        <v>2153</v>
      </c>
      <c r="H398" s="3" t="s">
        <v>85</v>
      </c>
      <c r="I398" s="3" t="s">
        <v>86</v>
      </c>
      <c r="J398" s="3" t="s">
        <v>86</v>
      </c>
      <c r="K398" s="3"/>
      <c r="L398" s="3"/>
      <c r="M398" s="3"/>
      <c r="N398" s="3"/>
      <c r="O398" s="3" t="s">
        <v>46</v>
      </c>
      <c r="P398" s="3" t="s">
        <v>2154</v>
      </c>
      <c r="Q398" s="3" t="s">
        <v>2155</v>
      </c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>
        <v>14000</v>
      </c>
      <c r="AL398" s="4">
        <v>43021</v>
      </c>
      <c r="AM398" s="3"/>
      <c r="AN398" s="3" t="s">
        <v>2156</v>
      </c>
    </row>
    <row r="399" spans="1:40" ht="27.75">
      <c r="A399" s="3">
        <v>393</v>
      </c>
      <c r="B399" s="3" t="str">
        <f>"201700208503"</f>
        <v>201700208503</v>
      </c>
      <c r="C399" s="3">
        <v>133323</v>
      </c>
      <c r="D399" s="3" t="s">
        <v>2157</v>
      </c>
      <c r="E399" s="3">
        <v>20554019693</v>
      </c>
      <c r="F399" s="3" t="s">
        <v>2158</v>
      </c>
      <c r="G399" s="3" t="s">
        <v>2159</v>
      </c>
      <c r="H399" s="3" t="s">
        <v>59</v>
      </c>
      <c r="I399" s="3" t="s">
        <v>59</v>
      </c>
      <c r="J399" s="3" t="s">
        <v>1818</v>
      </c>
      <c r="K399" s="3"/>
      <c r="L399" s="3"/>
      <c r="M399" s="3"/>
      <c r="N399" s="3"/>
      <c r="O399" s="3" t="s">
        <v>71</v>
      </c>
      <c r="P399" s="3" t="s">
        <v>2160</v>
      </c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>
        <v>6500</v>
      </c>
      <c r="AL399" s="4">
        <v>43083</v>
      </c>
      <c r="AM399" s="3"/>
      <c r="AN399" s="3" t="s">
        <v>1821</v>
      </c>
    </row>
    <row r="400" spans="1:40" ht="27.75">
      <c r="A400" s="3">
        <v>394</v>
      </c>
      <c r="B400" s="3" t="str">
        <f>"202000144025"</f>
        <v>202000144025</v>
      </c>
      <c r="C400" s="3">
        <v>118979</v>
      </c>
      <c r="D400" s="3" t="s">
        <v>2161</v>
      </c>
      <c r="E400" s="3">
        <v>20603111371</v>
      </c>
      <c r="F400" s="3" t="s">
        <v>2162</v>
      </c>
      <c r="G400" s="3" t="s">
        <v>2163</v>
      </c>
      <c r="H400" s="3" t="s">
        <v>109</v>
      </c>
      <c r="I400" s="3" t="s">
        <v>109</v>
      </c>
      <c r="J400" s="3" t="s">
        <v>109</v>
      </c>
      <c r="K400" s="3"/>
      <c r="L400" s="3"/>
      <c r="M400" s="3"/>
      <c r="N400" s="3"/>
      <c r="O400" s="3" t="s">
        <v>46</v>
      </c>
      <c r="P400" s="3" t="s">
        <v>2164</v>
      </c>
      <c r="Q400" s="3" t="s">
        <v>2165</v>
      </c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>
        <v>13000</v>
      </c>
      <c r="AL400" s="4">
        <v>44123</v>
      </c>
      <c r="AM400" s="3"/>
      <c r="AN400" s="3" t="s">
        <v>2166</v>
      </c>
    </row>
    <row r="401" spans="1:40" ht="13.5">
      <c r="A401" s="3">
        <v>395</v>
      </c>
      <c r="B401" s="3" t="str">
        <f>"201500070520"</f>
        <v>201500070520</v>
      </c>
      <c r="C401" s="3">
        <v>115652</v>
      </c>
      <c r="D401" s="3" t="s">
        <v>2167</v>
      </c>
      <c r="E401" s="3">
        <v>20566490693</v>
      </c>
      <c r="F401" s="3" t="s">
        <v>2168</v>
      </c>
      <c r="G401" s="3" t="s">
        <v>2169</v>
      </c>
      <c r="H401" s="3" t="s">
        <v>127</v>
      </c>
      <c r="I401" s="3" t="s">
        <v>127</v>
      </c>
      <c r="J401" s="3" t="s">
        <v>2170</v>
      </c>
      <c r="K401" s="3" t="s">
        <v>2171</v>
      </c>
      <c r="L401" s="3"/>
      <c r="M401" s="3"/>
      <c r="N401" s="3"/>
      <c r="O401" s="3" t="s">
        <v>71</v>
      </c>
      <c r="P401" s="3" t="s">
        <v>2172</v>
      </c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>
        <v>6500</v>
      </c>
      <c r="AL401" s="4">
        <v>42157</v>
      </c>
      <c r="AM401" s="3"/>
      <c r="AN401" s="3" t="s">
        <v>2173</v>
      </c>
    </row>
    <row r="402" spans="1:40" ht="13.5">
      <c r="A402" s="3">
        <v>396</v>
      </c>
      <c r="B402" s="3" t="str">
        <f>"201900140715"</f>
        <v>201900140715</v>
      </c>
      <c r="C402" s="3">
        <v>95528</v>
      </c>
      <c r="D402" s="3" t="s">
        <v>2174</v>
      </c>
      <c r="E402" s="3">
        <v>20600762771</v>
      </c>
      <c r="F402" s="3" t="s">
        <v>2175</v>
      </c>
      <c r="G402" s="3" t="s">
        <v>2176</v>
      </c>
      <c r="H402" s="3" t="s">
        <v>85</v>
      </c>
      <c r="I402" s="3" t="s">
        <v>86</v>
      </c>
      <c r="J402" s="3" t="s">
        <v>115</v>
      </c>
      <c r="K402" s="3"/>
      <c r="L402" s="3"/>
      <c r="M402" s="3"/>
      <c r="N402" s="3"/>
      <c r="O402" s="3" t="s">
        <v>46</v>
      </c>
      <c r="P402" s="3" t="s">
        <v>2177</v>
      </c>
      <c r="Q402" s="3" t="s">
        <v>2178</v>
      </c>
      <c r="R402" s="3" t="s">
        <v>2179</v>
      </c>
      <c r="S402" s="3" t="s">
        <v>2180</v>
      </c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>
        <v>14000</v>
      </c>
      <c r="AL402" s="4">
        <v>43710</v>
      </c>
      <c r="AM402" s="3"/>
      <c r="AN402" s="3" t="s">
        <v>117</v>
      </c>
    </row>
    <row r="403" spans="1:40" ht="27.75">
      <c r="A403" s="3">
        <v>397</v>
      </c>
      <c r="B403" s="3" t="str">
        <f>"201700216430"</f>
        <v>201700216430</v>
      </c>
      <c r="C403" s="3">
        <v>133606</v>
      </c>
      <c r="D403" s="3" t="s">
        <v>2181</v>
      </c>
      <c r="E403" s="3">
        <v>20503840121</v>
      </c>
      <c r="F403" s="3" t="s">
        <v>380</v>
      </c>
      <c r="G403" s="3" t="s">
        <v>1787</v>
      </c>
      <c r="H403" s="3" t="s">
        <v>59</v>
      </c>
      <c r="I403" s="3" t="s">
        <v>59</v>
      </c>
      <c r="J403" s="3" t="s">
        <v>382</v>
      </c>
      <c r="K403" s="3" t="s">
        <v>1199</v>
      </c>
      <c r="L403" s="3" t="s">
        <v>59</v>
      </c>
      <c r="M403" s="3" t="s">
        <v>59</v>
      </c>
      <c r="N403" s="3" t="s">
        <v>382</v>
      </c>
      <c r="O403" s="3" t="s">
        <v>71</v>
      </c>
      <c r="P403" s="3" t="s">
        <v>2182</v>
      </c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>
        <v>6500</v>
      </c>
      <c r="AL403" s="4">
        <v>43104</v>
      </c>
      <c r="AM403" s="3"/>
      <c r="AN403" s="3" t="s">
        <v>1201</v>
      </c>
    </row>
    <row r="404" spans="1:40" ht="13.5">
      <c r="A404" s="3">
        <v>398</v>
      </c>
      <c r="B404" s="3" t="str">
        <f>"201900105212"</f>
        <v>201900105212</v>
      </c>
      <c r="C404" s="3">
        <v>144979</v>
      </c>
      <c r="D404" s="3" t="s">
        <v>2183</v>
      </c>
      <c r="E404" s="3">
        <v>20549098372</v>
      </c>
      <c r="F404" s="3" t="s">
        <v>2184</v>
      </c>
      <c r="G404" s="3" t="s">
        <v>2185</v>
      </c>
      <c r="H404" s="3" t="s">
        <v>59</v>
      </c>
      <c r="I404" s="3" t="s">
        <v>59</v>
      </c>
      <c r="J404" s="3" t="s">
        <v>213</v>
      </c>
      <c r="K404" s="3" t="s">
        <v>2185</v>
      </c>
      <c r="L404" s="3" t="s">
        <v>59</v>
      </c>
      <c r="M404" s="3" t="s">
        <v>59</v>
      </c>
      <c r="N404" s="3" t="s">
        <v>213</v>
      </c>
      <c r="O404" s="3" t="s">
        <v>71</v>
      </c>
      <c r="P404" s="3" t="s">
        <v>2186</v>
      </c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>
        <v>7000</v>
      </c>
      <c r="AL404" s="4">
        <v>43651</v>
      </c>
      <c r="AM404" s="3"/>
      <c r="AN404" s="3" t="s">
        <v>1434</v>
      </c>
    </row>
    <row r="405" spans="1:40" ht="13.5">
      <c r="A405" s="3">
        <v>399</v>
      </c>
      <c r="B405" s="3" t="str">
        <f>"1477738"</f>
        <v>1477738</v>
      </c>
      <c r="C405" s="3">
        <v>91936</v>
      </c>
      <c r="D405" s="3" t="s">
        <v>2187</v>
      </c>
      <c r="E405" s="3">
        <v>20518767764</v>
      </c>
      <c r="F405" s="3" t="s">
        <v>2188</v>
      </c>
      <c r="G405" s="3" t="s">
        <v>2189</v>
      </c>
      <c r="H405" s="3" t="s">
        <v>59</v>
      </c>
      <c r="I405" s="3" t="s">
        <v>59</v>
      </c>
      <c r="J405" s="3" t="s">
        <v>1108</v>
      </c>
      <c r="K405" s="3" t="s">
        <v>2189</v>
      </c>
      <c r="L405" s="3" t="s">
        <v>59</v>
      </c>
      <c r="M405" s="3" t="s">
        <v>59</v>
      </c>
      <c r="N405" s="3" t="s">
        <v>1108</v>
      </c>
      <c r="O405" s="3" t="s">
        <v>71</v>
      </c>
      <c r="P405" s="3" t="s">
        <v>2190</v>
      </c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>
        <v>1790</v>
      </c>
      <c r="AL405" s="4">
        <v>40641</v>
      </c>
      <c r="AM405" s="3"/>
      <c r="AN405" s="3" t="s">
        <v>2191</v>
      </c>
    </row>
    <row r="406" spans="1:40" ht="13.5">
      <c r="A406" s="3">
        <v>400</v>
      </c>
      <c r="B406" s="3" t="str">
        <f>"201400169201"</f>
        <v>201400169201</v>
      </c>
      <c r="C406" s="3">
        <v>112760</v>
      </c>
      <c r="D406" s="3" t="s">
        <v>2192</v>
      </c>
      <c r="E406" s="3">
        <v>20538429415</v>
      </c>
      <c r="F406" s="3" t="s">
        <v>2193</v>
      </c>
      <c r="G406" s="3" t="s">
        <v>2194</v>
      </c>
      <c r="H406" s="3" t="s">
        <v>59</v>
      </c>
      <c r="I406" s="3" t="s">
        <v>59</v>
      </c>
      <c r="J406" s="3" t="s">
        <v>213</v>
      </c>
      <c r="K406" s="3" t="s">
        <v>2194</v>
      </c>
      <c r="L406" s="3" t="s">
        <v>59</v>
      </c>
      <c r="M406" s="3" t="s">
        <v>59</v>
      </c>
      <c r="N406" s="3" t="s">
        <v>213</v>
      </c>
      <c r="O406" s="3" t="s">
        <v>71</v>
      </c>
      <c r="P406" s="3" t="s">
        <v>2195</v>
      </c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>
        <v>6300</v>
      </c>
      <c r="AL406" s="4">
        <v>41992</v>
      </c>
      <c r="AM406" s="3"/>
      <c r="AN406" s="3" t="s">
        <v>2173</v>
      </c>
    </row>
    <row r="407" spans="1:40" ht="13.5">
      <c r="A407" s="3">
        <v>401</v>
      </c>
      <c r="B407" s="3" t="str">
        <f>"201800077118"</f>
        <v>201800077118</v>
      </c>
      <c r="C407" s="3">
        <v>114261</v>
      </c>
      <c r="D407" s="3" t="s">
        <v>2196</v>
      </c>
      <c r="E407" s="3">
        <v>20558301938</v>
      </c>
      <c r="F407" s="3" t="s">
        <v>2197</v>
      </c>
      <c r="G407" s="3" t="s">
        <v>2198</v>
      </c>
      <c r="H407" s="3" t="s">
        <v>44</v>
      </c>
      <c r="I407" s="3" t="s">
        <v>44</v>
      </c>
      <c r="J407" s="3" t="s">
        <v>2199</v>
      </c>
      <c r="K407" s="3" t="s">
        <v>2198</v>
      </c>
      <c r="L407" s="3" t="s">
        <v>44</v>
      </c>
      <c r="M407" s="3" t="s">
        <v>44</v>
      </c>
      <c r="N407" s="3" t="s">
        <v>2199</v>
      </c>
      <c r="O407" s="3" t="s">
        <v>71</v>
      </c>
      <c r="P407" s="3" t="s">
        <v>2200</v>
      </c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>
        <v>2500</v>
      </c>
      <c r="AL407" s="4">
        <v>43236</v>
      </c>
      <c r="AM407" s="3"/>
      <c r="AN407" s="3" t="s">
        <v>2201</v>
      </c>
    </row>
    <row r="408" spans="1:40" ht="27.75">
      <c r="A408" s="3">
        <v>402</v>
      </c>
      <c r="B408" s="3" t="str">
        <f>"201900004990"</f>
        <v>201900004990</v>
      </c>
      <c r="C408" s="3">
        <v>104469</v>
      </c>
      <c r="D408" s="3" t="s">
        <v>2202</v>
      </c>
      <c r="E408" s="3">
        <v>20603962380</v>
      </c>
      <c r="F408" s="3" t="s">
        <v>2203</v>
      </c>
      <c r="G408" s="3" t="s">
        <v>2204</v>
      </c>
      <c r="H408" s="3" t="s">
        <v>59</v>
      </c>
      <c r="I408" s="3" t="s">
        <v>59</v>
      </c>
      <c r="J408" s="3" t="s">
        <v>229</v>
      </c>
      <c r="K408" s="3"/>
      <c r="L408" s="3" t="s">
        <v>59</v>
      </c>
      <c r="M408" s="3" t="s">
        <v>59</v>
      </c>
      <c r="N408" s="3" t="s">
        <v>229</v>
      </c>
      <c r="O408" s="3" t="s">
        <v>71</v>
      </c>
      <c r="P408" s="3" t="s">
        <v>2205</v>
      </c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>
        <v>6000</v>
      </c>
      <c r="AL408" s="4">
        <v>43475</v>
      </c>
      <c r="AM408" s="3"/>
      <c r="AN408" s="3" t="s">
        <v>2206</v>
      </c>
    </row>
    <row r="409" spans="1:40" ht="27.75">
      <c r="A409" s="3">
        <v>403</v>
      </c>
      <c r="B409" s="3" t="str">
        <f>"201800114536"</f>
        <v>201800114536</v>
      </c>
      <c r="C409" s="3">
        <v>121937</v>
      </c>
      <c r="D409" s="3" t="s">
        <v>2207</v>
      </c>
      <c r="E409" s="3">
        <v>20511869588</v>
      </c>
      <c r="F409" s="3" t="s">
        <v>2208</v>
      </c>
      <c r="G409" s="3" t="s">
        <v>2209</v>
      </c>
      <c r="H409" s="3" t="s">
        <v>59</v>
      </c>
      <c r="I409" s="3" t="s">
        <v>59</v>
      </c>
      <c r="J409" s="3" t="s">
        <v>70</v>
      </c>
      <c r="K409" s="3"/>
      <c r="L409" s="3"/>
      <c r="M409" s="3"/>
      <c r="N409" s="3"/>
      <c r="O409" s="3" t="s">
        <v>46</v>
      </c>
      <c r="P409" s="3" t="s">
        <v>2210</v>
      </c>
      <c r="Q409" s="3" t="s">
        <v>2211</v>
      </c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>
        <v>13500</v>
      </c>
      <c r="AL409" s="4">
        <v>43294</v>
      </c>
      <c r="AM409" s="3"/>
      <c r="AN409" s="3" t="s">
        <v>2212</v>
      </c>
    </row>
    <row r="410" spans="1:40" ht="13.5">
      <c r="A410" s="3">
        <v>404</v>
      </c>
      <c r="B410" s="3" t="str">
        <f>"201500174632"</f>
        <v>201500174632</v>
      </c>
      <c r="C410" s="3">
        <v>119216</v>
      </c>
      <c r="D410" s="3" t="s">
        <v>2213</v>
      </c>
      <c r="E410" s="3">
        <v>20489697042</v>
      </c>
      <c r="F410" s="3" t="s">
        <v>2214</v>
      </c>
      <c r="G410" s="3" t="s">
        <v>2215</v>
      </c>
      <c r="H410" s="3" t="s">
        <v>515</v>
      </c>
      <c r="I410" s="3" t="s">
        <v>515</v>
      </c>
      <c r="J410" s="3" t="s">
        <v>722</v>
      </c>
      <c r="K410" s="3" t="s">
        <v>2215</v>
      </c>
      <c r="L410" s="3" t="s">
        <v>515</v>
      </c>
      <c r="M410" s="3" t="s">
        <v>515</v>
      </c>
      <c r="N410" s="3" t="s">
        <v>722</v>
      </c>
      <c r="O410" s="3" t="s">
        <v>46</v>
      </c>
      <c r="P410" s="3" t="s">
        <v>2216</v>
      </c>
      <c r="Q410" s="3" t="s">
        <v>2217</v>
      </c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>
        <v>13500</v>
      </c>
      <c r="AL410" s="4">
        <v>42387</v>
      </c>
      <c r="AM410" s="3"/>
      <c r="AN410" s="3" t="s">
        <v>725</v>
      </c>
    </row>
    <row r="411" spans="1:40" ht="27.75">
      <c r="A411" s="3">
        <v>405</v>
      </c>
      <c r="B411" s="3" t="str">
        <f>"201800134296"</f>
        <v>201800134296</v>
      </c>
      <c r="C411" s="3">
        <v>138012</v>
      </c>
      <c r="D411" s="3" t="s">
        <v>2218</v>
      </c>
      <c r="E411" s="3">
        <v>20507312277</v>
      </c>
      <c r="F411" s="3" t="s">
        <v>766</v>
      </c>
      <c r="G411" s="3" t="s">
        <v>2219</v>
      </c>
      <c r="H411" s="3" t="s">
        <v>59</v>
      </c>
      <c r="I411" s="3" t="s">
        <v>59</v>
      </c>
      <c r="J411" s="3" t="s">
        <v>768</v>
      </c>
      <c r="K411" s="3"/>
      <c r="L411" s="3" t="s">
        <v>59</v>
      </c>
      <c r="M411" s="3" t="s">
        <v>59</v>
      </c>
      <c r="N411" s="3" t="s">
        <v>768</v>
      </c>
      <c r="O411" s="3" t="s">
        <v>71</v>
      </c>
      <c r="P411" s="3" t="s">
        <v>2220</v>
      </c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>
        <v>4000</v>
      </c>
      <c r="AL411" s="4">
        <v>43327</v>
      </c>
      <c r="AM411" s="3"/>
      <c r="AN411" s="3" t="s">
        <v>2221</v>
      </c>
    </row>
    <row r="412" spans="1:40" ht="27.75">
      <c r="A412" s="3">
        <v>406</v>
      </c>
      <c r="B412" s="3" t="str">
        <f>"201700047174"</f>
        <v>201700047174</v>
      </c>
      <c r="C412" s="3">
        <v>42666</v>
      </c>
      <c r="D412" s="3" t="s">
        <v>2222</v>
      </c>
      <c r="E412" s="3">
        <v>20601194598</v>
      </c>
      <c r="F412" s="3" t="s">
        <v>2223</v>
      </c>
      <c r="G412" s="3" t="s">
        <v>2224</v>
      </c>
      <c r="H412" s="3" t="s">
        <v>59</v>
      </c>
      <c r="I412" s="3" t="s">
        <v>59</v>
      </c>
      <c r="J412" s="3" t="s">
        <v>70</v>
      </c>
      <c r="K412" s="3"/>
      <c r="L412" s="3"/>
      <c r="M412" s="3"/>
      <c r="N412" s="3"/>
      <c r="O412" s="3" t="s">
        <v>46</v>
      </c>
      <c r="P412" s="3" t="s">
        <v>2225</v>
      </c>
      <c r="Q412" s="3" t="s">
        <v>2226</v>
      </c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>
        <v>10726</v>
      </c>
      <c r="AL412" s="4">
        <v>42824</v>
      </c>
      <c r="AM412" s="3"/>
      <c r="AN412" s="3" t="s">
        <v>2227</v>
      </c>
    </row>
    <row r="413" spans="1:40" ht="13.5">
      <c r="A413" s="3">
        <v>407</v>
      </c>
      <c r="B413" s="3" t="str">
        <f>"202000084059"</f>
        <v>202000084059</v>
      </c>
      <c r="C413" s="3">
        <v>116609</v>
      </c>
      <c r="D413" s="3" t="s">
        <v>2228</v>
      </c>
      <c r="E413" s="3">
        <v>20120638140</v>
      </c>
      <c r="F413" s="3" t="s">
        <v>2229</v>
      </c>
      <c r="G413" s="3" t="s">
        <v>2230</v>
      </c>
      <c r="H413" s="3" t="s">
        <v>219</v>
      </c>
      <c r="I413" s="3" t="s">
        <v>220</v>
      </c>
      <c r="J413" s="3" t="s">
        <v>410</v>
      </c>
      <c r="K413" s="3" t="s">
        <v>2230</v>
      </c>
      <c r="L413" s="3" t="s">
        <v>219</v>
      </c>
      <c r="M413" s="3" t="s">
        <v>220</v>
      </c>
      <c r="N413" s="3" t="s">
        <v>410</v>
      </c>
      <c r="O413" s="3" t="s">
        <v>46</v>
      </c>
      <c r="P413" s="3" t="s">
        <v>2231</v>
      </c>
      <c r="Q413" s="3" t="s">
        <v>2232</v>
      </c>
      <c r="R413" s="3" t="s">
        <v>2233</v>
      </c>
      <c r="S413" s="3" t="s">
        <v>2234</v>
      </c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>
        <v>14000</v>
      </c>
      <c r="AL413" s="4">
        <v>44032</v>
      </c>
      <c r="AM413" s="3"/>
      <c r="AN413" s="3" t="s">
        <v>2235</v>
      </c>
    </row>
  </sheetData>
  <sheetProtection/>
  <mergeCells count="1">
    <mergeCell ref="A2:AN2"/>
  </mergeCells>
  <printOptions/>
  <pageMargins left="0.75" right="0.75" top="1" bottom="1" header="0.5" footer="0.5"/>
  <pageSetup horizontalDpi="600" verticalDpi="600" orientation="portrait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Jose Manuel Castañeda Rossel</dc:creator>
  <cp:keywords/>
  <dc:description/>
  <cp:lastModifiedBy>Jose Manuel Castañeda Rossel</cp:lastModifiedBy>
  <dcterms:created xsi:type="dcterms:W3CDTF">2020-10-29T21:22:05Z</dcterms:created>
  <dcterms:modified xsi:type="dcterms:W3CDTF">2020-10-29T21:22:05Z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