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33" windowHeight="7039" activeTab="0"/>
  </bookViews>
  <sheets>
    <sheet name="DistribuidoresMinoristasdeCombu" sheetId="1" r:id="rId1"/>
  </sheets>
  <definedNames/>
  <calcPr fullCalcOnLoad="1"/>
</workbook>
</file>

<file path=xl/sharedStrings.xml><?xml version="1.0" encoding="utf-8"?>
<sst xmlns="http://schemas.openxmlformats.org/spreadsheetml/2006/main" count="11238" uniqueCount="5221">
  <si>
    <t>REGISTROS HÁBILES DE DISTRIBUIDORES MINORISTAS DE COMBUSTIBLES LÍQUIDOS Y OPDH (Actualizado al 29 DE OCTUBRE DE 2020 - 15:12)</t>
  </si>
  <si>
    <t>No</t>
  </si>
  <si>
    <t>EXPEDIENTE</t>
  </si>
  <si>
    <t>CODIGO OSINERGMIN</t>
  </si>
  <si>
    <t>REGISTRO</t>
  </si>
  <si>
    <t>RUC</t>
  </si>
  <si>
    <t>RAZON SOCIAL</t>
  </si>
  <si>
    <t>DIRECCION LEGAL</t>
  </si>
  <si>
    <t>DEPARTAMENTO</t>
  </si>
  <si>
    <t>PROVINCIA</t>
  </si>
  <si>
    <t>DISTRITO</t>
  </si>
  <si>
    <t>PRODUCTOS</t>
  </si>
  <si>
    <t>FEC. EMISIÓN</t>
  </si>
  <si>
    <t>TÉRMINO DE VIGENCIA</t>
  </si>
  <si>
    <t>REPRESENTANTE</t>
  </si>
  <si>
    <t>143986-046-200519</t>
  </si>
  <si>
    <t>HMC OPERADORES DE COMBUSTIBLES S.A.C.</t>
  </si>
  <si>
    <t xml:space="preserve">CALLE 123 MZ. O LOTE 26 AGRUPACIÓN PACHACAMAC BARRIO 3 SECTOR II </t>
  </si>
  <si>
    <t>LIMA</t>
  </si>
  <si>
    <t>VILLA EL SALVADOR</t>
  </si>
  <si>
    <t>CGN SOLVENTE,DIESEL B5,Diesel B5 S-50,SOLVENTE 1,SOLVENTE 3</t>
  </si>
  <si>
    <t>INDEFINIDO</t>
  </si>
  <si>
    <t>CARLOS ENRIQUE HUAMANI MARTINEZ</t>
  </si>
  <si>
    <t>143985-046-170619</t>
  </si>
  <si>
    <t>AMC OPERADORES DE COMBUSTIBLES S.A.C.</t>
  </si>
  <si>
    <t>CALLE 8 MZ. F LOTE 1 P.J. NUEVO PROGRESO</t>
  </si>
  <si>
    <t>VILLA MARIA DEL TRIUNFO</t>
  </si>
  <si>
    <t xml:space="preserve">ARTURO SIERRA JIMENEZ </t>
  </si>
  <si>
    <t>143984-046-040819</t>
  </si>
  <si>
    <t>SURTIENDO CAMINOS S.A.C.</t>
  </si>
  <si>
    <t xml:space="preserve">MZ. K LOTE 04, GRUPO 13 SECTOR 3 </t>
  </si>
  <si>
    <t>CGN SOLVENTE,Diesel B5 S-50,SOLVENTE 1,SOLVENTE 3</t>
  </si>
  <si>
    <t>DANIEL MANUEL SURCO PAUCAR</t>
  </si>
  <si>
    <t>143979-046-200519</t>
  </si>
  <si>
    <t xml:space="preserve">MB FERROSUR HNOS Y CIA. S.A.C. </t>
  </si>
  <si>
    <t xml:space="preserve">GRUPO RESIDENCIAL SECTOR 2, GRUPO 4, MZ. M, LOTE 15 </t>
  </si>
  <si>
    <t>Diesel B5 S-50</t>
  </si>
  <si>
    <t>MAURO FRANCISCO BAUTISTA MOTTA</t>
  </si>
  <si>
    <t>148008-046-281119</t>
  </si>
  <si>
    <t>INVERSIONES ALEX &amp; JOSE SERVICIOS GENERALES S.A.C.</t>
  </si>
  <si>
    <t>CALLE 12 MZ J1 LOTE 20 ASOC. DE PROP. DE LA ALAMEDA DEL NORTE</t>
  </si>
  <si>
    <t>PUENTE PIEDRA</t>
  </si>
  <si>
    <t>CGN SOLVENTE,DIESEL B5,Diesel B5 S-50,HEXANO,LUBRICANTES,PENTANO,SOLVENTE 1,SOLVENTE 3</t>
  </si>
  <si>
    <t>EDGAR DESIDERIO ROJAS PACHAC</t>
  </si>
  <si>
    <t>143978-046-200519</t>
  </si>
  <si>
    <t>INVERSIONES SUPER GRAS S.A.C.</t>
  </si>
  <si>
    <t>AV. SEPARADORA INDUSTRIAL - MZ. P - LOTE 27 - 4TA. ETAPA - URB. PACHACAMAC</t>
  </si>
  <si>
    <t>MIGUEL ARCANGEL MONTES TREJO</t>
  </si>
  <si>
    <t>143977-046-200519</t>
  </si>
  <si>
    <t>JEVARO S.A.C.</t>
  </si>
  <si>
    <t>SECTOR 3 GRUPO 31 MZ C-5 LOTE 12</t>
  </si>
  <si>
    <t>DIESEL B5,Diesel B5 S-50</t>
  </si>
  <si>
    <t>GINO EDUARDO ENRIQUEZ TORRES</t>
  </si>
  <si>
    <t>143983-046-200519</t>
  </si>
  <si>
    <t>AAA &amp; F S.A.C.</t>
  </si>
  <si>
    <t>SECTOR 1 GRUPO 15 MZ. O LT 18</t>
  </si>
  <si>
    <t>ALBERTO HERNAN ALVAREZ ARMAS</t>
  </si>
  <si>
    <t>143982-046-200519</t>
  </si>
  <si>
    <t>ALEGROUP E.I.R.L.</t>
  </si>
  <si>
    <t>SECTOR 20 DE OCTUBRE MZ. D LT. 25 AA. HH. PROYECTO INTEGRAL PACHACAMAC</t>
  </si>
  <si>
    <t>HUSTLER VICENTE CASIO</t>
  </si>
  <si>
    <t>143981-046-200519</t>
  </si>
  <si>
    <t>COMERCIALIZACION Y DISTRIBUCION DE COMBUSTIBLES TRANSPORTES RINO S.A.C.</t>
  </si>
  <si>
    <t>MZA. H LOTE 8 ASOC. DE VIVIENDA SAN JUAN</t>
  </si>
  <si>
    <t>HILARIO PALACIOS CASTRO</t>
  </si>
  <si>
    <t>143980-046-200519</t>
  </si>
  <si>
    <t>INVERSIONES JAKLU S.A.C.(EMBARGO DE INSCRIPCION 0230074646995)</t>
  </si>
  <si>
    <t>PANAMERICANA SUR KM. 20 MZ. Z LT. 3 CL. L1 URB. LAS VERTIENTES</t>
  </si>
  <si>
    <t>CGN SOLVENTE,SOLVENTE 1,SOLVENTE 3</t>
  </si>
  <si>
    <t>ANICAMA LIZARAZO, CARLOS ARMANDO</t>
  </si>
  <si>
    <t>149529-046-270320</t>
  </si>
  <si>
    <t>EMPRESA DE TRANSPORTES N &amp; V S.A.C.</t>
  </si>
  <si>
    <t>CAR. INDUSTRIAL KM. 560 SECTOR PRIMAVERA</t>
  </si>
  <si>
    <t>LA LIBERTAD</t>
  </si>
  <si>
    <t>TRUJILLO</t>
  </si>
  <si>
    <t>ASFALTO LÍQUIDO MC-30,ASFALTO LÍQUIDO MC-70,ASFALTO LÍQUIDO RC-250,ASFALTO LÍQUIDO RC-70,BREA,CEMENTO ASFÁLTICO 10-20,CEMENTO ASFÁLTICO 120-150,CEMENTO ASFÁLTICO 20-30,CEMENTO ASFÁLTICO 40-50,CEMENTO ASFÁLTICO 60-70,CEMENTO ASFÁLTICO 85-100,CGN SOLVENTE,DIESEL B5,Diesel B5 S-50,HEXANO,LUBRICANTES,PENTANO,PETRÓLEO INDUSTRIAL Nº 4,PETRÓLEO INDUSTRIAL Nº 5,PETRÓLEO INDUSTRIAL Nº 500,PETRÓLEO INDUSTRIAL Nº 6,SOLVENTE 1,SOLVENTE 3</t>
  </si>
  <si>
    <t>EDWIN HERNANDO NEGREIROS VEGA</t>
  </si>
  <si>
    <t>145876-046-190819</t>
  </si>
  <si>
    <t>INVERSIONES CAMPECHANO S.A.C.</t>
  </si>
  <si>
    <t>PJ. REAL N° 87 MERCADO DE PRODUCTORES AV. LA CULTURA N° 701</t>
  </si>
  <si>
    <t>SANTA ANITA</t>
  </si>
  <si>
    <t xml:space="preserve">WILLIAM FERNANDO PALACIOS ALMERCO </t>
  </si>
  <si>
    <t>143997-046-260919</t>
  </si>
  <si>
    <t>YURIMAGUAS HIDROCARBUROS S.A.C</t>
  </si>
  <si>
    <t>CALLE HUALLAGA N°106</t>
  </si>
  <si>
    <t>LORETO</t>
  </si>
  <si>
    <t>ALTO AMAZONAS</t>
  </si>
  <si>
    <t>YURIMAGUAS</t>
  </si>
  <si>
    <t>DILMAR REYES ALBUJAR</t>
  </si>
  <si>
    <t>149522-046-290520</t>
  </si>
  <si>
    <t>CONSTRUCTORES MINERO ANDES S.R.L.</t>
  </si>
  <si>
    <t>KM. 169 + 595 SECTOR AGOMARCA (EN EL GRIFO EL GAVILAN)</t>
  </si>
  <si>
    <t>CAJAMARCA</t>
  </si>
  <si>
    <t>JUAN HUATAY INFANTE</t>
  </si>
  <si>
    <t>143996-046-200519</t>
  </si>
  <si>
    <t>SHILCAYO GRIFO LORETO S.R.L.</t>
  </si>
  <si>
    <t>CALLE GARCILAZO DE LA VEGA N° 200</t>
  </si>
  <si>
    <t>DIESEL B5</t>
  </si>
  <si>
    <t>ALFONSO REATEGUI PAREDES</t>
  </si>
  <si>
    <t>149688-046-270620</t>
  </si>
  <si>
    <t>GRIFO MICAELA E.I.R.L.</t>
  </si>
  <si>
    <t>DOMICILIO FISCAL: CAR.FERNANDO BELAUNDE TERRY KM. 4.05 (OVALO DEL PERIODISTA - GRIFO EL OVALO)</t>
  </si>
  <si>
    <t>SAN MARTIN</t>
  </si>
  <si>
    <t>LA BANDA DE SHILCAYO</t>
  </si>
  <si>
    <t xml:space="preserve">SONIA MERCEDES IBAÑEZ RUIZ </t>
  </si>
  <si>
    <t>143995-046-200519</t>
  </si>
  <si>
    <t>JOSE LUIS ENRIQUEZ OLIVARES</t>
  </si>
  <si>
    <t>CALLE FRANCISCO BOLOGNESI N° 536</t>
  </si>
  <si>
    <t>ASFALTO LÍQUIDO RC-250,PETRÓLEO INDUSTRIAL Nº 5,PETRÓLEO INDUSTRIAL Nº 500,PETRÓLEO INDUSTRIAL Nº 6</t>
  </si>
  <si>
    <t>149689-046-240620</t>
  </si>
  <si>
    <t>INVERSIONES WILLIAMS S.R.L.</t>
  </si>
  <si>
    <t>AV. MARCELIANO ALVAREZ N° 500 - CERCADO</t>
  </si>
  <si>
    <t>TOCACHE</t>
  </si>
  <si>
    <t>UCHIZA</t>
  </si>
  <si>
    <t>MAMANI MAMANI YEMER WILLIAM</t>
  </si>
  <si>
    <t>143988-046-200519</t>
  </si>
  <si>
    <t xml:space="preserve">HERMER DEMETRIO NAJERA RAMOS </t>
  </si>
  <si>
    <t xml:space="preserve">TRUJILLO N° 430, PP.JJ. JOSE GALVEZ </t>
  </si>
  <si>
    <t>143987-046-200519</t>
  </si>
  <si>
    <t xml:space="preserve">OPERADORES DE COMBUSTIBLE HNOS GALVAN S.A.C. </t>
  </si>
  <si>
    <t>MZ. A LOTE 22 GRUPO 4 AA.HH. OASIS DE VILLA</t>
  </si>
  <si>
    <t>CGN SOLVENTE,DIESEL B5,Diesel B5 S-50,HEXANO,LUBRICANTES,PENTANO</t>
  </si>
  <si>
    <t>VIDAL GALVAN JAUREGUI</t>
  </si>
  <si>
    <t>143990-046-200519</t>
  </si>
  <si>
    <t>OPERADORES DE COMBUSTIBLES VILLA MARIA S.A.C.</t>
  </si>
  <si>
    <t>AV. PACHACUTEC NRO. 6799</t>
  </si>
  <si>
    <t>JULIAN CARHUARICRA USCUCHAGUA</t>
  </si>
  <si>
    <t>143989-046-200519</t>
  </si>
  <si>
    <t>LIMACO DE HUAMAN, ELSA</t>
  </si>
  <si>
    <t>AV. REPUBLICA N° 532 - TABLADA DE LURIN</t>
  </si>
  <si>
    <t>143992-046-200519</t>
  </si>
  <si>
    <t>PETROTEX S.A.C.</t>
  </si>
  <si>
    <t>JR. TACNA 967 - JOSE GALVEZ</t>
  </si>
  <si>
    <t>ECHAIZ GUEVARA, GONZALO ELIAS</t>
  </si>
  <si>
    <t>143991-046-200519</t>
  </si>
  <si>
    <t>GEDIKSA E.I.R.L.</t>
  </si>
  <si>
    <t xml:space="preserve">PSJE. LOS JAZMINES MZ. </t>
  </si>
  <si>
    <t>PETRÓLEO INDUSTRIAL Nº 5,PETRÓLEO INDUSTRIAL Nº 500,PETRÓLEO INDUSTRIAL Nº 6</t>
  </si>
  <si>
    <t>VEGA GARCIA, GERONIMO</t>
  </si>
  <si>
    <t>143994-046-200519</t>
  </si>
  <si>
    <t>EMPRESA DE SERVICIOS MULTIPLES Y COMBUSTIBLES KEFRAN S.A.C.</t>
  </si>
  <si>
    <t>PASAJE LAS PALMERAS MZ. 158A, LOTE 23 - JOSE GALVEZ</t>
  </si>
  <si>
    <t xml:space="preserve">ROSA ADA REYES AQUINO </t>
  </si>
  <si>
    <t>143993-046-200519</t>
  </si>
  <si>
    <t xml:space="preserve">M &amp; M COMBUSTIBLES S.A.C. </t>
  </si>
  <si>
    <t xml:space="preserve">CALLE CORONEO N° 263 </t>
  </si>
  <si>
    <t xml:space="preserve">SONIA FELICITAS MERINO LOPEZ </t>
  </si>
  <si>
    <t>144007-046-200519</t>
  </si>
  <si>
    <t>ECOP S.A.C. INGENIERIA Y CONSTRUCCION</t>
  </si>
  <si>
    <t>PARQUE INDUSTRIAL MZ. Y LTE 01-10-11</t>
  </si>
  <si>
    <t>MOQUEGUA</t>
  </si>
  <si>
    <t>ILO</t>
  </si>
  <si>
    <t>JUAN CARLOS COARITA SANDOVAL</t>
  </si>
  <si>
    <t>144008-046-200519</t>
  </si>
  <si>
    <t>TRANSPORTES DANILO DEL SUR E.I.R.L.</t>
  </si>
  <si>
    <t>P.J. J. F. KENNEDY MZA O LOTE 11</t>
  </si>
  <si>
    <t>JORGE LUPACA MAMANI</t>
  </si>
  <si>
    <t>146560-046-170919</t>
  </si>
  <si>
    <t>CORPORACION CONSTRUCTORA E INVERSIONES J&amp;S E.I.R.L.</t>
  </si>
  <si>
    <t>AV. EDGAR DE LA TORRE NRO. SN</t>
  </si>
  <si>
    <t>CUSCO</t>
  </si>
  <si>
    <t>LA CONVENCION</t>
  </si>
  <si>
    <t>SANTA ANA</t>
  </si>
  <si>
    <t>ASFALTO LÍQUIDO RC-250,Diesel B5 S-50</t>
  </si>
  <si>
    <t xml:space="preserve">ALEX HACMANY LLACSA HUARACALLO </t>
  </si>
  <si>
    <t>146563-046-021019</t>
  </si>
  <si>
    <t>ZENYATTA S.A.C.</t>
  </si>
  <si>
    <t>PARCELA N° C-27 EX FUNDO LAS SALINAS</t>
  </si>
  <si>
    <t>LURIN</t>
  </si>
  <si>
    <t>TOMISLAV SIMUNOVIC</t>
  </si>
  <si>
    <t>144006-046-200519</t>
  </si>
  <si>
    <t>A &amp; E E.R.L.</t>
  </si>
  <si>
    <t xml:space="preserve">PARQUE ARTESANAL MIRAMAR, MANZANA 23, LOTE 07 </t>
  </si>
  <si>
    <t>SONIA TAPIA FLORES</t>
  </si>
  <si>
    <t>144005-046-200519</t>
  </si>
  <si>
    <t>ROFRAMAT E.I.R.L.</t>
  </si>
  <si>
    <t>MZ. F LT. 62 URB. GARIBALDI</t>
  </si>
  <si>
    <t xml:space="preserve">ROBERTO VICTOR PONCE ESCUDERO </t>
  </si>
  <si>
    <t>144004-046-200519</t>
  </si>
  <si>
    <t>RUBEN QUISPE COTAJA</t>
  </si>
  <si>
    <t>A.H. 24 DE OCTUBRE, MZ 26, LOTE 04</t>
  </si>
  <si>
    <t>144003-046-200519</t>
  </si>
  <si>
    <t>RENEE VIDAL FLORES PEÑALOZA</t>
  </si>
  <si>
    <t>PPJJ MIRAMAR A-4 PARTE PRIMA</t>
  </si>
  <si>
    <t>144002-046-200519</t>
  </si>
  <si>
    <t>JJ PALMA MOTORS E.I.R.L.</t>
  </si>
  <si>
    <t>PASAJE JOSE CARLOS MARIATEGUI MZ. 6J LOTE 13</t>
  </si>
  <si>
    <t>MADRE DE DIOS</t>
  </si>
  <si>
    <t>TAMBOPATA</t>
  </si>
  <si>
    <t>LIZ ELCIRA PALMA SALDIVAR</t>
  </si>
  <si>
    <t>144001-046-200519</t>
  </si>
  <si>
    <t>TRANSPORTES MARCO AURELIO E.I.R.L.</t>
  </si>
  <si>
    <t xml:space="preserve">CAL. CIRCUNVALACION MZA. M LOTE 2 URB. APV. SANTA MARINA </t>
  </si>
  <si>
    <t>AURELIANO FRANCISCO DONAIRES</t>
  </si>
  <si>
    <t>144000-046-200519</t>
  </si>
  <si>
    <t>LORETO ASFALTOS E.I.R.L.</t>
  </si>
  <si>
    <t>CALLE ALZAMORA N°756</t>
  </si>
  <si>
    <t>MAYNAS</t>
  </si>
  <si>
    <t>IQUITOS</t>
  </si>
  <si>
    <t>ASFALTO LÍQUIDO RC-250,PETRÓLEO INDUSTRIAL Nº 500,PETRÓLEO INDUSTRIAL Nº 6</t>
  </si>
  <si>
    <t>JOSE LUIS ENRIQUE OLIVARES</t>
  </si>
  <si>
    <t>143999-046-200519</t>
  </si>
  <si>
    <t>INVERSIONES GENERALES S.A.</t>
  </si>
  <si>
    <t>CALLE REQUENA NRO 174</t>
  </si>
  <si>
    <t>ANTONIO SINACAY BARDALES</t>
  </si>
  <si>
    <t>143998-046-200519</t>
  </si>
  <si>
    <t>SERVICIOS LOGISTICOS SANTANA S.R.L</t>
  </si>
  <si>
    <t xml:space="preserve">CARRETERA BAGUA A SARAMIRIZA KM 268 C.P. FELIX FLORES (+520 METROS) </t>
  </si>
  <si>
    <t>DATEM DEL MARAÑON</t>
  </si>
  <si>
    <t>MANSERICHE</t>
  </si>
  <si>
    <t>DIESEL B5,Diesel B5 S-50,HEXANO,LUBRICANTES,PENTANO,SOLVENTE 1,SOLVENTE 3</t>
  </si>
  <si>
    <t>JOSE SANTIAGO DIAZ TARRILLO</t>
  </si>
  <si>
    <t>144017-046-200519</t>
  </si>
  <si>
    <t>MANUEL LUCIANO GORA ATENCIO</t>
  </si>
  <si>
    <t>PROL 28 DE JULIO A.H. JOSE CARLOS MARIATEGUI MZA 4A LOTE 12</t>
  </si>
  <si>
    <t>PASCO</t>
  </si>
  <si>
    <t>SIMON BOLIVAR</t>
  </si>
  <si>
    <t>144018-046-151020</t>
  </si>
  <si>
    <t>SERVICIOS GENERALES PONCE DE LA ROSA S.A.C.</t>
  </si>
  <si>
    <t>MZA. R - LOTE 36 - URB. VILLA DE PASCO</t>
  </si>
  <si>
    <t>TINYAHUARCO</t>
  </si>
  <si>
    <t>RODY DE LA ROSA BALDEON</t>
  </si>
  <si>
    <t>144019-046-200519</t>
  </si>
  <si>
    <t xml:space="preserve">TRANSPORTE &amp; COMERCIO SERVICIOS MULTIPLES DAVID E.I.R.L. </t>
  </si>
  <si>
    <t>MZ. E. LT. 7 URBANIZACION HUAMALI</t>
  </si>
  <si>
    <t>CGN SOLVENTE,DIESEL B5,Diesel B5 S-50</t>
  </si>
  <si>
    <t>FREDDY RENE TAQUIRE ROQUE</t>
  </si>
  <si>
    <t>151797-046-101020</t>
  </si>
  <si>
    <t>LEAN INVERSIONES GENERALES E.I.R.L.</t>
  </si>
  <si>
    <t>JIRON ARICA N° 514, VISALOT ALTO (A UNA CUADRA DEL INSTITUTO SUPERIOR TECNOLOGICO UTCUBAMBA)</t>
  </si>
  <si>
    <t>AMAZONAS</t>
  </si>
  <si>
    <t>UTCUBAMBA</t>
  </si>
  <si>
    <t>BAGUA GRANDE</t>
  </si>
  <si>
    <t>ROBERT CASTILLO MARRUFO</t>
  </si>
  <si>
    <t>145283-046-190719</t>
  </si>
  <si>
    <t xml:space="preserve">ERIKA CRISTEL CHOQUE HUAMAN </t>
  </si>
  <si>
    <t>SECTOR PALACIO PAMPA CARRETERA CUSCO-ABANCAY KM 78</t>
  </si>
  <si>
    <t>ANTA</t>
  </si>
  <si>
    <t>LIMATAMBO</t>
  </si>
  <si>
    <t>150922-046-030920</t>
  </si>
  <si>
    <t>JOCETT PERU S.A.C.</t>
  </si>
  <si>
    <t>CAL. CARLOS DE LOS HEROS N° 136, URB. ANTARES</t>
  </si>
  <si>
    <t>SAN MARTIN DE PORRES</t>
  </si>
  <si>
    <t>DIESEL B5,Diesel B5 S-50,LUBRICANTES,SOLVENTE 1,SOLVENTE 3</t>
  </si>
  <si>
    <t>JESUS ANTONIO ROJAS CASTILLO</t>
  </si>
  <si>
    <t>145115-046-190719</t>
  </si>
  <si>
    <t>HJM ENGINEERING &amp; SUPPLY S.A.C.</t>
  </si>
  <si>
    <t>AV. REDUCTO N° 1145 INT. 6036 URB. ARMENDARIZ</t>
  </si>
  <si>
    <t>MIRAFLORES</t>
  </si>
  <si>
    <t>JULIA ALICIA MARREROS CHUPILLON</t>
  </si>
  <si>
    <t>151662-046-111020</t>
  </si>
  <si>
    <t>PETRO QUANTUN COMPANY S.A.C.</t>
  </si>
  <si>
    <t>OTR. ZONA 4 SECTOR A MZ C LOTE 2, A.H. ASOC. URBANIZADORA CIUDAD DE DIOS</t>
  </si>
  <si>
    <t>AREQUIPA</t>
  </si>
  <si>
    <t>YURA</t>
  </si>
  <si>
    <t>Diesel B5 S-50,LUBRICANTES,PETRÓLEO INDUSTRIAL Nº 5,PETRÓLEO INDUSTRIAL Nº 500,PETRÓLEO INDUSTRIAL Nº 6</t>
  </si>
  <si>
    <t>ARTURO CCORIMANYA ARQQUE</t>
  </si>
  <si>
    <t>144014-046-200519</t>
  </si>
  <si>
    <t>EMPRESA DE SERVICIOS Y COMERCIO EN GENERAL EL BAUL E.I.R.L.</t>
  </si>
  <si>
    <t>CARRETERA BINACIONAL KM. 125, LOTE N° 08</t>
  </si>
  <si>
    <t>MARISCAL NIETO</t>
  </si>
  <si>
    <t>TORATA</t>
  </si>
  <si>
    <t>SERAPIO FILOMENO VILLEGAS JUAREZ</t>
  </si>
  <si>
    <t>144013-046-200519</t>
  </si>
  <si>
    <t>CORPORACION TICSANI E.I.R.L.</t>
  </si>
  <si>
    <t>UBIC. RUR LA CHIMBA 2-C NRO-SEC. SANTA ROSA</t>
  </si>
  <si>
    <t>TOMAS ARTURO PALOMINO DELGADO</t>
  </si>
  <si>
    <t>144016-046-200519</t>
  </si>
  <si>
    <t>ORLANDO PRADO VASQUEZ</t>
  </si>
  <si>
    <t>PROLONGACION 28 DE JULIO S/N. PARAGSHA</t>
  </si>
  <si>
    <t>PRADO VASQUEZ, ORLANDO</t>
  </si>
  <si>
    <t>151085-046-090920</t>
  </si>
  <si>
    <t>ESTACION DE SERVICIOS GRIFO'S MARCAVELICA S.A.C.</t>
  </si>
  <si>
    <t xml:space="preserve">CARRETERA PANAMERICANA N° 98 </t>
  </si>
  <si>
    <t>PIURA</t>
  </si>
  <si>
    <t>SULLANA</t>
  </si>
  <si>
    <t>MARCAVELICA</t>
  </si>
  <si>
    <t>ASFALTO LÍQUIDO MC-30,ASFALTO LÍQUIDO MC-70,ASFALTO LÍQUIDO RC-250,ASFALTO LÍQUIDO RC-70,CEMENTO ASFÁLTICO 120-150,CEMENTO ASFÁLTICO 40-50,CEMENTO ASFÁLTICO 60-70,CEMENTO ASFÁLTICO 85-100,Diesel B5 S-50,PETRÓLEO INDUSTRIAL Nº 500,PETRÓLEO INDUSTRIAL Nº 6,SOLVENTE 1,SOLVENTE 3</t>
  </si>
  <si>
    <t xml:space="preserve">JIMMY HANS HUIDOBRO RAMOS </t>
  </si>
  <si>
    <t>144015-046-290420</t>
  </si>
  <si>
    <t>GRIFO JOAR S.R.L.</t>
  </si>
  <si>
    <t>JR. LIMA 742</t>
  </si>
  <si>
    <t>OXAPAMPA</t>
  </si>
  <si>
    <t>WILMER ANTONIO ARMAS RAMOS</t>
  </si>
  <si>
    <t>144010-046-200519</t>
  </si>
  <si>
    <t>R &amp; V COMBUSTIBLES S.A.C.</t>
  </si>
  <si>
    <t>URB. LUIS E. VALCARCEL MZ 49 LOTE 01</t>
  </si>
  <si>
    <t>VERLY RODRIGO SOTO HERRERA</t>
  </si>
  <si>
    <t>144009-046-200519</t>
  </si>
  <si>
    <t>GOLD VAE E.I.R.L.</t>
  </si>
  <si>
    <t>PASAJE LOS ROSALES NRO 130 URB HUASCAR</t>
  </si>
  <si>
    <t>ELVIS SANTOS BALDARRAGO GUEVARA</t>
  </si>
  <si>
    <t>144012-046-200519</t>
  </si>
  <si>
    <t>J.F.F. RESEC E.I.R.L</t>
  </si>
  <si>
    <t>AV. ANDRES AVELINO CACERES N° 225 URB. EL GALLITO</t>
  </si>
  <si>
    <t>JOSE MANUEL FLORES FLORES</t>
  </si>
  <si>
    <t>144011-046-200519</t>
  </si>
  <si>
    <t>CORPORACION DE SERVICIOS MOQUEGUA E.I.R.L.</t>
  </si>
  <si>
    <t xml:space="preserve">AV. ANDRES AVELINO CACERES MZA. L LOTE 06 </t>
  </si>
  <si>
    <t>NAPOLEON GUILLERMO OSCAR ESTREMADOYRO MORY</t>
  </si>
  <si>
    <t>143827-046-200519</t>
  </si>
  <si>
    <t>EMP. DE TRANSP. SERV. E INVER. GEOCORPS S.R.L.</t>
  </si>
  <si>
    <t>CALLE LAS GRANADILLAS MZA. F1 LOTE 27, URB. CERES 2DA ETAPA</t>
  </si>
  <si>
    <t>ATE</t>
  </si>
  <si>
    <t>CGN SOLVENTE,DIESEL B5,Diesel B5 S-50,HEXANO,LUBRICANTES,PENTANO,SOLVENTES</t>
  </si>
  <si>
    <t>ODON ROLF ESPIRITU TORRES</t>
  </si>
  <si>
    <t>143828-046-200519</t>
  </si>
  <si>
    <t>ESTACION DE SERVICIOS LA ESPERANZA E.I.R.L.</t>
  </si>
  <si>
    <t>AV. HERMES Nº 281, URB. OLIMPO</t>
  </si>
  <si>
    <t>DAVID SAUL CORREA VARGAS</t>
  </si>
  <si>
    <t>143829-046-061019</t>
  </si>
  <si>
    <t>COMBUSTIBLES WILLY E.I.R.L.</t>
  </si>
  <si>
    <t xml:space="preserve">CALLE LUIS PASTEUR N° 399 Z. I. SANTA ROSA </t>
  </si>
  <si>
    <t>ASFALTO LÍQUIDO MC-30,ASFALTO LÍQUIDO MC-70,ASFALTO LÍQUIDO RC-250,BREA,CEMENTO ASFÁLTICO 120-150,CEMENTO ASFÁLTICO 40-50,CEMENTO ASFÁLTICO 60-70,CEMENTO ASFÁLTICO 85-100,PETRÓLEO INDUSTRIAL Nº 5,PETRÓLEO INDUSTRIAL Nº 500,PETRÓLEO INDUSTRIAL Nº 6</t>
  </si>
  <si>
    <t>WILFREDO CARREÑO FIGUEROA</t>
  </si>
  <si>
    <t>143830-046-200519</t>
  </si>
  <si>
    <t>DITRANSERVA S.A.C.</t>
  </si>
  <si>
    <t>AV. SANTA ROSA Nº 652 - URB. LOS SAUCES</t>
  </si>
  <si>
    <t>CRISTIAN FRANCISCO CASTRO RODRIGUEZ</t>
  </si>
  <si>
    <t>143831-046-200519</t>
  </si>
  <si>
    <t>CONSTRUCCION Y PAVIMENT DEL CENTRO EMPRESA INDIVIDUAL DE RESPONSABILIDAD LIMITADA - COPACEN E.I.R.L.</t>
  </si>
  <si>
    <t xml:space="preserve">PJ. PARQUE PEÑALOZA NRO. 116 </t>
  </si>
  <si>
    <t>JUNIN</t>
  </si>
  <si>
    <t>HUANCAYO</t>
  </si>
  <si>
    <t>CHILCA</t>
  </si>
  <si>
    <t>ASFALTO LÍQUIDO,ASFALTO SOLIDO,BREA,PETRÓLEOS INDUSTRIALES</t>
  </si>
  <si>
    <t>143832-046-200519</t>
  </si>
  <si>
    <t>RECINES LOGISTICS E.I.R.L.</t>
  </si>
  <si>
    <t>CALLE 11 MZ. Z1 LOTE 5 URB CERES II ETAPA</t>
  </si>
  <si>
    <t>FREDDY ANIBAL RECINES CHAVEZ</t>
  </si>
  <si>
    <t>149508-046-170420</t>
  </si>
  <si>
    <t>GRIFO SEÑOR DE SIPAN E.I.R.L.</t>
  </si>
  <si>
    <t xml:space="preserve">MZ C LOTE 01 CPME CALIFORNIA DE CHICLAYO A POMALCA KM 3.5 </t>
  </si>
  <si>
    <t>LAMBAYEQUE</t>
  </si>
  <si>
    <t>CHICLAYO</t>
  </si>
  <si>
    <t>DIESEL B5,Diesel B5 S-50,LUBRICANTES,PETRÓLEO INDUSTRIAL Nº 5,PETRÓLEO INDUSTRIAL Nº 500,PETRÓLEO INDUSTRIAL Nº 6,SOLVENTE 1,SOLVENTE 3</t>
  </si>
  <si>
    <t xml:space="preserve">ANDER VASQUEZ ROJAS </t>
  </si>
  <si>
    <t>143833-046-200519</t>
  </si>
  <si>
    <t>INVERSIONES TRANSPORTES ZAVALA E.I.R.L.</t>
  </si>
  <si>
    <t>MZ. E LOTE 13 URB. SANTA ROSITA I ETAPA DE ATE (PS 1 Y 2)</t>
  </si>
  <si>
    <t>ISAAC JORGE ZAVALA TIMOTEO</t>
  </si>
  <si>
    <t>143834-046-200519</t>
  </si>
  <si>
    <t>THOR BPS S.A.C.</t>
  </si>
  <si>
    <t>MZ. G LOTE 2-3 URB. EL DESCANSO PARIACHI</t>
  </si>
  <si>
    <t>ALVARO MANUEL PIQUERAS WASHBURN</t>
  </si>
  <si>
    <t>144030-046-200519</t>
  </si>
  <si>
    <t>NORPETROL S.C.R.L.</t>
  </si>
  <si>
    <t>MZ. V, LOTE 1-B5 - ZONA INDUSTRIAL II</t>
  </si>
  <si>
    <t>PAITA</t>
  </si>
  <si>
    <t>LEIGH PEÑA LOURDES VIVIANA</t>
  </si>
  <si>
    <t>149506-046-210320</t>
  </si>
  <si>
    <t>GRIFO JJAV E.I.R.L.</t>
  </si>
  <si>
    <t>MZ. C LOTE 01 C.P CALIFORNIA (KM 3.5 POMALCA 2DO PISO)</t>
  </si>
  <si>
    <t>ASFALTO LÍQUIDO MC-30,ASFALTO LÍQUIDO MC-70,ASFALTO LÍQUIDO RC-250,ASFALTO LÍQUIDO RC-70,CGN SOLVENTE,DIESEL B5,Diesel B5 S-50,LUBRICANTES,PETRÓLEO INDUSTRIAL Nº 4,PETRÓLEO INDUSTRIAL Nº 5,PETRÓLEO INDUSTRIAL Nº 500,PETRÓLEO INDUSTRIAL Nº 6,SOLVENTE 1,SOLVENTE 3</t>
  </si>
  <si>
    <t>ANDER VASQUEZ ROJAS</t>
  </si>
  <si>
    <t>144029-046-200519</t>
  </si>
  <si>
    <t>STL DIESEL E.I.R.L.</t>
  </si>
  <si>
    <t>KM.54.2 CARRETERA PIURA PAITA</t>
  </si>
  <si>
    <t>TASSARA NUÑEZ, ALESSANDRO</t>
  </si>
  <si>
    <t>143835-046-200519</t>
  </si>
  <si>
    <t xml:space="preserve">COMPAÑIA DE SERVICIOS SAMA S.A. </t>
  </si>
  <si>
    <t>MZ. D LTE. 01 URB. STA. ROSITA DE ATE</t>
  </si>
  <si>
    <t>IRENE VASQUEZ ALIAGA</t>
  </si>
  <si>
    <t>143836-046-200519</t>
  </si>
  <si>
    <t>CORPORACION BAMBU S.A.C.</t>
  </si>
  <si>
    <t>AV. NICOLAS AYLLON N° 8510 - DPTO 101</t>
  </si>
  <si>
    <t>FRANKLIN RUSBEL YARINGAÑO QUILLATUPA</t>
  </si>
  <si>
    <t>144028-046-211020</t>
  </si>
  <si>
    <t>ESTACIONES DE SERVICIOS MERCE S.A.C.</t>
  </si>
  <si>
    <t>AV. CUGLIEVAN S/N KM. 37 CENTRO POBLADO MALACASI</t>
  </si>
  <si>
    <t>MORROPON</t>
  </si>
  <si>
    <t>SALITRAL</t>
  </si>
  <si>
    <t>ASFALTO LÍQUIDO MC-30,BREA,CEMENTO ASFÁLTICO 60-70,DIESEL B5,Diesel B5 S-50,LUBRICANTES,PETRÓLEO INDUSTRIAL Nº 500,PETRÓLEO INDUSTRIAL Nº 6,SOLVENTE 1,SOLVENTE 3</t>
  </si>
  <si>
    <t>TRANQUILINO CARRASCO SILVA</t>
  </si>
  <si>
    <t>144027-046-200519</t>
  </si>
  <si>
    <t>SERVICIOS GENERALES RIKAR S.A.C.</t>
  </si>
  <si>
    <t>JR. TUMBES N° 801 - CENTRO CHULUCANAS</t>
  </si>
  <si>
    <t>CHULUCANAS</t>
  </si>
  <si>
    <t>LAURA CAROLINA GARCIA CALLE</t>
  </si>
  <si>
    <t>144022-046-200519</t>
  </si>
  <si>
    <t>SERVICIOS MULTIPLES POBAL E.I.R.L.</t>
  </si>
  <si>
    <t>AV. MIGUEL GRAU N 96 YANACANCHA</t>
  </si>
  <si>
    <t>YANACANCHA</t>
  </si>
  <si>
    <t>PONCE BALDEON, JULIO RUBEN</t>
  </si>
  <si>
    <t>144023-046-200519</t>
  </si>
  <si>
    <t>R &amp; D INVERSIONES E.I.R.L.</t>
  </si>
  <si>
    <t>JR. SAN MARTIN N° 111 URB. SAN JUAN PAMPA</t>
  </si>
  <si>
    <t>PRADO ESTRADA, ARON DENIS</t>
  </si>
  <si>
    <t>144020-046-200519</t>
  </si>
  <si>
    <t>RARAZ &amp; LOPE SERVICIOS GENERALES S.R.L.</t>
  </si>
  <si>
    <t>JR. TRUJILLO MZ. 32 LT. 04</t>
  </si>
  <si>
    <t>VICCO</t>
  </si>
  <si>
    <t>NELLY FELICIA RARAZ LOPE DE ROJAS</t>
  </si>
  <si>
    <t>144021-046-200519</t>
  </si>
  <si>
    <t>ANTONIETA LUZ ESPINOZA DE PALACIOS</t>
  </si>
  <si>
    <t>AV. 6 DE DICIEMBRE 400</t>
  </si>
  <si>
    <t>ESPINOZA DE PALACIOS, ANTONIETA LUZ</t>
  </si>
  <si>
    <t>144026-046-200519</t>
  </si>
  <si>
    <t>ALONSO TOCTO CHINCHAY</t>
  </si>
  <si>
    <t>CARRETERA EL FAIQUE CANCHAQUE S/N SECTOR HUAYANAY</t>
  </si>
  <si>
    <t>HUANCABAMBA</t>
  </si>
  <si>
    <t>SAN MIGUEL DE EL FAIQUE</t>
  </si>
  <si>
    <t>144024-046-200519</t>
  </si>
  <si>
    <t>GRUPO SERVICIOS MINERA CONSTRUCCIÓN S.A.C.</t>
  </si>
  <si>
    <t>AV. MIGUEL GRAU N° 96 BAR YANACANCHA</t>
  </si>
  <si>
    <t>FRANK CHRISTIAN PONCE DE LA ROSA</t>
  </si>
  <si>
    <t>144025-046-200520</t>
  </si>
  <si>
    <t>GEILER FERNANDO ROSILLO GONZALES</t>
  </si>
  <si>
    <t>CASERIO CACHAQUITO S/N</t>
  </si>
  <si>
    <t>AYABACA</t>
  </si>
  <si>
    <t>SUYO</t>
  </si>
  <si>
    <t>145140-046-150719</t>
  </si>
  <si>
    <t>TRANSPORTES JOSE SALDARRIAGA E.I.R.L.</t>
  </si>
  <si>
    <t>URB. LOS PINOS D-5 2DO. PISO</t>
  </si>
  <si>
    <t>TALARA</t>
  </si>
  <si>
    <t>PARIÑAS</t>
  </si>
  <si>
    <t>ASFALTO LÍQUIDO MC-30,DIESEL B5,Diesel B5 S-50,PETRÓLEO INDUSTRIAL Nº 500,PETRÓLEO INDUSTRIAL Nº 6</t>
  </si>
  <si>
    <t>SALDARRIAGA RUIZ JOSE RAMON</t>
  </si>
  <si>
    <t>149498-046-200520</t>
  </si>
  <si>
    <t>COMBUSTIBLES RECAL S.A.C.</t>
  </si>
  <si>
    <t>JR. SANDIA NRO. 446, OFICINA 12 CERCADO DE LIMA</t>
  </si>
  <si>
    <t>BREA,CEMENTO ASFÁLTICO 20-30,CEMENTO ASFÁLTICO 40-50,CEMENTO ASFÁLTICO 60-70,CGN SOLVENTE,Diesel B5 S-50</t>
  </si>
  <si>
    <t>CARLOS ARMANDO ANICAMA LIZARAZO</t>
  </si>
  <si>
    <t>144031-046-090120</t>
  </si>
  <si>
    <t>SERVICIOS DIESEL EXPRESS E.I.R.L</t>
  </si>
  <si>
    <t>JIRON LOS PESCADORES S/N LA PUNTA</t>
  </si>
  <si>
    <t>ASFALTO LÍQUIDO MC-30,ASFALTO LÍQUIDO RC-250,CEMENTO ASFÁLTICO 60-70,DIESEL B5,Diesel B5 S-50,HEXANO,LUBRICANTES,PENTANO,PETRÓLEO INDUSTRIAL Nº 500,PETRÓLEO INDUSTRIAL Nº 6,SOLVENTE 1,SOLVENTE 3</t>
  </si>
  <si>
    <t>CORDOVA CORDOVA PRAXIDES</t>
  </si>
  <si>
    <t>143429-046-200519</t>
  </si>
  <si>
    <t>AUGUSTA QUISPE ARMOTO</t>
  </si>
  <si>
    <t>AV. SAN MARTIN Nº 688</t>
  </si>
  <si>
    <t>143428-046-200519</t>
  </si>
  <si>
    <t>TRANSPORTES, MAQUINARIAS &amp; CONSTRUCTORA SOFIKAR E.I.R.L.</t>
  </si>
  <si>
    <t xml:space="preserve">CAR.TRONCAL HACIA TAMBO DEL ENE - SECTOR PICHARI ALTA KM. 1+65 </t>
  </si>
  <si>
    <t>PICHARI</t>
  </si>
  <si>
    <t xml:space="preserve">WILBER CONSTANTINO PAREDES CHUCHON </t>
  </si>
  <si>
    <t>145137-046-150719</t>
  </si>
  <si>
    <t>EMPRESA DE TRANSPORTES JUANCITO E.I.R.L.</t>
  </si>
  <si>
    <t>AV. LIBERTAD N° 555 URB. SANTA VICTORIA</t>
  </si>
  <si>
    <t xml:space="preserve">JUAN JESUS CORONEL NEIRA </t>
  </si>
  <si>
    <t>144032-046-200519</t>
  </si>
  <si>
    <t>GRIFOS STL. S.R.L</t>
  </si>
  <si>
    <t>KM. 54.2 CARRETERA PIURA - PAITA</t>
  </si>
  <si>
    <t>PETRÓLEO INDUSTRIAL Nº 500,PETRÓLEO INDUSTRIAL Nº 6</t>
  </si>
  <si>
    <t>143427-046-200519</t>
  </si>
  <si>
    <t>CHOQUEVILCA JIMENEZ LUIS SANDRO</t>
  </si>
  <si>
    <t>PROLONGACION MARTIN PIO CONCHA N° 701</t>
  </si>
  <si>
    <t>KIMBIRI</t>
  </si>
  <si>
    <t>CHOQUEVILCA JIMENEZ, LUIS SANDRO</t>
  </si>
  <si>
    <t>144033-046-200519</t>
  </si>
  <si>
    <t>GRIFOS NORPETROL E.I.R.L.</t>
  </si>
  <si>
    <t>JR. ZEPITA Nº 321</t>
  </si>
  <si>
    <t>LOURDES VIVIANA LEIGH PEÑA</t>
  </si>
  <si>
    <t>144034-046-070820</t>
  </si>
  <si>
    <t>LUBRICANTES Y SERVICIOS YACILA S.R.L.</t>
  </si>
  <si>
    <t>MZ. C LOTE 16 CALETA YACILA - PAITA</t>
  </si>
  <si>
    <t>SANTIAGO QUEREVALU QUEREVALU</t>
  </si>
  <si>
    <t>144035-046-200519</t>
  </si>
  <si>
    <t>CRISTINA DEL CARMEN E.I.R.L.</t>
  </si>
  <si>
    <t>MZ. B LOTE 14 A.H. KEIKO SOFIA</t>
  </si>
  <si>
    <t>MARCOS SANTAMARIA SANDOVAL</t>
  </si>
  <si>
    <t>143433-046-200519</t>
  </si>
  <si>
    <t>FELIPE CURAMPA QUISPE</t>
  </si>
  <si>
    <t>CAR. PACCATECTAMBO I-2, COMUNIDAD HUANCARQUI</t>
  </si>
  <si>
    <t>PARURO</t>
  </si>
  <si>
    <t>YAURISQUE</t>
  </si>
  <si>
    <t>143432-046-200519</t>
  </si>
  <si>
    <t>EMPRESA NARH SOCIEDAD COMERCIAL DE RESPONSABILIDAD LIMITADA</t>
  </si>
  <si>
    <t>COM. HUASQUILLAY S/N</t>
  </si>
  <si>
    <t>OMACHA</t>
  </si>
  <si>
    <t xml:space="preserve">RUFITO AYME MOLLENIDO </t>
  </si>
  <si>
    <t>144036-046-200519</t>
  </si>
  <si>
    <t>COMERCIAL TARECO E.I.R.L.</t>
  </si>
  <si>
    <t>MZ. D LOTE 07 A.H. 05 DE FEBRERO</t>
  </si>
  <si>
    <t>JANETH JOHANNY MARTINEZ YARLEQUE</t>
  </si>
  <si>
    <t>143431-046-200519</t>
  </si>
  <si>
    <t>SERVICENTRO EL PILOTO S.R.L.</t>
  </si>
  <si>
    <t>JIRON QUILLABAMBA Nº 525</t>
  </si>
  <si>
    <t>CESAR ROZAS POZO</t>
  </si>
  <si>
    <t>143430-046-200519</t>
  </si>
  <si>
    <t>S &amp; K REPRESENTACIONES Y CONTRATISTAS E.I.R.L.</t>
  </si>
  <si>
    <t>VIA SAMBARAY S/N. QUILLABAMBA</t>
  </si>
  <si>
    <t>CAMILO RAMOS ZAVALETA</t>
  </si>
  <si>
    <t>143436-046-200519</t>
  </si>
  <si>
    <t>MATILDE INES LAURA CONDORI</t>
  </si>
  <si>
    <t>AV. FERNANDO BELAUNDE TERRY S/N CMP QUINCEMIL</t>
  </si>
  <si>
    <t>QUISPICANCHI</t>
  </si>
  <si>
    <t>CAMANTI</t>
  </si>
  <si>
    <t>143435-046-200519</t>
  </si>
  <si>
    <t xml:space="preserve">MIGUELINA CCALLO LEON </t>
  </si>
  <si>
    <t>CALLE TACNA , MZA H1, LOT. 6, C.P. QUINCEMIL</t>
  </si>
  <si>
    <t>143434-046-200519</t>
  </si>
  <si>
    <t>QQUECCAÑO SUMA EULOGIO</t>
  </si>
  <si>
    <t>N° S/N MASHUAY</t>
  </si>
  <si>
    <t>PAUCARTAMBO</t>
  </si>
  <si>
    <t>145129-046-100719</t>
  </si>
  <si>
    <t>RAFRA SERVICIOS GENERALES S.A.C.</t>
  </si>
  <si>
    <t>CALLE LOS CLAVELES N°136</t>
  </si>
  <si>
    <t>SAN JUAN BAUTISTA</t>
  </si>
  <si>
    <t>RENZO ALONSO LABARTHE ZLATAR</t>
  </si>
  <si>
    <t>145514-046-120819</t>
  </si>
  <si>
    <t>JESUS EMANUEL RODAS RUIZ</t>
  </si>
  <si>
    <t>JR. LA LIBERTADA N° 684</t>
  </si>
  <si>
    <t>CHEPEN</t>
  </si>
  <si>
    <t>ASFALTO LÍQUIDO MC-30,ASFALTO LÍQUIDO MC-70,ASFALTO LÍQUIDO RC-250,ASFALTO LÍQUIDO RC-70,BREA,CEMENTO ASFÁLTICO 10-20,CEMENTO ASFÁLTICO 120-150,CEMENTO ASFÁLTICO 20-30,CEMENTO ASFÁLTICO 40-50,CEMENTO ASFÁLTICO 60-70,CGN SOLVENTE,DIESEL B5,Diesel B5 S-50,LUBRICANTES,PETRÓLEO INDUSTRIAL Nº 4,PETRÓLEO INDUSTRIAL Nº 5,PETRÓLEO INDUSTRIAL Nº 500,PETRÓLEO INDUSTRIAL Nº 6,SOLVENTE 1,SOLVENTE 3</t>
  </si>
  <si>
    <t>145452-046-250719</t>
  </si>
  <si>
    <t>HIPER MAXJJARRYS EMPRESA INDIVIDUAL DE RESPONSABILIDAD LIMITADA</t>
  </si>
  <si>
    <t>MANZANA D LOTE 07 URBANIZACION LAS CASUARINAS</t>
  </si>
  <si>
    <t>ASFALTO LÍQUIDO RC-250,BREA,CEMENTO ASFÁLTICO 60-70,CGN SOLVENTE,DIESEL B5,Diesel B5 S-50,HEXANO,LUBRICANTES,PENTANO,PETRÓLEO INDUSTRIAL Nº 500,PETRÓLEO INDUSTRIAL Nº 6,SOLVENTE 1,SOLVENTE 3</t>
  </si>
  <si>
    <t>YUPANQUI TORRES EDGAR ROBERTO</t>
  </si>
  <si>
    <t>143807-046-200519</t>
  </si>
  <si>
    <t>C&amp;M SERVICENTROS S.A.C.</t>
  </si>
  <si>
    <t>JR. PUNO MZA. 3 LT. B PARQUE INDUSTRIAL PORCINO</t>
  </si>
  <si>
    <t>PROV. CONST. DEL CALLAO</t>
  </si>
  <si>
    <t>VENTANILLA</t>
  </si>
  <si>
    <t>ABELARDO VICENTE CASTRO LUJAN</t>
  </si>
  <si>
    <t>143812-046-200519</t>
  </si>
  <si>
    <t>MAXIMILIANA CACERES MARIÑO DE CARDENAS</t>
  </si>
  <si>
    <t>AAHH MICAELA BASTIDAS MZ H LOTE 3</t>
  </si>
  <si>
    <t>143813-046-200519</t>
  </si>
  <si>
    <t xml:space="preserve">LOLA MARIA MIRANDA TORRES DE TORIBIO </t>
  </si>
  <si>
    <t>AV. ALFONSO UGARTE 1645, FUNDO LA ESTRELLA</t>
  </si>
  <si>
    <t>143814-046-200519</t>
  </si>
  <si>
    <t>MENDOZA TORRES, FILOMENA</t>
  </si>
  <si>
    <t xml:space="preserve">ASOCIACION VIRGEN DE COPACABANA MZ A LOTE 9 </t>
  </si>
  <si>
    <t>143815-046-200519</t>
  </si>
  <si>
    <t>MILAGRO ISABEL PALACIOS GAMARRA</t>
  </si>
  <si>
    <t>MZ. 01 LOTE 19 RESIDENCIAL LAS PRADERAS DE PARIACHI III ETAPA</t>
  </si>
  <si>
    <t>151107-046-100920</t>
  </si>
  <si>
    <t>EMPRESA DE TRANSPORTES EL COYOTE E.I.R.L.</t>
  </si>
  <si>
    <t>CARRETERA CENTRAL KM. 0.5 LA OROYA – HUANCAYO</t>
  </si>
  <si>
    <t>YAULI</t>
  </si>
  <si>
    <t>LA OROYA</t>
  </si>
  <si>
    <t>CLAUDIO GERARDO LOYOLA TELLO</t>
  </si>
  <si>
    <t>146155-046-280819</t>
  </si>
  <si>
    <t>SOUSA COMMERCE E.I.R.L.</t>
  </si>
  <si>
    <t>CALLE CARLOS MARTINEZ DE PINILLOS MZ B1 LT 48</t>
  </si>
  <si>
    <t>CARABAYLLO</t>
  </si>
  <si>
    <t>GERSHOM JOSEPH MEZA BLAS</t>
  </si>
  <si>
    <t>143808-046-200519</t>
  </si>
  <si>
    <t>EMPRESA DE TRANSPORTES ESCORPIO &amp; PISCIS POMA S.A.C.</t>
  </si>
  <si>
    <t>PASAJE GARAGAY MZ. K2 LOTE N° 12. A.A.H.H. MI PERU</t>
  </si>
  <si>
    <t>Diesel B5 S-50,SOLVENTE 1,SOLVENTE 3</t>
  </si>
  <si>
    <t>AMANCIO PRIMITIVO POMA CHAVEZ</t>
  </si>
  <si>
    <t>143809-046-200519</t>
  </si>
  <si>
    <t>INVERSIONES LA UNION COMBUSTIBLES E.I.R.L.</t>
  </si>
  <si>
    <t>CAL.1 MZA. A LOTE. 1B A.H. VENTANILLA ALTA</t>
  </si>
  <si>
    <t xml:space="preserve">PEDRO CELESTINO COBEÑAS ZAPATA </t>
  </si>
  <si>
    <t>143810-046-200519</t>
  </si>
  <si>
    <t>ENVASADORA JOSE DANILO E.I.R.L</t>
  </si>
  <si>
    <t>MZ. C LOTE 6 A.H. CESAR VALLEJO DE VENTANILLA ALTA</t>
  </si>
  <si>
    <t>JOSE PABLO VENTURA DAMIAN</t>
  </si>
  <si>
    <t>151110-046-100920</t>
  </si>
  <si>
    <t>SANTOS NEYRA VALDEMAR</t>
  </si>
  <si>
    <t>MZ. D, LOTE 48</t>
  </si>
  <si>
    <t>SONDORILLO</t>
  </si>
  <si>
    <t>ASFALTO LÍQUIDO MC-30,ASFALTO LÍQUIDO RC-250,CEMENTO ASFÁLTICO 60-70,Diesel B5 S-50,HEXANO,LUBRICANTES,PENTANO,PETRÓLEO INDUSTRIAL Nº 500,PETRÓLEO INDUSTRIAL Nº 6,SOLVENTE 1,SOLVENTE 3</t>
  </si>
  <si>
    <t>143811-046-200519</t>
  </si>
  <si>
    <t xml:space="preserve">LUDIM MILA ESPIRTU TORRES DE ALANIA </t>
  </si>
  <si>
    <t>AV. JOSE CARLOS MARIATEGUI UVC 10, LOTE 36-2 A.H. HUAYCAN ZONA O</t>
  </si>
  <si>
    <t>LUDIM MILA ESPIRTU TORRES DE ALANIA</t>
  </si>
  <si>
    <t>143420-046-200519</t>
  </si>
  <si>
    <t xml:space="preserve">CONDO MENDIGURE EFRAIN MIGUEL </t>
  </si>
  <si>
    <t>JR. PICHIGUA S/N</t>
  </si>
  <si>
    <t>ESPINAR</t>
  </si>
  <si>
    <t>143419-046-200519</t>
  </si>
  <si>
    <t>INVERSIONES MÚLTIPLES SAN MIGUEL E.I.R.L.</t>
  </si>
  <si>
    <t xml:space="preserve">MZ. A LOTE 8, INTERIOR 307 - URB CONSTANCIA </t>
  </si>
  <si>
    <t>WANCHAQ</t>
  </si>
  <si>
    <t>PILLCO CUSIHUAMAN DAVID</t>
  </si>
  <si>
    <t>143422-046-200519</t>
  </si>
  <si>
    <t xml:space="preserve">HENRRY HILARIO HUISA </t>
  </si>
  <si>
    <t>CAL. CAPITAN CENTENO MZA. D LOTE 13, BAR. VICTOR RAUL</t>
  </si>
  <si>
    <t>143421-046-200519</t>
  </si>
  <si>
    <t xml:space="preserve">JUAN ALONSO CCALLO ANDIA </t>
  </si>
  <si>
    <t>TAHUANTINSUYO Nº S/N</t>
  </si>
  <si>
    <t>143816-046-200519</t>
  </si>
  <si>
    <t>EDGAR SANTOS BENITES APOLINARIO</t>
  </si>
  <si>
    <t>URB. INDUSTRIAL SANTA ROSA CALLE B Y D MZ. F - LO</t>
  </si>
  <si>
    <t>143417-046-200519</t>
  </si>
  <si>
    <t>INVERSIONES CECO S.A.C.</t>
  </si>
  <si>
    <t>AV. LA CULTURA° 722</t>
  </si>
  <si>
    <t>CARMEN CECILIA HERNANDEZ GONZALES</t>
  </si>
  <si>
    <t>146375-046-050919</t>
  </si>
  <si>
    <t>FULL TRADING S.R.L.</t>
  </si>
  <si>
    <t>MZ. P LOTE 4 URB. LOS PINOS</t>
  </si>
  <si>
    <t>ELENA MARISOL PAREDES LEON</t>
  </si>
  <si>
    <t>143424-046-200519</t>
  </si>
  <si>
    <t>MECI CONTRATISTAS GENERALES EMPRESA INDIVIDUAL DE RESPONSABILIDAD LIMITADA</t>
  </si>
  <si>
    <t>AV. SOL N°407</t>
  </si>
  <si>
    <t>HANCCO CHIHUANHUAYLLA DAMIAN ADOLFO</t>
  </si>
  <si>
    <t>143423-046-200519</t>
  </si>
  <si>
    <t>EMPRESA DE TRANSPORTES SANTA MARIA S.R.L.</t>
  </si>
  <si>
    <t>CALLE ALFONSO UGARTE 420</t>
  </si>
  <si>
    <t>FULGENCIO QUISPE UMASI</t>
  </si>
  <si>
    <t>143426-046-200519</t>
  </si>
  <si>
    <t>GRIFO SAJIRUYOC S.C.R.L.</t>
  </si>
  <si>
    <t>SECTOR SAJIRUYOC S/N</t>
  </si>
  <si>
    <t>ECHARATE</t>
  </si>
  <si>
    <t>WILBER CUBA ESTRADA</t>
  </si>
  <si>
    <t>143425-046-200519</t>
  </si>
  <si>
    <t>TRANSPORTES Y SERVICIOS MULTIPLES HUANCARUMI S.R.L.</t>
  </si>
  <si>
    <t>CALLE SAN PEDRO # 333</t>
  </si>
  <si>
    <t>HUANCA MERCADO PERCY</t>
  </si>
  <si>
    <t>143817-046-200519</t>
  </si>
  <si>
    <t>EDGAR JUAN DE DIOS ZEVALLOS ARZAPALO</t>
  </si>
  <si>
    <t>ASOCIACION FORTALEZA MZ. J LT. 23</t>
  </si>
  <si>
    <t>ZEVALLOS ARZAPALO, EDGAR JUAN DE DIOS</t>
  </si>
  <si>
    <t>143818-046-200519</t>
  </si>
  <si>
    <t xml:space="preserve">ELIAS JOSE BLAS ZEVALLOS </t>
  </si>
  <si>
    <t xml:space="preserve">CALLE LIBERTAD S/N CENTRO POBLADO LIBERTAD </t>
  </si>
  <si>
    <t>BLAS ZEVALLOS ELIAS JOSE</t>
  </si>
  <si>
    <t>151112-046-240920</t>
  </si>
  <si>
    <t>EL ORIENTE PETROLERO S.A.C.</t>
  </si>
  <si>
    <t>JR. MARIA PRADO DE BELLIDO N° 131</t>
  </si>
  <si>
    <t>UCAYALI</t>
  </si>
  <si>
    <t>CORONEL PORTILLO</t>
  </si>
  <si>
    <t>CALLERIA</t>
  </si>
  <si>
    <t>DIESEL B5,Diesel B5 S-50,SOLVENTE 1</t>
  </si>
  <si>
    <t>ELMER RUBEN CONDEZO ARGANDOÑA</t>
  </si>
  <si>
    <t>143825-046-200519</t>
  </si>
  <si>
    <t xml:space="preserve">BAC PETROL S.A.C. </t>
  </si>
  <si>
    <t xml:space="preserve">AV. VICTOR RAUL HAYA DE LA TORRE N° 2237 </t>
  </si>
  <si>
    <t>143826-046-200519</t>
  </si>
  <si>
    <t xml:space="preserve">WEXCORP S.A.C. </t>
  </si>
  <si>
    <t xml:space="preserve">CALLE 21 MZ. H LT. 3 URBANIZACION LOS ANGELES </t>
  </si>
  <si>
    <t>ALEJANDRO CARRASCO MEZA</t>
  </si>
  <si>
    <t>143823-046-200519</t>
  </si>
  <si>
    <t>INVERSIONES MACSTOP S.A.C.</t>
  </si>
  <si>
    <t>MZ. E LT. 10 URB. CERES</t>
  </si>
  <si>
    <t>PETRÓLEOS INDUSTRIALES</t>
  </si>
  <si>
    <t>INCHE VDA. DE CÓRDOVA, FRANCISCA</t>
  </si>
  <si>
    <t>143824-046-200519</t>
  </si>
  <si>
    <t>COMPAÑIA DE SOLVENTES FENIX S.R.L.</t>
  </si>
  <si>
    <t>CALLE 10 MZ. F1 LOTE 02 URB. VIRGEN DEL CARMEN</t>
  </si>
  <si>
    <t>ANTONIO BETETA ESPINOZA</t>
  </si>
  <si>
    <t>143821-046-200519</t>
  </si>
  <si>
    <t>GRIFO SAN IGNACIO S.A.C.</t>
  </si>
  <si>
    <t>AV. SANTA CECILIA N° 575 URB. LOS SAUCES</t>
  </si>
  <si>
    <t>ANA PATRICIA ESPINOZA VASQUEZ</t>
  </si>
  <si>
    <t>143822-046-200519</t>
  </si>
  <si>
    <t>YAVA S.A.C.</t>
  </si>
  <si>
    <t xml:space="preserve">CALLE LOS OLMOS N° 489, URB. LOS RECAUDADORES </t>
  </si>
  <si>
    <t>ANIBAL PEDRO YANCE VALENZUELA</t>
  </si>
  <si>
    <t>143819-046-200519</t>
  </si>
  <si>
    <t>SONIA ESPINOZA CAMPOS DE CHAVEZ</t>
  </si>
  <si>
    <t>JR. JULIO C. TELLO MZ. J LOTE 17 ASOC. FORTALEZA</t>
  </si>
  <si>
    <t>143820-046-200519</t>
  </si>
  <si>
    <t xml:space="preserve">FERNANDO LEO AVILA VALENCIA </t>
  </si>
  <si>
    <t xml:space="preserve">CALLE BETA MZ. Z, LOTE 22, PARQUE INDUSTRIAL ASESOR III </t>
  </si>
  <si>
    <t>143411-046-200519</t>
  </si>
  <si>
    <t>TRANSPORTES LIBERTAD E.I.R.L.</t>
  </si>
  <si>
    <t>URB. SAN FRANCISCO K-12</t>
  </si>
  <si>
    <t xml:space="preserve">HERNAN CORDOVA CARREÑO </t>
  </si>
  <si>
    <t>143410-046-200519</t>
  </si>
  <si>
    <t>LATINO SERVIS S.R.L.</t>
  </si>
  <si>
    <t>AV. HUAYRUROPATA N° 1935</t>
  </si>
  <si>
    <t>CESAR AUGUSTO FLOREZ GARCIA</t>
  </si>
  <si>
    <t>143409-046-200519</t>
  </si>
  <si>
    <t>EDGAR CAILLAUX BENAVENTE</t>
  </si>
  <si>
    <t>PARQUE INDUSTRIAL F-9</t>
  </si>
  <si>
    <t>CAILLAUX BENAVENTE, EDGAR</t>
  </si>
  <si>
    <t>143408-046-200519</t>
  </si>
  <si>
    <t>SABINO CABRERA CHALLCO</t>
  </si>
  <si>
    <t>URB. TTIO Y-1-9 PJE. MACHUPICCCHU</t>
  </si>
  <si>
    <t>CABRERA CHALLCO, SABINO</t>
  </si>
  <si>
    <t>143407-046-200519</t>
  </si>
  <si>
    <t>BERNA QUISPE QUISPE</t>
  </si>
  <si>
    <t>AV. COMERCIO 440 INT. I-15 URB. HUANCARO</t>
  </si>
  <si>
    <t>SANTIAGO</t>
  </si>
  <si>
    <t>145693-046-160819</t>
  </si>
  <si>
    <t>TRANSPORTE E INVERSIONES GUERRA S.A.C.</t>
  </si>
  <si>
    <t xml:space="preserve">CALLE GRAL. BELISARIO SUAREZ N° 300 URB. LOS FICUS </t>
  </si>
  <si>
    <t>ASFALTO LÍQUIDO MC-30,ASFALTO LÍQUIDO RC-250,CEMENTO ASFÁLTICO 10-20,CEMENTO ASFÁLTICO 120-150,CEMENTO ASFÁLTICO 60-70,CEMENTO ASFÁLTICO 85-100,PETRÓLEO INDUSTRIAL Nº 5,PETRÓLEO INDUSTRIAL Nº 500,PETRÓLEO INDUSTRIAL Nº 6</t>
  </si>
  <si>
    <t xml:space="preserve">JOSUE HUMBERTO CUBA VERGARA </t>
  </si>
  <si>
    <t>143416-046-200519</t>
  </si>
  <si>
    <t>PROMAINGSA S.A.C.</t>
  </si>
  <si>
    <t>CAL.RAMON CASTILLA Nº 804 URB. FIDERANDA</t>
  </si>
  <si>
    <t>ASFALTO LÍQUIDO,ASFALTO SOLIDO,BREA,CEMENTO ASFÁLTICO,PETRÓLEO INDUSTRIAL Nº 500,PETRÓLEO INDUSTRIAL Nº 6</t>
  </si>
  <si>
    <t xml:space="preserve">YORDY AÑANCA AYQUIPA </t>
  </si>
  <si>
    <t>143415-046-200519</t>
  </si>
  <si>
    <t>GRIFO SAN MARTIN S.A.C.</t>
  </si>
  <si>
    <t>AV. DE LA CULTURA Nº 1620</t>
  </si>
  <si>
    <t>143414-046-200519</t>
  </si>
  <si>
    <t>GRIFO LATINO S.A.C.</t>
  </si>
  <si>
    <t>AV. LA CULTURA Nº 400 CON ESQUINA TACNA</t>
  </si>
  <si>
    <t>PERCY Z. FLORES GARCIA</t>
  </si>
  <si>
    <t>143413-046-200519</t>
  </si>
  <si>
    <t>JK Y KD INVERSIONES E.I.R.L</t>
  </si>
  <si>
    <t>URB. TTIO V-7</t>
  </si>
  <si>
    <t>JACK KARL SEGOVIA ORTEGA</t>
  </si>
  <si>
    <t>143412-046-200519</t>
  </si>
  <si>
    <t>INVERSIONES VARGAS E.I.R.L.</t>
  </si>
  <si>
    <t>CALLE MANGLIO CARRASCO 204</t>
  </si>
  <si>
    <t>JACINTO VARGAS ZAVALETA</t>
  </si>
  <si>
    <t>143404-046-091019</t>
  </si>
  <si>
    <t>D.J. DANIEL CONTRATISTAS GENERALES E.I.R.L.</t>
  </si>
  <si>
    <t>APV AGUA BUENA MZ J LOTE 25</t>
  </si>
  <si>
    <t>SAN SEBASTIAN</t>
  </si>
  <si>
    <t>ASFALTO LÍQUIDO MC-30,ASFALTO LÍQUIDO RC-250,CEMENTO ASFÁLTICO 120-150,CEMENTO ASFÁLTICO 40-50,CEMENTO ASFÁLTICO 60-70,CEMENTO ASFÁLTICO 85-100,PETRÓLEO INDUSTRIAL Nº 500,PETRÓLEO INDUSTRIAL Nº 6</t>
  </si>
  <si>
    <t>JESSICA ESCOBAR PALMA</t>
  </si>
  <si>
    <t>146393-046-050919</t>
  </si>
  <si>
    <t>ESTACION DE SERVICIOS GENERALES LLOQUE S.R.L.</t>
  </si>
  <si>
    <t>C.H. IGNACIO ALVARES THOMAS, ZONA II, MZ. R, LOTE 28</t>
  </si>
  <si>
    <t>UCHUMAYO</t>
  </si>
  <si>
    <t>GERARDO ADALBERTO CALIZAYA ZABALAGA</t>
  </si>
  <si>
    <t>143401-046-200519</t>
  </si>
  <si>
    <t>TRANSPORTES PAITITI E.I.R.L.</t>
  </si>
  <si>
    <t>PROL. AV. DE LA CULTURA 1110</t>
  </si>
  <si>
    <t>FIGUEROA MINAYA, MODESTO</t>
  </si>
  <si>
    <t>148524-046-020120</t>
  </si>
  <si>
    <t>PETROLEUM SAUDI CORP S.A.C.</t>
  </si>
  <si>
    <t>CALLE MONTE ROSA NRO. 271 INT. 7B OFIC. 702</t>
  </si>
  <si>
    <t>SANTIAGO DE SURCO</t>
  </si>
  <si>
    <t>CARLOS FERNANDO ATAUJE BERNAOLA</t>
  </si>
  <si>
    <t>150965-046-070920</t>
  </si>
  <si>
    <t>AGGA CONTRATISTAS GENERALES S.A.C.</t>
  </si>
  <si>
    <t>MZ.H1 LT.12 URB. A. M. DE CACERES</t>
  </si>
  <si>
    <t>CGN SOLVENTE,DIESEL B5,Diesel B5 S-50,PETRÓLEO INDUSTRIAL Nº 500,PETRÓLEO INDUSTRIAL Nº 6,SOLVENTE 1,SOLVENTE 3</t>
  </si>
  <si>
    <t>VICTOR MANUEL ACEVEDO CARRION</t>
  </si>
  <si>
    <t>143402-046-200519</t>
  </si>
  <si>
    <t>GRIFO J.H.P. E.I.R.L.</t>
  </si>
  <si>
    <t>PROLONGACÓN AV. DE LA CULTURA N° 1850</t>
  </si>
  <si>
    <t>JACQUELINE HUAMAN SALAS</t>
  </si>
  <si>
    <t>145476-046-130819</t>
  </si>
  <si>
    <t>CERES PERU S. A.</t>
  </si>
  <si>
    <t>AV. AMERICA SUR N°636 - URB. PALERMO</t>
  </si>
  <si>
    <t>DIESEL B5,Diesel B5 S-50,LUBRICANTES,SOLVENTE 1</t>
  </si>
  <si>
    <t>HENRY ADAM STEWART GOTUZZO</t>
  </si>
  <si>
    <t>143405-046-200519</t>
  </si>
  <si>
    <t>INVERSIONES GRAN PERU E.I.RL.</t>
  </si>
  <si>
    <t>AV. TOMAS TUYRUTUPAC Nº 2020</t>
  </si>
  <si>
    <t>QUISPE QUENAYA, ROBERT MILTON</t>
  </si>
  <si>
    <t>143406-046-200519</t>
  </si>
  <si>
    <t>EULOGIA REYMUNDA POCCO CONDO</t>
  </si>
  <si>
    <t>HUANCARO VILLA CESAR C-7</t>
  </si>
  <si>
    <t>151498-046-021020</t>
  </si>
  <si>
    <t>WALTER ALVAREZ BALBUENA</t>
  </si>
  <si>
    <t>AV. CANADA N° 157 COOP. EL PARRAL</t>
  </si>
  <si>
    <t>COMAS</t>
  </si>
  <si>
    <t>151983-046-201020</t>
  </si>
  <si>
    <t>NEGOCIACIONES MARIFER S.A.C.</t>
  </si>
  <si>
    <t>PRO.2 DE MAYO NRO. 471 (COSTADO DE GRIFO TEXACO)</t>
  </si>
  <si>
    <t>TACNA</t>
  </si>
  <si>
    <t>IVAN MIGUEL LLERENA LLAMOSAS</t>
  </si>
  <si>
    <t>143399-046-200519</t>
  </si>
  <si>
    <t xml:space="preserve">MARGARITA BEJAR MENDOZA </t>
  </si>
  <si>
    <t>PROLONG. AV. DE LA CULTURA N°1421</t>
  </si>
  <si>
    <t>143400-046-200519</t>
  </si>
  <si>
    <t>SERVICENTRO JAKELINE S.C.R.L.</t>
  </si>
  <si>
    <t>AV. PROLG. AV. DE LA CULTURA NRO 1850</t>
  </si>
  <si>
    <t xml:space="preserve">JACQUELINE HUAMAN SALAS </t>
  </si>
  <si>
    <t>150967-046-070920</t>
  </si>
  <si>
    <t>EMPRESA TRANSPORTISTA DE COMBUSTIBLES E.I.R.L. - EMTRACOM</t>
  </si>
  <si>
    <t>CA. LOS SAUCES MZ.A LT.5, ASOCIACIÓN EL GRAMADAL</t>
  </si>
  <si>
    <t>ROMMEL CHAVARRIA TORIBIO</t>
  </si>
  <si>
    <t>145310-046-170719</t>
  </si>
  <si>
    <t>VALDERA SANTISTEBAN JUAN</t>
  </si>
  <si>
    <t>AA.HH VICTOR RAUL HAYA DE LA TORRE E-13</t>
  </si>
  <si>
    <t>MORROPE</t>
  </si>
  <si>
    <t>JUAN VALDERA SANTISTEBAN</t>
  </si>
  <si>
    <t>143397-046-200519</t>
  </si>
  <si>
    <t>INVERSIONES CHAMOTRUKS E.I.R.L.</t>
  </si>
  <si>
    <t>MZA. B, LOT. 13, APV. LA FORTALEZA</t>
  </si>
  <si>
    <t>SAN JERONIMO</t>
  </si>
  <si>
    <t>WALTHER CHAMORRO FARFAN</t>
  </si>
  <si>
    <t>145481-046-260719</t>
  </si>
  <si>
    <t>EMPRESA DE TRANSPORTES Y SERVICIOS MULTIPLES J.V.A. S.A.C.</t>
  </si>
  <si>
    <t>143398-046-200519</t>
  </si>
  <si>
    <t>JERONIMO DUEÑAS CARPIO</t>
  </si>
  <si>
    <t>URB. DANIEL ALCIDES CARRION B-3</t>
  </si>
  <si>
    <t>151298-046-300920</t>
  </si>
  <si>
    <t>COMBUSTIBLES Y CONTRATISTAS GENERALES S.A.C.</t>
  </si>
  <si>
    <t>CALLE ANTA N° 160 COO. 27 DE ABRIL</t>
  </si>
  <si>
    <t>CGN SOLVENTE,DIESEL B5,Diesel B5 S-50,LUBRICANTES,SOLVENTE 1,SOLVENTE 3</t>
  </si>
  <si>
    <t xml:space="preserve">JUVISSA LILIANA LINARES AGUILAR </t>
  </si>
  <si>
    <t>148712-046-160120</t>
  </si>
  <si>
    <t>SERVICIO Y TURISMO EXPRES VIA NACIONAL S.A.C.</t>
  </si>
  <si>
    <t>JR. AGATA N° 1361 URB. ANGELICA GAMARRA 1RA. ETAPA</t>
  </si>
  <si>
    <t>LOS OLIVOS</t>
  </si>
  <si>
    <t>MARIA SALOME AGREDA DE LA CRUZ</t>
  </si>
  <si>
    <t>143598-046-200519</t>
  </si>
  <si>
    <t>ASFALTO &amp; CONSTRUCCIONES S.A.C.</t>
  </si>
  <si>
    <t>MZA. LL LOTE 9 URB. SAN ANDRES 5TA ETAPA</t>
  </si>
  <si>
    <t>VICTOR LARCO HERRERA</t>
  </si>
  <si>
    <t>ELMER MACHA CORONACION</t>
  </si>
  <si>
    <t>143597-046-200519</t>
  </si>
  <si>
    <t>NEGOCIOS E INVERSIONES LYSEN S.A.C.</t>
  </si>
  <si>
    <t>MZ. B LT. 5 SECTOR LOS ROSALES DE SAN LUIS</t>
  </si>
  <si>
    <t>LUCIA MARLENY LOPEZ VERA</t>
  </si>
  <si>
    <t>151501-046-300920</t>
  </si>
  <si>
    <t>THF02 S.R.L.</t>
  </si>
  <si>
    <t>JR.HUASCAR S/N</t>
  </si>
  <si>
    <t>AYACUCHO</t>
  </si>
  <si>
    <t>SUCRE</t>
  </si>
  <si>
    <t>QUEROBAMBA</t>
  </si>
  <si>
    <t>ASFALTO LÍQUIDO MC-30,ASFALTO LÍQUIDO MC-70,ASFALTO LÍQUIDO RC-250,ASFALTO LÍQUIDO RC-70,DIESEL B5,Diesel B5 S-50,LUBRICANTES,SOLVENTE 1,SOLVENTE 3</t>
  </si>
  <si>
    <t>LUIS ENRIQUE BENDEZU CACERES</t>
  </si>
  <si>
    <t>149284-046-200220</t>
  </si>
  <si>
    <t>CONSTRUCCIONES SOL DEL ORIENTE S.R.L.</t>
  </si>
  <si>
    <t>JR. ARICA N° 514, BARRIO VISALOT ALTO</t>
  </si>
  <si>
    <t>143602-046-200519</t>
  </si>
  <si>
    <t>MONTENEGRO ROMAN, ERICK ALVARO</t>
  </si>
  <si>
    <t>MELITON CARBAJAL N° 394 - EL PORVENIR</t>
  </si>
  <si>
    <t>143601-046-200519</t>
  </si>
  <si>
    <t>MARLO CUSTODIO CABRERA ALARCON</t>
  </si>
  <si>
    <t>ELVIRA GARCIA Y GARCIA Nº 359 P.J. JOSE OLAYA</t>
  </si>
  <si>
    <t>CABRERA ALARCON, MARLO CUSTODIO</t>
  </si>
  <si>
    <t>143600-046-250520</t>
  </si>
  <si>
    <t>ENERGIA MOVIL S.A.C.</t>
  </si>
  <si>
    <t>CALLE LAS HORTENCIAS N° 280 URB. CALIFORNIA</t>
  </si>
  <si>
    <t>CGN SOLVENTE,DIESEL B5,Diesel B5 S-50,LUBRICANTES,PETRÓLEO INDUSTRIAL Nº 500,PETRÓLEO INDUSTRIAL Nº 6,SOLVENTE 1,SOLVENTE 3</t>
  </si>
  <si>
    <t>LADY DIANA CAHUAZA BANEO</t>
  </si>
  <si>
    <t>143599-046-200519</t>
  </si>
  <si>
    <t>PROYECTA &amp; T CONSTRUCCION Y SERVICIOS GENERALES S.A.C.</t>
  </si>
  <si>
    <t>MZ. B LOTE 11 URB. ALAMEDA DEL GOLF</t>
  </si>
  <si>
    <t>CGN SOLVENTE,Diesel B5 S-50,LUBRICANTES,SOLVENTE 1,SOLVENTE 3</t>
  </si>
  <si>
    <t>JULISSA MAGALY VARAS GARCIA</t>
  </si>
  <si>
    <t>143606-046-200519</t>
  </si>
  <si>
    <t>ANGELES S.R.L</t>
  </si>
  <si>
    <t>CALLE TARAPACA Nº 322</t>
  </si>
  <si>
    <t>JUAN MIGUEL ANGELES VARGAS</t>
  </si>
  <si>
    <t>143605-046-200519</t>
  </si>
  <si>
    <t>EMPRESA DE TRANSPORTE CHICLAYO S.A.</t>
  </si>
  <si>
    <t>AV. JOSÉ LEONARDO ORTIZ N°010</t>
  </si>
  <si>
    <t xml:space="preserve">JULIO CESAR ECHEVARRIA SALAZAR </t>
  </si>
  <si>
    <t>143604-046-200519</t>
  </si>
  <si>
    <t>CUBAS CARMONA ALEJANDRA MARIA YSABEL</t>
  </si>
  <si>
    <t>CALLE NAYLAMP NRO. 380 - URB. DIEGO FERRE</t>
  </si>
  <si>
    <t>143603-046-200519</t>
  </si>
  <si>
    <t xml:space="preserve">CESAR ATILANO MEJIA HUANAMBAL </t>
  </si>
  <si>
    <t>INDEPENDENCIA N° 486 PUEBLO JOVEN SAN ANTONIO</t>
  </si>
  <si>
    <t>151300-046-041020</t>
  </si>
  <si>
    <t>HYDROIL GROUP S.A.C.</t>
  </si>
  <si>
    <t>CALLE ALFONSO UGARTE N° 409</t>
  </si>
  <si>
    <t>ASCOPE</t>
  </si>
  <si>
    <t>PAIJAN</t>
  </si>
  <si>
    <t>ASFALTO LÍQUIDO MC-30,ASFALTO LÍQUIDO MC-70,ASFALTO LÍQUIDO RC-250,BREA,CEMENTO ASFÁLTICO 120-150,CEMENTO ASFÁLTICO 40-50,CEMENTO ASFÁLTICO 60-70,CEMENTO ASFÁLTICO 85-100,CGN SOLVENTE,DIESEL B5,Diesel B5 S-50,HEXANO,LUBRICANTES,PENTANO,PETRÓLEO INDUSTRIAL Nº 4,PETRÓLEO INDUSTRIAL Nº 5,PETRÓLEO INDUSTRIAL Nº 500,PETRÓLEO INDUSTRIAL Nº 6</t>
  </si>
  <si>
    <t>MILAGROS ELIZABETH VELEZMORO ROJAS</t>
  </si>
  <si>
    <t>145994-046-160919</t>
  </si>
  <si>
    <t>TRUSNPERAC SOCIEDAD ANONIMA CERRADA</t>
  </si>
  <si>
    <t>JR. LAMPA 925 INTERIOR 302</t>
  </si>
  <si>
    <t>Diesel B5 S-50,PETRÓLEO INDUSTRIAL Nº 500,PETRÓLEO INDUSTRIAL Nº 6</t>
  </si>
  <si>
    <t>JUAN CARLOS PUSE CALVAY</t>
  </si>
  <si>
    <t>143596-046-200519</t>
  </si>
  <si>
    <t>EMPRESA DE TRANSPORTES DRAGON S.A.C.</t>
  </si>
  <si>
    <t>AV. FLORAL N° 551 URB. CALIFORNIA</t>
  </si>
  <si>
    <t>DIESEL B5,Diesel B5 S-50,LUBRICANTES,SOLVENTES</t>
  </si>
  <si>
    <t>JOSE ABELARDO CARVO CHOCANO</t>
  </si>
  <si>
    <t>143390-046-200519</t>
  </si>
  <si>
    <t xml:space="preserve">JOSE VALER QUIÑONES </t>
  </si>
  <si>
    <t>SAN JERÓNIMO PICOL H-3</t>
  </si>
  <si>
    <t>143391-046-200519</t>
  </si>
  <si>
    <t>SANTOS ESPINOZA OFELIA</t>
  </si>
  <si>
    <t>URB. VILLA MIRAFLORES B-1</t>
  </si>
  <si>
    <t>143392-046-200519</t>
  </si>
  <si>
    <t>RUTHS MIRIAN ALVAREZ LOAIZA</t>
  </si>
  <si>
    <t>URB. TUPAC AMARU VILLA RINCONADA C- 8</t>
  </si>
  <si>
    <t>143393-046-200519</t>
  </si>
  <si>
    <t xml:space="preserve">BERNER ALEXIS AIMITUMA PAZ </t>
  </si>
  <si>
    <t>URB. VIRGEN ASUNTA S/N</t>
  </si>
  <si>
    <t>150969-046-080920</t>
  </si>
  <si>
    <t>COPETROLEUM E.I.R.L.</t>
  </si>
  <si>
    <t>CAL.LOS SAUCES NRO. 189</t>
  </si>
  <si>
    <t>ROSENDO ANTONIO GUERRERO ACUÑA</t>
  </si>
  <si>
    <t>143394-046-200519</t>
  </si>
  <si>
    <t>GRIFO SAN ISIDRO DE HUANCA E.I.R.L.</t>
  </si>
  <si>
    <t>URB. TUPAC AMARU Nº T-1-14</t>
  </si>
  <si>
    <t>VALDIVIA GUZMAN, MARY YANINA</t>
  </si>
  <si>
    <t>143395-046-200519</t>
  </si>
  <si>
    <t>SUMAC CHASQUI INVERSIONES S.R.L.</t>
  </si>
  <si>
    <t>URB. TUPAC AMARU VILLA RINCONADA MZA. C LOTE. 8</t>
  </si>
  <si>
    <t>143396-046-200519</t>
  </si>
  <si>
    <t>LATINO SUR S.A.C</t>
  </si>
  <si>
    <t>AV. MANCO CAPAC Nº 40</t>
  </si>
  <si>
    <t>MARGARITA LIDIA GARCIA DE FLOREZ</t>
  </si>
  <si>
    <t>148722-046-160120</t>
  </si>
  <si>
    <t>ECREEA COMPANY S.A.C.</t>
  </si>
  <si>
    <t>URB. MANUEL AREVALO ETAPA II MZ. B29 LOTE 8</t>
  </si>
  <si>
    <t>LA ESPERANZA</t>
  </si>
  <si>
    <t>ASFALTO LÍQUIDO MC-30,ASFALTO LÍQUIDO MC-70,ASFALTO LÍQUIDO RC-250,ASFALTO LÍQUIDO RC-70,BREA,CEMENTO ASFÁLTICO 10-20,CEMENTO ASFÁLTICO 120-150,CEMENTO ASFÁLTICO 20-30,CEMENTO ASFÁLTICO 40-50,CEMENTO ASFÁLTICO 60-70,CEMENTO ASFÁLTICO 85-100,CGN SOLVENTE,DIESEL B5,Diesel B5 S-50,LUBRICANTES,PETRÓLEO INDUSTRIAL Nº 4,PETRÓLEO INDUSTRIAL Nº 5,PETRÓLEO INDUSTRIAL Nº 500,PETRÓLEO INDUSTRIAL Nº 6,SOLVENTE 1,SOLVENTE 3</t>
  </si>
  <si>
    <t>LUIS MIGUEL CASTAÑEDA RODRIGUEZ</t>
  </si>
  <si>
    <t>143387-046-200519</t>
  </si>
  <si>
    <t>ALMETUR S.R.L.</t>
  </si>
  <si>
    <t>CALLE DANIEL ALCIDES CARRION Nº 1722</t>
  </si>
  <si>
    <t>GEORGINA JACQUELINE GARATE MAYTA</t>
  </si>
  <si>
    <t>145488-046-211019</t>
  </si>
  <si>
    <t>INVERSIONES Y MULTISERVICIOS H &amp; L S.A.C.</t>
  </si>
  <si>
    <t xml:space="preserve">PJ. POLEN PIO PATA NRO. 117 APV. LA CANTUTA </t>
  </si>
  <si>
    <t>EL TAMBO</t>
  </si>
  <si>
    <t>ASFALTO LÍQUIDO MC-30,ASFALTO LÍQUIDO RC-250,BREA,CEMENTO ASFÁLTICO 60-70,CEMENTO ASFÁLTICO 85-100,PETRÓLEO INDUSTRIAL Nº 500,PETRÓLEO INDUSTRIAL Nº 6</t>
  </si>
  <si>
    <t>FAVIO DAVID, AGUIRRE SOTO</t>
  </si>
  <si>
    <t>143388-046-200519</t>
  </si>
  <si>
    <t>S - CONTRATISTAS GENERALES FAVERSA E.I.R.L.</t>
  </si>
  <si>
    <t>AV. QQUEHUARPAY CRUZ VERDE 43</t>
  </si>
  <si>
    <t>POROY</t>
  </si>
  <si>
    <t>FREDY SAYCO SUMIRE</t>
  </si>
  <si>
    <t>143389-046-200519</t>
  </si>
  <si>
    <t xml:space="preserve">GILBERTO VILLALOBOS MENDOZA </t>
  </si>
  <si>
    <t>APV. NUEVO HORIZONTE B-3</t>
  </si>
  <si>
    <t>143587-046-200519</t>
  </si>
  <si>
    <t>SERVI MOVIL DE COMBUSTIBLE E.I.R.L.</t>
  </si>
  <si>
    <t>AV. AMERICA SUR N° 589 - B URB. SANTA ROSALIA</t>
  </si>
  <si>
    <t>DIESEL B5,Diesel B5 S-50,LUBRICANTES</t>
  </si>
  <si>
    <t>KAROL GUEVARA ROBLES</t>
  </si>
  <si>
    <t>143589-046-200519</t>
  </si>
  <si>
    <t>EMPRESA DE TRANSPORTES DZ S.A.C.</t>
  </si>
  <si>
    <t>CALLE TUPAC YUPANQUI N° 671 URB. SANTA MARIA</t>
  </si>
  <si>
    <t xml:space="preserve">ELVER JAIME ENCISO LUDEÑA </t>
  </si>
  <si>
    <t>143588-046-200519</t>
  </si>
  <si>
    <t>ESTACION DE SERVICIO ADRILU S.A.C.</t>
  </si>
  <si>
    <t>AV. TUPAC YUPANQUI N° 671 - URB. SANTA MARIA</t>
  </si>
  <si>
    <t>JUANA ANDREA ZAMORA GALLARDO</t>
  </si>
  <si>
    <t>143591-046-200519</t>
  </si>
  <si>
    <t>EMPRESA DE TRANSPORTES EXPRESO SAN MATEO E.I.R.L.</t>
  </si>
  <si>
    <t>AV. TUPAC AMARU N° 747 URB. LAS QUINTANAS</t>
  </si>
  <si>
    <t>JORGE ALBERTO LESCANO NUREÑA</t>
  </si>
  <si>
    <t>143590-046-200519</t>
  </si>
  <si>
    <t>FD OIL S.R.L.</t>
  </si>
  <si>
    <t xml:space="preserve">AV. AMERICA SUR N° 589-B - URB. SANTA ROSALIA </t>
  </si>
  <si>
    <t>MARIA ELENA GUERRERO MECA</t>
  </si>
  <si>
    <t>143593-046-200519</t>
  </si>
  <si>
    <t>MULTISERVICIOS ARKITON E.I.R.L.</t>
  </si>
  <si>
    <t>MZ. E LOTE 06, URB. LOS PORTALES</t>
  </si>
  <si>
    <t>ELDER ROJAS TRUJILLO</t>
  </si>
  <si>
    <t>143592-046-200519</t>
  </si>
  <si>
    <t xml:space="preserve">DMA INVERSIONES PERU S.A.C. </t>
  </si>
  <si>
    <t>AV. TEODORO VALCARCEL N° 350 INT. 201 URB. PRIMAVERA</t>
  </si>
  <si>
    <t>ALFONSINA PEÑA RIOS</t>
  </si>
  <si>
    <t>143595-046-061020</t>
  </si>
  <si>
    <t>J &amp; F ALARCON GROUP EMPRESA INDIVIDUAL DE RESPONSABILIDAD LIMITADA</t>
  </si>
  <si>
    <t>JR. 4 DE ABRIL NRO. 156 URB. SAN FRANCISCO</t>
  </si>
  <si>
    <t>PUNO</t>
  </si>
  <si>
    <t>SAN ROMAN</t>
  </si>
  <si>
    <t>JULIACA</t>
  </si>
  <si>
    <t>JUAN FAUSTO ALARCON AGUILAR</t>
  </si>
  <si>
    <t>143594-046-200519</t>
  </si>
  <si>
    <t>DIEZ &amp; GLD S.A.C.</t>
  </si>
  <si>
    <t>CARRETERA VIA DE EVITAMIENTO N° 552 - LA ENCALADA</t>
  </si>
  <si>
    <t>SANTOS WILMER CORCUERA GUTIERREZ</t>
  </si>
  <si>
    <t>143385-046-200519</t>
  </si>
  <si>
    <t>INVERSIONES ROBLIT S.R. ltda</t>
  </si>
  <si>
    <t>PROLONGACION AV. AMAZONAS 660</t>
  </si>
  <si>
    <t>CALCA</t>
  </si>
  <si>
    <t>PISAC</t>
  </si>
  <si>
    <t>ROJAS OBLITAS, MERCEDES</t>
  </si>
  <si>
    <t>143386-046-200519</t>
  </si>
  <si>
    <t>ZUNIGA SONCCO JUAN CARLOS</t>
  </si>
  <si>
    <t>AV. ALTA N° 490</t>
  </si>
  <si>
    <t>ASFALTO LÍQUIDO MC-30,ASFALTO LÍQUIDO MC-70,ASFALTO LÍQUIDO RC-250,CEMENTO ASFÁLTICO 120-150,CEMENTO ASFÁLTICO 40-50,CEMENTO ASFÁLTICO 60-70,CEMENTO ASFÁLTICO 85-100</t>
  </si>
  <si>
    <t>JUAN CARLOS ZUNIGA SONCCO</t>
  </si>
  <si>
    <t>143383-046-200519</t>
  </si>
  <si>
    <t>JUAN CARLOS OLIVERA MARIÑO</t>
  </si>
  <si>
    <t>JR. MERCADO Nº 115</t>
  </si>
  <si>
    <t>SAN IGNACIO</t>
  </si>
  <si>
    <t>143384-046-200519</t>
  </si>
  <si>
    <t>MULTISERVICIOS JAIMITO EL EMPERADOR E.I.R.L.</t>
  </si>
  <si>
    <t>PLAZA DE ARMAS N° 9</t>
  </si>
  <si>
    <t>ACOMAYO</t>
  </si>
  <si>
    <t>ACOS</t>
  </si>
  <si>
    <t>JUAN JAIME COLLANTES MELLADO</t>
  </si>
  <si>
    <t>143381-046-200519</t>
  </si>
  <si>
    <t>COMBUSTIBLES CRISTIAN E.I.R.L.</t>
  </si>
  <si>
    <t>AV. PAKAMUROS N 834</t>
  </si>
  <si>
    <t>JAEN</t>
  </si>
  <si>
    <t>MEGO BARBOZA, MAXIMO</t>
  </si>
  <si>
    <t>146028-046-030919</t>
  </si>
  <si>
    <t>NEGOCIACIONES VILCAHUAMAN PUMA SOCIEDAD ANONIMA CERRADA</t>
  </si>
  <si>
    <t>ASOC. ANDRES AVELINO CACERES MZ Q LOTE 10</t>
  </si>
  <si>
    <t>CERRO COLORADO</t>
  </si>
  <si>
    <t>CUPERTINA YNES VILCAHUAMAN PUMA</t>
  </si>
  <si>
    <t>143382-046-200519</t>
  </si>
  <si>
    <t>ARIAS ABARCA JUSTO PASTOR</t>
  </si>
  <si>
    <t>AV. MARIANO MELGAR 455</t>
  </si>
  <si>
    <t>ARIAS ABARCA, JUSTO PASTOR</t>
  </si>
  <si>
    <t>143585-046-200519</t>
  </si>
  <si>
    <t>SERVICIOS JUMAR E.I.R.L.</t>
  </si>
  <si>
    <t>AV. AMERICA SUR N° 589 B URB. SANTA ROSALIA</t>
  </si>
  <si>
    <t>MARIELA VICTORIA PANDURO ZEVALLOS</t>
  </si>
  <si>
    <t>143379-046-200519</t>
  </si>
  <si>
    <t>LA PALMA S.A.C.</t>
  </si>
  <si>
    <t>AV. AGRICULTURA N° 142</t>
  </si>
  <si>
    <t>CHOTA</t>
  </si>
  <si>
    <t xml:space="preserve">SEGUNDO SENOVIO TICLLA RAFAEL </t>
  </si>
  <si>
    <t>143586-046-200519</t>
  </si>
  <si>
    <t>SERVICENTRO 600 S.A.C.</t>
  </si>
  <si>
    <t>AV. TEODORO VALCARCEL N° 777 INTERIOR 4 URB. PRIMAVERA</t>
  </si>
  <si>
    <t xml:space="preserve">FANNY ESTHER SANCHEZ SALAZAR </t>
  </si>
  <si>
    <t>143380-046-200519</t>
  </si>
  <si>
    <t>EMPRESA DE TRANSPORTES ELOHIM S.R.L.</t>
  </si>
  <si>
    <t>CALLE CAJAMARCA Nº 1019 - SEC. PUEBLO LIBRE</t>
  </si>
  <si>
    <t>GONZALO MONTEZA CUBAS</t>
  </si>
  <si>
    <t>147842-046-201119</t>
  </si>
  <si>
    <t>U.L. &amp; P.H. INVERSIONES S.A.C.</t>
  </si>
  <si>
    <t xml:space="preserve">CALLE 10 MZA. G LOTE 1 URB. LOS OLIVOS DE SANTA ROSA ETAPA 1 </t>
  </si>
  <si>
    <t>ROCIO ROSARIO PARCO HUAROCC</t>
  </si>
  <si>
    <t>143377-046-200519</t>
  </si>
  <si>
    <t>TRANSPORTES Y SERVICIOS GENERALES MANZANA S.C.R.L.</t>
  </si>
  <si>
    <t xml:space="preserve">JR. GONZALES PRADA N° 349 </t>
  </si>
  <si>
    <t xml:space="preserve">RICARDO OSWALDO SANCHEZ ALVITEZ </t>
  </si>
  <si>
    <t>147175-046-211019</t>
  </si>
  <si>
    <t>GONZALES GUERRERO FERNANDO ELISEO</t>
  </si>
  <si>
    <t>MZ. C LOTE 08 URB. ZONA INDUSTRIAL II-12</t>
  </si>
  <si>
    <t>VEINTISEIS DE OCTUBRE</t>
  </si>
  <si>
    <t>ASFALTO LÍQUIDO MC-30,ASFALTO LÍQUIDO RC-250,BREA,CEMENTO ASFÁLTICO 60-70,CGN SOLVENTE,DIESEL B5,Diesel B5 S-50,HEXANO,LUBRICANTES,PENTANO,PETRÓLEO INDUSTRIAL Nº 500,PETRÓLEO INDUSTRIAL Nº 6,SOLVENTE 1,SOLVENTE 3</t>
  </si>
  <si>
    <t>143378-046-200519</t>
  </si>
  <si>
    <t>GPN INGENIEROS S.R.L.</t>
  </si>
  <si>
    <t>AV. ALZAMORA MIRANDA MZA. A LOTE 16</t>
  </si>
  <si>
    <t>LOS BAÑOS DEL INCA</t>
  </si>
  <si>
    <t>ABRAHAN MAHERSALA ABANTO SANCHEZ</t>
  </si>
  <si>
    <t>146031-046-230819</t>
  </si>
  <si>
    <t>JIMENEZ JUSTO CARLOS PEDRO</t>
  </si>
  <si>
    <t>AV. FERNANDO BELAUNDE TERRY MZ. 09 LOTE 13,16 ANEXO LORENZILLO I</t>
  </si>
  <si>
    <t>CONSTITUCION</t>
  </si>
  <si>
    <t>151516-046-280920</t>
  </si>
  <si>
    <t>NOLBERTO QUISPE SANTOS EUSTAQUIO</t>
  </si>
  <si>
    <t xml:space="preserve">AV. LOS LIBERTADORES KM. 16 </t>
  </si>
  <si>
    <t>ICA</t>
  </si>
  <si>
    <t>PISCO</t>
  </si>
  <si>
    <t>INDEPENDENCIA</t>
  </si>
  <si>
    <t>SANTOS EUSTAQUIO NOLBERTO QUISPE</t>
  </si>
  <si>
    <t>151484-046-250920</t>
  </si>
  <si>
    <t>CORPORACION MININ DEKAS EMPRESA INDIVIDUAL DE RESPONSABILIDAD LIMITADA</t>
  </si>
  <si>
    <t>AV LOS ANGELES S/N - SAN JUAN DE MILPO</t>
  </si>
  <si>
    <t>SAN FCO.DE ASIS DE YARUSYAC</t>
  </si>
  <si>
    <t>ASFALTO LÍQUIDO MC-30,ASFALTO LÍQUIDO MC-70,ASFALTO LÍQUIDO RC-250,CEMENTO ASFÁLTICO 120-150,CEMENTO ASFÁLTICO 40-50,CEMENTO ASFÁLTICO 60-70,CEMENTO ASFÁLTICO 85-100,DIESEL B5,Diesel B5 S-50</t>
  </si>
  <si>
    <t>OSCAR SOSA CABELLO</t>
  </si>
  <si>
    <t>149296-046-210220</t>
  </si>
  <si>
    <t>SERVICENTRO EL TRIANGULO DE ORO S.R.L.</t>
  </si>
  <si>
    <t>CARRETERA PANAMERICANA NORTE N° 1190</t>
  </si>
  <si>
    <t>EL ALTO</t>
  </si>
  <si>
    <t>RODRIGUEZ SANCHEZ YOJANA MARINA</t>
  </si>
  <si>
    <t>151312-046-180920</t>
  </si>
  <si>
    <t>SERVICENTRO HERMANOS RIOS S.A.C.</t>
  </si>
  <si>
    <t xml:space="preserve">AV. EL MAESTRO S/N </t>
  </si>
  <si>
    <t>SAN MARCOS</t>
  </si>
  <si>
    <t>JOSE SABOGAL</t>
  </si>
  <si>
    <t>JHONY RIOS CABANILLAS</t>
  </si>
  <si>
    <t>151517-046-011020</t>
  </si>
  <si>
    <t>SERVICENTRO PETROL J &amp; D S.A.C.</t>
  </si>
  <si>
    <t xml:space="preserve">CALLE MIGUEL GRAU N SN C.P EL ROSEDAL </t>
  </si>
  <si>
    <t>PARCONA</t>
  </si>
  <si>
    <t>JOHANA KRISTEL MISAICO GUERRA</t>
  </si>
  <si>
    <t>149297-046-210220</t>
  </si>
  <si>
    <t>ACUA DIESEL E.I.R.L</t>
  </si>
  <si>
    <t>MZ. A LOTE 01 C.C. SAN FRANCISCO DE LA BUENA ESPERANZA</t>
  </si>
  <si>
    <t>GUZMAN AMAYO ROBERTO</t>
  </si>
  <si>
    <t>151315-046-041020</t>
  </si>
  <si>
    <t>JV COMBUSTIBLES DEL NORTE E.I.R.L.</t>
  </si>
  <si>
    <t>URB. EL SOL DEL CHACARERO MZ. C LOTE 12</t>
  </si>
  <si>
    <t>WILFREDO JULIAN VARGAS</t>
  </si>
  <si>
    <t>143584-046-200519</t>
  </si>
  <si>
    <t>TRANSPORTES Y SERVICIOS OBEMAN S.A.C</t>
  </si>
  <si>
    <t>MZ. P LOTE 22 URB. LA MERCED</t>
  </si>
  <si>
    <t>SONIA MARIELA MANTILLA BLAS</t>
  </si>
  <si>
    <t>143583-046-200519</t>
  </si>
  <si>
    <t>HAMAR INVERSIONES S.A.C.</t>
  </si>
  <si>
    <t>MZ. E LOTE 14 URB. LA ARBOLEDA</t>
  </si>
  <si>
    <t xml:space="preserve">JANET VALDERRAMA CARBONEL </t>
  </si>
  <si>
    <t>143582-046-200519</t>
  </si>
  <si>
    <t>EMPRESA COMERCIALIZADORA DE PETROLEOS Y DERIVADOS VALADRI S.A.C.</t>
  </si>
  <si>
    <t>AV. AMERICA NORTE N° 1810</t>
  </si>
  <si>
    <t xml:space="preserve">LUIS ALBERTO MUNGUIA VASQUEZ </t>
  </si>
  <si>
    <t>143581-046-200519</t>
  </si>
  <si>
    <t>WINKEL E.I.R.L.</t>
  </si>
  <si>
    <t>MZ. D LOTE 4 URB. COVICORTI</t>
  </si>
  <si>
    <t>JORGE LUIS TORRES MUÑOZ</t>
  </si>
  <si>
    <t>143580-046-200519</t>
  </si>
  <si>
    <t>A &amp; C CONCHUCOS S.A.C.</t>
  </si>
  <si>
    <t>CALLE SANTA LUCIA MZ. R LOTE 8 URB. LA MERCED PISO 2</t>
  </si>
  <si>
    <t xml:space="preserve">FERNANDO APONTE OLIVO </t>
  </si>
  <si>
    <t>146414-046-080919</t>
  </si>
  <si>
    <t>ABE DIESEL PERU S.A.C.</t>
  </si>
  <si>
    <t>AV. RICARDO PALMA N° 803 URB. SANTO DOMINGUITO ET.3</t>
  </si>
  <si>
    <t>ELEUTERIO ENEMECIO ARAUJO BAYLON</t>
  </si>
  <si>
    <t>151143-046-101020</t>
  </si>
  <si>
    <t>JORGE LIZARDO ZUMAETA</t>
  </si>
  <si>
    <t>AV. JUAN PARDO DE MIGUEL N° 403</t>
  </si>
  <si>
    <t>RODRIGUEZ DE MENDOZA</t>
  </si>
  <si>
    <t>SAN NICOLAS</t>
  </si>
  <si>
    <t>143579-046-200519</t>
  </si>
  <si>
    <t>KARAJIA EJECUTORES Y CONSULTORES E.I.R.L.</t>
  </si>
  <si>
    <t>AV. AMERICA NORTE N° 1810 URB. LAS QUINTANAS</t>
  </si>
  <si>
    <t>JUAN FERNANDO HEREDIA BARBOZA</t>
  </si>
  <si>
    <t>143578-046-200519</t>
  </si>
  <si>
    <t>A&amp;M OPERADOR INTEGRAL S.A.C.</t>
  </si>
  <si>
    <t>AV. PERU N° 1550 URB. DANIEL HOYLE</t>
  </si>
  <si>
    <t>ASFALTO LÍQUIDO MC-30,ASFALTO LÍQUIDO MC-70,ASFALTO LÍQUIDO RC-250,ASFALTO SOLIDO,BREA,CEMENTO ASFÁLTICO 120-150,CEMENTO ASFÁLTICO 40-50,CEMENTO ASFÁLTICO 60-70,CEMENTO ASFÁLTICO 85-100,DIESEL B5,Diesel B5 S-50,PETRÓLEOS INDUSTRIALES</t>
  </si>
  <si>
    <t>CARLOS ARTURO ANTICONA MORALES</t>
  </si>
  <si>
    <t>143577-046-200519</t>
  </si>
  <si>
    <t>CONTRATISTAS ILLARIY MUSUX S.A.C.</t>
  </si>
  <si>
    <t>AV. PROLONGACION CESAR VALLEJO N° 1390 URB. RAZURI</t>
  </si>
  <si>
    <t>MERCY NEGREIROS PIZAN</t>
  </si>
  <si>
    <t>143372-046-200519</t>
  </si>
  <si>
    <t>SERVICIOS RY BRANDY E.I.R.L.</t>
  </si>
  <si>
    <t>JR. AYACUCHO N° 1206 INT. P-3, BARRIO COLMENA BAJA</t>
  </si>
  <si>
    <t>ROLANDO YUPANQUI ALIAGA</t>
  </si>
  <si>
    <t>151477-046-141020</t>
  </si>
  <si>
    <t>VIRGEN DEL ROSARIO NR &amp; S.A.C.</t>
  </si>
  <si>
    <t>CALLE JERUSALEN Nº 114</t>
  </si>
  <si>
    <t>DIESEL B5,Diesel B5 S-50,PETRÓLEO INDUSTRIAL Nº 4,PETRÓLEO INDUSTRIAL Nº 5,PETRÓLEO INDUSTRIAL Nº 500,PETRÓLEO INDUSTRIAL Nº 6</t>
  </si>
  <si>
    <t xml:space="preserve">LUIS ANTONIO YANQUI CONDORI </t>
  </si>
  <si>
    <t>143373-046-200519</t>
  </si>
  <si>
    <t>AGOMEZ S.A.C.</t>
  </si>
  <si>
    <t>JR. GUADALUPE N° 428 BAR. SAN SEBASTIAN</t>
  </si>
  <si>
    <t>ALDO GOMEZ CERNA</t>
  </si>
  <si>
    <t>143374-046-200519</t>
  </si>
  <si>
    <t>SERMAX INVERSIONES Y SERVICIOS E.I.R.L.</t>
  </si>
  <si>
    <t>JR. AYACUCHO N° 1204</t>
  </si>
  <si>
    <t>143375-046-200519</t>
  </si>
  <si>
    <t>MAULET LOGISTICS S.R.L..</t>
  </si>
  <si>
    <t>AV. AVIACION L-28 URB. QUINTA MERCEDES CAJAMARCA</t>
  </si>
  <si>
    <t>ARACELI HAYDEE FLORES MAMANI</t>
  </si>
  <si>
    <t>143574-046-200519</t>
  </si>
  <si>
    <t>INVERSIONES TMSI E.I.R.L.</t>
  </si>
  <si>
    <t>JR. LIZARZABURU N° 710 URB. LAS QUINTANAS</t>
  </si>
  <si>
    <t xml:space="preserve">TEONILA MAURA SANCHEZ IPARRAGUIRRE </t>
  </si>
  <si>
    <t>143368-046-200519</t>
  </si>
  <si>
    <t>LAS AGUILAS S.R.L</t>
  </si>
  <si>
    <t>JR MANCO CAPAC N° 139</t>
  </si>
  <si>
    <t>SANTOS HONORATO VASQUEZ RODRIGUEZ</t>
  </si>
  <si>
    <t>143575-046-180220</t>
  </si>
  <si>
    <t>DISTRIBUCIÓN Y TRANSPORTE DE COMBUSTIBLES DEL PERÚ S.A.C.</t>
  </si>
  <si>
    <t>AV. FEDERICO VILLAREAL MZ. 1A LOTE 1A URB. LA RINCONADA</t>
  </si>
  <si>
    <t>ELDER ALEXANDER HUAMANQUISPE ARTEAGA</t>
  </si>
  <si>
    <t>143369-046-200519</t>
  </si>
  <si>
    <t>CIA BRIWZACH S.A.C.</t>
  </si>
  <si>
    <t>MANZANA G LOTE 8 URBANIZACION LOS ROSALES</t>
  </si>
  <si>
    <t>WILDER IZQUIERDO CABANILLAS</t>
  </si>
  <si>
    <t>143370-046-200519</t>
  </si>
  <si>
    <t>ECORTA SERVICIOS GENERALES S.R.L.</t>
  </si>
  <si>
    <t xml:space="preserve">URB. CAMPO REAL MZA. J LOTE 32 </t>
  </si>
  <si>
    <t xml:space="preserve">ERNESTO CORTEZ TASILLA </t>
  </si>
  <si>
    <t>148553-046-170220</t>
  </si>
  <si>
    <t>BIOCOMBUSTIBLES H2O S.A.C.</t>
  </si>
  <si>
    <t>MZ. G-1, LOTE 34, 1RA. ETAPA ANGAMOS</t>
  </si>
  <si>
    <t>ASFALTO LÍQUIDO MC-30,ASFALTO LÍQUIDO MC-70,ASFALTO LÍQUIDO RC-250,ASFALTO LÍQUIDO RC-70,BREA,CEMENTO ASFÁLTICO 10-20,CEMENTO ASFÁLTICO 120-150,CEMENTO ASFÁLTICO 20-30,CEMENTO ASFÁLTICO 40-50,CEMENTO ASFÁLTICO 60-70,CEMENTO ASFÁLTICO 85-100,CGN SOLVENTE,DIESEL B5,Diesel B5 S-50,HEXANO,LUBRICANTES,PENTANO,PETRÓLEO INDUSTRIAL Nº 4,PETRÓLEO INDUSTRIAL Nº 5,PETRÓLEO INDUSTRIAL Nº 500,PETRÓLEO INDUSTRIAL Nº 6,SOLVENTE 1</t>
  </si>
  <si>
    <t>JUDITH VERONICA DOMINGUEZ CHARUN</t>
  </si>
  <si>
    <t>143576-046-190820</t>
  </si>
  <si>
    <t>ASFALTO Y DERIVADOS DEL ORIENTE S.R.L.</t>
  </si>
  <si>
    <t xml:space="preserve">CESAR IBAÑEZ RUIZ </t>
  </si>
  <si>
    <t>143371-046-200519</t>
  </si>
  <si>
    <t>G &amp; N TRANSPORTES S.A.</t>
  </si>
  <si>
    <t>JIRÓN ANGAMOS Nº 980 RESIDENCIAL BARRIO SAN JOSE (CRUCE CON CIRCUNVALACIÓN)</t>
  </si>
  <si>
    <t>GUILLERMO ROJAS HERNANDEZ</t>
  </si>
  <si>
    <t>146023-046-060919</t>
  </si>
  <si>
    <t>INVERSIONES GLARK S.R.L.</t>
  </si>
  <si>
    <t>CALLE SAN BENITO N° 377 - SAN ANDRES III ETAPA</t>
  </si>
  <si>
    <t>ELENA ENMA LEON VEJARANO</t>
  </si>
  <si>
    <t>143367-046-200519</t>
  </si>
  <si>
    <t>SERVICIOS GENERALES V &amp; R S.R.L.</t>
  </si>
  <si>
    <t>JR. JORGE CHAVEZ N° 328</t>
  </si>
  <si>
    <t xml:space="preserve">ARSEMIO VASQUEZ CORREA </t>
  </si>
  <si>
    <t>151475-046-021020</t>
  </si>
  <si>
    <t>QUIMICOS Y PRODUCCION S.C.R.L.</t>
  </si>
  <si>
    <t>MZ. E LOTE 09 ASOC. LOS NARANJITOS</t>
  </si>
  <si>
    <t>EDGARDO EUCLIDES BARRUETO GRIMALDO</t>
  </si>
  <si>
    <t>146178-046-020919</t>
  </si>
  <si>
    <t>DISTRIBUIDORA RETA PS S.A.C.</t>
  </si>
  <si>
    <t>AV. CIRCUNVALACION - AV. C. VALLEJO NRO. S/N URB. SAN JOSE</t>
  </si>
  <si>
    <t>TOMAS ALEJANDRO TALLEDO BENITES</t>
  </si>
  <si>
    <t>148707-046-170220</t>
  </si>
  <si>
    <t>M P INVERSIONES E.I.R.L.</t>
  </si>
  <si>
    <t>CALLE ANCON MZ. M, LOTE 07, APV 01 DE MAYO</t>
  </si>
  <si>
    <t>FELIX VICENTE MINAYA VALENCIA</t>
  </si>
  <si>
    <t>148705-046-160120</t>
  </si>
  <si>
    <t>SERVICIOS GENERALES JEAN PIERRE I S.A.C.</t>
  </si>
  <si>
    <t>MZ. L, LOTE 22, URB. SAN JUAN DE DIOS, 1RA. ETAPA</t>
  </si>
  <si>
    <t>PERCY WALTER DE LA CRUZ MOLINARI</t>
  </si>
  <si>
    <t>148706-046-170220</t>
  </si>
  <si>
    <t>APOYO LOGISTICO LM S.A.C.</t>
  </si>
  <si>
    <t>CALLE GROENIANDIA MZ.A, LOTE 29, URB. LA RINCONADA DE OQUENDO</t>
  </si>
  <si>
    <t>CALLAO</t>
  </si>
  <si>
    <t>143571-046-200519</t>
  </si>
  <si>
    <t>SERVICIOS GENERALES TRANSMARR S.A.C.</t>
  </si>
  <si>
    <t>CHRISTIAN EDUARDO ROJAS CASTAÑEDA</t>
  </si>
  <si>
    <t>143570-046-200519</t>
  </si>
  <si>
    <t>PIURAMAQ S.R.L.</t>
  </si>
  <si>
    <t>AV. AMERICA NORTE N° 1810-1850 URB. LAS QUINTANAS</t>
  </si>
  <si>
    <t>ANDRES ANTENOR LEON OSORES</t>
  </si>
  <si>
    <t>143573-046-200519</t>
  </si>
  <si>
    <t>OPERADOR LOGISTICO LIBERTAD E.I.R.L.</t>
  </si>
  <si>
    <t>JR. LAS FABRICAS MZ. P LT. 10-3, URB. SEMIRUSTICA EL BOSQUE</t>
  </si>
  <si>
    <t>MILLER ORLANDO VEGA CORDOVA</t>
  </si>
  <si>
    <t>143572-046-200519</t>
  </si>
  <si>
    <t>TRANSPORTES E HIDROCARBUROS ICHIRO E.I.R.L.</t>
  </si>
  <si>
    <t>AV. NICOLAS DE PIEROLA 1229</t>
  </si>
  <si>
    <t>WILLIAM HERNANDEZ COLLAZOS</t>
  </si>
  <si>
    <t>143567-046-200519</t>
  </si>
  <si>
    <t>SEOING E.I.R.L.</t>
  </si>
  <si>
    <t>TUPAC YUPANQUI Nº 671 URB. SANTA MARIA</t>
  </si>
  <si>
    <t>ASFALTO LÍQUIDO MC-30,ASFALTO LÍQUIDO RC-250,CEMENTO ASFÁLTICO,PETRÓLEO INDUSTRIAL Nº 500,PETRÓLEO INDUSTRIAL Nº 6</t>
  </si>
  <si>
    <t>SERGIO ESTRADA OBLEA</t>
  </si>
  <si>
    <t>149293-046-280220</t>
  </si>
  <si>
    <t>CONSTRUCTORA CHARKEV S.A.C.</t>
  </si>
  <si>
    <t>JR. INDEPENDENCIA N° 431-INT. 304</t>
  </si>
  <si>
    <t>FELIX ELADIO GRADOS SALAZAR</t>
  </si>
  <si>
    <t>143376-046-200519</t>
  </si>
  <si>
    <t>SERVICIOS GENERALES HERMANOS A &amp; M -CHR S.R.L.</t>
  </si>
  <si>
    <t>JR. AYACUCHO N° 159 BARRIO SAN SEBASTIAN</t>
  </si>
  <si>
    <t>AGUSTIN CHUNQUI REQUELME</t>
  </si>
  <si>
    <t>143569-046-200519</t>
  </si>
  <si>
    <t>IBEROQUÍMICOS S.A.C.</t>
  </si>
  <si>
    <t>ESQUINA PROLONGACIÓN VALLEJO Y PROLONGACIÓN VILLAREAL N° 1601</t>
  </si>
  <si>
    <t>CGN SOLVENTE,Diesel B5 S-50</t>
  </si>
  <si>
    <t>ISABEL SOBRINO CUERVO</t>
  </si>
  <si>
    <t>143568-046-200519</t>
  </si>
  <si>
    <t>CORPORACION FRANKLIN S,A.C.</t>
  </si>
  <si>
    <t>psje. JUAN BOTO BERNAL MZ. G LT 15 URB. GRAN CHIMU</t>
  </si>
  <si>
    <t>BRICEÑO SEGURA, SEGUNDO MAURO</t>
  </si>
  <si>
    <t>151690-046-191020</t>
  </si>
  <si>
    <t>A &amp; M TRANSPORTES S.R.L.</t>
  </si>
  <si>
    <t>AVENIDA PERU #1550 URB. DANIEL HOYLE</t>
  </si>
  <si>
    <t>149318-046-280220</t>
  </si>
  <si>
    <t xml:space="preserve">SERVICIOS GENERALES MC &amp; VILY S.A.C. </t>
  </si>
  <si>
    <t>AV. PROGRESO MZ E-1, LOTE N° 2 - AA.HH. SANTA BARBARA</t>
  </si>
  <si>
    <t>CAYLLOMA</t>
  </si>
  <si>
    <t>CALLALLI</t>
  </si>
  <si>
    <t xml:space="preserve">ANGEL VILCAHUAMAN PUMA </t>
  </si>
  <si>
    <t>143360-046-200519</t>
  </si>
  <si>
    <t>CONSORCIO DE SERVICIOS MINEROS CAJAMARCA S.A.C.</t>
  </si>
  <si>
    <t>JR. MAX UHLE N° 175, URB. SAN LUIS</t>
  </si>
  <si>
    <t>JOSE IVAN ARANA VIGO</t>
  </si>
  <si>
    <t>143359-046-200519</t>
  </si>
  <si>
    <t>CARRANZA INGENIEROS MINERIA &amp; CONSTRUCCIÓN S.A.</t>
  </si>
  <si>
    <t>JR. HUALGAYOC N° 122 BARRIO SAN JOSE</t>
  </si>
  <si>
    <t>JUVENAL AMILCAR CARRANZA MERCEDES</t>
  </si>
  <si>
    <t>150588-046-290820</t>
  </si>
  <si>
    <t>HIDROCARBUROS DEL MUNDO S.A.C.</t>
  </si>
  <si>
    <t>AV. BENAVIDES N° 620 INT. 703</t>
  </si>
  <si>
    <t>SERGIO AUGUSTO MATOS SIFUENTES</t>
  </si>
  <si>
    <t>143358-046-200519</t>
  </si>
  <si>
    <t>GEOTECNIA S.R.L.</t>
  </si>
  <si>
    <t>JR. CINCO ESQUINAS Nº 1195</t>
  </si>
  <si>
    <t>WALTER DIAZ TACILLA</t>
  </si>
  <si>
    <t>143357-046-200519</t>
  </si>
  <si>
    <t>TRANSPORTES ESPINOZA SERVICIOS GENERALES S.R.L.</t>
  </si>
  <si>
    <t xml:space="preserve">JR. EDUARDO RODRIGUEZ N° 168-172 </t>
  </si>
  <si>
    <t>SIMON FORTUNATO ESPINOZA CASTILLO</t>
  </si>
  <si>
    <t>146423-046-100919</t>
  </si>
  <si>
    <t>CORPORACION LEOPAT E.I.R.L.</t>
  </si>
  <si>
    <t>AV. CUSCO NRO. S/N BARRIO LA FLORIDA</t>
  </si>
  <si>
    <t>CARABAYA</t>
  </si>
  <si>
    <t>CORANI</t>
  </si>
  <si>
    <t xml:space="preserve">LEONIDAS PATATINGO MAMANI </t>
  </si>
  <si>
    <t>143364-046-200519</t>
  </si>
  <si>
    <t>GILGAL E.I.R.L</t>
  </si>
  <si>
    <t xml:space="preserve">JR. LOS NOGALES Nº 129 URB. EL INGENIO </t>
  </si>
  <si>
    <t>ANABARY MARIA MENDOZA RONCAL</t>
  </si>
  <si>
    <t>143363-046-200519</t>
  </si>
  <si>
    <t>SERVICIOS GENERALES RUMAY E.I.R.L.</t>
  </si>
  <si>
    <t>JR. MISION JAPONESA Nº 350</t>
  </si>
  <si>
    <t>JOSE FLAMINIO RUMAY SILVA</t>
  </si>
  <si>
    <t>143362-046-200519</t>
  </si>
  <si>
    <t xml:space="preserve">TRANSPORTES RODRIGUEZ &amp; RODRIGUEZ S.R.L. </t>
  </si>
  <si>
    <t>AV. PERU N° 407 - 409, BARRIO CUMBE MAYO</t>
  </si>
  <si>
    <t>FRANCILES RODRIGUEZ ALVARADO</t>
  </si>
  <si>
    <t>143361-046-200519</t>
  </si>
  <si>
    <t>M&amp;H SERVICIOS GENERALES S.R.L.</t>
  </si>
  <si>
    <t>MANCO CAPAC 135</t>
  </si>
  <si>
    <t>143365-046-200519</t>
  </si>
  <si>
    <t>MALAVER SALAZAR ASOCIADOS S.A.C</t>
  </si>
  <si>
    <t>AV. VIA DE EVITAMIENTO NORTE N° 1116</t>
  </si>
  <si>
    <t>KATHYA EVELIN DEL PILAR MALAVER SALAZAR</t>
  </si>
  <si>
    <t>143366-046-200519</t>
  </si>
  <si>
    <t>F&amp;M MAQUINARIAS E.I.R.L.</t>
  </si>
  <si>
    <t>MZ. B LOTE 1 SAN ROQUE VIA DE EVITAMIENTO NORTE Nº 2242</t>
  </si>
  <si>
    <t>FLORENCIO CALDERON LOPEZ</t>
  </si>
  <si>
    <t>149308-046-250220</t>
  </si>
  <si>
    <t>LATINO TRANSPORT S.A.C.</t>
  </si>
  <si>
    <t>CALLE 31 MZA. C-6 LOTE 13 A.V. RESIDENCIAL SANTA ANITA</t>
  </si>
  <si>
    <t>ANGEL RAUL GOMEZ FLORES</t>
  </si>
  <si>
    <t>149307-046-240220</t>
  </si>
  <si>
    <t>INVERSIONES ENERGETICAS MINEROLOGIA Y COMBUSTIBLES SAN FERMIN E.I.R.L.-INVEMCOM-SAN FERMIN E.I.R.L.</t>
  </si>
  <si>
    <t>MZ F LOTE 10 URB EDWIN VASQUEZ CAM</t>
  </si>
  <si>
    <t>PERCY ANTONY MORALES CHINGAY</t>
  </si>
  <si>
    <t>149312-046-280220</t>
  </si>
  <si>
    <t>ESTACION DE SERVICIOS HUAURA SOCIEDAD ANONIMA CERRADA</t>
  </si>
  <si>
    <t>AV. UNIVERSITARIA CDRA. 51 ESQ. A.</t>
  </si>
  <si>
    <t>DIONISIO FELICIANO AZAÑERO SALCEDO</t>
  </si>
  <si>
    <t>149311-046-280220</t>
  </si>
  <si>
    <t>ESTACION DE SERVICIOS LOS OLIVOS SOCIEDAD ANONIMA CERRADA</t>
  </si>
  <si>
    <t xml:space="preserve">AV. UNIVERSITARIA CDRA. 51 ESQUINA CON CALLE A </t>
  </si>
  <si>
    <t>149314-046-120320</t>
  </si>
  <si>
    <t>LA PONDEROSA ENVIRONMENTAL HYDROCARBON &amp; SCIENCE COMPANY S.A.C.</t>
  </si>
  <si>
    <t>CALLE ISLAS CANARIAS NRO. 141</t>
  </si>
  <si>
    <t>PUEBLO LIBRE</t>
  </si>
  <si>
    <t>MARCO ANTONIO VASQUEZ FLORES</t>
  </si>
  <si>
    <t>149313-046-280220</t>
  </si>
  <si>
    <t>ESTACION DE SERVICIOS ANDAHUASI SOCIEDAD ANONIMA CERRADA</t>
  </si>
  <si>
    <t xml:space="preserve">AV. UNIVERSITARIA CDRA. N° 51 ESQUINA CON CALLE A </t>
  </si>
  <si>
    <t>145967-046-240919</t>
  </si>
  <si>
    <t>INVERSIONES SAN CRISTOBAL S.A.C.</t>
  </si>
  <si>
    <t>PANAMERICANA NORTE KM. 569, SECTOR PARTE ALTA, EL MILAGRO</t>
  </si>
  <si>
    <t>HUANCHACO</t>
  </si>
  <si>
    <t>ASFALTO LÍQUIDO MC-30,ASFALTO LÍQUIDO MC-70,ASFALTO LÍQUIDO RC-250,ASFALTO LÍQUIDO RC-70,BREA,Diesel B5 S-50,PETRÓLEO INDUSTRIAL Nº 4,PETRÓLEO INDUSTRIAL Nº 5,PETRÓLEO INDUSTRIAL Nº 500,PETRÓLEO INDUSTRIAL Nº 6</t>
  </si>
  <si>
    <t>EDUARDO SIFUENTES DIAZ</t>
  </si>
  <si>
    <t>143347-046-200519</t>
  </si>
  <si>
    <t xml:space="preserve">JUSTINIANO LOZANO RODRIGUEZ </t>
  </si>
  <si>
    <t>CALLE 11 DE FEBRERO N° 149, BARRIO LA MERCED</t>
  </si>
  <si>
    <t>143349-046-200519</t>
  </si>
  <si>
    <t>LUZ MARIVEL COBA VASQUEZ</t>
  </si>
  <si>
    <t>JR. LAS ORQUIDEAS 385 - URB. EL AMAUTA</t>
  </si>
  <si>
    <t>143348-046-200519</t>
  </si>
  <si>
    <t>ALBERTO HERRERA CASTREJON</t>
  </si>
  <si>
    <t>JR. LAS CAMELIAS Nº 196 - URB. EL JARDIN</t>
  </si>
  <si>
    <t>NILTON HERNANDEZ VASQUEZ</t>
  </si>
  <si>
    <t>143351-046-200519</t>
  </si>
  <si>
    <t>PASAJE LAS CAMELLAS 182</t>
  </si>
  <si>
    <t>HERNANDEZ VASQUEZ, NILTON</t>
  </si>
  <si>
    <t>143350-046-200519</t>
  </si>
  <si>
    <t>ORFELINA MILAGROS BAZAN SALAS</t>
  </si>
  <si>
    <t>JR. ALFONSO LA TORRE MZ. P LOTE 11A URB. HORACIO ZEVALLOS</t>
  </si>
  <si>
    <t>151258-046-190920</t>
  </si>
  <si>
    <t>GARCIA RODRIGUEZ AUGUSTO FRANCOIS</t>
  </si>
  <si>
    <t>RESIDENCIAL MONTEVERDE L-12</t>
  </si>
  <si>
    <t>CASTILLA</t>
  </si>
  <si>
    <t>ASFALTO LÍQUIDO MC-30,ASFALTO LÍQUIDO RC-250,BREA,CEMENTO ASFÁLTICO 60-70,CGN SOLVENTE,Diesel B5 S-50,LUBRICANTES,PETRÓLEO INDUSTRIAL Nº 500,PETRÓLEO INDUSTRIAL Nº 6,SOLVENTE 1,SOLVENTE 3</t>
  </si>
  <si>
    <t>143353-046-200519</t>
  </si>
  <si>
    <t>QUIROZ ROJAS HNOS. CONTRATISTAS GENERALES S.R.L.</t>
  </si>
  <si>
    <t>AV. HOYOS RUBIO MZA. C LOTE 14 INT. A LOT. COLUMBO (PISO 2)</t>
  </si>
  <si>
    <t>BLANCA ROSA QUIROZ ROJAS</t>
  </si>
  <si>
    <t>143352-046-200519</t>
  </si>
  <si>
    <t>TOLMOS ESPINOZA GARCIA S.R.L</t>
  </si>
  <si>
    <t>CARRETERA A OTUZCO MZ. A, LOTIZACION COLUMBO, COMITÉ PRO-OBRA SANTA ROSA DEL CARMEN</t>
  </si>
  <si>
    <t>HECTOR MANUEL GARCIA BARRANTES</t>
  </si>
  <si>
    <t>143354-046-200519</t>
  </si>
  <si>
    <t>SERVICIOS Y REPRESENTACIONES SIGUENZA S.R.L.</t>
  </si>
  <si>
    <t xml:space="preserve">JR. SANTA ROSA N° 305 </t>
  </si>
  <si>
    <t>CARLOS ELOY SIGUENZA ALVAREZ</t>
  </si>
  <si>
    <t>143632-046-200519</t>
  </si>
  <si>
    <t>INVERSIONES Y NEGOCIOS BEATRIZ S.A.C.</t>
  </si>
  <si>
    <t>CALLE DOS DE MAYO N° 580</t>
  </si>
  <si>
    <t>SAN JOSE</t>
  </si>
  <si>
    <t>JULIO PUESCAS FIESTAS</t>
  </si>
  <si>
    <t>143633-046-200519</t>
  </si>
  <si>
    <t>RONDON ROJAS, MIGUEL GRIMALDO</t>
  </si>
  <si>
    <t>CALLE ANDRES DE LOS REYES Nº 290</t>
  </si>
  <si>
    <t>BARRANCA</t>
  </si>
  <si>
    <t>143355-046-200519</t>
  </si>
  <si>
    <t>ANGELES MINERIA Y CONSTRUCCIÓN S.A.C.</t>
  </si>
  <si>
    <t>JIRON SUCRE Nº 479 - LA FLORIDA</t>
  </si>
  <si>
    <t>143356-046-200519</t>
  </si>
  <si>
    <t>TRANSPORTES ACUARIO S.A.C</t>
  </si>
  <si>
    <t>KM 2 CARRETERA A LA COSTA SECTOR AYLAMBO</t>
  </si>
  <si>
    <t>LUIS CABANILLAS CHILON</t>
  </si>
  <si>
    <t>143634-046-200519</t>
  </si>
  <si>
    <t>EMPRESA DE TRANSPORTE DE CARGA Y PASAJEROS TURISMO CHASQUI S.A.</t>
  </si>
  <si>
    <t>JR. CASTILLA 346</t>
  </si>
  <si>
    <t>IGNACIO RIVERA SALAZAR</t>
  </si>
  <si>
    <t>143635-046-200519</t>
  </si>
  <si>
    <t>JUAN JESUS ARRESTEGUI PAJUELO</t>
  </si>
  <si>
    <t>URB. 7 DE JUNIO MZ. F LT. 32</t>
  </si>
  <si>
    <t>PARAMONGA</t>
  </si>
  <si>
    <t>ARRESTEGUI PAJUELO, JUAN JESUS</t>
  </si>
  <si>
    <t>143636-046-090719</t>
  </si>
  <si>
    <t>ESTACION DE SERVICIOS SAN JOSE S.A.C.</t>
  </si>
  <si>
    <t>AV. GRAU N° 1602</t>
  </si>
  <si>
    <t>GUNTER MARTIN CASTILLO GALLO</t>
  </si>
  <si>
    <t>143627-046-200519</t>
  </si>
  <si>
    <t>GRIFO OLMOS S.A.C.</t>
  </si>
  <si>
    <t>MZA. A LOTE 01 - URBANIZACIÓN LA ESTACIÓN</t>
  </si>
  <si>
    <t>PIMENTEL</t>
  </si>
  <si>
    <t>JUAN CARLOS CHECA PIZARRO</t>
  </si>
  <si>
    <t>143628-046-200519</t>
  </si>
  <si>
    <t>TRANSPORTES LUISINS S.A.C</t>
  </si>
  <si>
    <t xml:space="preserve">PJ. CANTON - PIMENTEL N° 201 </t>
  </si>
  <si>
    <t>IDROGO RUBIO LUIS</t>
  </si>
  <si>
    <t>143629-046-200519</t>
  </si>
  <si>
    <t>TRANSPORTES M. CATALAN S.A.C.</t>
  </si>
  <si>
    <t>MZ A LOTE 1 - URB VILLA EL SOL.</t>
  </si>
  <si>
    <t>REQUE</t>
  </si>
  <si>
    <t>MIGUEL ANGEL CATALAN SAAVEDRA</t>
  </si>
  <si>
    <t>143630-046-200519</t>
  </si>
  <si>
    <t>TRANSPORTES JESUS MARIA DEL MILAGRO E.I.R.L.</t>
  </si>
  <si>
    <t>AV. BATANGRANDE NRO. 398</t>
  </si>
  <si>
    <t>FERREÑAFE</t>
  </si>
  <si>
    <t>ASENJO SANTA CRUZ, CARLOS ENRIQUE MARTIN</t>
  </si>
  <si>
    <t>143631-046-200519</t>
  </si>
  <si>
    <t>ALAN CESAR VALDERA VENTURA</t>
  </si>
  <si>
    <t>AA.HH. VICTOR RAUL HAYA DE LA TORRE E - 13</t>
  </si>
  <si>
    <t>151553-046-280920</t>
  </si>
  <si>
    <t>HUAMANI ROMAN RAUL</t>
  </si>
  <si>
    <t>URB. CASUARINAS 5TA ETAPA N° 17</t>
  </si>
  <si>
    <t>ASFALTO LÍQUIDO MC-30,ASFALTO LÍQUIDO MC-70,ASFALTO LÍQUIDO RC-250,BREA,CEMENTO ASFÁLTICO 120-150,CEMENTO ASFÁLTICO 40-50,CEMENTO ASFÁLTICO 60-70,CEMENTO ASFÁLTICO 85-100,Diesel B5 S-50,LUBRICANTES,PETRÓLEO INDUSTRIAL Nº 5,PETRÓLEO INDUSTRIAL Nº 500,PETRÓLEO INDUSTRIAL Nº 6</t>
  </si>
  <si>
    <t xml:space="preserve">RAUL HUAMANI ROMAN </t>
  </si>
  <si>
    <t>145087-046-120819</t>
  </si>
  <si>
    <t>VELGAS PETROLEUM SOCIEDAD ANONIMA CERRADA-VELGAS PETROLEUM S.A.C.</t>
  </si>
  <si>
    <t>MZA. F1 LOTE. 32 ASC. PORTALES DE CHILLON</t>
  </si>
  <si>
    <t>ASFALTO LÍQUIDO MC-30,ASFALTO LÍQUIDO RC-250,DIESEL B5,Diesel B5 S-50,PETRÓLEO INDUSTRIAL Nº 5,PETRÓLEO INDUSTRIAL Nº 500,PETRÓLEO INDUSTRIAL Nº 6,SOLVENTE 1,SOLVENTE 3</t>
  </si>
  <si>
    <t>NONOY MAGALI VELASQUEZ CANALES</t>
  </si>
  <si>
    <t>145298-046-240719</t>
  </si>
  <si>
    <t>CONROE TRUCKS E.I.R.L.</t>
  </si>
  <si>
    <t>URB.IV CENTENARIO AV. JORGE CHAVEZ 526</t>
  </si>
  <si>
    <t>WALTER FREDDY CONROE CARI</t>
  </si>
  <si>
    <t>151554-046-280920</t>
  </si>
  <si>
    <t>ESTACION DE SERVICIOS VELARDE S.R.L. - ESTACION VELARDE S.R.L.</t>
  </si>
  <si>
    <t xml:space="preserve">CALLE MARGARITAS 308 URB. SAN ISIDRO </t>
  </si>
  <si>
    <t>ASFALTO LÍQUIDO MC-30,ASFALTO LÍQUIDO MC-70,ASFALTO LÍQUIDO RC-250,ASFALTO LÍQUIDO RC-70,CEMENTO ASFÁLTICO 10-20,CEMENTO ASFÁLTICO 120-150,CEMENTO ASFÁLTICO 20-30,CEMENTO ASFÁLTICO 40-50,CEMENTO ASFÁLTICO 60-70,CEMENTO ASFÁLTICO 85-100,DIESEL B5,Diesel B5 S-50,PETRÓLEO INDUSTRIAL Nº 4,PETRÓLEO INDUSTRIAL Nº 5,PETRÓLEO INDUSTRIAL Nº 500,PETRÓLEO INDUSTRIAL Nº 6</t>
  </si>
  <si>
    <t>LUIS ALEXIS VELARDE RIOS</t>
  </si>
  <si>
    <t>143342-046-200519</t>
  </si>
  <si>
    <t>SERVICIOS MULTIPLES GRUPO CALLALLI S.A.C</t>
  </si>
  <si>
    <t>AV. PROGRESO MZ. E-1, LOTE N° 2. AA.HH. SANTA BÁRBARA</t>
  </si>
  <si>
    <t>ANGEL VILCAHUAMAN PUMA</t>
  </si>
  <si>
    <t>143341-046-200519</t>
  </si>
  <si>
    <t>EMPRESA DE TRANSPORTES JEREDY E.I.R.L.</t>
  </si>
  <si>
    <t>AV. TINTAYMARCA NRO. S/N URB. VISTA ALEGRE</t>
  </si>
  <si>
    <t>ORCOPAMPA</t>
  </si>
  <si>
    <t>SEBASTIAN HUAYLLA MARTA</t>
  </si>
  <si>
    <t>143340-046-200519</t>
  </si>
  <si>
    <t>TRANSPORTES MAP TOÑITO E.I.R.L.</t>
  </si>
  <si>
    <t>AV 19 DE DICIEMBRE S/N MZ 34 LOTE 5-A AH-IMPERIAL LA AGUADITA</t>
  </si>
  <si>
    <t>CARAVELI</t>
  </si>
  <si>
    <t>CHALA</t>
  </si>
  <si>
    <t>MARIO ANTONIO POMA PACHECO</t>
  </si>
  <si>
    <t>143339-046-200519</t>
  </si>
  <si>
    <t>MULTICOMERCIALIZADORA APOSTOL SANTIAGO E.I.R.L.</t>
  </si>
  <si>
    <t>AV. AREQUIPA N° 462</t>
  </si>
  <si>
    <t>ATICO</t>
  </si>
  <si>
    <t>GUARDIA MARQUEZ, CLETO JOSE</t>
  </si>
  <si>
    <t>143338-046-200519</t>
  </si>
  <si>
    <t>LIGURIA I S.R.L.</t>
  </si>
  <si>
    <t>AV. SAMUEL PASTOR N 1516, ANEXO HUARANGAL</t>
  </si>
  <si>
    <t>CAMANA</t>
  </si>
  <si>
    <t>SAMUEL PASTOR</t>
  </si>
  <si>
    <t>GORRITI DRAGO, ANDRES ALBERTO GUSTAVO</t>
  </si>
  <si>
    <t>143337-046-200519</t>
  </si>
  <si>
    <t>MARITZA MERCEDES CRUCES NARAZA</t>
  </si>
  <si>
    <t>AV. PRINCIPAL S/N, SAN MARTIN</t>
  </si>
  <si>
    <t>MARIANO NICOLAS VALCARCEL</t>
  </si>
  <si>
    <t>150949-046-070920</t>
  </si>
  <si>
    <t>EMPRESA DE TRANSPORTES FABRIL SOCIEDAD ANONIMA CERRADA - E.T. FABRIL S.A.C.</t>
  </si>
  <si>
    <t>CALLE 24 MZ E LOTE 23 ASOC. LOS CHASQUIS 3RA ETAPA</t>
  </si>
  <si>
    <t>HUGO TEOFILO BERTO INGA</t>
  </si>
  <si>
    <t>143625-046-200519</t>
  </si>
  <si>
    <t>CONALVIAS CONSTRUCCIONES S.A.S SUCURSAL PERU</t>
  </si>
  <si>
    <t>LOTE MARIA ISIDORA N° MZ. A LOTE 05 CPEM - CALLANCA</t>
  </si>
  <si>
    <t>MONSEFU</t>
  </si>
  <si>
    <t>ANDRES ARAY JIMENEZ</t>
  </si>
  <si>
    <t>143626-046-200519</t>
  </si>
  <si>
    <t>TRANSPORTES GIANCARLO JEFFREY S.A.C.</t>
  </si>
  <si>
    <t>CALLE MIGUEL GRAU 708</t>
  </si>
  <si>
    <t>PICSI</t>
  </si>
  <si>
    <t>ASENJO ALVARADO, GIANCARLO JEFFREY</t>
  </si>
  <si>
    <t>143623-046-200519</t>
  </si>
  <si>
    <t>MARCO ANTONIO MONTENEGRO TANG</t>
  </si>
  <si>
    <t>AV. PANAMERICANA NRO S/N CENTRO MOCUPE NUEVO</t>
  </si>
  <si>
    <t>LAGUNAS</t>
  </si>
  <si>
    <t>DIESEL B5,Diesel B5 S-50,SOLVENTES</t>
  </si>
  <si>
    <t>MONTENEGRO TANG MARCO ANTONIO</t>
  </si>
  <si>
    <t>143345-046-200519</t>
  </si>
  <si>
    <t>JORGE POMPEYO BELLIDO VILCHEZ</t>
  </si>
  <si>
    <t>JR. EL SOL NRO. 423</t>
  </si>
  <si>
    <t>HUAMANGA</t>
  </si>
  <si>
    <t>143346-046-200519</t>
  </si>
  <si>
    <t>SONIA MENDOZA QUISPE</t>
  </si>
  <si>
    <t>JR. LAS MERCEDEZ Nº139 - AV. AMANCAES</t>
  </si>
  <si>
    <t>143624-046-200519</t>
  </si>
  <si>
    <t>NEGOCIOS MARYU E.I.R.L.</t>
  </si>
  <si>
    <t>CALLE TARAPACA Nº 217</t>
  </si>
  <si>
    <t>MARIA CONSUELO MECHAN GONZALES</t>
  </si>
  <si>
    <t>143621-046-200519</t>
  </si>
  <si>
    <t>DIXOC QUIMIC E.I.R.L.</t>
  </si>
  <si>
    <t>AV. ANTENOR ORREGO NRO. 1541</t>
  </si>
  <si>
    <t>LA VICTORIA</t>
  </si>
  <si>
    <t>ENRIQUE REYES JARA</t>
  </si>
  <si>
    <t>143343-046-200519</t>
  </si>
  <si>
    <t xml:space="preserve">JUAN RICARDO RAMOS LLICA </t>
  </si>
  <si>
    <t>AV. AREQUIPA MZ C, LOTE 01-EL PEDREGAL</t>
  </si>
  <si>
    <t>MAJES</t>
  </si>
  <si>
    <t>143622-046-270819</t>
  </si>
  <si>
    <t>ESTACION DE SERVICIOS SABA E.I.R.L.</t>
  </si>
  <si>
    <t>MZA. M LT 17 A.H. LA FLORIDA DE SECHURA</t>
  </si>
  <si>
    <t>SECHURA</t>
  </si>
  <si>
    <t>ASFALTO LÍQUIDO MC-30,ASFALTO LÍQUIDO RC-250,BREA,CEMENTO ASFÁLTICO 60-70,DIESEL B5,Diesel B5 S-50,LUBRICANTES,PETRÓLEO INDUSTRIAL Nº 500,PETRÓLEO INDUSTRIAL Nº 6</t>
  </si>
  <si>
    <t>JOSE OSWALDO SABA LORO</t>
  </si>
  <si>
    <t>143344-046-200519</t>
  </si>
  <si>
    <t>INVERSIONES GRINALIZ PERU S.A.C.</t>
  </si>
  <si>
    <t>COMUNIDAD DE PARIAHUANCA S/N. - LOS MOROCHUCOS</t>
  </si>
  <si>
    <t>CANGALLO</t>
  </si>
  <si>
    <t>LOS MOROCHUCOS</t>
  </si>
  <si>
    <t>HUGO HECTOR GOMEZ PRADO</t>
  </si>
  <si>
    <t>143619-046-200519</t>
  </si>
  <si>
    <t>SERVICIOS DE TRANSPORTES Y CARGA B &amp; G E.I.R.L.</t>
  </si>
  <si>
    <t>AV. LOS INCAS N° 270</t>
  </si>
  <si>
    <t>MERINO AURICH, JUAN EDMUNDO</t>
  </si>
  <si>
    <t>143620-046-030719</t>
  </si>
  <si>
    <t>T &amp; C S.A.C.</t>
  </si>
  <si>
    <t>MZ 28 LOTE 02 PJ CHOSICA DEL NORTE</t>
  </si>
  <si>
    <t>ASFALTO LÍQUIDO MC-30,ASFALTO LÍQUIDO MC-70,ASFALTO LÍQUIDO RC-250,ASFALTO LÍQUIDO RC-70,DIESEL B5,Diesel B5 S-50,LUBRICANTES,PETRÓLEO INDUSTRIAL Nº 4,PETRÓLEO INDUSTRIAL Nº 5,PETRÓLEO INDUSTRIAL Nº 500,PETRÓLEO INDUSTRIAL Nº 6,SOLVENTE 1,SOLVENTE 3</t>
  </si>
  <si>
    <t>TARRILLO CORONEL MESIAS</t>
  </si>
  <si>
    <t>143617-046-200519</t>
  </si>
  <si>
    <t>SECURGRAMA S.R.L.</t>
  </si>
  <si>
    <t>ROJAS TARRILLO NELSON ALAMIRO</t>
  </si>
  <si>
    <t>143618-046-200519</t>
  </si>
  <si>
    <t>EMPRESA CONSTRUCTORA ALTO MAYO E.I.R.L.</t>
  </si>
  <si>
    <t>ROJAS RAFAEL ADRIANO</t>
  </si>
  <si>
    <t>149330-046-240220</t>
  </si>
  <si>
    <t>INVERSIONES CORIWAYA SOCIEDAD ANONIMA CERRADA</t>
  </si>
  <si>
    <t xml:space="preserve">AV. COPACABANA NRO. 105, BAR. MIRAFLORES </t>
  </si>
  <si>
    <t>MACUSANI</t>
  </si>
  <si>
    <t xml:space="preserve">CARLOS OLEGARIO LUQUE QUISPE </t>
  </si>
  <si>
    <t>151704-046-071020</t>
  </si>
  <si>
    <t>FERRUZO FERNANDEZ EUCLIDES DAVID</t>
  </si>
  <si>
    <t xml:space="preserve">JR ANTISUYO S/N MZ 50 LOTE 9 </t>
  </si>
  <si>
    <t>CHAUPIMARCA</t>
  </si>
  <si>
    <t>ASFALTO LÍQUIDO MC-30,ASFALTO LÍQUIDO MC-70,ASFALTO LÍQUIDO RC-250,BREA,CEMENTO ASFÁLTICO 120-150,CEMENTO ASFÁLTICO 40-50,CEMENTO ASFÁLTICO 60-70,CEMENTO ASFÁLTICO 85-100,DIESEL B5,Diesel B5 S-50,LUBRICANTES,PETRÓLEO INDUSTRIAL Nº 4,PETRÓLEO INDUSTRIAL Nº 5,PETRÓLEO INDUSTRIAL Nº 500,PETRÓLEO INDUSTRIAL Nº 6</t>
  </si>
  <si>
    <t>145980-046-180819</t>
  </si>
  <si>
    <t>INVERSIONES PERU COMBUSTIBLES S.A.</t>
  </si>
  <si>
    <t>AV. ABELARDO QUIÑONES N°1780</t>
  </si>
  <si>
    <t>CARRANZA ANGULO ANTEMIO</t>
  </si>
  <si>
    <t>150960-046-040920</t>
  </si>
  <si>
    <t>INVERSIONES D.C.U. SAC</t>
  </si>
  <si>
    <t>MZ. B LOTE 7 A.H. CANGALLO</t>
  </si>
  <si>
    <t>SAN JUAN DE LURIGANCHO</t>
  </si>
  <si>
    <t>DANTE CABEZAS UNTIVEROS</t>
  </si>
  <si>
    <t>145981-046-190819</t>
  </si>
  <si>
    <t>INVERSIONES PERU LUBRICANTES SAC</t>
  </si>
  <si>
    <t>ANTEMIO CARRANZA ANGULO</t>
  </si>
  <si>
    <t>151698-046-151020</t>
  </si>
  <si>
    <t>AMALOP OIL S.A.C.</t>
  </si>
  <si>
    <t>URB. SANTA ROSA DE LIMA II, MZ X LOTE 8</t>
  </si>
  <si>
    <t>ASFALTO LÍQUIDO MC-30,ASFALTO LÍQUIDO MC-70,ASFALTO LÍQUIDO RC-250,ASFALTO LÍQUIDO RC-70,BREA,DIESEL B5,Diesel B5 S-50,LUBRICANTES,PETRÓLEO INDUSTRIAL Nº 500,PETRÓLEO INDUSTRIAL Nº 6</t>
  </si>
  <si>
    <t>AXEL JUNIOR FARFAN ORTIZ</t>
  </si>
  <si>
    <t>143614-046-200519</t>
  </si>
  <si>
    <t>ELIAS RAFAEL CASTILLO AYALA</t>
  </si>
  <si>
    <t>CARRETERA PANAMERICANA SUR KM 763, P.J. CHOSICA DEL NORTE, MZ. 19, LOTE 05</t>
  </si>
  <si>
    <t>ASFALTO LÍQUIDO MC-30,ASFALTO LÍQUIDO MC-70,ASFALTO LÍQUIDO RC-250,ASFALTO SOLIDO,PETRÓLEO INDUSTRIAL Nº 5,PETRÓLEO INDUSTRIAL Nº 500,PETRÓLEO INDUSTRIAL Nº 6</t>
  </si>
  <si>
    <t>143615-046-200519</t>
  </si>
  <si>
    <t>EDWIN EDUARDO CUSMA REGALADO</t>
  </si>
  <si>
    <t>PANAMERICANA SUR KM 11 MZ A1 LOTE 40A - CHOSICA DEL NORTE</t>
  </si>
  <si>
    <t>143616-046-200519</t>
  </si>
  <si>
    <t>NELVER GIL QUISPE</t>
  </si>
  <si>
    <t>PANAMERICANA SUR KM 11 MZ. A1 LT 40A - PPJJ CHOSICA DEL NORTE</t>
  </si>
  <si>
    <t>143610-046-200519</t>
  </si>
  <si>
    <t>NOLCA &amp; AGREGADOS S.A.C.</t>
  </si>
  <si>
    <t xml:space="preserve">CALLE CONDORCUNCA N° 114 - URB. LIBERTADORES </t>
  </si>
  <si>
    <t>NORMA LUCRECIA CABRERA ALARCON</t>
  </si>
  <si>
    <t>143611-046-200519</t>
  </si>
  <si>
    <t>COORPORATIVA AGRONOMA INDUSTRIAL S.A.C.</t>
  </si>
  <si>
    <t>CALLE PIURA SUR NRO. 379 P.J. JOSÉ OLAYA</t>
  </si>
  <si>
    <t>AURAZO CHUQUE DANIEL</t>
  </si>
  <si>
    <t>143612-046-190720</t>
  </si>
  <si>
    <t>JENY ROZANA ACUÑA ROJAS</t>
  </si>
  <si>
    <t>CALLE LOS ERAS N° 149 URB. SAN LORENZO</t>
  </si>
  <si>
    <t>JOSE LEONARDO ORTIZ</t>
  </si>
  <si>
    <t>143613-046-200519</t>
  </si>
  <si>
    <t>EMPRESA DE TRANSPORTES Y COMBUSTIBLES AIHARA E.I.R.L</t>
  </si>
  <si>
    <t>CPME. SALAMANCA . CALLE LA DESPENSA N° 1051</t>
  </si>
  <si>
    <t>JUAN MARIO GAMONAL TERRONES</t>
  </si>
  <si>
    <t>146746-046-240919</t>
  </si>
  <si>
    <t>EMPRESA DE SERVICIOS MULTIPLES S&amp;M SRL.</t>
  </si>
  <si>
    <t>CL. CAMANA 277 URB. CERCADO</t>
  </si>
  <si>
    <t>SOTO MAYORCA AUGUSTO GUSTAVO</t>
  </si>
  <si>
    <t>143607-046-200519</t>
  </si>
  <si>
    <t>MAQUISERMA E.I.R.L.</t>
  </si>
  <si>
    <t>CALLE REAL 172</t>
  </si>
  <si>
    <t>AURICH GEREZ DE MERINO, NARCISA NELLY</t>
  </si>
  <si>
    <t>151548-046-011020</t>
  </si>
  <si>
    <t>COMBUSTIBLES Y LUBRICANTES JOSE KEVIN E.I.R.L.</t>
  </si>
  <si>
    <t xml:space="preserve">A.H. LA FLORIDA MZA. M LOTE. 17 </t>
  </si>
  <si>
    <t>CGN SOLVENTE,Diesel B5 S-50,HEXANO,LUBRICANTES,PENTANO,SOLVENTE 1,SOLVENTE 3</t>
  </si>
  <si>
    <t>SABA RAMON JOSUEP YHORLY KEVIN</t>
  </si>
  <si>
    <t>143608-046-200519</t>
  </si>
  <si>
    <t>COMBUSTIBLES Y TRANSPORTES AMERICA E.I.R.L.</t>
  </si>
  <si>
    <t xml:space="preserve">CALLE LA ARENA Nº 331 URB. REMIGIO SILVA </t>
  </si>
  <si>
    <t>RUTH NATIVIDAD ZUÑIGA LOPEZ</t>
  </si>
  <si>
    <t>148876-046-090320</t>
  </si>
  <si>
    <t>EMPRESA DE TRANSPORTES Y TURISMO OLMOS S.A.C.</t>
  </si>
  <si>
    <t xml:space="preserve">AV. LA CORDIALIDAD MZA. G5 LOTE. 50 URB. PRO 5TO SECTOR II ETAPA (ALT COMISARIA DE PRO) </t>
  </si>
  <si>
    <t>JUAN JOSE FLORINDEZ CARRASCO</t>
  </si>
  <si>
    <t>143609-046-200519</t>
  </si>
  <si>
    <t>CORPORACION ARLOC S.R.L.</t>
  </si>
  <si>
    <t>PJ. UNION NRO. 364 URB. EL PORVENIR</t>
  </si>
  <si>
    <t>IDROGO ZAPATA JORGE EDER</t>
  </si>
  <si>
    <t>151693-046-191020</t>
  </si>
  <si>
    <t>PETROLPOWER S.A.C.</t>
  </si>
  <si>
    <t xml:space="preserve">AV. AGR. PROG. VIVIENDA LA MERCED MZ. A LOTE 20 </t>
  </si>
  <si>
    <t>PUNTA NEGRA</t>
  </si>
  <si>
    <t>MIGUEL MARTIN PACHECO BERASTEIN</t>
  </si>
  <si>
    <t>147722-046-261119</t>
  </si>
  <si>
    <t>CORPORACION BEAS S.A.C.</t>
  </si>
  <si>
    <t xml:space="preserve">AUTOPISTA SALAVERRY MZA. 4 LOTE. 1A SEC. ALTO MOCHE </t>
  </si>
  <si>
    <t>MOCHE</t>
  </si>
  <si>
    <t>MARY KARLA PUICON LLUEN</t>
  </si>
  <si>
    <t>150869-046-280820</t>
  </si>
  <si>
    <t>INVERSIONES DVERITAS SOCIEDAD COMERCIAL DE RESPONSABILIDAD LIMITADA</t>
  </si>
  <si>
    <t>MZA. H LOTE. 10 URB. VILLA SAN JOSE</t>
  </si>
  <si>
    <t>JOSE LUIS BUSTAMANTE Y RIVERO</t>
  </si>
  <si>
    <t xml:space="preserve">FLOR LETTY VERA CHALCO </t>
  </si>
  <si>
    <t>151560-046-021020</t>
  </si>
  <si>
    <t>SERVICIOS NAUTICOS DEL NORTE E.I.R.L.</t>
  </si>
  <si>
    <t>CAL. AMAZONAS N° 848 URB. CERCADO DE CASTILLA.</t>
  </si>
  <si>
    <t>ALDANA JACINTO JOSE CLODOMIRO</t>
  </si>
  <si>
    <t>150549-046-170820</t>
  </si>
  <si>
    <t>O &amp; S COMPANY S.A.C.</t>
  </si>
  <si>
    <t>AV. UNIVERSITARIA N° 3883 - URB. VILLA UNIVERSITARIA</t>
  </si>
  <si>
    <t>Diesel B5 S-50,LUBRICANTES,SOLVENTE 1,SOLVENTE 3</t>
  </si>
  <si>
    <t>OSCAR EDUARDO SALAZAR MEZARINA</t>
  </si>
  <si>
    <t>150718-046-240820</t>
  </si>
  <si>
    <t>PEÑA TORRES GILMER ISMAEL</t>
  </si>
  <si>
    <t>CALLE JAEN N° 201</t>
  </si>
  <si>
    <t>SONDOR</t>
  </si>
  <si>
    <t>150859-046-110920</t>
  </si>
  <si>
    <t>EMPRESA DE SERVICIOS Y TRANSPORTES EL NEGRO E.I.R.L.</t>
  </si>
  <si>
    <t>MZ. A LOTE 1-6 PRADERAS DE PARIACHI (A 1 CUADRA DE HUAYCAN)</t>
  </si>
  <si>
    <t>ASFALTO LÍQUIDO RC-250,Diesel B5 S-50,PETRÓLEO INDUSTRIAL Nº 500,PETRÓLEO INDUSTRIAL Nº 6,SOLVENTE 1,SOLVENTE 3</t>
  </si>
  <si>
    <t>OSCAR CEFERINO VILLEGAS MARROQUIN</t>
  </si>
  <si>
    <t>149848-046-180820</t>
  </si>
  <si>
    <t>ML CONSUMO MASIVO S.A.C.</t>
  </si>
  <si>
    <t>AV. LOS GORRIONES NRO. 235 DPTO. 609</t>
  </si>
  <si>
    <t>CHORRILLOS</t>
  </si>
  <si>
    <t xml:space="preserve">LUIS ANTONIO MERAS OZAMBELA </t>
  </si>
  <si>
    <t>150317-046-020820</t>
  </si>
  <si>
    <t>INVERSIONES Y SERVICIOS SAN MARTIN DE PORRES S.R.L.</t>
  </si>
  <si>
    <t>AV. AMÉRICA SUR N° 589 URB. SANTA ROSALÍA</t>
  </si>
  <si>
    <t xml:space="preserve">ORLANDO ENRIQUE BEJARANO PANAQUE </t>
  </si>
  <si>
    <t>148312-046-201219</t>
  </si>
  <si>
    <t>INGECONTEC V &amp; J S.A.C.</t>
  </si>
  <si>
    <t>JR. 28 DE JULIO N° S/N BARRIO SAN JOSE HUANUCO</t>
  </si>
  <si>
    <t>HUANUCO</t>
  </si>
  <si>
    <t>HUACAYBAMBA</t>
  </si>
  <si>
    <t>ASFALTO LÍQUIDO MC-30,ASFALTO LÍQUIDO RC-250,CEMENTO ASFÁLTICO 120-150,CEMENTO ASFÁLTICO 40-50,CEMENTO ASFÁLTICO 60-70,CEMENTO ASFÁLTICO 85-100,DIESEL B5,Diesel B5 S-50,LUBRICANTES,SOLVENTE 1,SOLVENTE 3</t>
  </si>
  <si>
    <t>VICTOR ROBERTH JAIMES ACUÑA</t>
  </si>
  <si>
    <t>147896-046-210220</t>
  </si>
  <si>
    <t>TRANSPORTES PETROGAS M &amp; J S.A.C.</t>
  </si>
  <si>
    <t>AV. GUARDIA CIVIL N° 608 INT. 304 B</t>
  </si>
  <si>
    <t>MANUEL ENRIQUE VILCHEZ BRAMON</t>
  </si>
  <si>
    <t>150566-046-180820</t>
  </si>
  <si>
    <t>LAMISFFI S.A.C.</t>
  </si>
  <si>
    <t xml:space="preserve">PARCELA "A" KM 2 CARRETERA REQUE- PUERTO ETEN </t>
  </si>
  <si>
    <t>ETEN PUERTO</t>
  </si>
  <si>
    <t xml:space="preserve">ALAN CRUZADO BALCAZAR </t>
  </si>
  <si>
    <t>147669-046-131119</t>
  </si>
  <si>
    <t>RODRIGUEZ &amp; CACERES TRUCKING COMPANY E.I.R.L.</t>
  </si>
  <si>
    <t>URB. LOS CEDROS, LAS GOLONDRINAS A-09</t>
  </si>
  <si>
    <t>ASFALTO LÍQUIDO MC-30,ASFALTO LÍQUIDO MC-70,ASFALTO LÍQUIDO RC-250,CEMENTO ASFÁLTICO 120-150,CEMENTO ASFÁLTICO 40-50,CEMENTO ASFÁLTICO 60-70,CEMENTO ASFÁLTICO 85-100,DIESEL B5,Diesel B5 S-50,LUBRICANTES,PETRÓLEO INDUSTRIAL Nº 500,PETRÓLEO INDUSTRIAL Nº 6</t>
  </si>
  <si>
    <t>JUAN HUGO CACERES GONZALES</t>
  </si>
  <si>
    <t>148842-046-060220</t>
  </si>
  <si>
    <t>PETROSIGA S.A.C.</t>
  </si>
  <si>
    <t>CALLE JOSÉ DE LA MAR NRO. 3786, URB. CONDEVILLA SEÑOR SAN MARTIN DE PORRES</t>
  </si>
  <si>
    <t>CARMEN DEL ROSARIO GALINDEZ VASQUEZ</t>
  </si>
  <si>
    <t>151427-046-280920</t>
  </si>
  <si>
    <t>TRANSPORTE, MINERIA Y CONSTRUCCION ONCOY INGENIEROS S.A.C. - TRAMINCO INGENIEROS S.A.C.</t>
  </si>
  <si>
    <t>AV. RAYMONDI N° 131 CONO ALUVIONICO OESTE</t>
  </si>
  <si>
    <t>ANCASH</t>
  </si>
  <si>
    <t>HUARAZ</t>
  </si>
  <si>
    <t>LISSEL GISSELA ONCOY TOLENTINO</t>
  </si>
  <si>
    <t>150008-046-150720</t>
  </si>
  <si>
    <t>INVERSIONES M Y J E.I.R.L.</t>
  </si>
  <si>
    <t>ASFALTO LÍQUIDO MC-30,ASFALTO LÍQUIDO MC-70,ASFALTO LÍQUIDO RC-250,ASFALTO LÍQUIDO RC-70,BREA,CEMENTO ASFÁLTICO 10-20,CEMENTO ASFÁLTICO 120-150,CEMENTO ASFÁLTICO 20-30,CEMENTO ASFÁLTICO 40-50,CEMENTO ASFÁLTICO 60-70,CEMENTO ASFÁLTICO 85-100,CGN SOLVENTE,DIESEL B5,Diesel B5 S-50,PETRÓLEO INDUSTRIAL Nº 4,PETRÓLEO INDUSTRIAL Nº 5,PETRÓLEO INDUSTRIAL Nº 500,PETRÓLEO INDUSTRIAL Nº 6,SOLVENTE 1,SOLVENTE 3</t>
  </si>
  <si>
    <t>JUAN EDMUNDO MERINO AURICH</t>
  </si>
  <si>
    <t>150570-046-130820</t>
  </si>
  <si>
    <t>DIAZ LEON MAYKELT ERIKSON</t>
  </si>
  <si>
    <t>CARRETERA CUSCO - ABANCAY KM. 31</t>
  </si>
  <si>
    <t>150342-046-190820</t>
  </si>
  <si>
    <t>PRIME FORCE S.A.C.</t>
  </si>
  <si>
    <t>JR. CHOQUE HUANCAS N° 209</t>
  </si>
  <si>
    <t>JAIR HERRERA CENTI</t>
  </si>
  <si>
    <t>146968-046-061019</t>
  </si>
  <si>
    <t xml:space="preserve">CHRISTIAN RICHARD CERDAN GALLARDO </t>
  </si>
  <si>
    <t xml:space="preserve">TAYACAJA MZ. H LOTE 25 </t>
  </si>
  <si>
    <t>DIESEL B5,Diesel B5 S-50,PETRÓLEO INDUSTRIAL Nº 500,PETRÓLEO INDUSTRIAL Nº 6</t>
  </si>
  <si>
    <t>150572-046-250820</t>
  </si>
  <si>
    <t>INVERSIONES PETRONOR E.I.R.L.</t>
  </si>
  <si>
    <t>AV. CANTA CALLAO KM 06 DPTO R302 FUNDO, EX FUNDO TABOADA</t>
  </si>
  <si>
    <t>LUIS ALBERTO NORABUENA MILLA</t>
  </si>
  <si>
    <t>143550-046-200519</t>
  </si>
  <si>
    <t>ESTACION DE SERVICIOS JESUS DE NAZARETH E.I.R.L.</t>
  </si>
  <si>
    <t>FRANK SHUBERT 705 URB. PRIMAVERA</t>
  </si>
  <si>
    <t>SANCHEZ SANCHEZ, JUAN CARLOS</t>
  </si>
  <si>
    <t>143551-046-200519</t>
  </si>
  <si>
    <t>TRANSMIL DIESEL S.R.L.</t>
  </si>
  <si>
    <t xml:space="preserve">CALLE LOS CISNES MZ. P LOTE 4 URB. LOS PINOS </t>
  </si>
  <si>
    <t>ASFALTO LÍQUIDO,ASFALTO SOLIDO,BREA,PETRÓLEO INDUSTRIAL Nº 500,PETRÓLEO INDUSTRIAL Nº 6</t>
  </si>
  <si>
    <t xml:space="preserve">ROSA MERCEDES MARTINEZ LLENQUE </t>
  </si>
  <si>
    <t>143548-046-200519</t>
  </si>
  <si>
    <t>COMPANY TRIQUIMEX S.A.C.</t>
  </si>
  <si>
    <t>CALLE DIEGO DE ALMAGRO N° 253 INTERIOR 309</t>
  </si>
  <si>
    <t>143549-046-200519</t>
  </si>
  <si>
    <t>SERVICIOS E INVERSIONES VALLEJOS CUATRO S.A.C.</t>
  </si>
  <si>
    <t>AV. AMERICA SUR 589-B URB. SANTA ROSALIA</t>
  </si>
  <si>
    <t>ASFALTO LÍQUIDO MC-30,ASFALTO LÍQUIDO MC-70,ASFALTO LÍQUIDO RC-250,BREA,CEMENTO ASFÁLTICO 120-150,CEMENTO ASFÁLTICO 40-50,CEMENTO ASFÁLTICO 60-70,CEMENTO ASFÁLTICO 85-100,CGN SOLVENTE,DIESEL B5,Diesel B5 S-50,HEXANO,LUBRICANTES,PENTANO,PETRÓLEOS INDUSTRIALES,SOLVENTE 1,SOLVENTE 3</t>
  </si>
  <si>
    <t>JOSE ANSELMO VALLEJOS FERNANDEZ</t>
  </si>
  <si>
    <t>143547-046-200519</t>
  </si>
  <si>
    <t>EMPRESA DE TRANSPORTES RCK S.A.C.</t>
  </si>
  <si>
    <t>JR. LUIS ALBRETCH N° 571 URB. LAS QUINTANAS</t>
  </si>
  <si>
    <t>ORLANDO RICHARD ALBINCO VILLALOBOS</t>
  </si>
  <si>
    <t>146768-046-101019</t>
  </si>
  <si>
    <t>ESTACION DE SERVICIOS LORETO S.A.C.</t>
  </si>
  <si>
    <t>CARRETERA A YURIMAGUAS - TARAPOTO KM. 46 CASERIO PAMPA HERMOSA</t>
  </si>
  <si>
    <t>LLAMO VASQUEZ ILDER</t>
  </si>
  <si>
    <t>148833-046-210120</t>
  </si>
  <si>
    <t>DOMINGO BIRE APAZA HUARAYA</t>
  </si>
  <si>
    <t>A.V.C. CULT NUEVA ESPERANZA MZA. C LOTE 21</t>
  </si>
  <si>
    <t>CORONEL GREGORIO ALBARRACIN LANCHIPA</t>
  </si>
  <si>
    <t>148328-046-161219</t>
  </si>
  <si>
    <t>COMBUSTIBLES Y MAQUINARIAS KAMAHIRO S.A.C.</t>
  </si>
  <si>
    <t>CALLE ESTOCOLMO N° 191, URB. LOS PORTALES DE JAVIER PRADO 3ERA ETAPA</t>
  </si>
  <si>
    <t>ERIK PERCY QUISPE POMA</t>
  </si>
  <si>
    <t>148688-046-130120</t>
  </si>
  <si>
    <t>MULTISERVICIOS BLX SOCIEDAD ANONIMA CERRADA - MUBLX S.A.C.</t>
  </si>
  <si>
    <t>CALLE PISCO 279 URB ND CERCADO</t>
  </si>
  <si>
    <t>ASFALTO LÍQUIDO MC-30,ASFALTO LÍQUIDO MC-70,Diesel B5 S-50,LUBRICANTES,PETRÓLEO INDUSTRIAL Nº 500</t>
  </si>
  <si>
    <t>VALENTINA MERCEDES LLANTOY HUAMAN</t>
  </si>
  <si>
    <t>148470-046-241219</t>
  </si>
  <si>
    <t>NEGOCIACIONES ISRAEL EMP INDIV RESP LTDA</t>
  </si>
  <si>
    <t xml:space="preserve">AV. SIMON BOLIVAR NRO. S/N (ENTRADA A SANTA ROSA) </t>
  </si>
  <si>
    <t>MELGAR</t>
  </si>
  <si>
    <t>SANTA ROSA</t>
  </si>
  <si>
    <t xml:space="preserve">OLGA MONTES BRAVO </t>
  </si>
  <si>
    <t>148468-046-261219</t>
  </si>
  <si>
    <t>TARECO GONZALEZ JUAN JOSE</t>
  </si>
  <si>
    <t>AAHH. 5 DE FEBRERO MZ. D LT. 7</t>
  </si>
  <si>
    <t>148694-046-160120</t>
  </si>
  <si>
    <t>ESTACION DE SERVICIOS PRISMAX S.A.C.</t>
  </si>
  <si>
    <t xml:space="preserve">PREDIO CASQUITO SECTOR PINGOBAMBA CARRETERA LAJAS – CHOTA </t>
  </si>
  <si>
    <t xml:space="preserve">JOSE ELMER CRUZ MONTEZA </t>
  </si>
  <si>
    <t>148975-046-290120</t>
  </si>
  <si>
    <t>INVERSIONES Y TRANSPORTES ESTRELLA POLAR S.A.C.</t>
  </si>
  <si>
    <t>MZ.A INTERIOR H42, SECCION ASCOMADAAT</t>
  </si>
  <si>
    <t>ANDRES LIZARRAGA AREDO</t>
  </si>
  <si>
    <t>148971-046-270120</t>
  </si>
  <si>
    <t>GRIFO VIRGEN DE LAS MERCEDES S.A.C.</t>
  </si>
  <si>
    <t>CALLE ECUADOR MZ B1 LT4</t>
  </si>
  <si>
    <t>SAN CLEMENTE</t>
  </si>
  <si>
    <t>OSWALDO ALEJANDRO TAYPE OLIVARES</t>
  </si>
  <si>
    <t>143556-046-200519</t>
  </si>
  <si>
    <t>RG EL TREBOL S.R.L.</t>
  </si>
  <si>
    <t>CALLE MOSCU N° 253 URB. SAN NICOLAS</t>
  </si>
  <si>
    <t>VICTOR ARTURO GALINDO BARRENO</t>
  </si>
  <si>
    <t>143555-046-200519</t>
  </si>
  <si>
    <t>EMPRESA SANTO TORIBIO S.A.C.</t>
  </si>
  <si>
    <t>AV. AMERICA SUR N° 360</t>
  </si>
  <si>
    <t>WAGNER RICARDO DOMINGUEZ MENDIETA</t>
  </si>
  <si>
    <t>149829-046-020720</t>
  </si>
  <si>
    <t>CORPORACION RUTTA S.A.C.</t>
  </si>
  <si>
    <t>AV. CASCANUECES LOTE 4-B URB. FUNDO INQUISIDOR</t>
  </si>
  <si>
    <t xml:space="preserve">LUIS ANTONIO MUÑOZ PORRAS </t>
  </si>
  <si>
    <t>148832-046-290120</t>
  </si>
  <si>
    <t>CORPORACION JLH SERVICIOS GENERALES ASOCIADOS CO S.A.C.</t>
  </si>
  <si>
    <t>AV. AURELIO MIROQUESADA N° 292 DPTO. 1403 (BLOCK A)</t>
  </si>
  <si>
    <t>SAN ISIDRO</t>
  </si>
  <si>
    <t>JOEL ALBERTO LARRAIN HUAMAN</t>
  </si>
  <si>
    <t>143554-046-200519</t>
  </si>
  <si>
    <t>MZ. P LOTE 4 URB. LOS PINOS 2 PISO</t>
  </si>
  <si>
    <t>PAREDES LEON, ELENA MARISOL</t>
  </si>
  <si>
    <t>143553-046-200519</t>
  </si>
  <si>
    <t>MINERIA-MAQUINARIA-EQUIPOS-TECNOLOGIA Y CONSTRUCCION S.R.L..</t>
  </si>
  <si>
    <t>CALLE DANIEL A. ROBLES N° 479 - URB. PRIMAVERA</t>
  </si>
  <si>
    <t>JOSE MATIAS VILLALOBOS SALIRROSAS</t>
  </si>
  <si>
    <t>143552-046-200519</t>
  </si>
  <si>
    <t>ICONSER S.A.C.</t>
  </si>
  <si>
    <t>CALLE SAN IDELFONSO N° 143 DPTO. 301 URB. LA MERCED I ETAPA</t>
  </si>
  <si>
    <t>HECTOR NAVARRETE CAVIEDES</t>
  </si>
  <si>
    <t>151444-046-230920</t>
  </si>
  <si>
    <t>SERVICIOS MULTIPLES SAMANEZ SOCIEDAD COMERCIAL DE RESPONSABILIDAD LIMITADA</t>
  </si>
  <si>
    <t>AV. CHILLOROYA MZA. B LOTE. 11 APV. JUAN VELAZCO ALVARADO (FRENTE A HOSTAL ALISANDRO)</t>
  </si>
  <si>
    <t>CHUMBIVILCAS</t>
  </si>
  <si>
    <t>LIVITACA</t>
  </si>
  <si>
    <t xml:space="preserve">ABDON BACA SAMANEZ </t>
  </si>
  <si>
    <t>143559-046-200519</t>
  </si>
  <si>
    <t>RZ E HIJOS S.A.C.</t>
  </si>
  <si>
    <t>JIRON SUAREZ 1102</t>
  </si>
  <si>
    <t>VERA OLIVA, ROGER ANDRES</t>
  </si>
  <si>
    <t>143560-046-200519</t>
  </si>
  <si>
    <t>TRANSPORTES E INVERSIONES EDWANCAR S.A.C.</t>
  </si>
  <si>
    <t>CALLE JUAN ZAPATA N° 935 URB. EL BOSQUE</t>
  </si>
  <si>
    <t xml:space="preserve">GUALBERTO CARRERA FLORES </t>
  </si>
  <si>
    <t>143561-046-200519</t>
  </si>
  <si>
    <t>EMPRESA DE TRANSPORTES N&amp;V S.A.C.</t>
  </si>
  <si>
    <t>MZ. D LOTE 35 URB. MIRAFLORES</t>
  </si>
  <si>
    <t>GUILLERMO VILLACORTA TELLO</t>
  </si>
  <si>
    <t>147521-046-051119</t>
  </si>
  <si>
    <t>MULTISERVICIOS JORENGI S.R.L.</t>
  </si>
  <si>
    <t xml:space="preserve">JR. LAS GARDENIAS N° 210B P.J. MARIA PARADO DE BELLIDO </t>
  </si>
  <si>
    <t xml:space="preserve">MIGUEL ANGEL SONCCO VILCAPAZA </t>
  </si>
  <si>
    <t>143562-046-200519</t>
  </si>
  <si>
    <t>EMPRESA DE TRANSPORTE VIGSAN E.I.R.L.</t>
  </si>
  <si>
    <t xml:space="preserve">CALLE TUPAC YUPANQUI N° 671 URB. SANTA MARIA </t>
  </si>
  <si>
    <t xml:space="preserve">JORGE LUIS VIGIL CORDOVA </t>
  </si>
  <si>
    <t>143557-046-200519</t>
  </si>
  <si>
    <t>CONSTRUCTORA MAIBY S.A.C.</t>
  </si>
  <si>
    <t>MZ A LOTE 28 INT. 301 URB. MIRAFLORES</t>
  </si>
  <si>
    <t>ASFALTOS,PETRÓLEO INDUSTRIAL Nº 4,PETRÓLEO INDUSTRIAL Nº 5,PETRÓLEO INDUSTRIAL Nº 500,PETRÓLEO INDUSTRIAL Nº 6</t>
  </si>
  <si>
    <t>GRADOS CHAVEZ, LUIS EDUARDO</t>
  </si>
  <si>
    <t>143558-046-200519</t>
  </si>
  <si>
    <t>INVERSIONES DE FATIMA S.A.C.</t>
  </si>
  <si>
    <t>CALLE DIEGO TITO QUISPE N° 1010 - URB. EL BOSQUE</t>
  </si>
  <si>
    <t>AGUILERA RODRIGUEZ JEINER ALEJANDRO</t>
  </si>
  <si>
    <t>146769-046-300919</t>
  </si>
  <si>
    <t>TORRES &amp; RP SERVICIOS GENERALES S.R.L.</t>
  </si>
  <si>
    <t>AV. JESUS DE NAZARETH N° 177, BARRIO MOLLEPAMPA</t>
  </si>
  <si>
    <t>RAUL EVARISTO PRADO ZAVALLA</t>
  </si>
  <si>
    <t>146770-046-091019</t>
  </si>
  <si>
    <t>EMPRESA DE TRANSPORTES NEO 4 INVERSIONES S.A.C.</t>
  </si>
  <si>
    <t>MZA. R LOTE 31 AV. LOS NISPEROS</t>
  </si>
  <si>
    <t>MAGDALENA ROJAS SANTOS</t>
  </si>
  <si>
    <t>148464-046-060120</t>
  </si>
  <si>
    <t>CORPORACION LUPUNA S.A.C.</t>
  </si>
  <si>
    <t>JR. SALAVERRY 631</t>
  </si>
  <si>
    <t>JAVIER HECTOR RIVERA PINZAS</t>
  </si>
  <si>
    <t>148659-046-070220</t>
  </si>
  <si>
    <t>BIOCORBEL S.A.C.</t>
  </si>
  <si>
    <t>MZ. E LOTE 4, URB. MARIA AUXILIADORA</t>
  </si>
  <si>
    <t>SAN JUAN DE MIRAFLORES</t>
  </si>
  <si>
    <t>JACKELIN BELLIDO MONTERO</t>
  </si>
  <si>
    <t>143564-046-200519</t>
  </si>
  <si>
    <t>EMPRESA VERA HNOS S.R.L.</t>
  </si>
  <si>
    <t>MZ. Ñ LOTE 6 - URB. SANTA TERESA DE AVILA</t>
  </si>
  <si>
    <t>ISIDRO VERA BARTOLO</t>
  </si>
  <si>
    <t>143563-046-200519</t>
  </si>
  <si>
    <t>TRANSPORTES YOSELY S.R.L.</t>
  </si>
  <si>
    <t>MZ. A LOTE N° 22 AA.HH. LAS MALVINAS</t>
  </si>
  <si>
    <t>FRANCISCO GALLARDO CAMPOS</t>
  </si>
  <si>
    <t>143566-046-200519</t>
  </si>
  <si>
    <t>REPARTO PERU S.A.C.</t>
  </si>
  <si>
    <t xml:space="preserve">GUSTAVO CAMPOS ARIAS </t>
  </si>
  <si>
    <t>143565-046-200519</t>
  </si>
  <si>
    <t>INMOBILIARIA CONSTRUCTORA FINANCIERA Y DE SERVICIOS AFINES S.A.C.</t>
  </si>
  <si>
    <t>TOMAS JEFFERSON N° 275 URB. LA PERLA</t>
  </si>
  <si>
    <t>JESUS EDUARDO RAMON TOLMOS TOLEDO</t>
  </si>
  <si>
    <t>148645-046-090120</t>
  </si>
  <si>
    <t>VIFEAL CONTRATISTAS GENERALES S.A.C.</t>
  </si>
  <si>
    <t xml:space="preserve">CARRETERA SULLANA A TAMBOGRANDE KM.20, CASERÍO LUCHADORES SOCIALES </t>
  </si>
  <si>
    <t>TAMBO GRANDE</t>
  </si>
  <si>
    <t>ELESPURU SAAVEDRA VICTOR SEGUNDO</t>
  </si>
  <si>
    <t>145955-046-150819</t>
  </si>
  <si>
    <t>OLIVERA ARREDONDO DANIEL</t>
  </si>
  <si>
    <t>ESTADIO LUNA S/N CCAYAO</t>
  </si>
  <si>
    <t>APURIMAC</t>
  </si>
  <si>
    <t>COTABAMBAS</t>
  </si>
  <si>
    <t>HAQUIRA</t>
  </si>
  <si>
    <t>150755-046-160920</t>
  </si>
  <si>
    <t>MULTISERVICIOS EGUIZABAL GUARDIA E.I.R.L.</t>
  </si>
  <si>
    <t>JR. FITZCARRALD S/N PBLO UCO</t>
  </si>
  <si>
    <t>HUARI</t>
  </si>
  <si>
    <t>UCO</t>
  </si>
  <si>
    <t>IVAN ALBERTO EGUIZABAL PRINCIPE</t>
  </si>
  <si>
    <t>146779-046-011019</t>
  </si>
  <si>
    <t>CORPORACION DHG S.A.C.</t>
  </si>
  <si>
    <t xml:space="preserve">AV. UNIVERSITARIA N° S/N DPTO 302 PARCELA 1(BLOCK A) </t>
  </si>
  <si>
    <t>GISELA VIOLETA HUERTAS GARCIA</t>
  </si>
  <si>
    <t>150296-046-040820</t>
  </si>
  <si>
    <t>ARCA LOGISTICA S.A.C.</t>
  </si>
  <si>
    <t>CA. JUAN FANNING N° 305 INT. 501 URB. VIÑITA</t>
  </si>
  <si>
    <t>BARRANCO</t>
  </si>
  <si>
    <t>ANGEL OSCAR SOROLLA CEVALLOS</t>
  </si>
  <si>
    <t>143537-046-200519</t>
  </si>
  <si>
    <t>DIAZ ACARREOS GENERALES S.A.C.</t>
  </si>
  <si>
    <t>VIA EVITAMIENTO S/N FUNDO LA ENCALADA</t>
  </si>
  <si>
    <t>DIAZ DE LA CRUZ, ALFREDO MARTIN</t>
  </si>
  <si>
    <t>143538-046-200519</t>
  </si>
  <si>
    <t>AV. AMERICA SUR N° 589 -B URB. SANTA ROSALIA</t>
  </si>
  <si>
    <t>143539-046-200519</t>
  </si>
  <si>
    <t>GRIFO AMIGO S.A.</t>
  </si>
  <si>
    <t>AV. AMERICA NORTE N° 2480 URB. PRIMAVERA</t>
  </si>
  <si>
    <t>MATIAS MARTIN ALBERTO FERRADAS BURGA</t>
  </si>
  <si>
    <t>143540-046-200519</t>
  </si>
  <si>
    <t>SERVICENTRO EL TREBOL S.R.L</t>
  </si>
  <si>
    <t>JR. UNION N° 515</t>
  </si>
  <si>
    <t>115049-046-070619</t>
  </si>
  <si>
    <t>CRHISTIAN EDWAR VALENCIA PANIAGUA</t>
  </si>
  <si>
    <t>MZ. C LOTE 3, URB. BANCO DE CREDITO</t>
  </si>
  <si>
    <t>-</t>
  </si>
  <si>
    <t>146786-046-301019</t>
  </si>
  <si>
    <t>CIA. HIDRO PETROLEOS S.A.C.</t>
  </si>
  <si>
    <t>JR. GENERAL ORBEGOSO N° 207 INT. 304</t>
  </si>
  <si>
    <t>BREÑA</t>
  </si>
  <si>
    <t>ALVARO MONTOYA CARRASCO</t>
  </si>
  <si>
    <t>147208-046-181019</t>
  </si>
  <si>
    <t>MULTISERVICIOS QUIÑONEZ E.I.R.L.</t>
  </si>
  <si>
    <t>MZ T LT 9, URB MANUEL DULANTO CIPRIANO</t>
  </si>
  <si>
    <t>RUBEN QUIÑONEZ ESPINOZA</t>
  </si>
  <si>
    <t>148478-046-030120</t>
  </si>
  <si>
    <t>SUPER GRIFO CHINCHA S.A.C</t>
  </si>
  <si>
    <t>CARRETERA PANAMERICANA SUR N° 791</t>
  </si>
  <si>
    <t>CHINCHA</t>
  </si>
  <si>
    <t>CHINCHA ALTA</t>
  </si>
  <si>
    <t>MANOLO VICTOR FERNANDEZ SANCHEZ</t>
  </si>
  <si>
    <t>143542-046-200519</t>
  </si>
  <si>
    <t>IMPORTACIONES Y SERVICIOS E.I.R.L.</t>
  </si>
  <si>
    <t>AV. NICOLAS DE PIEROLA 0760 URB. PRIMAVERA</t>
  </si>
  <si>
    <t>DIESEL B5,Diesel B5 S-50,SOLVENTE 1,SOLVENTE 3</t>
  </si>
  <si>
    <t>JUAN FRANCISCO RAZURI VASQUEZ</t>
  </si>
  <si>
    <t>143541-046-200519</t>
  </si>
  <si>
    <t>CONSTRUCTORA URTEAGA S.A.C.</t>
  </si>
  <si>
    <t>CALLE ARGENTINA N° 255 URB. EL RECREO</t>
  </si>
  <si>
    <t>URTEAGA TORRES MODESTO MAXIMILIANO</t>
  </si>
  <si>
    <t>143544-046-200519</t>
  </si>
  <si>
    <t>TRADING GROUP S.A.C.</t>
  </si>
  <si>
    <t>AV. VIA DE EVITAMIENTO S/N SECTOR LA ENCALADA</t>
  </si>
  <si>
    <t>CGN SOLVENTE,DIESEL B5,Diesel B5 S-50,LUBRICANTES</t>
  </si>
  <si>
    <t xml:space="preserve">ALFREDO MARTIN DIAZ DE LA CRUZ </t>
  </si>
  <si>
    <t>143543-046-200519</t>
  </si>
  <si>
    <t>TRANSPORTES EL TREBOL S.R.L.</t>
  </si>
  <si>
    <t>JR. UNION 531</t>
  </si>
  <si>
    <t>143546-046-200519</t>
  </si>
  <si>
    <t>COMERCIAL CARMENCITA S.R.L.</t>
  </si>
  <si>
    <t>AV. LARCO N° 1120 OFICINA 301</t>
  </si>
  <si>
    <t>CARMEN RUTH VARA RAMIREZ</t>
  </si>
  <si>
    <t>143545-046-200519</t>
  </si>
  <si>
    <t>OPERACIONES COMERCIALES DEL PERU S.A.C.</t>
  </si>
  <si>
    <t>AV. PROLONGACION CESAR VALLEJO N° 1960</t>
  </si>
  <si>
    <t>CESAR AUGUSTO CASTILLO ZAFRA</t>
  </si>
  <si>
    <t>147874-046-011219</t>
  </si>
  <si>
    <t>COMPAÑÍA DE ENERGÍAS UNIDAS FAVIL S.A.C.</t>
  </si>
  <si>
    <t xml:space="preserve">SECTOR 2 GRUPO 26 MZ. K LOTE 08 </t>
  </si>
  <si>
    <t>ESTEFANI DEYSI VILCHEZ LOARTE</t>
  </si>
  <si>
    <t>150300-046-310720</t>
  </si>
  <si>
    <t>GINA LESLY PELAEZ CHACON</t>
  </si>
  <si>
    <t>CALLE 20 DE JUNIO N° 487</t>
  </si>
  <si>
    <t>FLORENCIA DE MORA</t>
  </si>
  <si>
    <t>BREA,Diesel B5 S-50,LUBRICANTES,PETRÓLEO INDUSTRIAL Nº 500,PETRÓLEO INDUSTRIAL Nº 6</t>
  </si>
  <si>
    <t>143805-046-200519</t>
  </si>
  <si>
    <t>PETROCYM S.A.C.</t>
  </si>
  <si>
    <t>MZ. P LT. 17 AA.HH. VICTOR RAUL HAYA DE LA TORRE</t>
  </si>
  <si>
    <t>ASFALTO LÍQUIDO MC-30,ASFALTO LÍQUIDO RC-250,Diesel B5 S-50,PETRÓLEO INDUSTRIAL Nº 4,PETRÓLEO INDUSTRIAL Nº 5,PETRÓLEO INDUSTRIAL Nº 500,PETRÓLEO INDUSTRIAL Nº 6</t>
  </si>
  <si>
    <t>NORMA LUZ MOLINARI MALDONADO</t>
  </si>
  <si>
    <t>143806-046-200519</t>
  </si>
  <si>
    <t>PETRO OCEANO SOCIEDAD ANONIMA CERRADA</t>
  </si>
  <si>
    <t>URB. ANTONIA MORENO DE CACERES, MZ. H1, LT 14</t>
  </si>
  <si>
    <t>ASFALTOS,PETRÓLEO INDUSTRIAL Nº 5,PETRÓLEO INDUSTRIAL Nº 500,PETRÓLEO INDUSTRIAL Nº 6</t>
  </si>
  <si>
    <t>JOSE ANTONIO ASMAT VILLANERA</t>
  </si>
  <si>
    <t>143802-046-200519</t>
  </si>
  <si>
    <t>PETROLEOS INDUSTRIALES Y SERVICIOS ANEXOS SOCIEDAD ANONIMA</t>
  </si>
  <si>
    <t>URB. ANTONIA MORENO CACERES MZ. H1 LT. VI SECTOR IZQ.</t>
  </si>
  <si>
    <t>ASMAT VILLANERA, JOSE ANTONIO</t>
  </si>
  <si>
    <t>143801-046-200519</t>
  </si>
  <si>
    <t>ENVASADORA SAN GABRIEL S.R.L.</t>
  </si>
  <si>
    <t xml:space="preserve">CALLE LA PAMPILLA N° 121 - 135 ZONA INDUSTRIAL </t>
  </si>
  <si>
    <t xml:space="preserve">LUIS ALBERTO PEREZ TAIMAN </t>
  </si>
  <si>
    <t>143804-046-200519</t>
  </si>
  <si>
    <t xml:space="preserve">COMERCIALIZADORA DISTRIBUIDORA RAFAEL CHALLCO V. E.I.R.L. </t>
  </si>
  <si>
    <t>ZONA 12, LT 453 PARQUE PORCINO</t>
  </si>
  <si>
    <t>RAFAEL FORTUNATO CHALLCO VILLEGAS</t>
  </si>
  <si>
    <t>143803-046-200519</t>
  </si>
  <si>
    <t>INVERSIONES ESPINOZA Y ASOCIADOS S.A.C.</t>
  </si>
  <si>
    <t>CARRETERA PANAMERICANA NORTE KM. 33 900 SUB-LT. 1-A - ZAPALLAL</t>
  </si>
  <si>
    <t>ESPINOZA CARHUALLANQUI, FELIPE TEODORO</t>
  </si>
  <si>
    <t>143798-046-200519</t>
  </si>
  <si>
    <t>TRANSPORTES PACIFICO SUR S.A.</t>
  </si>
  <si>
    <t>AV. LA MARINA N° 4003</t>
  </si>
  <si>
    <t>LA PERLA</t>
  </si>
  <si>
    <t>GALLEGOS COLLANTES, JOSE MANUEL</t>
  </si>
  <si>
    <t>143797-046-200519</t>
  </si>
  <si>
    <t>PETROCOR S.A.C.</t>
  </si>
  <si>
    <t>AV. BOCANEGRA MZ. G48 LOTE 23 - A.H. BOCANEGRA</t>
  </si>
  <si>
    <t xml:space="preserve">FREDDY JUNNIOR CAMINO ORTIZ </t>
  </si>
  <si>
    <t>143800-046-200519</t>
  </si>
  <si>
    <t>NILDA JUSTINA SOTO NAVARRO</t>
  </si>
  <si>
    <t>MZ. K LT. SECTOR B4 NUEVO PACHACUTEC</t>
  </si>
  <si>
    <t>143799-046-200519</t>
  </si>
  <si>
    <t>ATENTO OPERACIONES Y SERVICIOS LOGISTICOS S.A.C.</t>
  </si>
  <si>
    <t>JR BOLOGNESI 1102</t>
  </si>
  <si>
    <t>ESTUARDO PATRICIO CHAVEZ RUIZ</t>
  </si>
  <si>
    <t>151850-046-141020</t>
  </si>
  <si>
    <t>GUTIERREZ MARTINEZ JUAN CARLOS</t>
  </si>
  <si>
    <t>CALLE CHEPA SANTOS N 329</t>
  </si>
  <si>
    <t>LA UNION</t>
  </si>
  <si>
    <t>150143-046-290720</t>
  </si>
  <si>
    <t>GRUPO LOGISTICO VILCHEZ ARAUCO S.A.C.</t>
  </si>
  <si>
    <t>JR. AMAZONAS NRO. 754 – CHILCA CERCADO</t>
  </si>
  <si>
    <t>RENAN FELIX VILCHEZ ARAUCO</t>
  </si>
  <si>
    <t>145065-046-090719</t>
  </si>
  <si>
    <t>GRIFOS SAGITARIO S.R.L.</t>
  </si>
  <si>
    <t xml:space="preserve">AV. ECHENIQUE Y AV. FRANCISCO VIDAL N° 903 </t>
  </si>
  <si>
    <t>HUAURA</t>
  </si>
  <si>
    <t>HUACHO</t>
  </si>
  <si>
    <t>CESAR GIOVANNI ZUCCHETTI CABALLERO</t>
  </si>
  <si>
    <t>144815-046-230719</t>
  </si>
  <si>
    <t>SERVICENTRO LIBERTAD SAC.</t>
  </si>
  <si>
    <t>AV. GONZALO UGAZ SALCEDO N° 09</t>
  </si>
  <si>
    <t>PACASMAYO</t>
  </si>
  <si>
    <t>ASFALTO LÍQUIDO MC-30,ASFALTO LÍQUIDO MC-70,ASFALTO LÍQUIDO RC-250,BREA,CEMENTO ASFÁLTICO 10-20,CEMENTO ASFÁLTICO 120-150,CEMENTO ASFÁLTICO 20-30,CEMENTO ASFÁLTICO 40-50,CEMENTO ASFÁLTICO 60-70,CEMENTO ASFÁLTICO 85-100,CGN SOLVENTE,DIESEL B5,Diesel B5 S-50,HEXANO,LUBRICANTES,PENTANO,PETRÓLEO INDUSTRIAL Nº 4,PETRÓLEO INDUSTRIAL Nº 5,PETRÓLEO INDUSTRIAL Nº 500,PETRÓLEO INDUSTRIAL Nº 6,SOLVENTE 1,SOLVENTE 3</t>
  </si>
  <si>
    <t>GLADIS ALVA DE LEON</t>
  </si>
  <si>
    <t>143796-046-200519</t>
  </si>
  <si>
    <t xml:space="preserve">TRANSPORTES MERIDIAN S.A.C. </t>
  </si>
  <si>
    <t xml:space="preserve">AV. SAENZ PEÑA N° 155 - 3ER PISO </t>
  </si>
  <si>
    <t>ZACARIAS INFANTAS PABLO ANTONIO</t>
  </si>
  <si>
    <t>149640-046-240620</t>
  </si>
  <si>
    <t>YESLY LIZBET CELIS JARA</t>
  </si>
  <si>
    <t xml:space="preserve">NICOLAS AYLLON N° 8510 BLOCK 4 DPTO. 101 </t>
  </si>
  <si>
    <t>YESLY LIZBETH CELIS JARA</t>
  </si>
  <si>
    <t>143794-046-200519</t>
  </si>
  <si>
    <t>AMPAY BUSINESS GAS S.A.C</t>
  </si>
  <si>
    <t>AV. B MZ. B LT. 8 EX FUNDO OQUENDO</t>
  </si>
  <si>
    <t>DANIEL FLORES RIOS</t>
  </si>
  <si>
    <t>143795-046-010819</t>
  </si>
  <si>
    <t>CORPORACION PERUANA DE COMBUSTIBLES PEGASO S.A.C.</t>
  </si>
  <si>
    <t>CALLE LAS PALMERAS MZ. B LT. 1 URB. LAS GARZAS</t>
  </si>
  <si>
    <t>JONATHAN CARRANZA SANCHEZ</t>
  </si>
  <si>
    <t>143793-046-200519</t>
  </si>
  <si>
    <t>ROHUAL E.I.R.L.</t>
  </si>
  <si>
    <t xml:space="preserve">LOS JAZMINES MZ. E LT. 12 </t>
  </si>
  <si>
    <t>CGN SOLVENTE,DIESEL B5,SOLVENTE 1,SOLVENTE 3</t>
  </si>
  <si>
    <t>HUANCAS JUAREZ, ROGER HIDELBRANDO</t>
  </si>
  <si>
    <t>150145-046-240720</t>
  </si>
  <si>
    <t>BRUNO SILVA GERONIMO</t>
  </si>
  <si>
    <t>CASERIO HUAYLAS S/N</t>
  </si>
  <si>
    <t>143792-046-200519</t>
  </si>
  <si>
    <t>VIKING CHEMICALS CORP S.A.C. (EMBARGO DE INSCRIPCION RES. 0230074858818)</t>
  </si>
  <si>
    <t>JR. ATAHUALPA Nº 690</t>
  </si>
  <si>
    <t>GALLARDO FLORES, RICARDO ALEJANDRO</t>
  </si>
  <si>
    <t>143791-046-291019</t>
  </si>
  <si>
    <t>DISTRIBUIDORA DE COMBUSTIBLE SANTA ANITA S.A.C.</t>
  </si>
  <si>
    <t>CALLE GUILLERMO RONALD MZ. C LT. 16, URB. IND. LA CHALACA</t>
  </si>
  <si>
    <t>ASFALTO LÍQUIDO MC-30,ASFALTO LÍQUIDO MC-70,ASFALTO LÍQUIDO RC-250,ASFALTO LÍQUIDO RC-70,CEMENTO ASFÁLTICO 120-150,CEMENTO ASFÁLTICO 40-50,CEMENTO ASFÁLTICO 60-70,CEMENTO ASFÁLTICO 85-100,DIESEL B5,Diesel B5 S-50,PETRÓLEO INDUSTRIAL Nº 5,PETRÓLEO INDUSTRIAL Nº 500,PETRÓLEO INDUSTRIAL Nº 6</t>
  </si>
  <si>
    <t>MIGUEL ANGEL GALINDO MORE</t>
  </si>
  <si>
    <t>143790-046-200519</t>
  </si>
  <si>
    <t>EMPRESA DE TRANSPORTES Y SERVICIOS GENUINOS S.R.L.</t>
  </si>
  <si>
    <t>CALLE MANUEL ARISPE Nº 177-179</t>
  </si>
  <si>
    <t>ANDRES ATACHAGUA ESPINOZA</t>
  </si>
  <si>
    <t>143789-046-200519</t>
  </si>
  <si>
    <t>DISTRIBUIDORA DE PETROLEOS INDUSTRIALES S.A.C.</t>
  </si>
  <si>
    <t>PROLONGACION CENTENARIO S/N. ZONA LOS FERROLES</t>
  </si>
  <si>
    <t>ELERA TELLO, TERESA OLINDA</t>
  </si>
  <si>
    <t>143788-046-200519</t>
  </si>
  <si>
    <t>ENERGY PETROLEUM COMPANY S.A.C.</t>
  </si>
  <si>
    <t>CALLE PUNTA AGUJAS N° 102</t>
  </si>
  <si>
    <t>CARMONA BELLIDO, NICANOR ENRIQUE</t>
  </si>
  <si>
    <t>143787-046-200519</t>
  </si>
  <si>
    <t>COMBUST J&amp;C S.A.C.</t>
  </si>
  <si>
    <t>AV. PROLONGACION CENTANARIO S/N FERROLES</t>
  </si>
  <si>
    <t>PETRÓLEO INDUSTRIAL Nº 4,PETRÓLEO INDUSTRIAL Nº 5,PETRÓLEO INDUSTRIAL Nº 500,PETRÓLEO INDUSTRIAL Nº 6</t>
  </si>
  <si>
    <t>CESAR ALBERTO VERA TELLO</t>
  </si>
  <si>
    <t>150147-046-290720</t>
  </si>
  <si>
    <t>JUAN RICARDO DEL CASTILLO ROJAS</t>
  </si>
  <si>
    <t>CAR.FERNANDO BELAUNDE TERRY S/N – JUANJUICILLO</t>
  </si>
  <si>
    <t>MARISCAL CACERES</t>
  </si>
  <si>
    <t>JUANJUI</t>
  </si>
  <si>
    <t>150146-046-240720</t>
  </si>
  <si>
    <t>EMR INGENIERIA Y CONSTRUCCION E.I.R.L.</t>
  </si>
  <si>
    <t>MZ. B10 LOTE 14 URB. SOL DE PIURA</t>
  </si>
  <si>
    <t xml:space="preserve">EDER FLAVIO MELENDRES CHUQUILLANQUE </t>
  </si>
  <si>
    <t>148345-046-171219</t>
  </si>
  <si>
    <t>COMBUSTIBLES DEL CHIRA &amp; SERVICIOS GENERALES E.I.R.L.</t>
  </si>
  <si>
    <t xml:space="preserve">AV. PANAMERICANA N°400 URB. SANTA ROSA </t>
  </si>
  <si>
    <t>PEÑA DE LA CRUZ LUIS ALBERTO</t>
  </si>
  <si>
    <t>151842-046-121020</t>
  </si>
  <si>
    <t>GRUPO CONGERSA E.I.R.L.</t>
  </si>
  <si>
    <t>JR BELLIDO 851 BARRIO MAGDALENA</t>
  </si>
  <si>
    <t>AMILTON HUAÑA RAMOS</t>
  </si>
  <si>
    <t>144053-046-200519</t>
  </si>
  <si>
    <t>PRODUCTOS HIDROBIOLOGICOS J Y A E.I.R.L.</t>
  </si>
  <si>
    <t>CALLE VENEZUELA MZA. C-14, LOTE 23, AA.HH. SANTA JULIA</t>
  </si>
  <si>
    <t>SABA LORO JOSE ANGEL CUSTODIO</t>
  </si>
  <si>
    <t>149809-046-290620</t>
  </si>
  <si>
    <t>ANA MARIA MENDOZA ESTEBAN DE VILLALVA</t>
  </si>
  <si>
    <t xml:space="preserve">JR. JOSE OLAYA NRO. 711 </t>
  </si>
  <si>
    <t>PILCOMAYO</t>
  </si>
  <si>
    <t>ASFALTO LÍQUIDO MC-30,ASFALTO LÍQUIDO MC-70,ASFALTO LÍQUIDO RC-250,BREA,CEMENTO ASFÁLTICO 120-150,CEMENTO ASFÁLTICO 40-50,CEMENTO ASFÁLTICO 60-70,CEMENTO ASFÁLTICO 85-100,DIESEL B5,Diesel B5 S-50,PETRÓLEO INDUSTRIAL Nº 500,PETRÓLEO INDUSTRIAL Nº 6</t>
  </si>
  <si>
    <t>144052-046-160220</t>
  </si>
  <si>
    <t>COMERCIALIZACION Y DISTRIBUCION DE PETROLEO Y GAS S.A.C.</t>
  </si>
  <si>
    <t>MZ. 242 LOTE 02 ZONA INDUSTRIAL</t>
  </si>
  <si>
    <t>YARLEQUE GUTIERREZ JOSE HUMBERTO</t>
  </si>
  <si>
    <t>144051-046-200519</t>
  </si>
  <si>
    <t>SHERIDAN ENTERPRISES S.A.C.</t>
  </si>
  <si>
    <t>AV. LAS CASUARINAS N° 243 URB. SANTA ISABEL</t>
  </si>
  <si>
    <t>SHERIDAN GEORGE DICKINSON ARTADI</t>
  </si>
  <si>
    <t>149965-046-130720</t>
  </si>
  <si>
    <t>EMPRESA DE TRANSPORTES PALOMINO MARTINEZ E.I.R.L.</t>
  </si>
  <si>
    <t xml:space="preserve">AV. MARIATEGUI NRO. 441 </t>
  </si>
  <si>
    <t>PEDRO PALOMINO MARTINEZ</t>
  </si>
  <si>
    <t>144050-046-200519</t>
  </si>
  <si>
    <t>JOSCANA S.A.C.</t>
  </si>
  <si>
    <t>CAR. III ETAPA MZ. J LOTE 04 ZONA INDUSTRIAL</t>
  </si>
  <si>
    <t>FRANCISCO JHONNY AREVALO QUISPE</t>
  </si>
  <si>
    <t>144056-046-200519</t>
  </si>
  <si>
    <t>AUGUSTO CURO BENITES S.R.L.</t>
  </si>
  <si>
    <t>CARRETERA SECHURA - PARACHIQUE KM. 1</t>
  </si>
  <si>
    <t xml:space="preserve">VICTOR AUGUSTO CURO BENITES </t>
  </si>
  <si>
    <t>144055-046-200819</t>
  </si>
  <si>
    <t>TUME ECA PASCUAL FELIPE</t>
  </si>
  <si>
    <t>CALLE CESAR PINGLO N° 322</t>
  </si>
  <si>
    <t>ASFALTO LÍQUIDO MC-30,ASFALTO LÍQUIDO RC-250,BREA,CEMENTO ASFÁLTICO 60-70,CGN SOLVENTE,DIESEL B5,Diesel B5 S-50,HEXANO,LUBRICANTES,PENTANO,PETRÓLEO INDUSTRIAL Nº 500,PETRÓLEO INDUSTRIAL Nº 6,SOLVENTE 1</t>
  </si>
  <si>
    <t>PASCUAL FELIPE TUME ECA</t>
  </si>
  <si>
    <t>144054-046-200519</t>
  </si>
  <si>
    <t>TRANSPORTES Y SERVICIOS DOIG S.A.C</t>
  </si>
  <si>
    <t>CAR. PIURA - PAITA KM 1 CENT PIURA (FRENTE A SUB ESTACIÓN DE LUZ)</t>
  </si>
  <si>
    <t>KANDY GIOVANNA TIPACTI GALLO</t>
  </si>
  <si>
    <t>144844-046-100719</t>
  </si>
  <si>
    <t>SC &amp; C CONTRATISTAS GENERALES SOCIEDAD ANONIMA CERRADA</t>
  </si>
  <si>
    <t>AV. LIMA N° 1289 . DPTO. 201</t>
  </si>
  <si>
    <t>SAN MIGUEL</t>
  </si>
  <si>
    <t>RICARDO CAMPOS CASTILLO</t>
  </si>
  <si>
    <t>143783-046-200519</t>
  </si>
  <si>
    <t>DISTRIBUIDORA DE COMBUSTIBLES Y ANEXOS NCB S.A.C. (DICOM NCB S.A.C.)</t>
  </si>
  <si>
    <t>AV. NESTOR GAMBETA KM. 13.5 CARRETERA A VENTANILL</t>
  </si>
  <si>
    <t>PETRÓLEO INDUSTRIAL Nº 4,PETRÓLEO INDUSTRIAL Nº 5,PETRÓLEO INDUSTRIAL Nº 500</t>
  </si>
  <si>
    <t>143784-046-200519</t>
  </si>
  <si>
    <t>VALGOT S.A.C.</t>
  </si>
  <si>
    <t>PROLONGACION AV. CENTENARIO N° 475</t>
  </si>
  <si>
    <t>DIESEL B5,Diesel B5 S-50,PETRÓLEO INDUSTRIAL Nº 5,PETRÓLEO INDUSTRIAL Nº 500,PETRÓLEO INDUSTRIAL Nº 6</t>
  </si>
  <si>
    <t>TERESA OLINDA ELERA TELLO</t>
  </si>
  <si>
    <t>148995-046-280120</t>
  </si>
  <si>
    <t>VEROCAR E.I.R.L.</t>
  </si>
  <si>
    <t>URBANIZACION LUIS E. VALCARCEL MZ. 52 LOTE 22</t>
  </si>
  <si>
    <t>VERONICA SOTO LLASA DE RODRIGUEZ</t>
  </si>
  <si>
    <t>143785-046-200519</t>
  </si>
  <si>
    <t>CAMISEA COMBUSTIBLES S.R.L.</t>
  </si>
  <si>
    <t>PROLONGACION CENTENARIO S/N. URB. INDUSTRIAL LOS FERROLES</t>
  </si>
  <si>
    <t>ZAPANA MORALES, RUDY ALBERTO</t>
  </si>
  <si>
    <t>143786-046-200519</t>
  </si>
  <si>
    <t>EMPRESA COMERCIALIZADORA DE HIDROCARBUROS S.A.C.</t>
  </si>
  <si>
    <t>JR. CUZCO N° 4103</t>
  </si>
  <si>
    <t>WISA CHAVEZ, MARGOT MONICA</t>
  </si>
  <si>
    <t>144049-046-200519</t>
  </si>
  <si>
    <t>TRANSPORTES Y SERVICIOS MARINES E.I.R.L.</t>
  </si>
  <si>
    <t>AV. LORETO N° 650 INT. 209</t>
  </si>
  <si>
    <t>MARY CARMEN OTERO CASTILLO</t>
  </si>
  <si>
    <t>144048-046-200519</t>
  </si>
  <si>
    <t>OLEOCENTRO Y SERVICIOS SAN PEDRO E.I.R.L.</t>
  </si>
  <si>
    <t>CALLE LA PAZ MZ. 30 LOTE 1 A.H. SAN PEDRO</t>
  </si>
  <si>
    <t>CARLOS VILLEGAS RAMIREZ</t>
  </si>
  <si>
    <t>144047-046-200519</t>
  </si>
  <si>
    <t>CONSORCIO MUZA S.A.C.</t>
  </si>
  <si>
    <t>CALLE LIMA N° 536 INT. 101</t>
  </si>
  <si>
    <t>JORGE ANTONIO MUNDACA GAYOSO</t>
  </si>
  <si>
    <t>150158-046-300720</t>
  </si>
  <si>
    <t>RED INTERNACIONAL DE COMBUSTIBLE Y SERVICIO AUTOMOTRIZ E.I.R.L.</t>
  </si>
  <si>
    <t>AV. NICOLAS ARRIOLA NRO. 1003 URB. LA POLVORA</t>
  </si>
  <si>
    <t>RICARDO ALEJANDRO ROJAS CALDERON</t>
  </si>
  <si>
    <t>145921-046-190819</t>
  </si>
  <si>
    <t>J.V.P INGENIEROS CONSTRUCTORES SOCIEDAD COMERCIAL DE RESPONSABILIDAD LIMITADA</t>
  </si>
  <si>
    <t>URB. EL BOSQUE MZ. V LOTE 18</t>
  </si>
  <si>
    <t>CHUQUILLANQUI CHINGUEL PEDRO FERNANDO</t>
  </si>
  <si>
    <t>143847-046-200519</t>
  </si>
  <si>
    <t xml:space="preserve">MUNICIPALIDAD DE CHORRILLOS </t>
  </si>
  <si>
    <t>AV. DEFENSORES DEL MORRO N° 550</t>
  </si>
  <si>
    <t>AUGUSTO MIYASHIRO YAMASHIRO</t>
  </si>
  <si>
    <t>143778-046-200519</t>
  </si>
  <si>
    <t>PEDRO ELERA CASTRO</t>
  </si>
  <si>
    <t>PROLONG. AV. CENTENARIO S/N. ZONA INDUST. LOS FERROLES</t>
  </si>
  <si>
    <t>ELERA CASTRO, PEDRO LORENZO</t>
  </si>
  <si>
    <t>150160-046-240720</t>
  </si>
  <si>
    <t>GRIFO PAKAY S.R.L.</t>
  </si>
  <si>
    <t>CALLE UNION S/N - PACAIPAMPA</t>
  </si>
  <si>
    <t>PACAIPAMPA</t>
  </si>
  <si>
    <t>ASFALTO LÍQUIDO MC-30,ASFALTO LÍQUIDO RC-250,BREA,CEMENTO ASFÁLTICO 60-70,Diesel B5 S-50,LUBRICANTES,PETRÓLEO INDUSTRIAL Nº 500,PETRÓLEO INDUSTRIAL Nº 6,SOLVENTE 1,SOLVENTE 3</t>
  </si>
  <si>
    <t xml:space="preserve">DIOMEDES SOTO LOPEZ </t>
  </si>
  <si>
    <t>143777-046-200519</t>
  </si>
  <si>
    <t>MERCEDES SILVIA TAYPE OLIVARES</t>
  </si>
  <si>
    <t>NESTOR GAMBETTA N° 319</t>
  </si>
  <si>
    <t>TAYPE OLIVARES, MERCEDES SILVIA</t>
  </si>
  <si>
    <t>143850-046-200519</t>
  </si>
  <si>
    <t>PAR GAS S.A.C.</t>
  </si>
  <si>
    <t>CONDOMINIO KAN KUN N° 5 - N INTERIOR 8</t>
  </si>
  <si>
    <t>RAFAEL AUGUSTO TEMPLE</t>
  </si>
  <si>
    <t>143780-046-200519</t>
  </si>
  <si>
    <t>FABIOLA LILIAM CONTRERAS IPARRAGUIRRE</t>
  </si>
  <si>
    <t>CALLE MANUEL ARISPE Nª 177 - 179 (ALT. CDRA 12 AV. ARGENTINA)</t>
  </si>
  <si>
    <t>CONTRERAS IPARRAGUIRRE, FABIOLA LILIAM</t>
  </si>
  <si>
    <t>143779-046-200519</t>
  </si>
  <si>
    <t>YOLANDA CUADROS DE BARBOZA</t>
  </si>
  <si>
    <t>BAHÍA SAN JUAN 160 - 3ER PISO -ASTETE MARANGA</t>
  </si>
  <si>
    <t>RESIDUAL ASFALTICO</t>
  </si>
  <si>
    <t>143851-046-200519</t>
  </si>
  <si>
    <t>COMERCIO Y TRANSPORTE DE HIDROCARBUROS AYLIN E.I.R.L.</t>
  </si>
  <si>
    <t>CALLE TITANES MZ. N2 LOTE 5 URB. LA CAMPIÑA</t>
  </si>
  <si>
    <t>ALEXANDER JHON CAMPOS SIERRA</t>
  </si>
  <si>
    <t>143848-046-200519</t>
  </si>
  <si>
    <t>THOR CONTAINER S.A.C. (EMBARGO RES 0230072895684)</t>
  </si>
  <si>
    <t>CALLE LOS FAISANES MZ. K LT. 16 - URB. LA CAMPIÑA</t>
  </si>
  <si>
    <t>DE LA CRUZ ORIOL, CARLOS ALBERTO</t>
  </si>
  <si>
    <t>143782-046-200519</t>
  </si>
  <si>
    <t>SERVICENTRO AGUKI S.A.</t>
  </si>
  <si>
    <t>AV. ELMER FAUCETT 5482</t>
  </si>
  <si>
    <t>MIRTHA KIYAN HIGA</t>
  </si>
  <si>
    <t>143781-046-200519</t>
  </si>
  <si>
    <t>EMPRESA COMERCIALIZADORA DE PETROLEO S.A.C.</t>
  </si>
  <si>
    <t>CALLE EDWIN WHITE N° 127 - 133, URB. INDUSTRIAL LA CHALACA</t>
  </si>
  <si>
    <t>ASFALTO LÍQUIDO MC-30,ASFALTO LÍQUIDO MC-70,ASFALTO LÍQUIDO RC-250,CEMENTO ASFÁLTICO 120-150,CEMENTO ASFÁLTICO 40-50,CEMENTO ASFÁLTICO 60-70,CEMENTO ASFÁLTICO 85-100,DIESEL B5,Diesel B5 S-50,PETRÓLEO INDUSTRIAL Nº 4,PETRÓLEO INDUSTRIAL Nº 5,PETRÓLEO INDUSTRIAL Nº 500,PETRÓLEO INDUSTRIAL Nº 6</t>
  </si>
  <si>
    <t xml:space="preserve">ELEODORO ALBERTO ELERA GONTI </t>
  </si>
  <si>
    <t>143849-046-200519</t>
  </si>
  <si>
    <t>CORPORACION PERUANA DE COMERCIO Y SERVICIOS S.A.C.</t>
  </si>
  <si>
    <t>AA.HH. VILLA NICOLAZA, PARCELA 2, LOTE A2-2, ASOC. VIVIENDA MARQUEZ DE CORPA</t>
  </si>
  <si>
    <t>MANUEL GODOY MALLQUI</t>
  </si>
  <si>
    <t>143854-046-200519</t>
  </si>
  <si>
    <t>EMPRESA DE TRANSPORTES Y SERVICIOS JTC TRANSPORT S.A.C.</t>
  </si>
  <si>
    <t>AV. SAN MARTIN MZA. H4 LT. 16 C20, P.J. TUPAC AMARU DE VILLA</t>
  </si>
  <si>
    <t>JESUS ANTONIO TIMOTEO CASANUEVA</t>
  </si>
  <si>
    <t>143855-046-200519</t>
  </si>
  <si>
    <t>A&amp;G OPERADORES DE COMBUSTIBLES S.A.C.</t>
  </si>
  <si>
    <t>AV. CABALLERO DE ALCANTARA N° 170 URB LA ENCANTADA</t>
  </si>
  <si>
    <t>CELESTINO SEBASTIAN GARRIDO GARCIA</t>
  </si>
  <si>
    <t>143852-046-250619</t>
  </si>
  <si>
    <t>INVERSIONES Y NEGOCIOS RIMAC E.I.R.L.</t>
  </si>
  <si>
    <t xml:space="preserve">CALLE EL UNIVERSO N° 319 INT. 03. URB. LA CAMPIÑA ZONA 05 </t>
  </si>
  <si>
    <t xml:space="preserve">ONOFRE AGUIRRE MARIA </t>
  </si>
  <si>
    <t>143853-046-200519</t>
  </si>
  <si>
    <t>HWR COMBUSTIBLES &amp; SERVICIOS S.A.C.</t>
  </si>
  <si>
    <t>AV. 12 DE OCTUBRE MZ. AZ LOTE 5 URB. DELICIAS DE VILLA CHORRILLOS</t>
  </si>
  <si>
    <t>ROGER DURAND SABROSO</t>
  </si>
  <si>
    <t>145924-046-160819</t>
  </si>
  <si>
    <t>EXPLORACIONES RONING S.A.C.</t>
  </si>
  <si>
    <t>CALLE 11 MZ.E1 LOTE 19 URB. SAN ISIDRO</t>
  </si>
  <si>
    <t>CARLOS ALBERTO SANCHEZ YPARRAGUIRRE</t>
  </si>
  <si>
    <t>143856-046-200519</t>
  </si>
  <si>
    <t xml:space="preserve">PETRO EXPRESS S.A.C. </t>
  </si>
  <si>
    <t>ALAMEDA SAN JUAN DE BUENAVISTA MZ. E LOTE 16 URB. LA ENCANTADA</t>
  </si>
  <si>
    <t xml:space="preserve">BESSIE PATRICIA CARRERA INCHAUSTEGUI </t>
  </si>
  <si>
    <t>146908-046-061019</t>
  </si>
  <si>
    <t>CONSTRUCTORA LOS CASTILLOS DEL SUR S.A.C.</t>
  </si>
  <si>
    <t xml:space="preserve">CALLE SAN JOSÉ Nº 322 DEPARTAMENTO 4 </t>
  </si>
  <si>
    <t>WILFREDO CHAMPI TARIFA</t>
  </si>
  <si>
    <t>144040-046-170719</t>
  </si>
  <si>
    <t>ESTACION DE SERVICIO Y GASOCENTRO MIRAFLORES S.C.R.L.</t>
  </si>
  <si>
    <t>CARRETERA PANAMERICANA SUR KM. 1 URB. MIRAFLORES</t>
  </si>
  <si>
    <t>ROLANDO ENRIQUE EYZAGUIRRE ESPINOZA</t>
  </si>
  <si>
    <t>144039-046-200519</t>
  </si>
  <si>
    <t>COMBUSTIBLES SANTA MARIA E.I.R.L.</t>
  </si>
  <si>
    <t>MZ. P LOTE 11 A.H. MARIA GORETTI</t>
  </si>
  <si>
    <t>YOVANI PIÑIN GARCIA</t>
  </si>
  <si>
    <t>144042-046-200519</t>
  </si>
  <si>
    <t>COMERCIALIZACION LIA S.R.L.</t>
  </si>
  <si>
    <t>CASERIO LA LEGUA S/N</t>
  </si>
  <si>
    <t>CATACAOS</t>
  </si>
  <si>
    <t>TEJADA ZAPATA SEGUNDO ALFREDO</t>
  </si>
  <si>
    <t>144041-046-200519</t>
  </si>
  <si>
    <t>TRANSPORTES Y SERVICIOS GENERALES LARA E.I.R.L</t>
  </si>
  <si>
    <t>AH. VILLA EL TRIUNFO MZ. A LOTE 14</t>
  </si>
  <si>
    <t>PETRÓLEO INDUSTRIAL Nº 500</t>
  </si>
  <si>
    <t>CARLOS HECTOR LARA MORAN</t>
  </si>
  <si>
    <t>144044-046-200519</t>
  </si>
  <si>
    <t>ANCAJIMA SAAVEDRA MILTON CESAR</t>
  </si>
  <si>
    <t>A.H. 18 DE MAYO MZA. C LOTE 22 PIURA</t>
  </si>
  <si>
    <t>144043-046-200519</t>
  </si>
  <si>
    <t>AARON RODRIGUEZ CARDOZA</t>
  </si>
  <si>
    <t>URB. SAN EDUARDO MZ. B2 LOTE 23</t>
  </si>
  <si>
    <t>144046-046-160220</t>
  </si>
  <si>
    <t>ESTACION DE SERVICIOS VICE S.A.C.</t>
  </si>
  <si>
    <t xml:space="preserve">MZA. 242 LOTE 01 ZONA INDUSTRIAL </t>
  </si>
  <si>
    <t xml:space="preserve">WILLIAM DAVID GOICOCHEA MECHATO </t>
  </si>
  <si>
    <t>144045-046-200519</t>
  </si>
  <si>
    <t>TRANSPORTES Y REPRESENTACIONES GOICOCHEA E.I.R.L.</t>
  </si>
  <si>
    <t>JR H. MZ. 242 LOTE 01 ZONA INDUSTRIAL</t>
  </si>
  <si>
    <t xml:space="preserve">GOICOCHEA MECHATO WILLIAM DAVID </t>
  </si>
  <si>
    <t>143774-046-200519</t>
  </si>
  <si>
    <t>LA ESPERANZA TRANSPORTES Y SERVICIOS S.A.</t>
  </si>
  <si>
    <t>CALLE DORA MAYER # 144, URB. ESTELLA MARIS</t>
  </si>
  <si>
    <t>BELLAVISTA</t>
  </si>
  <si>
    <t>MABEL MERCEDES LEON HUBERT</t>
  </si>
  <si>
    <t>143775-046-200519</t>
  </si>
  <si>
    <t>CEJESI S.R.L.</t>
  </si>
  <si>
    <t>AV. PEDRO PAULET Nº 190</t>
  </si>
  <si>
    <t>TEJADA GUERRA, CESAR RODOLFO</t>
  </si>
  <si>
    <t>143772-046-200519</t>
  </si>
  <si>
    <t xml:space="preserve">MULTISERVICIOS KINDER GARDEN E.I.R.L. </t>
  </si>
  <si>
    <t>AV. HUANUCO N° 340</t>
  </si>
  <si>
    <t>OYON</t>
  </si>
  <si>
    <t>TEOFILO MARCELINO MENDOZA TELLO</t>
  </si>
  <si>
    <t>143773-046-200519</t>
  </si>
  <si>
    <t>CESAR RODOLFO TEJADA GUERRA</t>
  </si>
  <si>
    <t>149958-046-130720</t>
  </si>
  <si>
    <t>TRANSPORTES ZAVALETA ROSAS E.I.R.L.</t>
  </si>
  <si>
    <t>CALLE CAMILO BRENT N° 671 URB. SANTO DOMINGUITO</t>
  </si>
  <si>
    <t>LENIN RODER ZAVALETA ROSAS</t>
  </si>
  <si>
    <t>149652-046-140620</t>
  </si>
  <si>
    <t>TRANSPORTE DE CARGA GUIZADO S.A.C</t>
  </si>
  <si>
    <t>AV. SEQUICENTENARIO NRO. 1202</t>
  </si>
  <si>
    <t>ANDAHUAYLAS</t>
  </si>
  <si>
    <t xml:space="preserve">JUAN CARLOS GUIZADO PALOMINO </t>
  </si>
  <si>
    <t>144038-046-200519</t>
  </si>
  <si>
    <t>SERVICIOS GENERALES B &amp; T. HIRING S.R.L.</t>
  </si>
  <si>
    <t>MZ. P LOTE 11A.H. MARIA GORETTI</t>
  </si>
  <si>
    <t>DIESEL</t>
  </si>
  <si>
    <t>REYES MENDOZA, TRILCE YUVITZA</t>
  </si>
  <si>
    <t>143776-046-200519</t>
  </si>
  <si>
    <t>CEFERINO ELERA CASTRO</t>
  </si>
  <si>
    <t>CALLE 2 MZ. B LOTE 18 URB. GRIMANESA</t>
  </si>
  <si>
    <t>DIESEL B5,PETRÓLEO INDUSTRIAL Nº 500,PETRÓLEO INDUSTRIAL Nº 6</t>
  </si>
  <si>
    <t>ELERA CASTRO, CEFERINO</t>
  </si>
  <si>
    <t>144037-046-200519</t>
  </si>
  <si>
    <t>RAFAEL ANTONIO BURGOS RIVAS</t>
  </si>
  <si>
    <t>CALLE AUGUSTO SALAZAR BONDY Nº 352 CAMPO POLO</t>
  </si>
  <si>
    <t>149494-046-230320</t>
  </si>
  <si>
    <t>TRANSPORTE DE SERVICIO REY JESUS E.I.R.L.</t>
  </si>
  <si>
    <t>URB. BUENOS AIRES, CAL. BUENOS AIRES MZ. B1 LOTE 15</t>
  </si>
  <si>
    <t>SANTA</t>
  </si>
  <si>
    <t>NUEVO CHIMBOTE</t>
  </si>
  <si>
    <t xml:space="preserve">KEVIN ANTONIO CHAUCA QUEZADA </t>
  </si>
  <si>
    <t>143767-046-200519</t>
  </si>
  <si>
    <t>PETRO PLUS S.A.C.</t>
  </si>
  <si>
    <t>CALLE CARLOS GONZALES No 275 OF. 307 7TA ETAPA-MARANGA</t>
  </si>
  <si>
    <t>CASTILLO RABORG, MARIA LAURA</t>
  </si>
  <si>
    <t>150166-046-110920</t>
  </si>
  <si>
    <t>PETRO FIEL S.A.C.</t>
  </si>
  <si>
    <t>MZA. F. LOTE 18 RES. LOS ÁNGELES DE CARABAYLLO</t>
  </si>
  <si>
    <t>JHON KENEDY DIAZ SUAREZ</t>
  </si>
  <si>
    <t>143837-046-200519</t>
  </si>
  <si>
    <t>INVERSIONES &amp; SERVICIOS SG S.A.C.</t>
  </si>
  <si>
    <t xml:space="preserve">CARRETERA HUARAZ-CARAZ KM. 230 </t>
  </si>
  <si>
    <t>CARHUAZ</t>
  </si>
  <si>
    <t>ACOPAMPA</t>
  </si>
  <si>
    <t>143771-046-200519</t>
  </si>
  <si>
    <t xml:space="preserve">ISRAEL GAYOSO DUEÑAS MEZA </t>
  </si>
  <si>
    <t>JR. LIMA N° 170</t>
  </si>
  <si>
    <t>ISRAEL GAYOSO DUEÑAS MEZA</t>
  </si>
  <si>
    <t>143838-046-200519</t>
  </si>
  <si>
    <t xml:space="preserve">MULTISERVICIOS KEMIT E.I.R.L. </t>
  </si>
  <si>
    <t>UCV. 177 LOTE 4 A.H. HUAYCAN ZONA N</t>
  </si>
  <si>
    <t>GLADYS SANTA ANA SUAREZ EVARISTO</t>
  </si>
  <si>
    <t>143770-046-241019</t>
  </si>
  <si>
    <t>INDUSTRIAS EUROAMERICA S.A.C.</t>
  </si>
  <si>
    <t>CALLE SERGIO BERNALES N° 119. URB LAS LEYENDAS</t>
  </si>
  <si>
    <t>ASFALTO LÍQUIDO MC-30,ASFALTO LÍQUIDO MC-70,ASFALTO LÍQUIDO RC-250,ASFALTO LÍQUIDO RC-70,BREA,CEMENTO ASFÁLTICO 10-20,CEMENTO ASFÁLTICO 120-150,CEMENTO ASFÁLTICO 20-30,CEMENTO ASFÁLTICO 40-50,CEMENTO ASFÁLTICO 60-70,CEMENTO ASFÁLTICO 85-100,Diesel B5 S-50,PETRÓLEO INDUSTRIAL Nº 500,PETRÓLEO INDUSTRIAL Nº 6</t>
  </si>
  <si>
    <t>ISIDRO EUSEBIO FLORES JARAMILLO</t>
  </si>
  <si>
    <t>143769-046-200519</t>
  </si>
  <si>
    <t>TPT PETROLEOS S.A.C</t>
  </si>
  <si>
    <t>AV. ELMER FAUCETT NRO. 303 DPTO 302</t>
  </si>
  <si>
    <t>ANA ISABEL VALERA MURO</t>
  </si>
  <si>
    <t>149492-046-130320</t>
  </si>
  <si>
    <t>E.E.S.S. LIBERTAD E.I.R.L.</t>
  </si>
  <si>
    <t>AV. HABILITACION URBANA MUNICIPAL ESQUINA PASAJE N° 8 MZ. G-2 LOTE 10</t>
  </si>
  <si>
    <t>WILVER HUAMAN ROMERO</t>
  </si>
  <si>
    <t>143839-046-200519</t>
  </si>
  <si>
    <t xml:space="preserve">INVERSIONES HEGOR S.A.C. </t>
  </si>
  <si>
    <t>A.H. MICAELA BASTIDAS SECTOR II, MZA. J LOTE 24</t>
  </si>
  <si>
    <t>EDELBERTO MAXIMO GOMEZ RAMOS</t>
  </si>
  <si>
    <t>143840-046-200519</t>
  </si>
  <si>
    <t>TRANSPORTES IÑAKI E.I.R.L</t>
  </si>
  <si>
    <t>AV. SEPARADORA INDUSTRIAL MZ. A1, LOTE 03. 1RA. ETAPA - ASOC. EL ROSAL DE SANTA ANITA</t>
  </si>
  <si>
    <t>DAVID RICARDO YURIVILCA ESTRADA</t>
  </si>
  <si>
    <t>143768-046-200519</t>
  </si>
  <si>
    <t>INVERSIONES PETROBAKO S.A.C.</t>
  </si>
  <si>
    <t>AV. BRIGIDA DE OCHOA Nº 398, DPTO 403, URB. PANDO</t>
  </si>
  <si>
    <t>ANSELMO MANAYAY CALDERON</t>
  </si>
  <si>
    <t>143841-046-200519</t>
  </si>
  <si>
    <t>MARIA ONOFRE AGUIRRE</t>
  </si>
  <si>
    <t>ALFONSO COBIAN MZ- I LTE- 10</t>
  </si>
  <si>
    <t>CHACLACAYO</t>
  </si>
  <si>
    <t>143842-046-200519</t>
  </si>
  <si>
    <t>K &amp; E TRANSPORT S.A.C.</t>
  </si>
  <si>
    <t xml:space="preserve">URB. LOS JARDINES DEL CUADRO MZ. M LT. 27 </t>
  </si>
  <si>
    <t>ANGELICA FLOR ALVITES PUCURIMAY</t>
  </si>
  <si>
    <t>143843-046-200519</t>
  </si>
  <si>
    <t xml:space="preserve">COMERCIAL BIGIL E.I.R.L. </t>
  </si>
  <si>
    <t xml:space="preserve">AV NICOLAS AYLLON 418 DPTO 401 TORRE F CONDOMINIO DEL VALLE </t>
  </si>
  <si>
    <t>ALEJANDRO DAVID CAMPOS CALLUPE</t>
  </si>
  <si>
    <t>143845-046-200519</t>
  </si>
  <si>
    <t>EMPRESA DE TRANSPORTES GABEJU S.A.C.</t>
  </si>
  <si>
    <t>AV. NICOLAS AYLLÓN N° 418 DPTO. 401 TORRE F CONDOMINIO DEL VALLE</t>
  </si>
  <si>
    <t>JOSE CARLOS GARCIA BENITES</t>
  </si>
  <si>
    <t>143846-046-200519</t>
  </si>
  <si>
    <t>CARMANO S.R.L.</t>
  </si>
  <si>
    <t>CALLE HAITI N° 175 - URB. LOS LAURELES</t>
  </si>
  <si>
    <t>NOGUERA BEDOYA, RENE GUILLERMO</t>
  </si>
  <si>
    <t>145931-046-160819</t>
  </si>
  <si>
    <t>SERVICENTRO RAMIREZ S.A.C.</t>
  </si>
  <si>
    <t>AV. NICOLAS DE PIEROLA N°1390 URB. MOCHICA</t>
  </si>
  <si>
    <t>WILSON ADOLFO RAMIREZ SILVA</t>
  </si>
  <si>
    <t>149802-046-170820</t>
  </si>
  <si>
    <t>TARRILLO CASTILLO S.A.C.</t>
  </si>
  <si>
    <t>ASFALTO LÍQUIDO MC-30,ASFALTO LÍQUIDO MC-70,ASFALTO LÍQUIDO RC-250,ASFALTO LÍQUIDO RC-70,BREA,CEMENTO ASFÁLTICO 10-20,CEMENTO ASFÁLTICO 120-150,CEMENTO ASFÁLTICO 20-30,CEMENTO ASFÁLTICO 40-50,CEMENTO ASFÁLTICO 60-70,CEMENTO ASFÁLTICO 85-100,DIESEL B5,Diesel B5 S-50,LUBRICANTES,PETRÓLEO INDUSTRIAL Nº 4,PETRÓLEO INDUSTRIAL Nº 5,PETRÓLEO INDUSTRIAL Nº 500,PETRÓLEO INDUSTRIAL Nº 6,SOLVENTE 1,SOLVENTE 3</t>
  </si>
  <si>
    <t>EMMANUEL FABRICIO TARRIO CASTILLO</t>
  </si>
  <si>
    <t>144070-046-200519</t>
  </si>
  <si>
    <t>PESQUERA NOR PRODUCTOS S.R.L.</t>
  </si>
  <si>
    <t>BARRIO STAFF N 1074</t>
  </si>
  <si>
    <t>JACINTO FLORES ROSA ISABEL</t>
  </si>
  <si>
    <t>143766-046-200519</t>
  </si>
  <si>
    <t>BRITANNIA COMBUSTIBLES S.A.C. - BRITCOMB S.A.C.</t>
  </si>
  <si>
    <t>AV. ALAMEDA AGUA MARINA MZ. EB LT. 5</t>
  </si>
  <si>
    <t>BAHAMONDE LA, HOZ HERNAN ANTONIO</t>
  </si>
  <si>
    <t>143765-046-200519</t>
  </si>
  <si>
    <t>ABASTECEDOR RODANTE DE COMBUSTIBLES LIQUIDOS E.I.R.L.</t>
  </si>
  <si>
    <t>AV. TANTAMAYO Y AV. PACASMAYO MZ. B - LT. 1 - ASOC. SAN JUAN BAUTISTA</t>
  </si>
  <si>
    <t>YHONI MARCELINO QUIROZ PONCE</t>
  </si>
  <si>
    <t>144071-046-200519</t>
  </si>
  <si>
    <t>ALEMAR S.R.L.</t>
  </si>
  <si>
    <t xml:space="preserve">CALLE ANCASH N° 510 SECTOR LA DRAGA-NEGRITOS </t>
  </si>
  <si>
    <t>LA BREA</t>
  </si>
  <si>
    <t>DAVID WILFREDO FRANCO ROJAS</t>
  </si>
  <si>
    <t>144068-046-291119</t>
  </si>
  <si>
    <t>COMBUSTIBLES Y TRANSPORTES UGAZ E.I.R.L.</t>
  </si>
  <si>
    <t>MZ. A LOTE 3 URB. MARIANO SANTOS</t>
  </si>
  <si>
    <t>UGAZ REQUENA ROSANGELICA</t>
  </si>
  <si>
    <t>144069-046-200519</t>
  </si>
  <si>
    <t>EXAMOVA MAQUINARIAS Y SERVICIOS E.I.R.L.</t>
  </si>
  <si>
    <t>CALLE LOS GIRASOLES MZ. H2 LOTE 11 URB. JARDIN II ETAPA</t>
  </si>
  <si>
    <t>EXAR ARMANDO MOGOLLON VALDIVIEZO</t>
  </si>
  <si>
    <t>143762-046-200519</t>
  </si>
  <si>
    <t>INVERSIONES L &amp; C ASOCIADOS S.A.C.</t>
  </si>
  <si>
    <t>URB. LAS CASUARINAS MZ. J LT. 28</t>
  </si>
  <si>
    <t>LUCY ARACELY LOPEZ CARRASCO</t>
  </si>
  <si>
    <t>144067-046-200519</t>
  </si>
  <si>
    <t>NORCAMT CONSTRUCTORES S.A.C.</t>
  </si>
  <si>
    <t>CALLE BOLOGNESI N° 332</t>
  </si>
  <si>
    <t>JORGE DAVID CAMINO HUAYAMA</t>
  </si>
  <si>
    <t>143761-046-200519</t>
  </si>
  <si>
    <t>GRIFOS Y TRANSPORTES VENEZUELA S.A.C</t>
  </si>
  <si>
    <t>CALLE LOS GIRASOLES MZ. F LOTE 4 URB. CALIFORNIA</t>
  </si>
  <si>
    <t>JESSIKA TERESA SOTO MILLA</t>
  </si>
  <si>
    <t>143764-046-200519</t>
  </si>
  <si>
    <t>DISTRIBUIDOR MINORISTA DE COMBUSTIBLE S.A.C.</t>
  </si>
  <si>
    <t>AV. LOS ALISOS MZ. L LOTE 03 P.V TRES HORIZONTES</t>
  </si>
  <si>
    <t>ALEXANDER MATIAS AIME YAURI</t>
  </si>
  <si>
    <t>150180-046-260720</t>
  </si>
  <si>
    <t>TRANSPORTES JULIAN E.I.R.L.</t>
  </si>
  <si>
    <t>URB. EL SOL DEL CHACARERO MZ. C LT. 12</t>
  </si>
  <si>
    <t>143763-046-200519</t>
  </si>
  <si>
    <t>NEGOCIACIONES GIAMAR S.R.L.</t>
  </si>
  <si>
    <t>JR. TOMAS COCKRANE NRO. 3639 URB. CONDEVILLA</t>
  </si>
  <si>
    <t>MARLYTH CASTAÑEDA VASQUEZ</t>
  </si>
  <si>
    <t>144076-046-081119</t>
  </si>
  <si>
    <t>INVERSIONES Y SERVICIOS SAN PEDRO S.A.C.</t>
  </si>
  <si>
    <t>AV. B - 147 2DO PISO - TALARA</t>
  </si>
  <si>
    <t>ASFALTO LÍQUIDO MC-30,ASFALTO LÍQUIDO RC-250,BREA,CEMENTO ASFÁLTICO 60-70,CGN SOLVENTE,DIESEL B5,Diesel B5 S-50,LUBRICANTES,PETRÓLEO INDUSTRIAL Nº 500,PETRÓLEO INDUSTRIAL Nº 6,SOLVENTE 1,SOLVENTE 3</t>
  </si>
  <si>
    <t>JUAN MARCIANO YACUPOMA DAMIAN</t>
  </si>
  <si>
    <t>144074-046-200519</t>
  </si>
  <si>
    <t>ESTACION DE SERVICIOS SAN MARTIN S.R.L.</t>
  </si>
  <si>
    <t>AV. IGNACIO MERINO MZ. F LOTE 12</t>
  </si>
  <si>
    <t>GUNTER MARTIN XASTILLO GALLO</t>
  </si>
  <si>
    <t>144075-046-200519</t>
  </si>
  <si>
    <t xml:space="preserve">LAVALLE OBRAS Y SERVICIOS E.I.R.L </t>
  </si>
  <si>
    <t>MZ. B-41 PARQUE INDUSTRIAL TALARA ALTA</t>
  </si>
  <si>
    <t>ANGHELINA GEMMA FIGALLO DE FRANCESCH DE LAVALLE</t>
  </si>
  <si>
    <t>144072-046-200519</t>
  </si>
  <si>
    <t>JUAN FRANCISCO PINGO HUIMAN</t>
  </si>
  <si>
    <t>MZ. B3-LOTE 24 - URB. FAUSTINO PLAGGIO - FONAVI</t>
  </si>
  <si>
    <t>ASFALTO LÍQUIDO MC-30</t>
  </si>
  <si>
    <t>144073-046-200519</t>
  </si>
  <si>
    <t>NOEMI YADIRA VASQUEZ GARCIA</t>
  </si>
  <si>
    <t>PARCELA G LOTE D ZONA INDUSTRIAL</t>
  </si>
  <si>
    <t>151883-046-141020</t>
  </si>
  <si>
    <t xml:space="preserve">SAN DIEGO ALIANZA LOGISTICA EIRL </t>
  </si>
  <si>
    <t>MZA. G LT. 18 URB- AMAPROVI</t>
  </si>
  <si>
    <t>NAZCA</t>
  </si>
  <si>
    <t>ALEXIS FRANCISCO ROLDAN FAJARDO</t>
  </si>
  <si>
    <t>149663-046-220620</t>
  </si>
  <si>
    <t>ADRIANZEN ADRIANZEN JOSE EXNER</t>
  </si>
  <si>
    <t>CALLE AYABACA N° 415</t>
  </si>
  <si>
    <t>143757-046-200519</t>
  </si>
  <si>
    <t>GASNOR S.A.C.</t>
  </si>
  <si>
    <t>ALFREDO MENDIOLA 1067 - URB. PALAO</t>
  </si>
  <si>
    <t>VICENTE ENRIQUE MARCELO LOAYZA</t>
  </si>
  <si>
    <t>143758-046-200519</t>
  </si>
  <si>
    <t xml:space="preserve">CORPORACION PETROLERA SMITP E.I.R.L. </t>
  </si>
  <si>
    <t>JR. FILADELFIA NRO. 1793 INT. 201 URB. PERU</t>
  </si>
  <si>
    <t>SEGUNDO MIGUEL TIMOTEO PINTADO</t>
  </si>
  <si>
    <t>143759-046-200519</t>
  </si>
  <si>
    <t>ESPECIALISTAS EN CONCRETO ICOMISEM MIX S.A.C.</t>
  </si>
  <si>
    <t>LA PROVIV. LA PERLA II ETAPA MZA. A, LOTE10 (COSTADO COLEGIO NEUTHON)</t>
  </si>
  <si>
    <t>LIZ YOVANA USURIAGA GRADOS</t>
  </si>
  <si>
    <t>143760-046-200519</t>
  </si>
  <si>
    <t xml:space="preserve">SERVICIOS GENERALES JEAN PIERRE I S.A.C. </t>
  </si>
  <si>
    <t>MZ. L LOTE 22 SAN JUAN DE DIOS 1RA ETAPA</t>
  </si>
  <si>
    <t>144057-046-200519</t>
  </si>
  <si>
    <t>ESTACION DE SERVICIOS ILLESCAS S.A.C.</t>
  </si>
  <si>
    <t>CARRETERA SECHURA BAYOVAR KM. 22</t>
  </si>
  <si>
    <t>LUIS ENRIQUE NEIRA CRISANTO</t>
  </si>
  <si>
    <t>143756-046-200519</t>
  </si>
  <si>
    <t xml:space="preserve">PECOLOGICO S.A.C. </t>
  </si>
  <si>
    <t xml:space="preserve">MZ. F1 LOTE 37, ASOCIACION FRANCISCO DE CAYRAN </t>
  </si>
  <si>
    <t>PERCI JAIME ALVINO RAYNALDO</t>
  </si>
  <si>
    <t>144058-046-200519</t>
  </si>
  <si>
    <t>NEGOCIOS JHOKAMI E.I.R.L</t>
  </si>
  <si>
    <t>MZ M LOTE 43 AAHH LA FLORIDA</t>
  </si>
  <si>
    <t>VICTOR JHONNY SABA LORO</t>
  </si>
  <si>
    <t>144059-046-200519</t>
  </si>
  <si>
    <t>COMBUSTIBLE Y SERVICIOS ROCIO Y ARACELLY E.I.R.L.</t>
  </si>
  <si>
    <t>MZ. M LTE 17 A.H. LA FLORIDA DE SECHURA</t>
  </si>
  <si>
    <t>143755-046-200519</t>
  </si>
  <si>
    <t xml:space="preserve">CONSORCIO ENERGY PERU E.I.R.L. </t>
  </si>
  <si>
    <t>AV. SAN DIEGO DE ALCALA Nº 1000</t>
  </si>
  <si>
    <t>PERCY JEFFRI GONZALES BARDALES</t>
  </si>
  <si>
    <t>144060-046-200819</t>
  </si>
  <si>
    <t>DIOS PROVEERA FYC E.I.R.L.</t>
  </si>
  <si>
    <t xml:space="preserve">CINTIA MAGALY FIESTAS FIESTAS </t>
  </si>
  <si>
    <t>143754-046-200519</t>
  </si>
  <si>
    <t>JAVIMA TRANSPORTES S.A.C.</t>
  </si>
  <si>
    <t>AV. CARLOS IZAGUIRRE MZ. F LOTE 11 URB. ARIZONA</t>
  </si>
  <si>
    <t>JAVIER QUISPE HUAMAN</t>
  </si>
  <si>
    <t>143753-046-200519</t>
  </si>
  <si>
    <t xml:space="preserve">CONSORCIO RELSA S.A.C. </t>
  </si>
  <si>
    <t>JR. SAO PAULO N° 2478, INTERIOR A</t>
  </si>
  <si>
    <t xml:space="preserve">MUÑOZ ZEGARRA JUAN CARLOS </t>
  </si>
  <si>
    <t>143752-046-200519</t>
  </si>
  <si>
    <t>NOR BUILDING S.A.C.</t>
  </si>
  <si>
    <t>ASOCIACION VILLA EL AMAUTA MZ. F LOTE 22</t>
  </si>
  <si>
    <t>JORGE TOLENTINO GIRALDO CHINCHAY</t>
  </si>
  <si>
    <t>143751-046-200519</t>
  </si>
  <si>
    <t>NVR SERVICIOS GENERALES E.I.R.L.</t>
  </si>
  <si>
    <t>JR. BELLO HORIZONTE N° 2265</t>
  </si>
  <si>
    <t>YRMA LUZ ENRIQUEZ TORRES</t>
  </si>
  <si>
    <t>143226-046-200519</t>
  </si>
  <si>
    <t>AQUILINO GOMERO MARILUZ</t>
  </si>
  <si>
    <t>JR. GRAU S/N</t>
  </si>
  <si>
    <t>GOMERO MARILUZ, AQUILINO</t>
  </si>
  <si>
    <t>143225-046-200519</t>
  </si>
  <si>
    <t>RAMFAL S.A.C.</t>
  </si>
  <si>
    <t>CARRETERA HUARAZ - MONTERREY N° 475</t>
  </si>
  <si>
    <t>JESUS DAVID RAMIREZ PADILLA</t>
  </si>
  <si>
    <t>143750-046-200519</t>
  </si>
  <si>
    <t>INVERSIONES FAVINELL S.A.C.</t>
  </si>
  <si>
    <t>AV. CARLOS EYZAGUIRRE MZ. B, LT. 2 - RESIDENCIAL CALIFORNIA</t>
  </si>
  <si>
    <t>NELLY SARA GUARDIA LAGUNA</t>
  </si>
  <si>
    <t>144065-046-200519</t>
  </si>
  <si>
    <t>ENRIQUE WILLIAMS UGAZ DAVILA</t>
  </si>
  <si>
    <t>URB. MARIANO SANTOS MZ. A LOTE 3</t>
  </si>
  <si>
    <t>UGAZ DÃVILA, ENRIQUE WILLIAM</t>
  </si>
  <si>
    <t>143224-046-200519</t>
  </si>
  <si>
    <t xml:space="preserve">INVERSIONES ROSALES GROUP S.R.L. </t>
  </si>
  <si>
    <t>AV. CENTENARIO N° 251 BARRIO QUINUACOCHA</t>
  </si>
  <si>
    <t>CARMINA DIODOLINDA DOMINGUEZ BARRETO</t>
  </si>
  <si>
    <t>144066-046-200519</t>
  </si>
  <si>
    <t>SERVICIOS GENERALES VIVIANA E.I.R.L.</t>
  </si>
  <si>
    <t>MZ. D-2 LOTE 13 URB. JARDIN</t>
  </si>
  <si>
    <t>CARLOS ALBERTO FRANCO MOGOLLON</t>
  </si>
  <si>
    <t>143223-046-200519</t>
  </si>
  <si>
    <t>OMEGA MINERIA CONSTRUCCION Y SERVICIOS E.I.R.L.</t>
  </si>
  <si>
    <t>MALECON NORTE RIO QUILLCAY N° 425 URB. NICRUPAMPA</t>
  </si>
  <si>
    <t>HUGO EDGAR LLICAHUA CHINO</t>
  </si>
  <si>
    <t>143222-046-200519</t>
  </si>
  <si>
    <t>TRANSPORTES TURISMO 15 S.A.</t>
  </si>
  <si>
    <t>AV. INTEROCEÁNICA N° 133, BARRIO NUEVA FLORIDA</t>
  </si>
  <si>
    <t>EDGAR LUIS RODRÍGUEZ CACHA</t>
  </si>
  <si>
    <t>143221-046-200519</t>
  </si>
  <si>
    <t>EMPRESA DE TRANSPORTES GAMBINI S.R.L.</t>
  </si>
  <si>
    <t>AV. CENTENARIO N° 3404 ¿ BARRIO VICHAY</t>
  </si>
  <si>
    <t>GUILLERMO ANTONIO GAMBINI MEZA</t>
  </si>
  <si>
    <t>144061-046-200519</t>
  </si>
  <si>
    <t>MI ANGELITA S.A.C.</t>
  </si>
  <si>
    <t>CALLE ALFONSO UGARTE N 400</t>
  </si>
  <si>
    <t>VICE</t>
  </si>
  <si>
    <t>GONZALES RUMICHE, MANUEL DE LA CRUZ</t>
  </si>
  <si>
    <t>143220-046-200519</t>
  </si>
  <si>
    <t>AGAPITO EUSTAQUIO MARIANO PABLO</t>
  </si>
  <si>
    <t>PASAJE SANTA ROSA Nº 250 - BARRIO NUEVA FLORIDA</t>
  </si>
  <si>
    <t>143219-046-200519</t>
  </si>
  <si>
    <t>CONSORCIO INTEGRAL E &amp; S E.I.R.L.</t>
  </si>
  <si>
    <t>JR. GABINO URIBE MZA. 202, LOTE 05 BARRIO PEDREGAL ALTO</t>
  </si>
  <si>
    <t>EMERSON IDTMEN SANTIAGO BAZAN</t>
  </si>
  <si>
    <t>144062-046-200519</t>
  </si>
  <si>
    <t>INVERSIONES JHONNATAN E.I.R.L.</t>
  </si>
  <si>
    <t xml:space="preserve">JR. BOLIVAR N° 432 </t>
  </si>
  <si>
    <t xml:space="preserve">INVERSIONES JHONNATAN E.I.R.L. </t>
  </si>
  <si>
    <t>144063-046-200519</t>
  </si>
  <si>
    <t>INEXPORT SERVIS S.A.C</t>
  </si>
  <si>
    <t xml:space="preserve">CARRETERA PANAMERICANA N°98 </t>
  </si>
  <si>
    <t>JIMMY HANS HUIDOBRO RAMOS</t>
  </si>
  <si>
    <t>143218-046-200519</t>
  </si>
  <si>
    <t xml:space="preserve">INVERSIONES NAHIARA E.I.R.L. </t>
  </si>
  <si>
    <t>PROLONGACIÓN 27 DE NOVIEMBRE N° 1641 ¿ BARRIO VILLON BAJO</t>
  </si>
  <si>
    <t>JOSE LUIS BLACIDO CELESTINO</t>
  </si>
  <si>
    <t>143217-046-200519</t>
  </si>
  <si>
    <t>EMPRESA DE TRANSPORTES MOSNA TOURS S.A.C.</t>
  </si>
  <si>
    <t>JR. ITALIA N° 1140</t>
  </si>
  <si>
    <t>JUNER CONCEPCION ABARCA BLAS</t>
  </si>
  <si>
    <t>144064-046-200519</t>
  </si>
  <si>
    <t>H &amp; G ASOCIADOS S.A.C.</t>
  </si>
  <si>
    <t>CAR. SULLANA-PAITA KM. 12 C.P. SOJO</t>
  </si>
  <si>
    <t>MIGUEL CHECA</t>
  </si>
  <si>
    <t>HERNANDEZ BECERRA CARMEN YSABEL</t>
  </si>
  <si>
    <t>143227-046-200519</t>
  </si>
  <si>
    <t>WALTER DIOMIDES VILLAVICENCIO ARTOLA</t>
  </si>
  <si>
    <t>JR. NICOLAS DE PIEROLA N° 402</t>
  </si>
  <si>
    <t>143748-046-200519</t>
  </si>
  <si>
    <t>TRANSPORTES E INVERSIONES SANCHEZ S.A.C.</t>
  </si>
  <si>
    <t>CALLE MAGNO FERNANDEZ MZ. S LOTE 27 APV. LOS NISPEROS 1RA ETAPA</t>
  </si>
  <si>
    <t>EDGAR CHILCCE LEON</t>
  </si>
  <si>
    <t>143749-046-200519</t>
  </si>
  <si>
    <t>FCG NEGOCIOS Y SERVICIOS S.A.C.</t>
  </si>
  <si>
    <t>MZ. B LOTE 20 PROG. VIV. SAN CARLOS</t>
  </si>
  <si>
    <t>FELIX CANDIA GAVILAN</t>
  </si>
  <si>
    <t>143747-046-200519</t>
  </si>
  <si>
    <t>EMPRESA DE TRANSPORTES MODIHU S.A.C.</t>
  </si>
  <si>
    <t>ASOCIACION LOS CHASQUIS MZ.E LT. 23</t>
  </si>
  <si>
    <t>TEOFILO BERTO GONZALES</t>
  </si>
  <si>
    <t>151871-046-151020</t>
  </si>
  <si>
    <t>TAMUSO INTEGRANDO COMUNIDADES S.A.C.</t>
  </si>
  <si>
    <t>BARRIO PAMPAÑA S/N</t>
  </si>
  <si>
    <t>TAMBOBAMBA</t>
  </si>
  <si>
    <t xml:space="preserve">JESUS VARGAS HUARCAYA </t>
  </si>
  <si>
    <t>144780-046-220619</t>
  </si>
  <si>
    <t>OLIGO S.A.C.</t>
  </si>
  <si>
    <t>PROLONG. AV. ANTONIO LORENA S/N</t>
  </si>
  <si>
    <t xml:space="preserve">JOSEPH KENNETH SALAS JUANICO </t>
  </si>
  <si>
    <t>144088-046-200519</t>
  </si>
  <si>
    <t>YENY MARYSABEL MAMANI UCHASARA</t>
  </si>
  <si>
    <t>JR. HEROES DEL PACIFICO 211</t>
  </si>
  <si>
    <t>SAN ANTONIO DE PUTINA</t>
  </si>
  <si>
    <t>ANANEA</t>
  </si>
  <si>
    <t>143740-046-200519</t>
  </si>
  <si>
    <t>COR &amp; MEL S.C.R.L.</t>
  </si>
  <si>
    <t>CALLE EL ENGRANAJE MZ. A LOTE 28 URB. IND. LA MILLA</t>
  </si>
  <si>
    <t>EVARISTO CORONADO CHERO</t>
  </si>
  <si>
    <t>144089-046-200519</t>
  </si>
  <si>
    <t>NEGOCIOS MAYORISTAS BELETO SOCIEDAD ANONIMA CERRADA</t>
  </si>
  <si>
    <t>AV. JERUSALEN MZA. N LOTE. 01, 10B, 11, 12, 13 Y 14.</t>
  </si>
  <si>
    <t>CARACOTO</t>
  </si>
  <si>
    <t xml:space="preserve">JULIA SANCHEZ FLORES </t>
  </si>
  <si>
    <t>143739-046-200519</t>
  </si>
  <si>
    <t>CONSORCIO REYES S.A.</t>
  </si>
  <si>
    <t>CENTRO COMERCIAL FIORI, TIENDA N° 112-A</t>
  </si>
  <si>
    <t>REYES FABIAN, ANTONINO WILMER</t>
  </si>
  <si>
    <t>143236-046-200519</t>
  </si>
  <si>
    <t>HIDROCARBURANTES G &amp; J S.R.L.</t>
  </si>
  <si>
    <t>JR. ANGAMOS N° 229 CHIMBOTE</t>
  </si>
  <si>
    <t>CHIMBOTE</t>
  </si>
  <si>
    <t>PINEDA VASQUEZ, JORGE GUILLERMO</t>
  </si>
  <si>
    <t>143742-046-200519</t>
  </si>
  <si>
    <t>CONSORCIO KINZUKO S.A.C.</t>
  </si>
  <si>
    <t xml:space="preserve">URB. BRISAS DE SANTA ROSA, MZ J, LOTE 19 </t>
  </si>
  <si>
    <t xml:space="preserve">FLOR EGOAVIL MANDUJANO </t>
  </si>
  <si>
    <t>144087-046-200519</t>
  </si>
  <si>
    <t xml:space="preserve">DOMINGUEZ MERMA TUMBILLO </t>
  </si>
  <si>
    <t>CENTRO POBLADO CERRO LUNAR DE ORO</t>
  </si>
  <si>
    <t>DOMINGUEZ MERMA TUMBILLO</t>
  </si>
  <si>
    <t>143741-046-200519</t>
  </si>
  <si>
    <t>DISTRIBUIDOR MINORISTA DE PRODUCTOS LIQUIDOS S.A.C.</t>
  </si>
  <si>
    <t>MZ. A LOTE 4, ASOCIACIÓN DE VIVIENDAS TRES HORIZONTES</t>
  </si>
  <si>
    <t>DIGNO FELIPE BEDON ALCANTARA</t>
  </si>
  <si>
    <t>143744-046-200519</t>
  </si>
  <si>
    <t>PETRO ALAYO PAREDES E.I.R.L.</t>
  </si>
  <si>
    <t>RICARDO PALMA MZ B LT 11 ASOCIACION EL PORTAL DEL NARANJAL</t>
  </si>
  <si>
    <t>ALAYO NUÑEZ, JUAN ARCADIO</t>
  </si>
  <si>
    <t>144092-046-200519</t>
  </si>
  <si>
    <t>JUANA CALLA CALLA</t>
  </si>
  <si>
    <t>JR. HUANCANE Nº 1109</t>
  </si>
  <si>
    <t>CALLA CALLA, JUANA</t>
  </si>
  <si>
    <t>143743-046-200519</t>
  </si>
  <si>
    <t>CORPORACION PERUANA DE COMBUSTIBLES S.A.C.</t>
  </si>
  <si>
    <t xml:space="preserve">CALLE STELLA MARIS N° 2104, DPTO. Nº 202, URB. ANTARES, 3RA ETAPA </t>
  </si>
  <si>
    <t>ASFALTO LÍQUIDO MC-30,ASFALTO LÍQUIDO RC-250,ASFALTO SOLIDO,DIESEL B5,Diesel B5 S-50,PETRÓLEO INDUSTRIAL Nº 5,PETRÓLEO INDUSTRIAL Nº 500,PETRÓLEO INDUSTRIAL Nº 6</t>
  </si>
  <si>
    <t>SERGIO MARCELINO PALOMINO GASTELU</t>
  </si>
  <si>
    <t>144093-046-200519</t>
  </si>
  <si>
    <t>JOSE BENAVENTE ROJAS</t>
  </si>
  <si>
    <t>AV. HUAYNA CAPAC S/N MZ K-12, LT 15, URB. SANTA CATALINA</t>
  </si>
  <si>
    <t>143746-046-200519</t>
  </si>
  <si>
    <t>VAYU PETROLEUM COMPANY S.A.C.</t>
  </si>
  <si>
    <t>JR. LAS AMERICAS N° 1096 URB. EL ROSARIO - SAN GERMAN</t>
  </si>
  <si>
    <t>ASFALTO LÍQUIDO MC-30,ASFALTO LÍQUIDO RC-250,PETRÓLEO INDUSTRIAL Nº 5</t>
  </si>
  <si>
    <t>PRECIADO MERINO, NANDRA BELU TERESHKOVA</t>
  </si>
  <si>
    <t>144090-046-200519</t>
  </si>
  <si>
    <t>EDSON ROSELLO CHAMBI</t>
  </si>
  <si>
    <t xml:space="preserve">P.J. PRIMERO DE MAYO C 2 -4 ALTO RINCONADA </t>
  </si>
  <si>
    <t>143745-046-200519</t>
  </si>
  <si>
    <t>PETRO AXEL S.A.C.</t>
  </si>
  <si>
    <t>MZ. L LT. 19 COOPERATIVA VIRGEN DE FATIMA</t>
  </si>
  <si>
    <t>JESUS ANDRES PAREDES YSLAO</t>
  </si>
  <si>
    <t>144091-046-200519</t>
  </si>
  <si>
    <t>GREGORIO NICOLAS HUAQUISTO MAMANI</t>
  </si>
  <si>
    <t>JR. LOS INCAS N° 525</t>
  </si>
  <si>
    <t>143229-046-200519</t>
  </si>
  <si>
    <t>LIZBETH GABRIELA OSORIO MONTES</t>
  </si>
  <si>
    <t>JR. SAN MARTIN N° 1248</t>
  </si>
  <si>
    <t>HUAYLAS</t>
  </si>
  <si>
    <t>CARAZ</t>
  </si>
  <si>
    <t>143228-046-230720</t>
  </si>
  <si>
    <t>CODISCOM S.A.C.</t>
  </si>
  <si>
    <t>MZ. C-2, LOTE 12, B2, S-1, CALLE D, IV ETAPA, URB. PACHACAMAC</t>
  </si>
  <si>
    <t>HUGO DENIS MADRID REFULIO</t>
  </si>
  <si>
    <t>143231-046-200519</t>
  </si>
  <si>
    <t>ESTACION DE SERVICIOS SAN ANTONIO S.A.C.</t>
  </si>
  <si>
    <t xml:space="preserve">JR. LUZURIAGA N° 333 CARAZ. </t>
  </si>
  <si>
    <t>ANTONIO ZOSIMO ESPINOZA FLORES</t>
  </si>
  <si>
    <t>143230-046-200519</t>
  </si>
  <si>
    <t>INVERSIONES MEJIA E.I.R.L.</t>
  </si>
  <si>
    <t>JIRÓN FRANCISCO BOLOGNESI N° 320</t>
  </si>
  <si>
    <t>JUAN MANUEL MEJIA GIRALDO</t>
  </si>
  <si>
    <t>143233-046-200519</t>
  </si>
  <si>
    <t>INVERSIONES KOKI S E.I.R.L.</t>
  </si>
  <si>
    <t>CARRETERA PATIVILCA-HUARAZ KM. 17726</t>
  </si>
  <si>
    <t>RECUAY</t>
  </si>
  <si>
    <t>MARIELA ESTHER DUEÑAS GARRO</t>
  </si>
  <si>
    <t>143232-046-200519</t>
  </si>
  <si>
    <t>CONSTRUCTORA SEÑOR DE LOS MILAGROS E.I.R.L.</t>
  </si>
  <si>
    <t xml:space="preserve">JR. HUAMACHUCO N° 700 </t>
  </si>
  <si>
    <t>POMABAMBA</t>
  </si>
  <si>
    <t>ANTONIO LUCIO SALINAS MORY</t>
  </si>
  <si>
    <t>143235-046-200519</t>
  </si>
  <si>
    <t>MARIA DEL PILAR AGUAYO GARCIA</t>
  </si>
  <si>
    <t>JR. AREQUIPA 368 - P.J. FLORIDA BAJA</t>
  </si>
  <si>
    <t>143234-046-200519</t>
  </si>
  <si>
    <t>OSCAR ORLANDO DE LA CRUZ ALVA</t>
  </si>
  <si>
    <t>MZ. 3 LOTE 28 P.J. FLORIDA BAJA</t>
  </si>
  <si>
    <t>DIESEL B5,PETRÓLEO INDUSTRIAL Nº 5,PETRÓLEO INDUSTRIAL Nº 500,PETRÓLEO INDUSTRIAL Nº 6</t>
  </si>
  <si>
    <t>149989-046-290820</t>
  </si>
  <si>
    <t>PETROCENTER PERU S.A.C. - PETROCEN S.A.C.</t>
  </si>
  <si>
    <t>MLC. GRAU 125 DPTO 201</t>
  </si>
  <si>
    <t>MAGDALENA DEL MAR</t>
  </si>
  <si>
    <t>IDALIA OVALLE GAMARRA</t>
  </si>
  <si>
    <t>151862-046-171020</t>
  </si>
  <si>
    <t>PETROHIDROS &amp; DERIVADOS E.I.R.L.</t>
  </si>
  <si>
    <t xml:space="preserve">MZ “H” LOTE N° 23, SECTOR 1 GRUPO 5 </t>
  </si>
  <si>
    <t>MARIANO ALBERTO GOMEZ TAPIA</t>
  </si>
  <si>
    <t>143737-046-200519</t>
  </si>
  <si>
    <t>P Y P OIL COMPANY S.R.L.</t>
  </si>
  <si>
    <t>CALLE A MZ. A LT. 6 ZONA INDUSTRIAL LA MILLA</t>
  </si>
  <si>
    <t>PINEDA PRETELL, MARIO AAROM</t>
  </si>
  <si>
    <t>143738-046-200519</t>
  </si>
  <si>
    <t xml:space="preserve">RECIPESA S.A. </t>
  </si>
  <si>
    <t>CALLE STELLA MARIS N° 2104 DPTO. 202. URB. ANTARES</t>
  </si>
  <si>
    <t>ASFALTO LÍQUIDO MC-30,ASFALTO LÍQUIDO RC-250,CEMENTO ASFÁLTICO,PETRÓLEO INDUSTRIAL Nº 5,PETRÓLEO INDUSTRIAL Nº 500,PETRÓLEO INDUSTRIAL Nº 6</t>
  </si>
  <si>
    <t>144077-046-140919</t>
  </si>
  <si>
    <t>SEVERDAL SAC</t>
  </si>
  <si>
    <t>URB LOS ROBLES. MZA A. LOTE 14</t>
  </si>
  <si>
    <t>GOMEZ CUTIPA SEVERINO</t>
  </si>
  <si>
    <t>144078-046-210819</t>
  </si>
  <si>
    <t>SERVICIOS GENERALES Y DISTRIBUIDORA DE COMBUSTIBLES JUNIOR E.I.R.L.</t>
  </si>
  <si>
    <t>PARCELA A LOTE 4 ZONA INDUSTRIAL</t>
  </si>
  <si>
    <t xml:space="preserve">CLEYVER OMAR CRUZ CLAVIJO </t>
  </si>
  <si>
    <t>144080-046-200519</t>
  </si>
  <si>
    <t>M.P GRIFOS SOL DORADO E.I.R.L.</t>
  </si>
  <si>
    <t>JR. SAN FRANCISCO S/N</t>
  </si>
  <si>
    <t>COASA</t>
  </si>
  <si>
    <t>ELAINE DYAN PAZ ARAUJO</t>
  </si>
  <si>
    <t>144081-046-200519</t>
  </si>
  <si>
    <t>DAVID DARWIN HUACOTO ZEA</t>
  </si>
  <si>
    <t>CARRETERA INTEROSEANICA SUR S/N - BARRIO PAMPA ALEGRE CENTRO POBLADO LECHEMAYO</t>
  </si>
  <si>
    <t>SAN GABAN</t>
  </si>
  <si>
    <t>144082-046-040819</t>
  </si>
  <si>
    <t>AV. JOSE CARLOS MARIATEGUI MZA. C LOTE. 14 URB. VILLA MIRAFLORES</t>
  </si>
  <si>
    <t xml:space="preserve">LIZ ELCIRA PALMA SALDIVAR </t>
  </si>
  <si>
    <t>144083-046-200519</t>
  </si>
  <si>
    <t xml:space="preserve">PETRO CENTRO CHINO FARAON E.I.R.L. </t>
  </si>
  <si>
    <t>URB. SANTA ADRIANA AV. TAMBOPATA S/N</t>
  </si>
  <si>
    <t>HUANCANE</t>
  </si>
  <si>
    <t>COJATA</t>
  </si>
  <si>
    <t>CLEVER MAMANI CALSINA</t>
  </si>
  <si>
    <t>144084-046-200519</t>
  </si>
  <si>
    <t>MULTISERVICIOS MAG CONSORCIOS E.I.R.L.</t>
  </si>
  <si>
    <t>PARCIALIDAD COLLANA SAN SEBASTIAN</t>
  </si>
  <si>
    <t>LAMPA</t>
  </si>
  <si>
    <t>CALAPUJA</t>
  </si>
  <si>
    <t>ABRAHAN ALEMAN VILCA</t>
  </si>
  <si>
    <t>144085-046-200519</t>
  </si>
  <si>
    <t>DORIS ALICIA MAMANI TACURI</t>
  </si>
  <si>
    <t>PSJ. LOS ANGELES S/N MZ. T LOTE 4 URB. NUEVA PANAMERICANA</t>
  </si>
  <si>
    <t>AYAVIRI</t>
  </si>
  <si>
    <t>144086-046-200519</t>
  </si>
  <si>
    <t>LUCIO VILCA YUCRA</t>
  </si>
  <si>
    <t>CARRETERA PUNO DESAGUADERO KM 6.5</t>
  </si>
  <si>
    <t>149985-046-150720</t>
  </si>
  <si>
    <t>PETRO COMPANY PERU S.A.C.</t>
  </si>
  <si>
    <t>CALLE B MZ. C LOTE 9 URB. SANTA CLARA</t>
  </si>
  <si>
    <t xml:space="preserve">FRANK CHRISTIAN PONCE DE LA ROSA </t>
  </si>
  <si>
    <t>147475-046-141119</t>
  </si>
  <si>
    <t>ESSO COMBUSTIBLES S.A.C.</t>
  </si>
  <si>
    <t>JR. MONTERREY N° 373 INT. 703, URB. CHACARILLA DEL ESTANQUE</t>
  </si>
  <si>
    <t>MARCOS NATHAN DUHARTE MATA</t>
  </si>
  <si>
    <t>144414-046-310519</t>
  </si>
  <si>
    <t>SERVICENTRO EL TRIANGULO DE ORO SRLTA.</t>
  </si>
  <si>
    <t>PANAMERICANA NORTE KM. 1190</t>
  </si>
  <si>
    <t>ASFALTO LÍQUIDO,BREA,PETRÓLEO INDUSTRIAL Nº 5,PETRÓLEO INDUSTRIAL Nº 500,PETRÓLEO INDUSTRIAL Nº 6,RESIDUAL ASFALTICO</t>
  </si>
  <si>
    <t>144413-046-061020</t>
  </si>
  <si>
    <t>CORPORACION AZUL 7 S.A.C.</t>
  </si>
  <si>
    <t xml:space="preserve">MZ. K LOTE. 17 A.H. LAS BRISAS 4TA ETAPA </t>
  </si>
  <si>
    <t>ASFALTO LÍQUIDO MC-30,ASFALTO LÍQUIDO MC-70,ASFALTO LÍQUIDO RC-250,ASFALTO LÍQUIDO RC-70,BREA,CEMENTO ASFÁLTICO 10-20,CEMENTO ASFÁLTICO 120-150,CEMENTO ASFÁLTICO 20-30,CEMENTO ASFÁLTICO 40-50,CEMENTO ASFÁLTICO 60-70,CEMENTO ASFÁLTICO 85-100,DIESEL B5,Diesel B5 S-50,PETRÓLEO INDUSTRIAL Nº 4,PETRÓLEO INDUSTRIAL Nº 5,PETRÓLEO INDUSTRIAL Nº 500,PETRÓLEO INDUSTRIAL Nº 6,SOLVENTE 1</t>
  </si>
  <si>
    <t>JORGE GUILLERMO PINEDA VASQUEZ</t>
  </si>
  <si>
    <t>146462-046-160919</t>
  </si>
  <si>
    <t>GRIFO INVERSIONES B.LEON E.I.R.L.</t>
  </si>
  <si>
    <t xml:space="preserve">JR. 13 DE JULIO N° 109 </t>
  </si>
  <si>
    <t>ASFALTO LÍQUIDO MC-30,ASFALTO LÍQUIDO RC-250,BREA,DIESEL B5,Diesel B5 S-50,PETRÓLEO INDUSTRIAL Nº 500,PETRÓLEO INDUSTRIAL Nº 6,SOLVENTE 1,SOLVENTE 3</t>
  </si>
  <si>
    <t xml:space="preserve">BRYAN JUNIOR ANGELES LEON </t>
  </si>
  <si>
    <t>144128-046-200519</t>
  </si>
  <si>
    <t>NEGOCIOS DECIEL E.I.R.L.</t>
  </si>
  <si>
    <t>CALLE LA LIBERTAD N° 203 A.H. 7 DE JUNIO</t>
  </si>
  <si>
    <t>TUMBES</t>
  </si>
  <si>
    <t>LUIS ALBERTO ZAPATA ZAPATA</t>
  </si>
  <si>
    <t>144129-046-200519</t>
  </si>
  <si>
    <t xml:space="preserve">EDITH DAYSI REYES ALARCON </t>
  </si>
  <si>
    <t>JR. MARIO DENIS PEZO MZA. 39 H LOTE. 19.</t>
  </si>
  <si>
    <t>ATALAYA</t>
  </si>
  <si>
    <t>RAYMONDI</t>
  </si>
  <si>
    <t>EDITH DAYSI REYES ALARCON</t>
  </si>
  <si>
    <t>143925-046-200519</t>
  </si>
  <si>
    <t>INVERSIONES Y MULTISERVICIOS APA S.A.C.</t>
  </si>
  <si>
    <t xml:space="preserve">CALLE EL TRIUNFO MZ. A LT. 01 INT. 201 COO. UNAMARCA </t>
  </si>
  <si>
    <t>ALDAVE MENDOZA CHRISTIAN VICENTE</t>
  </si>
  <si>
    <t>143926-046-200519</t>
  </si>
  <si>
    <t>EMPRESA DE TRANSPORTES Y SERVICIOS GENERALES MINATHED S.A.C.</t>
  </si>
  <si>
    <t>CALLE LOS ALGARROBOS MZ. C, LOTE 10, COOPERATIVA UMAMARCA</t>
  </si>
  <si>
    <t xml:space="preserve">REYES SALAS MIRIAM </t>
  </si>
  <si>
    <t>144127-046-200519</t>
  </si>
  <si>
    <t>LIBRANA TRANSPORT E.I.R.L.</t>
  </si>
  <si>
    <t>AV. EJERCITO CON NORA FLORES MZA. D LOTE 02 URB. GLORIA CACERES</t>
  </si>
  <si>
    <t>ASFALTO LÍQUIDO MC-30,ASFALTO LÍQUIDO MC-70,ASFALTO LÍQUIDO RC-250,BREA,CEMENTO ASFÁLTICO 120-150,CEMENTO ASFÁLTICO 40-50,CEMENTO ASFÁLTICO 60-70,CEMENTO ASFÁLTICO 85-100,CGN SOLVENTE,DIESEL B5,Diesel B5 S-50,HEXANO,LUBRICANTES,PENTANO,PETRÓLEO INDUSTRIAL Nº 6,SOLVENTE 1,SOLVENTE 3</t>
  </si>
  <si>
    <t>JUAN HUGO CÁCERES GONZALES</t>
  </si>
  <si>
    <t>143923-046-200519</t>
  </si>
  <si>
    <t>EMPRESA CONSTRUCTORA VICTORIA S.A.</t>
  </si>
  <si>
    <t>LAS MAGNOLIAS N° 125 ¿ URB. AVIENTEL</t>
  </si>
  <si>
    <t>CARLOS ALBERTO UGAZ MEDINA</t>
  </si>
  <si>
    <t>143924-046-200519</t>
  </si>
  <si>
    <t>M &amp; V PAVIMENTOS ASFALTICOS E.I.R.L.</t>
  </si>
  <si>
    <t>PROLONGACION PEDRO MIOTTA 640</t>
  </si>
  <si>
    <t>ASFALTO LÍQUIDO,ASFALTO SOLIDO,PETRÓLEO INDUSTRIAL Nº 500,PETRÓLEO INDUSTRIAL Nº 6</t>
  </si>
  <si>
    <t>SANTIAGO TORRES CARRILLO</t>
  </si>
  <si>
    <t>143921-046-200519</t>
  </si>
  <si>
    <t xml:space="preserve">SEBASTIAN WINDER CHAVEZ ESPARZA </t>
  </si>
  <si>
    <t xml:space="preserve">AV DE LOS HEROES MZA 08 LT 15A U. POR CIUDAD DE DIOS </t>
  </si>
  <si>
    <t>SEBASTIAN WINDER CHAVEZ ESPARZA</t>
  </si>
  <si>
    <t>146216-046-030919</t>
  </si>
  <si>
    <t>CORPORACION CRV S.A.C</t>
  </si>
  <si>
    <t xml:space="preserve">AV. OCOPILLA NRO. 858 </t>
  </si>
  <si>
    <t>ROBINSON COMUN TUPAC</t>
  </si>
  <si>
    <t>143922-046-200519</t>
  </si>
  <si>
    <t>EMPRESA DE TRANSPORTE Y SERVICIOS MULTIPLES 160 S.A.C.</t>
  </si>
  <si>
    <t>MZ. D1 LT. 11 COOPERATIVA UNAMARCA</t>
  </si>
  <si>
    <t>GENARO ANTONIO TRUJILLO GIL</t>
  </si>
  <si>
    <t>143931-046-200519</t>
  </si>
  <si>
    <t xml:space="preserve">CORPORACION LOGISTICA EUFRI S.A.C. </t>
  </si>
  <si>
    <t>CALLE JOSE ORENGO N° 1014 URB. LAS MORAS</t>
  </si>
  <si>
    <t>SAN LUIS</t>
  </si>
  <si>
    <t>GIOVANNI ZAMORA MOSCOSO</t>
  </si>
  <si>
    <t>144126-046-200519</t>
  </si>
  <si>
    <t>ARGOS TRANSPORTES Y SERVICIOS EMPRESA INDIVIDUAL DE RESPONSABILIDAD LIMITADA</t>
  </si>
  <si>
    <t>AV. AUGUSTO B. LEGUÍA NRO. 468 ¿ CERCADO</t>
  </si>
  <si>
    <t>NAPOLEÓN GUILLERMO OSCAR ESTREMADOYRO MORY</t>
  </si>
  <si>
    <t>143930-046-200519</t>
  </si>
  <si>
    <t>TRANSPORTES TRES S.R.L.</t>
  </si>
  <si>
    <t>JR LA COMPAÑIA Nº 201 URB VILLA JARDIN</t>
  </si>
  <si>
    <t>FELIX ALARCON ENCISO</t>
  </si>
  <si>
    <t>144125-046-200519</t>
  </si>
  <si>
    <t>OVICAR S.R.L.</t>
  </si>
  <si>
    <t>JR. VENEZUELA N° 881 VILLA PANAMERICANA</t>
  </si>
  <si>
    <t>ANTHONY JEFFERSON OVIEDO CORDOVA</t>
  </si>
  <si>
    <t>144124-046-200519</t>
  </si>
  <si>
    <t>SERVICIOS ASOCIADOS NEGOCIOS Y CONSTRUCCIONES S.C.R.L.</t>
  </si>
  <si>
    <t>CALLE BOLIVAR N°217 - OFICINA 201</t>
  </si>
  <si>
    <t>SALAMANCA OVIEDO, CARLOS IVAN</t>
  </si>
  <si>
    <t>143929-046-200519</t>
  </si>
  <si>
    <t>GRUPO AVI S.A.C.</t>
  </si>
  <si>
    <t>JR. CARLOS EGUSQUIZA AMES N° 171 - URB. LA VIÑA</t>
  </si>
  <si>
    <t>VILMA CONSUELO SOLIS PADILLA</t>
  </si>
  <si>
    <t>150065-046-050820</t>
  </si>
  <si>
    <t>H &amp; P INGENIERIA LIQUIDA S.A.C.</t>
  </si>
  <si>
    <t>LOS DOMINICOS MZ. U, LOTE 18, URB. LOS CIPRESES</t>
  </si>
  <si>
    <t xml:space="preserve">JULIO MANUEL ZAVALA CAMPOS </t>
  </si>
  <si>
    <t>144123-046-200519</t>
  </si>
  <si>
    <t>REPRESENTACIONES Y SERVICIOS LA SOLUCION E.I.R.L.</t>
  </si>
  <si>
    <t>AV. PINTO N° 820-B</t>
  </si>
  <si>
    <t>ANGEL JESUS AGUILAR MARIÑO</t>
  </si>
  <si>
    <t>143928-046-200519</t>
  </si>
  <si>
    <t>D &amp; L TRADING S.R.L.</t>
  </si>
  <si>
    <t>AV. NICOLAS ARRIOLA N° 2216, URB. SAN LUIS</t>
  </si>
  <si>
    <t>IVANOV ALEXANDER WITHMORY MENACHO</t>
  </si>
  <si>
    <t>144122-046-200519</t>
  </si>
  <si>
    <t>TRANSPORTES ZUÑIGA S.R.L.</t>
  </si>
  <si>
    <t xml:space="preserve">AV. HIPOLITO UNANUE 840-1 </t>
  </si>
  <si>
    <t>JOSE LUIS ZUÑIGA IRIARTE</t>
  </si>
  <si>
    <t>143927-046-200519</t>
  </si>
  <si>
    <t xml:space="preserve">CONSTRUCTORA NEPAL S.A.C. CONSULTORES Y CONTRATISTAS GENERALES </t>
  </si>
  <si>
    <t xml:space="preserve">JR. BADAJOS 237 URB. JAVIER PRADO </t>
  </si>
  <si>
    <t>NESTOR LORENZO PALOMINO LUJAN</t>
  </si>
  <si>
    <t>144120-046-200519</t>
  </si>
  <si>
    <t>ESTACIÒN DE ENERGIAS EL CENTENARIO SOCIEDAD ANÒNIMA CERRADA</t>
  </si>
  <si>
    <t>AV. INDUSTRIAL Nº 260, SUCESIÒN BACIGALUPO</t>
  </si>
  <si>
    <t>JULIO CESAR CHOQUECOTA CONDORI</t>
  </si>
  <si>
    <t>144119-046-200519</t>
  </si>
  <si>
    <t>JUAN CLEMENTE TENORIO VICENTE</t>
  </si>
  <si>
    <t>AV. EJERCITO NO 1437</t>
  </si>
  <si>
    <t>148090-046-051219</t>
  </si>
  <si>
    <t>PALACIOS MC CUBBIN FRISNES ALBERTO</t>
  </si>
  <si>
    <t xml:space="preserve">CALLE LOS ROBLES MZ. H LOTE 10, URB. LOS GENARIOS </t>
  </si>
  <si>
    <t>145357-046-240719</t>
  </si>
  <si>
    <t>GRIFO ROBLES S.A.C.</t>
  </si>
  <si>
    <t>AV. SAN BORJA SUR N° 810 DPTO. 402</t>
  </si>
  <si>
    <t>SAN BORJA</t>
  </si>
  <si>
    <t>LUIS PERCY ROBLES MENA</t>
  </si>
  <si>
    <t>149624-046-130620</t>
  </si>
  <si>
    <t>J &amp; R COMBUSTIBLES S.A.C.</t>
  </si>
  <si>
    <t>149461-046-130320</t>
  </si>
  <si>
    <t>JJA GLOBAL SUMINISTRO S.A.C.</t>
  </si>
  <si>
    <t xml:space="preserve">CALLE BABILONIA MZ. B 20 LOTE 15 ASOSIACION PRO VIVIENDA DE LOS TRABAJADORES DE CPV - OQUENDO </t>
  </si>
  <si>
    <t>ANDRES EUCEBIO LOPEZ FLORES</t>
  </si>
  <si>
    <t>149465-046-180320</t>
  </si>
  <si>
    <t>GRUPO CASSA S.A.C.</t>
  </si>
  <si>
    <t>AV. CANTA CALLAO MZ. E, LOTE 8, AS. VI JARDINES DE SANTA ROSA</t>
  </si>
  <si>
    <t>BREA,CGN SOLVENTE,DIESEL B5,Diesel B5 S-50,HEXANO,LUBRICANTES,PENTANO,SOLVENTE 1,SOLVENTE 3</t>
  </si>
  <si>
    <t>GIOVANI ROGELIO RIVERA RIQUEZ</t>
  </si>
  <si>
    <t>143936-046-200519</t>
  </si>
  <si>
    <t>INOCENTE SANTOS GARCIA JULIAN</t>
  </si>
  <si>
    <t>COOP. VIA DE SAN FRANCISCO MZ.C LT 11</t>
  </si>
  <si>
    <t>GARCIA SANTOS, INOCENTE JULIAN</t>
  </si>
  <si>
    <t>149464-046-090320</t>
  </si>
  <si>
    <t>GRIFO INVERSIONES S.C.C. E.I.R.L.</t>
  </si>
  <si>
    <t>CALLE LOS CONSTRUCTORES MZ. A LOTE 13 ZONA VIVIENDA TALLER</t>
  </si>
  <si>
    <t>ASFALTO LÍQUIDO MC-30,ASFALTO LÍQUIDO RC-250,BREA,CEMENTO ASFÁLTICO 60-70,DIESEL B5,Diesel B5 S-50,LUBRICANTES,PETRÓLEO INDUSTRIAL Nº 500,PETRÓLEO INDUSTRIAL Nº 6,SOLVENTE 1,SOLVENTE 3</t>
  </si>
  <si>
    <t>CRUZ CENTENO SANTOS OSCAR</t>
  </si>
  <si>
    <t>145052-046-110719</t>
  </si>
  <si>
    <t>ESTACION DE SERVICIOS ROMAR S.A.C.</t>
  </si>
  <si>
    <t>AV. CHINCHAYSUYO N° 1485</t>
  </si>
  <si>
    <t>ROBERTO MANUEL MERINO AURICH</t>
  </si>
  <si>
    <t>143932-046-200519</t>
  </si>
  <si>
    <t>INVERSION Y COMERCIALIZACIONES VIDAL E.I.R.L.</t>
  </si>
  <si>
    <t>AV. MARISCAL ELOY URETA N° 117</t>
  </si>
  <si>
    <t>GUSTAVO VIDAL CHAVEZ</t>
  </si>
  <si>
    <t>143933-046-200519</t>
  </si>
  <si>
    <t xml:space="preserve">OROYA IMPORT &amp; EXPORT S.A.C. </t>
  </si>
  <si>
    <t xml:space="preserve">JR. RIO CHINCHA N° 199 URB. CENTRO COMERCIAL CASTILLA </t>
  </si>
  <si>
    <t>AUGUSTO GUSTAVO SOTO MAYORCA</t>
  </si>
  <si>
    <t>146210-046-020919</t>
  </si>
  <si>
    <t>OPERADOR LOGISTICO GARCIA S.A.C.</t>
  </si>
  <si>
    <t>CALE 6 MZ A 61 LT 23 AH JAZMINEZ DEL NARANJAL</t>
  </si>
  <si>
    <t>ROLANDO MARINO GARCIA CALLE</t>
  </si>
  <si>
    <t>143934-046-200519</t>
  </si>
  <si>
    <t>PANAPETROPLUS S.A.C.</t>
  </si>
  <si>
    <t>CALLE 34 D N°104</t>
  </si>
  <si>
    <t>143935-046-200519</t>
  </si>
  <si>
    <t>ZETTA COMPANY S.A.C.</t>
  </si>
  <si>
    <t xml:space="preserve">CALLE JOSE ORENGO N° 1014 URB. LAS MORAS </t>
  </si>
  <si>
    <t>FRITZ ZAMORA MOSCOSO</t>
  </si>
  <si>
    <t>144135-046-200519</t>
  </si>
  <si>
    <t>INTERNATIONAL OIL COMPANY OF THE PERU S.A.C.</t>
  </si>
  <si>
    <t>JR. ALFREDO VARGAS GUERRA N° 100</t>
  </si>
  <si>
    <t>CESAR SIMON PAREDES ESPINOZA</t>
  </si>
  <si>
    <t>144134-046-200519</t>
  </si>
  <si>
    <t>SERVICOM E.I.R.L.</t>
  </si>
  <si>
    <t>JR. VARGAS GUERRA N° 107</t>
  </si>
  <si>
    <t>PABLO AMADO DA CRUZ MORENO</t>
  </si>
  <si>
    <t>146051-046-280819</t>
  </si>
  <si>
    <t xml:space="preserve">HERNANDO CHAVEZ RICAPA </t>
  </si>
  <si>
    <t>JR. SUCRE # 122</t>
  </si>
  <si>
    <t>HERNANDO CHAVEZ RICAPA</t>
  </si>
  <si>
    <t>144136-046-200519</t>
  </si>
  <si>
    <t>ESTACION DE SERVICIOS CONTINENTAL S.R.L.</t>
  </si>
  <si>
    <t>AV. FAUSTINO SANCHEZ CARRION 1450</t>
  </si>
  <si>
    <t>SARA PATRICIA RIOS SALDAÑA</t>
  </si>
  <si>
    <t>144131-046-200519</t>
  </si>
  <si>
    <t>WALKER ESPINOZA SORIA</t>
  </si>
  <si>
    <t>JR. PALCAZU MZ. A-26 LT. 01 AA.HH. VICTOR BEGAZO</t>
  </si>
  <si>
    <t>144130-046-200519</t>
  </si>
  <si>
    <t>JR. HUANCAVELICA N° 140</t>
  </si>
  <si>
    <t>144133-046-200519</t>
  </si>
  <si>
    <t xml:space="preserve">PETROGAS E.I.R.L. </t>
  </si>
  <si>
    <t>JR. GUILLERMO SISLEY NRO 1200</t>
  </si>
  <si>
    <t>CGN SOLVENTE,DIESEL B5,Diesel B5 S-50,LUBRICANTES,PETRÓLEOS INDUSTRIALES,SOLVENTES</t>
  </si>
  <si>
    <t>GARDEL CARDENAS TORRES</t>
  </si>
  <si>
    <t>144132-046-200519</t>
  </si>
  <si>
    <t xml:space="preserve">USHIÑAHUA SALAZAR ANGEL ELEAZAR </t>
  </si>
  <si>
    <t>JR. 30 DE AGOSTO N° 355, 9 DE OCTUBRE</t>
  </si>
  <si>
    <t>DIESEL,DIESEL B5,Diesel B5 S-50,LUBRICANTES,SOLVENTES</t>
  </si>
  <si>
    <t>148099-046-051219</t>
  </si>
  <si>
    <t>PAIVA FIESTAS FLORO FRANCISCO</t>
  </si>
  <si>
    <t>CALLE JOSE OLAYA N° 172</t>
  </si>
  <si>
    <t>ASFALTO LÍQUIDO MC-30,ASFALTO LÍQUIDO RC-250,CEMENTO ASFÁLTICO 60-70,CGN SOLVENTE,DIESEL B5,Diesel B5 S-50,LUBRICANTES,PETRÓLEO INDUSTRIAL Nº 500,PETRÓLEO INDUSTRIAL Nº 6,SOLVENTE 1,SOLVENTE 3</t>
  </si>
  <si>
    <t>143901-046-200519</t>
  </si>
  <si>
    <t xml:space="preserve">CORPORACION PETROLERA TRANSMARINE S.A.C. </t>
  </si>
  <si>
    <t xml:space="preserve">AV. REDUCTO N° 1360 INT. 501 URB. LEURO </t>
  </si>
  <si>
    <t>LUIS HELMUTH GOLDENBERG APONTE</t>
  </si>
  <si>
    <t>143902-046-200519</t>
  </si>
  <si>
    <t>NEPTUNO CONTRATISTAS GENERALES S.A.C.</t>
  </si>
  <si>
    <t>AV. JAVIER PRADO ESTE N° 2813 DPTO. B401, URB. LAS DALIAS</t>
  </si>
  <si>
    <t>LUIS ALFREDO VASQUEZ MEDINA</t>
  </si>
  <si>
    <t>143899-046-300120</t>
  </si>
  <si>
    <t xml:space="preserve">GLG INVERSIONES S.A.C. </t>
  </si>
  <si>
    <t xml:space="preserve">CALLE LAS CODORNICES N° 104, URB. LIMATAMBO </t>
  </si>
  <si>
    <t>SURQUILLO</t>
  </si>
  <si>
    <t>JEAN PAUL PEREYRA CERVERA</t>
  </si>
  <si>
    <t>143900-046-200519</t>
  </si>
  <si>
    <t>MTP EQUIPOS S.A.C.</t>
  </si>
  <si>
    <t>AV. JOSE PARDO N° 223 PISO N° 10</t>
  </si>
  <si>
    <t>JORGE ALFREDO HEIGHES SOUSA</t>
  </si>
  <si>
    <t>143905-046-200519</t>
  </si>
  <si>
    <t>PETROTHOR S.A.C.</t>
  </si>
  <si>
    <t>CALLE EMILIO HARTH N° 100 URB. TORRES DE LIMATAMBO</t>
  </si>
  <si>
    <t>CESAR FERNANDO ZAMORA PIZARRO</t>
  </si>
  <si>
    <t>149459-046-090420</t>
  </si>
  <si>
    <t>LLAMO RAMIREZ EDWIN ARNALDO</t>
  </si>
  <si>
    <t>CALLE SAN FELIPE N° 958 - SECTOR NUEVO SAN LORENZO II ETAPA</t>
  </si>
  <si>
    <t>CGN SOLVENTE,DIESEL B5,Diesel B5 S-50,LUBRICANTES,PETRÓLEO INDUSTRIAL Nº 5,SOLVENTE 1,SOLVENTE 3</t>
  </si>
  <si>
    <t>144107-046-200519</t>
  </si>
  <si>
    <t>SHILCAYO GRIFO S.R.L.</t>
  </si>
  <si>
    <t>JR. CABO ALBERTO LEVEAU S/N</t>
  </si>
  <si>
    <t>143906-046-200519</t>
  </si>
  <si>
    <t>PETRO JAR SERVICE S.A.</t>
  </si>
  <si>
    <t>CALLE LA CIENCIA N 320</t>
  </si>
  <si>
    <t>AGÃ¿ERO RAMIREZ, JORGE ABEL</t>
  </si>
  <si>
    <t>143903-046-200519</t>
  </si>
  <si>
    <t>CORPORACION DUSA S.A.C</t>
  </si>
  <si>
    <t>CALLE ENRIQUE PALLARDELLI N° 111 DPTO. 401 URB. JACARANDA II</t>
  </si>
  <si>
    <t>FLOR MARINA SANCHEZ PRINCIPE DE DUMET</t>
  </si>
  <si>
    <t>143904-046-200519</t>
  </si>
  <si>
    <t>INVERSIONES HYDRATTO S.A.C (EMBARGO RES 0230072626932)</t>
  </si>
  <si>
    <t>AV. PARQUE DEL SUR No 681</t>
  </si>
  <si>
    <t>CASARETTO MARTINO, ROSANNA</t>
  </si>
  <si>
    <t>144100-046-200519</t>
  </si>
  <si>
    <t>JOSE JOSE SETRACONS SOCIEDAD COMERCIAL DE RESPONSABILIDAD LIMITADA</t>
  </si>
  <si>
    <t>AV. HEROES DEL PACIFICO N° 560</t>
  </si>
  <si>
    <t>JOSE LUIS TIPULA VARGAS</t>
  </si>
  <si>
    <t>144099-046-200519</t>
  </si>
  <si>
    <t>TRANSPORTES INDIANA E.I.R.L.</t>
  </si>
  <si>
    <t>JR. INCA GARCILAZO N° 255 BARRIO BELLAVISTA</t>
  </si>
  <si>
    <t xml:space="preserve">ARMANDO SERGIO VELARDE VELEZ </t>
  </si>
  <si>
    <t>144098-046-200519</t>
  </si>
  <si>
    <t xml:space="preserve">ROSA MINERIA Y CONSTRUCCION PERU E.I.R.L. </t>
  </si>
  <si>
    <t>JR. SUCRE N° 1365 URB. VILLA HERMOSA DEL MISTI</t>
  </si>
  <si>
    <t>ROSA CONDORI CONDORI</t>
  </si>
  <si>
    <t>149614-046-130620</t>
  </si>
  <si>
    <t>REPRESENTACIONES EL ALFARERO I S.A.C.</t>
  </si>
  <si>
    <t>CALLE LOS EUCALIPTOS N° 243 INT. D URB. LA RINCONADA</t>
  </si>
  <si>
    <t>PEDRO ANAMPA DELGADO</t>
  </si>
  <si>
    <t>144097-046-200519</t>
  </si>
  <si>
    <t>YONY VALER APAZA PEREZ</t>
  </si>
  <si>
    <t>JR. PASAJE 2 MZ. B2 - LOTE 09</t>
  </si>
  <si>
    <t>144104-046-200519</t>
  </si>
  <si>
    <t>MARIA TELLO RUIZ</t>
  </si>
  <si>
    <t>CARRETERA FERNANDO BELAUNDE TERRY KM. 533 C.P. PACAYZAPA</t>
  </si>
  <si>
    <t>LAMAS</t>
  </si>
  <si>
    <t>ALONSO DE ALVARADO</t>
  </si>
  <si>
    <t>143909-046-200519</t>
  </si>
  <si>
    <t xml:space="preserve">COMPAÑIA MINERA KOLQUE S.A.C. </t>
  </si>
  <si>
    <t>CALLE CARPACIO N° 171 URB. SAN BORJA</t>
  </si>
  <si>
    <t>XUEZHANG REN</t>
  </si>
  <si>
    <t>144103-046-200519</t>
  </si>
  <si>
    <t>VIDAL COSI APAZA</t>
  </si>
  <si>
    <t>SECTOR HUARANCCA</t>
  </si>
  <si>
    <t>SANDIA</t>
  </si>
  <si>
    <t>SAN PEDRO DE PUTINA PUNCO</t>
  </si>
  <si>
    <t>143908-046-200519</t>
  </si>
  <si>
    <t>SERVOSA COMBUSTIBLES S.A.C.</t>
  </si>
  <si>
    <t>AV. PRIMAVERA N° 939 DPTO. 201 URB. CHACARILLA DEL ESTANQUE</t>
  </si>
  <si>
    <t>CARLOS DANIEL BASADRE MALAGA</t>
  </si>
  <si>
    <t>150078-046-220720</t>
  </si>
  <si>
    <t>ALERA COMBUSTIBLES E.I.R.L.</t>
  </si>
  <si>
    <t>CALLE LAS BUGAMBILIAS MZ. B LOTE 02 URB. SANTA ROSITA</t>
  </si>
  <si>
    <t>DIANA RUCOBA ASPAJO</t>
  </si>
  <si>
    <t>144102-046-200519</t>
  </si>
  <si>
    <t>COMUNIDAD CAMPESINA DE UNTUCA</t>
  </si>
  <si>
    <t>QUIACA</t>
  </si>
  <si>
    <t>TIMOTEO MAMANI CARRIZALES</t>
  </si>
  <si>
    <t>143907-046-200519</t>
  </si>
  <si>
    <t>KUJI S.A.C.</t>
  </si>
  <si>
    <t>AV. JAVIER PRADO OESTE N° 3080</t>
  </si>
  <si>
    <t>DAVID KUOMAN SAAVEDRA</t>
  </si>
  <si>
    <t>144101-046-200519</t>
  </si>
  <si>
    <t>MULTIYAN S.R.L.</t>
  </si>
  <si>
    <t>JR. CHUPA N° 370</t>
  </si>
  <si>
    <t>YANA YANQUI CELSO ADRIAN</t>
  </si>
  <si>
    <t>144106-046-200519</t>
  </si>
  <si>
    <t>INVERSIONES DON ISAAC E.I.R.L.</t>
  </si>
  <si>
    <t>CARRETERA FERNANDO BELAUNDE TERRY KM.497 + 740</t>
  </si>
  <si>
    <t>MOYOBAMBA</t>
  </si>
  <si>
    <t>PEDRO JULIO CASTILLO MEJIA</t>
  </si>
  <si>
    <t>144105-046-200519</t>
  </si>
  <si>
    <t>TRANSPORTES DANIEL Y JOSUE E.I.R.L.</t>
  </si>
  <si>
    <t>CARRETERA FERNANDO BELAUNDE TERRY S/N (AL COSTADO DEL GRIFO NORDALEX)</t>
  </si>
  <si>
    <t>ALFREDO DARWIN IBAÑEZ RUIZ</t>
  </si>
  <si>
    <t>149609-046-190620</t>
  </si>
  <si>
    <t>FUEL GAS &amp; OIL CORPORATION S.A.C.</t>
  </si>
  <si>
    <t>CALLE LEONARDO DA VINCI 249, OF. 3</t>
  </si>
  <si>
    <t>RICARDO MARTIN GUARDIA MORENO</t>
  </si>
  <si>
    <t>149444-046-060320</t>
  </si>
  <si>
    <t>SELVA COMBUSTIBLES E.I.R.L.</t>
  </si>
  <si>
    <t>CARRETERA YURIMAGUAS KM 3.8</t>
  </si>
  <si>
    <t>DANTE ROJAS OLIVERA</t>
  </si>
  <si>
    <t>149443-046-080320</t>
  </si>
  <si>
    <t>SELVA GRIFOS E.I.R.L.</t>
  </si>
  <si>
    <t>CARRETERA FERNADO BELAUNDE TERRY KM 5.5</t>
  </si>
  <si>
    <t>MORALES</t>
  </si>
  <si>
    <t xml:space="preserve">ROJAS OLIVERA DANTE </t>
  </si>
  <si>
    <t>149445-046-240620</t>
  </si>
  <si>
    <t>GOLD PETROL S.R.L.</t>
  </si>
  <si>
    <t>CARRETERA FEDERICO BASADRE KM 29</t>
  </si>
  <si>
    <t>CAMPOVERDE</t>
  </si>
  <si>
    <t>DIESEL B5,SOLVENTE 1,SOLVENTE 3</t>
  </si>
  <si>
    <t>CRISTIAN SANTIAGO FIGUEREDO LUNA</t>
  </si>
  <si>
    <t>149451-046-130320</t>
  </si>
  <si>
    <t>DISTRIBUIDORA PETRONORTE E.I.R.L.</t>
  </si>
  <si>
    <t>UNIVERSITARIA KM 14, MZ. A1, LOTE 23</t>
  </si>
  <si>
    <t>ASFALTO LÍQUIDO MC-30,ASFALTO LÍQUIDO MC-70,ASFALTO LÍQUIDO RC-250,ASFALTO LÍQUIDO RC-70,BREA,CEMENTO ASFÁLTICO 10-20,CEMENTO ASFÁLTICO 120-150,CEMENTO ASFÁLTICO 20-30,CEMENTO ASFÁLTICO 40-50,CEMENTO ASFÁLTICO 60-70,CEMENTO ASFÁLTICO 85-100,DIESEL B5,Diesel B5 S-50,HEXANO,LUBRICANTES,PENTANO,PETRÓLEO INDUSTRIAL Nº 4,PETRÓLEO INDUSTRIAL Nº 5,PETRÓLEO INDUSTRIAL Nº 500,PETRÓLEO INDUSTRIAL Nº 6,SOLVENTE 1,SOLVENTE 3</t>
  </si>
  <si>
    <t>MAXIMO DAVID FALCONI VALENCIA</t>
  </si>
  <si>
    <t>143910-046-200519</t>
  </si>
  <si>
    <t xml:space="preserve">EMSERMUL E &amp; L S.A.C. </t>
  </si>
  <si>
    <t>AV. CANADA N° 3006 DPTO. 301 URB. SAN BORJA</t>
  </si>
  <si>
    <t>LUIS HUMBERTO CHACON GUTARRA</t>
  </si>
  <si>
    <t>143911-046-200519</t>
  </si>
  <si>
    <t>MINSUR S.A.</t>
  </si>
  <si>
    <t>CALLE LAS BEGONIAS Nº 441 OFICINA 338</t>
  </si>
  <si>
    <t>EMILIO EDUARDO ALFAGEME RODRIGUEZ LARRAIN</t>
  </si>
  <si>
    <t>143912-046-200519</t>
  </si>
  <si>
    <t>PERUANA DE COMBUSTIBLES S.A.</t>
  </si>
  <si>
    <t>AV. REPUBLICA DE PANAMA Nº 3542</t>
  </si>
  <si>
    <t>MANUEL THOMAS HERRERA RAMBLA TAYLOR</t>
  </si>
  <si>
    <t>143913-046-200519</t>
  </si>
  <si>
    <t>KRE S.A.</t>
  </si>
  <si>
    <t>AV. PETIT THOUARS N° 2795</t>
  </si>
  <si>
    <t>PETRÓLEO INDUSTRIAL Nº 6</t>
  </si>
  <si>
    <t>OKUMA MARUY, LINCOLN</t>
  </si>
  <si>
    <t>143914-046-200519</t>
  </si>
  <si>
    <t>VASQUEZ SAINT-JHON CONT.GENERALES S.A.</t>
  </si>
  <si>
    <t>CALLE ALMIRANTE LORD COCHRANE NRO. 268, URB. SAN ISIDRO (ALT CLINICA ANGLO AMERICANA)</t>
  </si>
  <si>
    <t>LUIS ALBERTO VASQUEZ HOYOS</t>
  </si>
  <si>
    <t>143915-046-200519</t>
  </si>
  <si>
    <t>ENERGIGAS S.A.C.</t>
  </si>
  <si>
    <t>AV. SANTO TORIBIO N° 173 CRUCE CON AV. VIA CENTRAL, EDIFICIO REAL 8, OF. 502</t>
  </si>
  <si>
    <t>DIEGO ALONSO CARLOS JOSE GONZALES POSADA DE COSSIO</t>
  </si>
  <si>
    <t>144117-046-200519</t>
  </si>
  <si>
    <t>MAYTA CHINO, GREGORIO</t>
  </si>
  <si>
    <t>MZ. 29 LOTE 27, COMITE 09</t>
  </si>
  <si>
    <t>CIUDAD NUEVA</t>
  </si>
  <si>
    <t>143916-046-200519</t>
  </si>
  <si>
    <t>CONSORCIO PETROLERO S.A.C</t>
  </si>
  <si>
    <t>AV. ROCA DE VERGALLO Nº 440</t>
  </si>
  <si>
    <t>CESAR RAUL CORDERO TENORIO</t>
  </si>
  <si>
    <t>150084-046-220720</t>
  </si>
  <si>
    <t>GO PETROL E.I.R.L.</t>
  </si>
  <si>
    <t>JR. COLON NRO. 144</t>
  </si>
  <si>
    <t xml:space="preserve">ANDREA EUSEBIA ESPICHAN GAMBIRAZIO </t>
  </si>
  <si>
    <t>144118-046-200519</t>
  </si>
  <si>
    <t>CHAMBI HERMANOS S.C.R.L.</t>
  </si>
  <si>
    <t>ASOC. DE VIVIENDA SAN JOSE MZ. H LT. 16</t>
  </si>
  <si>
    <t>CHAMBI FLORES, MARTIN</t>
  </si>
  <si>
    <t>144109-046-200519</t>
  </si>
  <si>
    <t>AV. VIA DE EVITAMIENTO N° 1890</t>
  </si>
  <si>
    <t>TARAPOTO</t>
  </si>
  <si>
    <t>144108-046-200519</t>
  </si>
  <si>
    <t>GRIFO EN LA RUTA S.A.C.</t>
  </si>
  <si>
    <t>CARRETERA MARGINAL NORTE KM 1</t>
  </si>
  <si>
    <t>PEDRO IBAÑEZ RUIZ</t>
  </si>
  <si>
    <t>144111-046-030719</t>
  </si>
  <si>
    <t>REPRESENTACIONES Y SERVICIOS GENERALES AGUILA'S GROUP S.A.C.</t>
  </si>
  <si>
    <t>PSJE LOS CRISTALES S/N LA PLANICIE</t>
  </si>
  <si>
    <t>ASFALTO LÍQUIDO MC-30,ASFALTO LÍQUIDO MC-70,ASFALTO LÍQUIDO RC-250,CEMENTO ASFÁLTICO 120-150,CEMENTO ASFÁLTICO 40-50,CEMENTO ASFÁLTICO 60-70,CEMENTO ASFÁLTICO 85-100,PETRÓLEO INDUSTRIAL Nº 5,PETRÓLEO INDUSTRIAL Nº 500,PETRÓLEO INDUSTRIAL Nº 6</t>
  </si>
  <si>
    <t>MARTHA VANESSA CASALLO LOZANO</t>
  </si>
  <si>
    <t>144110-046-200519</t>
  </si>
  <si>
    <t>GRIFOCENTRO PETROVAS E.I.R.L.</t>
  </si>
  <si>
    <t>AV. AVIACION N° 608</t>
  </si>
  <si>
    <t>SAUL VASQUEZ RUIZ</t>
  </si>
  <si>
    <t>143918-046-200519</t>
  </si>
  <si>
    <t xml:space="preserve">STRACON GYM S.A. </t>
  </si>
  <si>
    <t xml:space="preserve">AV. REPUBLICA DE PANAMA N° 3545 INT. 1201 </t>
  </si>
  <si>
    <t>MIGUEL PONS CASTRO</t>
  </si>
  <si>
    <t>150088-046-270820</t>
  </si>
  <si>
    <t>CORPORACION Q &amp; T S.A.C.</t>
  </si>
  <si>
    <t>AV TUPAC AMARU KM 22.5 ZONA HUACOY</t>
  </si>
  <si>
    <t>JULIO MANUEL ZAVALA CAMPOS</t>
  </si>
  <si>
    <t>144113-046-200519</t>
  </si>
  <si>
    <t xml:space="preserve">INVERSIONES MENVI S.A.C. </t>
  </si>
  <si>
    <t>JR. SAN JUAN N° 349</t>
  </si>
  <si>
    <t>ALFONSO MENDIETA VIERA</t>
  </si>
  <si>
    <t>148121-046-041219</t>
  </si>
  <si>
    <t>UMBRELLA COMPANY S.A.C.</t>
  </si>
  <si>
    <t>MZ. P LOTE 21A AV. PRADERAS SANTA ANITA 3ERA. ETAPA</t>
  </si>
  <si>
    <t>EL AGUSTINO</t>
  </si>
  <si>
    <t>ASFALTO LÍQUIDO MC-30,ASFALTO LÍQUIDO MC-70,ASFALTO LÍQUIDO RC-250,ASFALTO LÍQUIDO RC-70,BREA,CEMENTO ASFÁLTICO 10-20,CEMENTO ASFÁLTICO 120-150,CEMENTO ASFÁLTICO 20-30,CEMENTO ASFÁLTICO 40-50,CEMENTO ASFÁLTICO 60-70,CEMENTO ASFÁLTICO 85-100,DIESEL B5,Diesel B5 S-50,LUBRICANTES,PETRÓLEO INDUSTRIAL Nº 500,PETRÓLEO INDUSTRIAL Nº 6,SOLVENTE 1,SOLVENTE 3</t>
  </si>
  <si>
    <t>WILLIAM FARUK ABAD OLIVOS</t>
  </si>
  <si>
    <t>143917-046-200519</t>
  </si>
  <si>
    <t xml:space="preserve">PROYECTA &amp; CONSTRUYE S.A. </t>
  </si>
  <si>
    <t xml:space="preserve">CALLE LA HABANA N° 192 </t>
  </si>
  <si>
    <t>RUI PEDRO VARANDA RIBEIRO GUIMARAES</t>
  </si>
  <si>
    <t>144112-046-200519</t>
  </si>
  <si>
    <t>ESTACIÓN DE SERVICIOS ZARITA TOCACHE E.I.R.L.</t>
  </si>
  <si>
    <t>CALLE JOSÉ GERMANY N° 421</t>
  </si>
  <si>
    <t>ZARA JONILDA HUAYANAY JESUS</t>
  </si>
  <si>
    <t>143920-046-200519</t>
  </si>
  <si>
    <t>DOLORES SALAZAR ACUÑA</t>
  </si>
  <si>
    <t>CALLE JOAQUIN TORRICO N° 1148</t>
  </si>
  <si>
    <t>DIESEL B5,PETRÓLEO INDUSTRIAL Nº 5,PETRÓLEO INDUSTRIAL Nº 500,PETRÓLEO INDUSTRIAL Nº 6,SOLVENTE 3</t>
  </si>
  <si>
    <t>SALAZAR ACUÑA, DOLORES CUPERTINO</t>
  </si>
  <si>
    <t>144115-046-200519</t>
  </si>
  <si>
    <t>DISTRIBUIDORA MILAGROS E.I.R.L</t>
  </si>
  <si>
    <t>CALLE BLONDELL N° 122</t>
  </si>
  <si>
    <t>ALTO DE LA ALIANZA</t>
  </si>
  <si>
    <t>MARIA FLORES CHINO</t>
  </si>
  <si>
    <t>144114-046-200519</t>
  </si>
  <si>
    <t>QUEQUE MAMANI, LIDIA</t>
  </si>
  <si>
    <t>CALLE ARICA N° 201</t>
  </si>
  <si>
    <t>CANDARAVE</t>
  </si>
  <si>
    <t>LIDIA QUEQUE MAMANI</t>
  </si>
  <si>
    <t>143919-046-200519</t>
  </si>
  <si>
    <t>COMPAÑIA PETROLERA &amp; GAS CARO S.A.C.</t>
  </si>
  <si>
    <t>CALLE CORONEL PORTILLO N° 565 - SANTA MONICA</t>
  </si>
  <si>
    <t>DIESEL B5,Diesel B5 S-50,PETRÓLEO INDUSTRIAL Nº 500,PETRÓLEO INDUSTRIAL Nº 6,RESIDUAL ASFALTICO RC-250,SOLVENTE 1,SOLVENTE 3</t>
  </si>
  <si>
    <t>SONIA LIZ CARO AMADO</t>
  </si>
  <si>
    <t>144116-046-200519</t>
  </si>
  <si>
    <t>PETROLERA DE TACNA E.I.R.L.</t>
  </si>
  <si>
    <t>CARRETERA PANAMERICANA SUR KM 1297</t>
  </si>
  <si>
    <t>MIRKALA ELENA FERNANDEZ CORDOVA</t>
  </si>
  <si>
    <t>145351-046-180719</t>
  </si>
  <si>
    <t>GRIFO FLOTANTE CESAR S.R.L.</t>
  </si>
  <si>
    <t>CALLE BOLOGNESI N°1278</t>
  </si>
  <si>
    <t>RIOS CARDENAS CESAR</t>
  </si>
  <si>
    <t>149438-046-090320</t>
  </si>
  <si>
    <t xml:space="preserve">YANET MENDOZA VARGAS </t>
  </si>
  <si>
    <t>AV. TAMBURCO S/N</t>
  </si>
  <si>
    <t>ABANCAY</t>
  </si>
  <si>
    <t>143884-046-200519</t>
  </si>
  <si>
    <t>KEDISOL S.A.C</t>
  </si>
  <si>
    <t xml:space="preserve">MZ. Y LT. 17 HUERTOS DE LURIN </t>
  </si>
  <si>
    <t>SOLVENTE 1,SOLVENTE 3</t>
  </si>
  <si>
    <t>ESPINOZA MARTINEZ, GUSTAVO ADAN</t>
  </si>
  <si>
    <t>143883-046-200519</t>
  </si>
  <si>
    <t>TRANSPORTES C.M.R. S.A.C.</t>
  </si>
  <si>
    <t>AV. LOS ROSALES MZ. C LOTE. 8 URB. HUERTOS DÉ PACHACAMAC (KM. 1.8 AV. MANUEL VALLE PARADERO PORTON)</t>
  </si>
  <si>
    <t>MARCO ANTONIO GUTIERREZ ZEGARRA</t>
  </si>
  <si>
    <t>143882-046-200519</t>
  </si>
  <si>
    <t>PETROGAS SUR CORPORACION S.A.C.</t>
  </si>
  <si>
    <t>URB. LAS VIRREYNAS MZ. A DPTO. 201</t>
  </si>
  <si>
    <t>WINTHER GONZALO CAYCHO ESPICHAN</t>
  </si>
  <si>
    <t>143881-046-200519</t>
  </si>
  <si>
    <t xml:space="preserve">TANIA ELVIRA ZEA TICONA </t>
  </si>
  <si>
    <t>AV. LARAMATA MZ. F, LT. 9, JULIO CESAR TELLO, SECTOR 23</t>
  </si>
  <si>
    <t>TANIA ELVIRA ZEA TICONA</t>
  </si>
  <si>
    <t>149437-046-030320</t>
  </si>
  <si>
    <t>SERVICENTRO EL GALLITO S.C.R.L.</t>
  </si>
  <si>
    <t>AV. ANDRES AVELINO CACERES S/N</t>
  </si>
  <si>
    <t>RUTH AMPARO CATACORA ZEBALLOS</t>
  </si>
  <si>
    <t>143880-046-200519</t>
  </si>
  <si>
    <t>MARIO VIDAL LINO NATIVIDAD</t>
  </si>
  <si>
    <t>AV. ANTIGUA PANAMERICANA SUR KM. 34 FUNDO SAN PEDRO</t>
  </si>
  <si>
    <t>143879-046-200519</t>
  </si>
  <si>
    <t xml:space="preserve">LBC COMBUSTIBLES S.A.C. </t>
  </si>
  <si>
    <t xml:space="preserve">AUTOPISTA RAMIRO PRIALE N° 5719 - SANTA MARIA DE HUACHIPA </t>
  </si>
  <si>
    <t>LURIGANCHO</t>
  </si>
  <si>
    <t>FREDY LUIS BALDEON SANTIAGO</t>
  </si>
  <si>
    <t>143878-046-200519</t>
  </si>
  <si>
    <t>INVERSIONES Y SERVICIOS ROEDESA E.I.R.L.</t>
  </si>
  <si>
    <t>PJ. 1 MZ. G LOTE 7B-6 URB. NIEVERIA II ETAPA</t>
  </si>
  <si>
    <t>ROQUE BERNAL HERRERA</t>
  </si>
  <si>
    <t>143877-046-200519</t>
  </si>
  <si>
    <t>INVERSIONES LYM MARIN S.A.C.</t>
  </si>
  <si>
    <t xml:space="preserve">LT. 2A FONDO HUACHIPA, SECTOR 2 </t>
  </si>
  <si>
    <t>DORIS MARIN BARRETO</t>
  </si>
  <si>
    <t>143886-046-200519</t>
  </si>
  <si>
    <t>INVERSIONES Y SERVICIOS BITUMINOSOS Y AMBIENTALES S.A.C.</t>
  </si>
  <si>
    <t>FUNDO GRANJA UNO LOTE 12</t>
  </si>
  <si>
    <t>ASFALTO LÍQUIDO MC-30,PETRÓLEO INDUSTRIAL Nº 4,RESIDUAL ASFALTICO RC-250</t>
  </si>
  <si>
    <t xml:space="preserve">FLOR ESTHER CHUMBE MENDOZA </t>
  </si>
  <si>
    <t>143885-046-200519</t>
  </si>
  <si>
    <t xml:space="preserve">NEGOCIACION KIO S.A.C. </t>
  </si>
  <si>
    <t>CARRETERA PANAMERICANA SUR KM 25.620 A.H. SAN ANTONIO</t>
  </si>
  <si>
    <t>YVES JESUS ALIAGA CARRASCO</t>
  </si>
  <si>
    <t>143887-046-200519</t>
  </si>
  <si>
    <t xml:space="preserve">TRANSERGE DEL PERU C &amp; L S.A.C. </t>
  </si>
  <si>
    <t>CARRETERA PANAMERICANA ANTIGUA SUR KM 33.200</t>
  </si>
  <si>
    <t>PEDRO SIMEON CUTA POLO</t>
  </si>
  <si>
    <t>143893-046-200519</t>
  </si>
  <si>
    <t>COPEP DEL PERU S.A.C.</t>
  </si>
  <si>
    <t>AV. BENAVIDES N° 1555- OF. 604</t>
  </si>
  <si>
    <t>CÉSAR AUGUSTO LÓPEZ COLOMA</t>
  </si>
  <si>
    <t>143892-046-200519</t>
  </si>
  <si>
    <t>CORPORACION PETROLERA SANTA ROSA S.A.C.</t>
  </si>
  <si>
    <t>JR. DIEZ CANSECO Nº 148 OF. 702</t>
  </si>
  <si>
    <t>GUARDAMINO CHAPARRO, YENI ELIZABET</t>
  </si>
  <si>
    <t>151239-046-160920</t>
  </si>
  <si>
    <t>CARRASCO NEIRA NOLY ANTONIO</t>
  </si>
  <si>
    <t>CALLE HUÁSCAR N° 211</t>
  </si>
  <si>
    <t>143895-046-200519</t>
  </si>
  <si>
    <t>ITALICA CONTROL SOCIAL S.A.C.</t>
  </si>
  <si>
    <t xml:space="preserve">AV LA PAZ N° 1459 URB ARMENDARIZ </t>
  </si>
  <si>
    <t>JULIO ALFONSO GUEVARA LANDEO</t>
  </si>
  <si>
    <t>143894-046-200519</t>
  </si>
  <si>
    <t>COMPAÑÍA DE PETROLEOS ESPECIALES DEL PERU S.A.C.</t>
  </si>
  <si>
    <t>AV. BENAVIDES 1555 - OFIC. 603 - 604</t>
  </si>
  <si>
    <t>Diesel B5 S-50,PETRÓLEO INDUSTRIAL Nº 4,PETRÓLEO INDUSTRIAL Nº 5,PETRÓLEO INDUSTRIAL Nº 500,PETRÓLEO INDUSTRIAL Nº 6</t>
  </si>
  <si>
    <t>CESAR AUGUSTO LOPEZ COLOMA</t>
  </si>
  <si>
    <t>143889-046-200519</t>
  </si>
  <si>
    <t>J &amp; J INVERSIONES ALVARES E.I.R.L.</t>
  </si>
  <si>
    <t>CALLE 8 MZ 1 LOTE 25 AA.HH. VILLA ALEJANDRO 1RA ETAPA</t>
  </si>
  <si>
    <t>JUAN CARLOS ALVARES NINAHUAMAN</t>
  </si>
  <si>
    <t>143888-046-200519</t>
  </si>
  <si>
    <t>GRIFO PERLITA S.A.C</t>
  </si>
  <si>
    <t>CARRETERA ANTIGUA PAN. SUR KM 36.100 EX FUNDO SAN VICENTE</t>
  </si>
  <si>
    <t>ISABEL ESPERANZA SANCHEZ MONTES</t>
  </si>
  <si>
    <t>151014-046-150920</t>
  </si>
  <si>
    <t>PERU JIN SUI MINING CO LTD S.A.C</t>
  </si>
  <si>
    <t>JR. OCEANO PACIFICO N° 265-271, MZ. B, LOTE 3 URB. NEPTUNO</t>
  </si>
  <si>
    <t>ASFALTO LÍQUIDO MC-30,ASFALTO LÍQUIDO MC-70,ASFALTO LÍQUIDO RC-250,ASFALTO LÍQUIDO RC-70,BREA,DIESEL B5,Diesel B5 S-50,PETRÓLEO INDUSTRIAL Nº 4,PETRÓLEO INDUSTRIAL Nº 5,PETRÓLEO INDUSTRIAL Nº 500,PETRÓLEO INDUSTRIAL Nº 6</t>
  </si>
  <si>
    <t>LIU QING</t>
  </si>
  <si>
    <t>143891-046-200519</t>
  </si>
  <si>
    <t>LOGISTICA APOLO S.A.C.</t>
  </si>
  <si>
    <t>MZ. D LOTE 31 FUNDO BUENAVISTA</t>
  </si>
  <si>
    <t>ASFALTO LÍQUIDO,CEMENTO ASFÁLTICO,RESIDUALES</t>
  </si>
  <si>
    <t>TOBIAS RUDY HUAMAN ESCATE</t>
  </si>
  <si>
    <t>143890-046-200519</t>
  </si>
  <si>
    <t xml:space="preserve">CONSORCIO ECOGAS S.A.C. </t>
  </si>
  <si>
    <t xml:space="preserve">MZ. Y LOTE 62 SECTOR PUEBLO TRADICIONAL LURÍN CERCADO </t>
  </si>
  <si>
    <t xml:space="preserve">JOAN CAYCHO SOLIS </t>
  </si>
  <si>
    <t>143896-046-200519</t>
  </si>
  <si>
    <t>ASIA GRIFOS Y SERVICIOS GENERALES S.A.C.</t>
  </si>
  <si>
    <t>AV. JOSE PARDO Nº 138 OF. 304</t>
  </si>
  <si>
    <t xml:space="preserve">MARIA ERICA ELIZABETH CANITROT RODRIGUEZ </t>
  </si>
  <si>
    <t>151008-046-040920</t>
  </si>
  <si>
    <t xml:space="preserve">JUAN CARLOS PACHECO MENDOZA </t>
  </si>
  <si>
    <t>DIGNIDAD NACIONAL MZ. K LOTE 2</t>
  </si>
  <si>
    <t>149426-046-030320</t>
  </si>
  <si>
    <t>GRIFO ISABELLA VG E.I.R.L.</t>
  </si>
  <si>
    <t>MZ C LOTE 01 CPME CALIFORNIA</t>
  </si>
  <si>
    <t>ASFALTO LÍQUIDO MC-30,ASFALTO LÍQUIDO MC-70,ASFALTO LÍQUIDO RC-250,ASFALTO LÍQUIDO RC-70,BREA,DIESEL B5,Diesel B5 S-50,LUBRICANTES,PETRÓLEO INDUSTRIAL Nº 500,PETRÓLEO INDUSTRIAL Nº 6,SOLVENTE 1,SOLVENTE 3</t>
  </si>
  <si>
    <t>149427-046-030320</t>
  </si>
  <si>
    <t>GRIFOS STL S.R.L.</t>
  </si>
  <si>
    <t>CARRETERA PANAMERICANA KM. 54.2 INTERIOR 1 S/N</t>
  </si>
  <si>
    <t>ASFALTO LÍQUIDO MC-30,ASFALTO LÍQUIDO RC-250,ASFALTO LÍQUIDO RC-70,BREA,CEMENTO ASFÁLTICO 120-150,CEMENTO ASFÁLTICO 60-70,CEMENTO ASFÁLTICO 85-100,CGN SOLVENTE,DIESEL B5,Diesel B5 S-50,LUBRICANTES,PETRÓLEO INDUSTRIAL Nº 5,SOLVENTE 1,SOLVENTE 3</t>
  </si>
  <si>
    <t>TASSARA NUÑEZ ALESSANDRO</t>
  </si>
  <si>
    <t>143536-046-200519</t>
  </si>
  <si>
    <t>LUIS GUSTAVO RODRIGUEZ CHUNG</t>
  </si>
  <si>
    <t>CA. LUIS MONTERO Nº 350 URB. EL BOSQUE</t>
  </si>
  <si>
    <t>ASFALTO LÍQUIDO RC-250,PETRÓLEO INDUSTRIAL Nº 500,RESIDUAL ASFALTICO RC-250</t>
  </si>
  <si>
    <t>143535-046-200519</t>
  </si>
  <si>
    <t xml:space="preserve">ANTONIO QUICAÑO RAVELO </t>
  </si>
  <si>
    <t xml:space="preserve">AV. AMERICA NORTE N° 1810 </t>
  </si>
  <si>
    <t>143534-046-200519</t>
  </si>
  <si>
    <t>GRETIL CARLITA LAZARO RODRIGUEZ</t>
  </si>
  <si>
    <t>MZ. A INT H42 SECTOR ASCOMAPAAT PABELLON VIII</t>
  </si>
  <si>
    <t>143533-046-200519</t>
  </si>
  <si>
    <t xml:space="preserve">VICTOR ORLANDO SANCHEZ IPARRAGUIRRE </t>
  </si>
  <si>
    <t>CALLE CRISTAL MZ. LL LOTE 16 URB. SAN ISIDRO</t>
  </si>
  <si>
    <t>143532-046-200519</t>
  </si>
  <si>
    <t>JOSE LINO VALENTIN LAVANDERA GONZALES</t>
  </si>
  <si>
    <t>AV. AMERICA SUR N° 589-B, URB. SANTA ROSALIA</t>
  </si>
  <si>
    <t>143531-046-200519</t>
  </si>
  <si>
    <t xml:space="preserve">PEDRO PABLO RAYMUNDO MANSILLA </t>
  </si>
  <si>
    <t>143530-046-200519</t>
  </si>
  <si>
    <t xml:space="preserve">WALTER ANTENOR HUAMANQUISPE ARTEAGA </t>
  </si>
  <si>
    <t>AV. FEDERICO VILLAREAL MZ. 1A LOTE 1 URB. LA RINCONADA</t>
  </si>
  <si>
    <t>145584-046-050819</t>
  </si>
  <si>
    <t>CORPORACION PERJAM S.R.L.</t>
  </si>
  <si>
    <t xml:space="preserve">URB. LARAPA GRANDE MZA. F LOTE. 4-3, AV. 05 DPTO. 502 </t>
  </si>
  <si>
    <t>ASFALTO LÍQUIDO MC-30,ASFALTO LÍQUIDO MC-70,ASFALTO LÍQUIDO RC-250,BREA,CEMENTO ASFÁLTICO 60-70</t>
  </si>
  <si>
    <t xml:space="preserve">KARIN ISABEL JAMANCA HERVACIO </t>
  </si>
  <si>
    <t>143897-046-200519</t>
  </si>
  <si>
    <t>FULL OILS PETRO S.A.C.</t>
  </si>
  <si>
    <t>JR. DIEZ CANSECO N° 150 OF. 702</t>
  </si>
  <si>
    <t>ELVA GLADIS GUARDAMINO CHAPARRO</t>
  </si>
  <si>
    <t>150038-046-230720</t>
  </si>
  <si>
    <t>SALINAS CRUZ LESLIE BRISSETTE</t>
  </si>
  <si>
    <t>CASERIO LA LEGUA 29 00213 INT. 0001</t>
  </si>
  <si>
    <t>143529-046-200519</t>
  </si>
  <si>
    <t>HILSIAS CAMILO VILLALVA HUAMAN</t>
  </si>
  <si>
    <t>CALLE SALAZAR BONDY N° 598. INT. E - URB. RAZURI</t>
  </si>
  <si>
    <t>143898-046-200519</t>
  </si>
  <si>
    <t>J.L.H. SERVICIOS GENERALES ASOCIADOS CO S.A.C.</t>
  </si>
  <si>
    <t>AV. LA PAZ N° 549 DPTO. 202 CERCADO DE MIRAFLORES</t>
  </si>
  <si>
    <t>CGN SOLVENTE,DIESEL B5,Diesel B5 S-50,LUBRICANTES,PETRÓLEO INDUSTRIAL Nº 5,PETRÓLEO INDUSTRIAL Nº 500,PETRÓLEO INDUSTRIAL Nº 6,SOLVENTE 1,SOLVENTE 3</t>
  </si>
  <si>
    <t xml:space="preserve">ALVARO MONTOYA CARRASCO </t>
  </si>
  <si>
    <t>143528-046-200519</t>
  </si>
  <si>
    <t>CARLOS MIGUEL CAMPOS MENDOZA</t>
  </si>
  <si>
    <t>CALLE LIBERTAD N° 340</t>
  </si>
  <si>
    <t>SALAVERRY</t>
  </si>
  <si>
    <t>143527-046-200519</t>
  </si>
  <si>
    <t>SERVICENTRO EL CHE S.R.L.</t>
  </si>
  <si>
    <t>PANAMERICANA NORTE KM. 555 INT. 100-A CURVA DE SUN</t>
  </si>
  <si>
    <t>GALVEZ VILLANUEVA, OSCAR ENRIQUE</t>
  </si>
  <si>
    <t>145586-046-040819</t>
  </si>
  <si>
    <t>OPERADOR LOGISTICO HALCON ROJO S.A.C.</t>
  </si>
  <si>
    <t>ESQUINA AV. ARGENTINA CON CALLE COLOMBIA</t>
  </si>
  <si>
    <t>FLOR DE ROSARIO VASQUEZ PINEDO</t>
  </si>
  <si>
    <t>143858-046-200519</t>
  </si>
  <si>
    <t>INVERSIONES TEJADA CANO S.A.C.</t>
  </si>
  <si>
    <t>AV. SIMON BOLIVAR MZ. E LT. 09 - ASOCIACION TAMBO VIEJO ZONA E</t>
  </si>
  <si>
    <t>CIENEGUILLA</t>
  </si>
  <si>
    <t xml:space="preserve">NORMA CANO MOSCOSO </t>
  </si>
  <si>
    <t>143857-046-200519</t>
  </si>
  <si>
    <t>GERARDO RUBEN HERNANDEZ MIRANDA</t>
  </si>
  <si>
    <t xml:space="preserve">CARRETERA CIENEGUILLA KM 12.5 </t>
  </si>
  <si>
    <t>143862-046-200519</t>
  </si>
  <si>
    <t>OPERADORES LOGISTICOS AYP DEL PERU S.A.C.</t>
  </si>
  <si>
    <t>AV. ALAMEDA DEL CORREGIDOR N° 2448 URB. LA CAPILLA</t>
  </si>
  <si>
    <t>LA MOLINA</t>
  </si>
  <si>
    <t xml:space="preserve">LUISA KARINA CONTRERAS LAZO </t>
  </si>
  <si>
    <t>143861-046-200519</t>
  </si>
  <si>
    <t>SERVICIOS MULTIPLES MUSA E.I.R.L.</t>
  </si>
  <si>
    <t>CALLE LOS APEROS N° 158 URB. LA ENSENADA</t>
  </si>
  <si>
    <t>MIGUEL ANGEL MUNIVE SANCHEZ</t>
  </si>
  <si>
    <t>143860-046-200519</t>
  </si>
  <si>
    <t xml:space="preserve">BRYNAJOM S.R.L. </t>
  </si>
  <si>
    <t xml:space="preserve">AV. LAS PALMERAS 540 INT. 101 URB. PARQUE DE MONTERRICO </t>
  </si>
  <si>
    <t>JOSÉ MANUEL GUERRA URRUCHE</t>
  </si>
  <si>
    <t>143859-046-200519</t>
  </si>
  <si>
    <t xml:space="preserve">INVERSIONES Y NEGOCIACIONES NUEVA VICTORIA S.A.C. </t>
  </si>
  <si>
    <t>EXPANSION AGRICOLA SANTA N° 8 - EXPANSION AGRICOLA (ALT. KM 14.5 CARRETERA CIENEGUILLA)</t>
  </si>
  <si>
    <t xml:space="preserve">LUIS BORGIO CACHATA SARAVIA </t>
  </si>
  <si>
    <t>143866-046-200519</t>
  </si>
  <si>
    <t>YESSICA RARAZ ESPINOZA</t>
  </si>
  <si>
    <t>AV. NICOLAS ARRIOLA N° 1311, 2DO. PISO INT. 5</t>
  </si>
  <si>
    <t xml:space="preserve">YESSICA RARAZ ESPINOZA </t>
  </si>
  <si>
    <t>143865-046-200519</t>
  </si>
  <si>
    <t xml:space="preserve">TRANSPORTES MULTISERVICIOS SANTOS E.I.R.L. </t>
  </si>
  <si>
    <t>JR. LOS FORESTALES N° 290 URB. SANTA FELICIA</t>
  </si>
  <si>
    <t>ESTANISLAO VEGA ACCHO</t>
  </si>
  <si>
    <t>145012-046-090719</t>
  </si>
  <si>
    <t>TRANSPORTES EL CAUDILLO S.A.C.</t>
  </si>
  <si>
    <t>CALLE LAS FLORES MZA. U LOTE. 22 URB. LA ALBORADA</t>
  </si>
  <si>
    <t>NELY HUAMAN FARFAN DE QUISPE</t>
  </si>
  <si>
    <t>143864-046-200519</t>
  </si>
  <si>
    <t>CORPORACION L &amp; A CONTRATISTAS S.A.C.</t>
  </si>
  <si>
    <t>CALLE LOS ALMENDROS 495 DPTO 202 URB. RESIDENCIAL MONTERRICO</t>
  </si>
  <si>
    <t>ASFALTO LÍQUIDO,CEMENTO ASFÁLTICO,PETRÓLEOS INDUSTRIALES</t>
  </si>
  <si>
    <t>ZEINER MIGUEL ALVAREZ ARMAS</t>
  </si>
  <si>
    <t>143863-046-200519</t>
  </si>
  <si>
    <t>MULTISERVICE ALARCON S.A.C.</t>
  </si>
  <si>
    <t xml:space="preserve">CALLE LOS TULIPANES 171 - URB. MUSA, SEGUNDA ETAPA </t>
  </si>
  <si>
    <t>AUGUSTO ALARCON VERAMENDI</t>
  </si>
  <si>
    <t>145234-046-180719</t>
  </si>
  <si>
    <t>ONCAP S.A.C.</t>
  </si>
  <si>
    <t>CARRETERA PIURA - LOS EJIDOS DEL NORTE PREDIO RC 18849 SANTA INA (P) SECTOR EJIDOS DEL NORTE</t>
  </si>
  <si>
    <t>CAPRILE HERNANDEZ GIANFRANCO</t>
  </si>
  <si>
    <t>145239-046-240819</t>
  </si>
  <si>
    <t>AGROMAJ RENAC S.A.C.</t>
  </si>
  <si>
    <t>AV. URINSAYA S/N CARLOS PORTOCARRERO (SECTOR LOS REGANTES)</t>
  </si>
  <si>
    <t>NAZARIO ALVARO CHAHUA</t>
  </si>
  <si>
    <t>150047-046-210720</t>
  </si>
  <si>
    <t>KAYSON PERU S.A.C.</t>
  </si>
  <si>
    <t>MZ T N° 6, A.H. ALFONSO UGARTE, ZONA GRAMADAL</t>
  </si>
  <si>
    <t xml:space="preserve">JAVIER FERNANDO ARCE ALVARADO </t>
  </si>
  <si>
    <t>143867-046-200519</t>
  </si>
  <si>
    <t>ESTRELLA POLAR S.A.C.</t>
  </si>
  <si>
    <t>AV. LUNA PIZARRO N° 338</t>
  </si>
  <si>
    <t>FORTUNATO LUCIO QUISPE COCHACHI</t>
  </si>
  <si>
    <t>143869-046-200519</t>
  </si>
  <si>
    <t xml:space="preserve">BUS SERVICE AUTOMOTRIZ S.A.C </t>
  </si>
  <si>
    <t>AV. SAN EUGENIO N° 911, INT. 3 , URB. SANTA CATALINA</t>
  </si>
  <si>
    <t xml:space="preserve">DECLERCQ CABRERA LUDWIG MIGUEL </t>
  </si>
  <si>
    <t>143868-046-200519</t>
  </si>
  <si>
    <t>WARI SERVICE S.A.C.</t>
  </si>
  <si>
    <t>AV. NICOLAS ARRIOLA NRO. 910 INT. 3, URB. SANTA CATALINA</t>
  </si>
  <si>
    <t xml:space="preserve">RICHARD ARMANDO PALOMINO ORTIZ </t>
  </si>
  <si>
    <t>143871-046-200519</t>
  </si>
  <si>
    <t>CORPORACION VIA GOOL S.A.C.</t>
  </si>
  <si>
    <t>GARCIA NARANJO N° 560</t>
  </si>
  <si>
    <t xml:space="preserve">VALDIVIANO ALVARADO APOLINARIO TEOFILO </t>
  </si>
  <si>
    <t>143870-046-200519</t>
  </si>
  <si>
    <t>JC - DC CONTRATISTAS S.A.C.</t>
  </si>
  <si>
    <t>JR. E. LEON GARCIA 137 DPTO. 1 URB. STA. CATALINA</t>
  </si>
  <si>
    <t>JUAN CARLOS DIONICIO CARHUAMACA</t>
  </si>
  <si>
    <t>143873-046-200519</t>
  </si>
  <si>
    <t xml:space="preserve">INVERSIONES M Y E S.A.C. </t>
  </si>
  <si>
    <t>AV. LAS TORRES MZ. D LT. 14 URB. LA ALAMEDA DE HUACHIPA</t>
  </si>
  <si>
    <t>ESTELA ROSSI YALI AGUILAR</t>
  </si>
  <si>
    <t>143872-046-200519</t>
  </si>
  <si>
    <t>SERVICENTRO EL PIONERO E.I.R.L.</t>
  </si>
  <si>
    <t>MZ. C1 LOTE 20 A2 URB. EL CLUB DE HUACHIPA</t>
  </si>
  <si>
    <t xml:space="preserve">MARIA ANGELICA FONSECA ESPINOZA </t>
  </si>
  <si>
    <t>143875-046-200519</t>
  </si>
  <si>
    <t>SERVIJOSEF S.A.C.</t>
  </si>
  <si>
    <t>AV. 5 DE AGOSTO MZ. N LOTE 1 SECTOR 8 CERRO CAMOTE</t>
  </si>
  <si>
    <t>JOSE VALENTIN PALOMINO PEREZ</t>
  </si>
  <si>
    <t>143874-046-200519</t>
  </si>
  <si>
    <t>ANDEAN ASPHALT E.I.R.L.</t>
  </si>
  <si>
    <t>AV. GINO RATTO S/N CARAPONGO - CODIGO CATASTRAL 10180, PARCELA N° 4 CHOSICA</t>
  </si>
  <si>
    <t>ASFALTO LÍQUIDO MC-30,ASFALTO LÍQUIDO MC-70,ASFALTO LÍQUIDO RC-250,CEMENTO ASFÁLTICO 120-150,CEMENTO ASFÁLTICO 60-70,CEMENTO ASFÁLTICO 85-100</t>
  </si>
  <si>
    <t>PEDRO HUGO LARA JUSCAMAITA</t>
  </si>
  <si>
    <t>143876-046-200519</t>
  </si>
  <si>
    <t xml:space="preserve">ECOGAS COMERCIAL S.A.C. </t>
  </si>
  <si>
    <t>MZ-D LTE-1 URB. POPULAR NUEVO HORIZONTE</t>
  </si>
  <si>
    <t>HERNANDO ENRIQUE CHAVEZ RODRIGUEZ PARRA</t>
  </si>
  <si>
    <t>145571-046-161019</t>
  </si>
  <si>
    <t xml:space="preserve">JUAN MACHACA CARI </t>
  </si>
  <si>
    <t>COMUNIDAD MORORIA, SECTOR HUAYLLABAMBA</t>
  </si>
  <si>
    <t>149417-046-020320</t>
  </si>
  <si>
    <t>MULTISERVICIOS RODAS EMPRESA INDIVIDUAL DE RESPONSABILIDAD LIMITADA</t>
  </si>
  <si>
    <t>JR. UMACHIRI NRO. 459</t>
  </si>
  <si>
    <t>MILAGROS COAQUIRA QUISPE</t>
  </si>
  <si>
    <t>143498-046-200519</t>
  </si>
  <si>
    <t>GRIFO JOSE OLAYA E.I.R.L.</t>
  </si>
  <si>
    <t>AV. JOSE OLAYA N° 548</t>
  </si>
  <si>
    <t>PEPE JUAN CHUQUILLANQUI ALIAGA</t>
  </si>
  <si>
    <t>143499-046-200519</t>
  </si>
  <si>
    <t>CORPORACION RIO BRANCO S.A.</t>
  </si>
  <si>
    <t>AV. CORONEL PARRA Nº 270-280</t>
  </si>
  <si>
    <t>ASFALTO LÍQUIDO MC-30,ASFALTO LÍQUIDO MC-70,ASFALTO LÍQUIDO RC-250,BREA,CEMENTO ASFÁLTICO 120-150,CEMENTO ASFÁLTICO 40-50,CEMENTO ASFÁLTICO 60-70,CEMENTO ASFÁLTICO 85-100,DIESEL B5,Diesel B5 S-50,PETRÓLEOS INDUSTRIALES</t>
  </si>
  <si>
    <t>MOISES LUCAS MENDOZA ESTEBAN</t>
  </si>
  <si>
    <t>143497-046-200519</t>
  </si>
  <si>
    <t>PAULINA CASACHAHUA VDA. DE PEREZ</t>
  </si>
  <si>
    <t>AV. MAXIMO PEREZ ROJAS N° 1450</t>
  </si>
  <si>
    <t>CASACHAHUA DE PEREZ, PAULINA</t>
  </si>
  <si>
    <t>143506-046-200519</t>
  </si>
  <si>
    <t xml:space="preserve">QUIMANDINA S.A.C. </t>
  </si>
  <si>
    <t>CALLE LIMA Nº 852 - SAUSAL</t>
  </si>
  <si>
    <t>CHICAMA</t>
  </si>
  <si>
    <t>CGN SOLVENTE,DIESEL B5,Diesel B5 S-50,SOLVENTE 1,SOLVENTE 3,SOLVENTES</t>
  </si>
  <si>
    <t>BRIGITTE DIMITRI RAMOS ESTACIO</t>
  </si>
  <si>
    <t>143504-046-200519</t>
  </si>
  <si>
    <t>SERVICENTRO OROYA S.A.C.</t>
  </si>
  <si>
    <t>CARRETERA CENTRAL KM 0.5 LA OROYA-HUANCAYO</t>
  </si>
  <si>
    <t>143505-046-200519</t>
  </si>
  <si>
    <t>SAFETY WORLD INTERNAT BUSINES SERV GROUP TRANSP LNAJ S.C.R.L.</t>
  </si>
  <si>
    <t>AV. MIGUEL GRAU N° 1192</t>
  </si>
  <si>
    <t>LEMUEL WALTER GUADALUPE VENANCIO</t>
  </si>
  <si>
    <t>143502-046-200519</t>
  </si>
  <si>
    <t>COMPAÑIA SHADAY S.A.C.</t>
  </si>
  <si>
    <t>AV. UNION N° 1133</t>
  </si>
  <si>
    <t>CARHUAMAYO</t>
  </si>
  <si>
    <t xml:space="preserve">MICHEL EDER VICUÑA ZEVALLOS </t>
  </si>
  <si>
    <t>143503-046-200519</t>
  </si>
  <si>
    <t>MARGARITA OLLERO PARIONA</t>
  </si>
  <si>
    <t>CARR. CC. VIA TARMA-CHYO-PALCA KM. 54</t>
  </si>
  <si>
    <t>TARMA</t>
  </si>
  <si>
    <t>PALCA</t>
  </si>
  <si>
    <t>146318-046-040919</t>
  </si>
  <si>
    <t>INVERSIONES CENTAURO S.A.C</t>
  </si>
  <si>
    <t>AV. AMERICA OESTE N°330 URB. LOS CEDROS</t>
  </si>
  <si>
    <t>ROGER JAVIER LONJA LEON</t>
  </si>
  <si>
    <t>143706-046-200519</t>
  </si>
  <si>
    <t>RUBEN MENDOZA CARRION</t>
  </si>
  <si>
    <t xml:space="preserve">JR. 8 DE OCTUBRE N° 454 DPTO. 406 </t>
  </si>
  <si>
    <t>143500-046-200519</t>
  </si>
  <si>
    <t>EMPRESA DE TRANSPORTES PUKA TORO S.A.C.</t>
  </si>
  <si>
    <t>CARRETERA CENTRAL KM. 7</t>
  </si>
  <si>
    <t>SAN AGUSTIN</t>
  </si>
  <si>
    <t>ALICIA MARTA SOLANO DE MENDOZA</t>
  </si>
  <si>
    <t>143501-046-200519</t>
  </si>
  <si>
    <t>GRIFO LINZAR E.I.R.L.</t>
  </si>
  <si>
    <t>CARRETERA CENTRAL S/N, PUEBLO SICAYA</t>
  </si>
  <si>
    <t>SICAYA</t>
  </si>
  <si>
    <t>JAVIER LEOCADIO LINDO ZARATE</t>
  </si>
  <si>
    <t>143705-046-200519</t>
  </si>
  <si>
    <t>PALACIOS PALACIOS CARLOS</t>
  </si>
  <si>
    <t>JR. JOSE MARIANO ARCE N° 561</t>
  </si>
  <si>
    <t>PALACIOS PALACIOS, CARLOS</t>
  </si>
  <si>
    <t>143704-046-200519</t>
  </si>
  <si>
    <t xml:space="preserve">HUARI TOURS S.A.C. </t>
  </si>
  <si>
    <t xml:space="preserve">AV. INDEPENDENCIA N° 1173 OF. 301 </t>
  </si>
  <si>
    <t>JUAN ZOSIMO MALLQUI CABELLO</t>
  </si>
  <si>
    <t>143703-046-200519</t>
  </si>
  <si>
    <t>TRANSPORTES JJA S.A.C.</t>
  </si>
  <si>
    <t>CALLE PEDRO CORONADO Nº 172 C.H. CARLOS CUETO FERNANDINI</t>
  </si>
  <si>
    <t>JESUS ANGEL JAIMES ALVARADO</t>
  </si>
  <si>
    <t>148230-046-231219</t>
  </si>
  <si>
    <t>LINARES VARGAS JULIO ORLANDO</t>
  </si>
  <si>
    <t>AV- JOSE PARDO MZ. H LOTE 8 P.J. 1° DE MAYO</t>
  </si>
  <si>
    <t>ASFALTO LÍQUIDO MC-30,ASFALTO LÍQUIDO MC-70,ASFALTO LÍQUIDO RC-250,ASFALTO LÍQUIDO RC-70,BREA,CEMENTO ASFÁLTICO 10-20,CEMENTO ASFÁLTICO 120-150,CEMENTO ASFÁLTICO 20-30,CEMENTO ASFÁLTICO 40-50,CEMENTO ASFÁLTICO 60-70,CEMENTO ASFÁLTICO 85-100,Diesel B5 S-50,PETRÓLEO INDUSTRIAL Nº 5,PETRÓLEO INDUSTRIAL Nº 500,PETRÓLEO INDUSTRIAL Nº 6</t>
  </si>
  <si>
    <t>143701-046-200519</t>
  </si>
  <si>
    <t>MULTISERVICIOS RHM S.A.C.</t>
  </si>
  <si>
    <t>JR. MARCARA 4911 URB. EL PARQUE NARANJAL</t>
  </si>
  <si>
    <t>INGMAR HOYOS PLAZO</t>
  </si>
  <si>
    <t>143700-046-200519</t>
  </si>
  <si>
    <t>INVERSIONES ROSANGELA S.A.C.</t>
  </si>
  <si>
    <t>CALLE LAS ORQUIDEAS MZA. K2, LOTE. 4, A.H. LOS OLIVOS DE PRO</t>
  </si>
  <si>
    <t>CARLOS WALTER VALVERDE TORO</t>
  </si>
  <si>
    <t>143699-046-200519</t>
  </si>
  <si>
    <t>EM TRANSPORTES S.A.C.</t>
  </si>
  <si>
    <t xml:space="preserve">AV. GERARDO UNGER N° 5951 URB. MOLITALIA </t>
  </si>
  <si>
    <t>JULIO CESAR MELENDEZ GUERRA</t>
  </si>
  <si>
    <t>143698-046-200519</t>
  </si>
  <si>
    <t>ZORRY TRANSPORT SERVICE S.A.C.</t>
  </si>
  <si>
    <t>AV. LOS PROCERES MZA. BBB2 LOTE 37</t>
  </si>
  <si>
    <t>NESTOR MIGUEL ZORRILLA ARENAS</t>
  </si>
  <si>
    <t>143697-046-200519</t>
  </si>
  <si>
    <t xml:space="preserve">PECOE S.A.C. </t>
  </si>
  <si>
    <t xml:space="preserve">JR. RIO MANTARO 770 DPTO. 401 URB. VILLA NORTE </t>
  </si>
  <si>
    <t xml:space="preserve">LEONARDO DE LAS PEÑAS NUÑEZ MENA </t>
  </si>
  <si>
    <t>147284-046-041219</t>
  </si>
  <si>
    <t>EMPRESA DE TRANSPORTES Y COMERCIALIZADORA HCC S.A.C.</t>
  </si>
  <si>
    <t>MZ 53 LOTE 7 A.H. VICTOR RAUL HAYA DE LA TORRE</t>
  </si>
  <si>
    <t>HANS FRANCISCO CORONADO CLEMENT</t>
  </si>
  <si>
    <t>143487-046-200519</t>
  </si>
  <si>
    <t>CARLOS RAMIREZ CHAVEZ</t>
  </si>
  <si>
    <t>JR. ANTONIO LOBATO NRO 270</t>
  </si>
  <si>
    <t>143488-046-200519</t>
  </si>
  <si>
    <t xml:space="preserve">SOCORRO NATIVIDAD DORREGARAY DE OLIVOS </t>
  </si>
  <si>
    <t xml:space="preserve">CALLE LOS RISCOS 143 URB. PIO PATA </t>
  </si>
  <si>
    <t>145628-046-060819</t>
  </si>
  <si>
    <t>EMPRESA DE TRANSPORTES DE RESIDUOS SOLIDOS GAMEZ E.I.R.L.</t>
  </si>
  <si>
    <t>MZ. G2 LOTE 01 - RES. MAGISTERIAL</t>
  </si>
  <si>
    <t>ASFALTO LÍQUIDO MC-30,ASFALTO LÍQUIDO MC-70,ASFALTO LÍQUIDO RC-250,ASFALTO LÍQUIDO RC-70,BREA,CGN SOLVENTE,DIESEL B5,Diesel B5 S-50,LUBRICANTES,PETRÓLEO INDUSTRIAL Nº 500,PETRÓLEO INDUSTRIAL Nº 6,SOLVENTE 1,SOLVENTE 3</t>
  </si>
  <si>
    <t>ELMER MARIEL LLAMO VASQUEZ</t>
  </si>
  <si>
    <t>143493-046-200519</t>
  </si>
  <si>
    <t>CONSORCIO BELL &amp; GAP E.I.R.L.</t>
  </si>
  <si>
    <t>AV. HUANCAVELICA N° 1655</t>
  </si>
  <si>
    <t>GUSTAVO RENATO ARROYO PAREDES</t>
  </si>
  <si>
    <t>143494-046-200519</t>
  </si>
  <si>
    <t>HRIMA GROUP PERU S.A.C.</t>
  </si>
  <si>
    <t>JR. ANTONIO LOBATO N° 270</t>
  </si>
  <si>
    <t>PABLO JOSE ORIHUELA TORRES</t>
  </si>
  <si>
    <t>143495-046-200519</t>
  </si>
  <si>
    <t xml:space="preserve">REPUESTOS EL COLORADO E.I.R.L. </t>
  </si>
  <si>
    <t>AV. EVITAMIENTO 961</t>
  </si>
  <si>
    <t>FERNANDO INGA QUIÑONES</t>
  </si>
  <si>
    <t>143496-046-200519</t>
  </si>
  <si>
    <t>EMPRESA DE TRANSPORTES GALMU S.A.C</t>
  </si>
  <si>
    <t>JR. GENERAL SAN MARTIN 153 URB LA FLORIDA</t>
  </si>
  <si>
    <t>JHONY GALVAN MUÑICO</t>
  </si>
  <si>
    <t>143489-046-200519</t>
  </si>
  <si>
    <t>EL ARABE S.A.</t>
  </si>
  <si>
    <t xml:space="preserve">JR TRUJILLO N°241 INT. 02 SEC.01 </t>
  </si>
  <si>
    <t>CRISTHIAN MICHEL CORONEL ARIMBORGO</t>
  </si>
  <si>
    <t>143695-046-200519</t>
  </si>
  <si>
    <t xml:space="preserve">DISTPETROT E.I.R.L. </t>
  </si>
  <si>
    <t xml:space="preserve">AV. RICARDO ODONOVAN Nº 109. URB. VILLA SOL </t>
  </si>
  <si>
    <t>MAGNO ALEJANDRO DOMINGUEZ MARTINEZ</t>
  </si>
  <si>
    <t>146327-046-141119</t>
  </si>
  <si>
    <t>GENERAL SERVICE &amp; TRANSPORT E.I.R.L.</t>
  </si>
  <si>
    <t xml:space="preserve">CALLE ENRIQUE MIRANDA N° 168 MZ. P-2 LT. 18, PISO 3 </t>
  </si>
  <si>
    <t>143696-046-200519</t>
  </si>
  <si>
    <t>GRUPO SEÑOR DE POMALLUCAY S.R.L.</t>
  </si>
  <si>
    <t>AV. ALFREDO MENDIOLA N° 7481</t>
  </si>
  <si>
    <t>LORENZO PRUDENCIO ZARZOSA</t>
  </si>
  <si>
    <t>143490-046-200519</t>
  </si>
  <si>
    <t>INVERSIONES TITAN S.R.L.</t>
  </si>
  <si>
    <t>JR. AREQUIPA N° 402</t>
  </si>
  <si>
    <t>CIRO LUIS LAZO MEZA</t>
  </si>
  <si>
    <t>143491-046-200519</t>
  </si>
  <si>
    <t>EL IDEAL SERVICIOS GENERALES EMPRESA INDIVIDUAL DE RESPONSABILIDAD LIMITADA</t>
  </si>
  <si>
    <t>JR. PROLONGACION HUAYTAPALLANA MZ. D LOTE 5</t>
  </si>
  <si>
    <t>CGN SOLVENTE,DIESEL B5,Diesel B5 S-50,HEXANO,LUBRICANTES,PENTANO,SOLVENTE 1,SOLVENTE 3,SOLVENTES</t>
  </si>
  <si>
    <t>LAZO LEIVA HECTOR DOMINGO</t>
  </si>
  <si>
    <t>143492-046-200519</t>
  </si>
  <si>
    <t>MEGA INVERSIONES BRISYO S.A.C.</t>
  </si>
  <si>
    <t>JR PARRA DEL RIEGO NRO 375 OF 203</t>
  </si>
  <si>
    <t>EUSTAQUIA RIVERA LUNA</t>
  </si>
  <si>
    <t>143692-046-200519</t>
  </si>
  <si>
    <t>CORPORACION DE ESTACIONES FIORELLA S.R.L.</t>
  </si>
  <si>
    <t>AV. UNIVERSITARIA S/N MZ-P. LT - 1,2,3,4,39,40,41 Y 42 URB. APUSLUZIN</t>
  </si>
  <si>
    <t>DAVILA PAREDES, ELIZABETH MARILU</t>
  </si>
  <si>
    <t>143691-046-200519</t>
  </si>
  <si>
    <t>EMPRESA DE TRANSPORTES AGUILAR E.I.R.L.</t>
  </si>
  <si>
    <t>JR. LA CARIDAD 744. URB. PRO.</t>
  </si>
  <si>
    <t>ANGEL CRISANTO AGUILAR GUIDO</t>
  </si>
  <si>
    <t>143694-046-200519</t>
  </si>
  <si>
    <t>SIHUAS SERVICIOS GENERALES S.A.C.</t>
  </si>
  <si>
    <t>CALLE HUALCAN MZ. G LT. 1 URB. PALMAS REALES</t>
  </si>
  <si>
    <t xml:space="preserve">ROBERT WIL OBREGON QUEZADA </t>
  </si>
  <si>
    <t>143693-046-200519</t>
  </si>
  <si>
    <t>SERVICENTRO FENIX S.A.</t>
  </si>
  <si>
    <t>UNIVERSITARIA MZ. ALT. 3 VIRGEN SOLEDAD 4TO PISO</t>
  </si>
  <si>
    <t>TAPIA LEON, ABRAHAM ELIAS</t>
  </si>
  <si>
    <t>143688-046-200519</t>
  </si>
  <si>
    <t>J.R. PETROL E.I.R.L.</t>
  </si>
  <si>
    <t>AV. ANGELICA GAMARRA N° 1320</t>
  </si>
  <si>
    <t>143687-046-200519</t>
  </si>
  <si>
    <t xml:space="preserve">INVERSIONES MUJE S.R.L. </t>
  </si>
  <si>
    <t xml:space="preserve">AV. NARANJAL 1532 URB. PARQUE NARANJAL </t>
  </si>
  <si>
    <t>MIGUEL RONALD MUJE MENDOZA</t>
  </si>
  <si>
    <t>143690-046-200519</t>
  </si>
  <si>
    <t>TRANSPORTES YOVAL S.A.C.</t>
  </si>
  <si>
    <t>JR. EL ESTAÑO N° 5776 URB. INDUSTRIAL INFANTAS</t>
  </si>
  <si>
    <t>ASFALTO LÍQUIDO MC-30,ASFALTO LÍQUIDO RC-250,PETRÓLEO INDUSTRIAL Nº 5,PETRÓLEO INDUSTRIAL Nº 500,PETRÓLEO INDUSTRIAL Nº 6</t>
  </si>
  <si>
    <t>FLORES BELLIDO, OSCAR EDUARDO</t>
  </si>
  <si>
    <t>143689-046-200519</t>
  </si>
  <si>
    <t>INVERSIONES A.W.S.A.</t>
  </si>
  <si>
    <t>152065-046-241020</t>
  </si>
  <si>
    <t>JAIME ANTONIO CONTRERAS TORRES</t>
  </si>
  <si>
    <t>FRANCISCO XANDOVAL 186 URB. PALERMO</t>
  </si>
  <si>
    <t>151205-046-140920</t>
  </si>
  <si>
    <t>CARRASCO GUERRERO FELIPE</t>
  </si>
  <si>
    <t>CASERÍO CAJAS CAPSOL</t>
  </si>
  <si>
    <t>143517-046-200519</t>
  </si>
  <si>
    <t>AV. GRAN CHIMU N° 1179, INT. 2</t>
  </si>
  <si>
    <t>143520-046-200519</t>
  </si>
  <si>
    <t>INVERSIONES VILLALFA S.A.C.</t>
  </si>
  <si>
    <t>CALLE SANTA MARIA N° 364</t>
  </si>
  <si>
    <t xml:space="preserve">VIRGINIA CARMELINA ALFARO AGUILAR </t>
  </si>
  <si>
    <t>143521-046-200519</t>
  </si>
  <si>
    <t>CONSULTORES Y EJECUTORES SUDAMERIC S.A.C.</t>
  </si>
  <si>
    <t>MZ E LOTE N° 02 LOTE 1 Z.I. PARQUE INDUSTRIAL</t>
  </si>
  <si>
    <t>ASFALTO LÍQUIDO MC-30,ASFALTO LÍQUIDO RC-250,ASFALTO SOLIDO,BREA,PETRÓLEO INDUSTRIAL Nº 5,PETRÓLEO INDUSTRIAL Nº 500,PETRÓLEO INDUSTRIAL Nº 6</t>
  </si>
  <si>
    <t>JUAN ALBERTO SALAZAR REYNA</t>
  </si>
  <si>
    <t>150523-046-140820</t>
  </si>
  <si>
    <t>SILVA CISNEROS LUIS ALBERTO</t>
  </si>
  <si>
    <t>AV. EVITAMIENTO LT. 03 MZ. CAT 38, EL TABLAZO</t>
  </si>
  <si>
    <t>143518-046-200519</t>
  </si>
  <si>
    <t>LUZ ELENA RUFASTO CHAVARRY</t>
  </si>
  <si>
    <t>MZ. 29 LOTE 24 TERCER SECTOR</t>
  </si>
  <si>
    <t>RUFASTO CHAVARRY, LUZ ELENA</t>
  </si>
  <si>
    <t>143519-046-200519</t>
  </si>
  <si>
    <t>JR. GRAN CHIMU B-A-4</t>
  </si>
  <si>
    <t>ASFALTO LÍQUIDO,PETRÓLEO INDUSTRIAL Nº 500,PETRÓLEO INDUSTRIAL Nº 6</t>
  </si>
  <si>
    <t>143524-046-200519</t>
  </si>
  <si>
    <t>EMPRESA CONSTRUCTORA Y DE SERVICIOS VILLALOBOS S,A.C.</t>
  </si>
  <si>
    <t>JR. GARCILAZO DE LA VEGA N° 213</t>
  </si>
  <si>
    <t>MARCOS VILLALOBOS OLGUIN</t>
  </si>
  <si>
    <t>143525-046-270819</t>
  </si>
  <si>
    <t>SERVICIOS E INVERSIONES JESMAD S.A.C.</t>
  </si>
  <si>
    <t>MZ. A9 LOTE 12 URB. MANUEL AREVALO</t>
  </si>
  <si>
    <t>ASFALTO LÍQUIDO MC-30,ASFALTO LÍQUIDO RC-250,CEMENTO ASFÁLTICO 120-150,CEMENTO ASFÁLTICO 40-50,CEMENTO ASFÁLTICO 60-70,CEMENTO ASFÁLTICO 85-100,DIESEL B5,Diesel B5 S-50,PETRÓLEO INDUSTRIAL Nº 4,PETRÓLEO INDUSTRIAL Nº 5,PETRÓLEO INDUSTRIAL Nº 500,PETRÓLEO INDUSTRIAL Nº 6</t>
  </si>
  <si>
    <t>143522-046-200519</t>
  </si>
  <si>
    <t>EMPRESA DE SERVICIOS &amp; LOGISTICA TRANSNACIONALES S.A.C.</t>
  </si>
  <si>
    <t>MZ. E LOTE 1 PARQUE INDUSTRIAL</t>
  </si>
  <si>
    <t>MARGARITA LUDUVINA ZAVALETA REBAZA</t>
  </si>
  <si>
    <t>143523-046-200519</t>
  </si>
  <si>
    <t>RENTADORES DEL NORTE S.A.C</t>
  </si>
  <si>
    <t>MZ. F LOTE 7 Z. I. SOL NACIENTE - PARQUE INDUSTRIAL - LA ESPERANZA</t>
  </si>
  <si>
    <t>DIESEL B5,PETRÓLEOS INDUSTRIALES</t>
  </si>
  <si>
    <t>GEMIRO MARCIAL CASTRO SANTOS</t>
  </si>
  <si>
    <t>143526-046-200519</t>
  </si>
  <si>
    <t>ASFALTEK F &amp; N S.A.C.</t>
  </si>
  <si>
    <t>MZ. 2 E2 ZONA PARQUE INDUSTRIAL</t>
  </si>
  <si>
    <t>FANY VERONICA SALAZAR ZAVALETA</t>
  </si>
  <si>
    <t>143723-046-200519</t>
  </si>
  <si>
    <t xml:space="preserve">AV. EL SOL 911 URB SEMI RUSTICA CANTO GRANDRE </t>
  </si>
  <si>
    <t>147950-046-261119</t>
  </si>
  <si>
    <t>COMERCIALIZADORA SAN EXPEDITO E.I.R.L.</t>
  </si>
  <si>
    <t>MZ. J LOTE 01 URB. LOS PORTALES DEL NORTE</t>
  </si>
  <si>
    <t>GERSON EDUARDO BARRAZA FERNANDEZ</t>
  </si>
  <si>
    <t>143722-046-200519</t>
  </si>
  <si>
    <t>LUCAWI S.A.C.</t>
  </si>
  <si>
    <t>JR. LOS ARANDANOS N° 949 - URB. LAS FLORES</t>
  </si>
  <si>
    <t>WILLIAM ALFREDO MALPARTIDA CACERES</t>
  </si>
  <si>
    <t>143721-046-200519</t>
  </si>
  <si>
    <t>CG Y O CONTRATISTAS GENERALES E.I.R.L.</t>
  </si>
  <si>
    <t>AV EL SANTUARIO N° 1749, URB. MANGOMARCA</t>
  </si>
  <si>
    <t>EMELITA CLEMENTINA LOMBARDI OTTONE</t>
  </si>
  <si>
    <t>143720-046-200519</t>
  </si>
  <si>
    <t>SERVICIOS BRUNNER S.R.L.</t>
  </si>
  <si>
    <t>MZ. C, LTE. 8 ASOC. HUERTA GRANJA EL AYLLU</t>
  </si>
  <si>
    <t>AUGUSTO BALTA IZAGUIRRE</t>
  </si>
  <si>
    <t>143726-046-200519</t>
  </si>
  <si>
    <t>MACROTRES S.A.C.</t>
  </si>
  <si>
    <t>JR. LAS CIDRAS N° 1221</t>
  </si>
  <si>
    <t>SHEILA HOGALIZ BARBA BARRETO</t>
  </si>
  <si>
    <t>143725-046-200519</t>
  </si>
  <si>
    <t>EMPRESA DE INVERSIONES R.D &amp; HIJOS S.A.C.</t>
  </si>
  <si>
    <t>AV. CENTRAL AA.HH. CRUZ DE MOTUPE ¿ GRUPO 2; MZ H; LOTE 15</t>
  </si>
  <si>
    <t>RENE AUGUSTO CALSINA SUAREZ</t>
  </si>
  <si>
    <t>143724-046-200519</t>
  </si>
  <si>
    <t xml:space="preserve">H &amp; F KAM E.I.R.L. </t>
  </si>
  <si>
    <t xml:space="preserve">MZ. A LOTE 14 URB. LOS PINOS </t>
  </si>
  <si>
    <t>HERMINIO GRIMALDO ORTEGA CHUCO</t>
  </si>
  <si>
    <t>147300-046-191019</t>
  </si>
  <si>
    <t>CORPORACION LOGISTICO DEL PERU A &amp; J S.A.C.</t>
  </si>
  <si>
    <t>MZ. LI LT 3 URB. CO LA ANGOSTURA</t>
  </si>
  <si>
    <t>CHUQUIN CHAVEZ ARMANDO RICARDO</t>
  </si>
  <si>
    <t>143719-046-200519</t>
  </si>
  <si>
    <t>CHAVEZ ZELADA JORGE RONALD</t>
  </si>
  <si>
    <t>AV. LOS ROSALES MZ. I, LOTE 11, COOP. LA UNION, DPTO. PISO-2</t>
  </si>
  <si>
    <t>143718-046-200519</t>
  </si>
  <si>
    <t>LUIS ANTONIO PULIDO ESPINAL</t>
  </si>
  <si>
    <t xml:space="preserve">COOP. DE VIVIENDA EL VALLE MZ. C LT. 18 CAMPOY </t>
  </si>
  <si>
    <t>PULIDO ESPINAL, LUIS ANTONIO</t>
  </si>
  <si>
    <t>143717-046-200519</t>
  </si>
  <si>
    <t xml:space="preserve">TORRES SALCEDO JUAN DE LA CRUZ </t>
  </si>
  <si>
    <t xml:space="preserve">CALLE LOS DOGOS N° 790 - URB. LOS JAZMINES </t>
  </si>
  <si>
    <t>149275-046-250220</t>
  </si>
  <si>
    <t>SERGETRANS YASNAR E.I.R.L.</t>
  </si>
  <si>
    <t>A.H. LAS MONTEROS MZ. O6 LOTE 20</t>
  </si>
  <si>
    <t>MONDRAGON CRUZ WILLY RICHARD</t>
  </si>
  <si>
    <t>149276-046-210220</t>
  </si>
  <si>
    <t>VENTAS GENERALES PAQUITO S.R.L.</t>
  </si>
  <si>
    <t>A.H. 18 DE MAYO MZ. D LOTE 9</t>
  </si>
  <si>
    <t>JIMENEZ BERRU ERNESTO</t>
  </si>
  <si>
    <t>147295-046-231019</t>
  </si>
  <si>
    <t>AVILA BURNEO DE DEL BUSTO IRENE FIORELLA</t>
  </si>
  <si>
    <t>URB VILLA LA PLANICIE II 1° ETAPA MZ A2 LOTE 56</t>
  </si>
  <si>
    <t>143507-046-200519</t>
  </si>
  <si>
    <t>MANUEL JESUS SANCHEZ YENQUE</t>
  </si>
  <si>
    <t>JR. ATAHUALPA NO 402</t>
  </si>
  <si>
    <t>SANCHEZ YENQUE, MANUEL JESUS</t>
  </si>
  <si>
    <t>143508-046-200519</t>
  </si>
  <si>
    <t>MULTITRANSPORTES DE CARGA E.I.R.L.</t>
  </si>
  <si>
    <t>CALLE REAL 450</t>
  </si>
  <si>
    <t>PUEBLO NUEVO</t>
  </si>
  <si>
    <t>BALAREZO BALAREZO, RUBE ALBERTO</t>
  </si>
  <si>
    <t>143509-046-200519</t>
  </si>
  <si>
    <t>GUEVARA RIVERA FELIPE DAMIAN</t>
  </si>
  <si>
    <t>CALLE BOLIVAR N° 156</t>
  </si>
  <si>
    <t>JULCAN</t>
  </si>
  <si>
    <t>CARABAMBA</t>
  </si>
  <si>
    <t>143510-046-200519</t>
  </si>
  <si>
    <t>CORPORACION ESMERALDA E.I.R.L.</t>
  </si>
  <si>
    <t>ANEXO ZARUMILLA S/N</t>
  </si>
  <si>
    <t>PATAZ</t>
  </si>
  <si>
    <t>FREDY ERIK RUIZ CAMACHO</t>
  </si>
  <si>
    <t>147302-046-191019</t>
  </si>
  <si>
    <t>BLAS PACHECO NELIDA</t>
  </si>
  <si>
    <t>JR. JUNIN 589</t>
  </si>
  <si>
    <t>ASFALTO LÍQUIDO MC-30,CEMENTO ASFÁLTICO 10-20,DIESEL B5,Diesel B5 S-50,PETRÓLEO INDUSTRIAL Nº 4</t>
  </si>
  <si>
    <t>NELIDA BLAS PACHECO</t>
  </si>
  <si>
    <t>143511-046-200519</t>
  </si>
  <si>
    <t>TRANSPORTES Y SERVICIOS YSABEL Y YOLVIN S.A.C.</t>
  </si>
  <si>
    <t>AV. GRAU N°31 - CASERIO EL TORO</t>
  </si>
  <si>
    <t>SANCHEZ CARRION</t>
  </si>
  <si>
    <t>HUAMACHUCO</t>
  </si>
  <si>
    <t>YSABEL ROBLES FLORES</t>
  </si>
  <si>
    <t>143512-046-200519</t>
  </si>
  <si>
    <t>CORPORACION PAOLIN S.A.C.</t>
  </si>
  <si>
    <t>JR. CIRO ALEGRIA N° 36 A.H. CIRO ALEGRIA</t>
  </si>
  <si>
    <t>LAIN DELON VILLALVA POLO</t>
  </si>
  <si>
    <t>146095-046-271019</t>
  </si>
  <si>
    <t>PETROCOMPANY CORPORATION S.A.C.</t>
  </si>
  <si>
    <t xml:space="preserve">CALLE MONTE ROSA N° 271 DPTO. 7, INT. 702 </t>
  </si>
  <si>
    <t>JHERSON LUCKY BARRON NEUMANN</t>
  </si>
  <si>
    <t>143513-046-200519</t>
  </si>
  <si>
    <t>DESIDERIO ARAUJO POLO</t>
  </si>
  <si>
    <t>MZ. N LOTE 16 C.P. ALTO TRUJILLO BARRIO 4A</t>
  </si>
  <si>
    <t>EL PORVENIR</t>
  </si>
  <si>
    <t>150511-046-160820</t>
  </si>
  <si>
    <t>VILMA DALILA DIAZ DE LOPEZ</t>
  </si>
  <si>
    <t>CARRETERA CENTRAL KM. 262.85 PARAJE CACHSHTAMBO</t>
  </si>
  <si>
    <t>143514-046-200519</t>
  </si>
  <si>
    <t>EMPRESA DE TRANSPORTES ACUARIO S.A.C.</t>
  </si>
  <si>
    <t>CALLE JOSE OLAYA N° 1417</t>
  </si>
  <si>
    <t>LIZ MARISTELA LOYOLA ZAVALETA</t>
  </si>
  <si>
    <t>143515-046-200519</t>
  </si>
  <si>
    <t>SERVICIOS GENERALES ROXYMAR S.A.C.</t>
  </si>
  <si>
    <t>AV. HERMANOS ANGULO N° 992</t>
  </si>
  <si>
    <t>ROXANA MARILU VERA VARGAS</t>
  </si>
  <si>
    <t>143516-046-200519</t>
  </si>
  <si>
    <t>REFRACTARIOS MINEROS CALAMARCA S.A.C.</t>
  </si>
  <si>
    <t>CALLE ANDRES RAZURI N° 1300. P.J. EL PORVENIR</t>
  </si>
  <si>
    <t>PEDRO PABLO GUTIERREZ GARCIA</t>
  </si>
  <si>
    <t>151193-046-150920</t>
  </si>
  <si>
    <t>SERVICIOS GENERALES TRANSARI EMPRESA INDIVIDUAL DE RESPONSABILIDAD LIMITADA</t>
  </si>
  <si>
    <t>PJ. BOLIVIA Nº 106 P.J. GRAL JOSE DE SAN MARTIN</t>
  </si>
  <si>
    <t>MARIANO MELGAR</t>
  </si>
  <si>
    <t>CALIXTO ARIVILCA TOLA</t>
  </si>
  <si>
    <t>143710-046-200519</t>
  </si>
  <si>
    <t>RVC COMBUSTIBLES E.I.R.L.</t>
  </si>
  <si>
    <t>CALLE EUCALIPTOS MZ. J LT. 5B URB. SHANGRILA ( KM 25 DE LA PANAMERICANA NORTE)</t>
  </si>
  <si>
    <t>RAUL FRANCISCO VELASQUEZ CÁCERES</t>
  </si>
  <si>
    <t>143709-046-200519</t>
  </si>
  <si>
    <t>M.P INVERSIONES E.I.R.L.</t>
  </si>
  <si>
    <t>CALLE ANCON MZ M LOTE 7 - APV 1 DE MAYO</t>
  </si>
  <si>
    <t>143712-046-200519</t>
  </si>
  <si>
    <t>INVERSIONES REYCAN S.A.C.</t>
  </si>
  <si>
    <t xml:space="preserve">MZ. A LT. 8 URB. CASUARINAS DEL NORTE </t>
  </si>
  <si>
    <t>EDWARD EDEN CANO VELA</t>
  </si>
  <si>
    <t>143711-046-200519</t>
  </si>
  <si>
    <t xml:space="preserve">CONSTRUCTORA Y CONSULTORIA SANTA SOFIA S.A.C. </t>
  </si>
  <si>
    <t>AV. AUTOPISTA A CANTA MZ. Q LOTE 13</t>
  </si>
  <si>
    <t>LILIANA AURELIA VARGAS TORRES</t>
  </si>
  <si>
    <t>143714-046-200519</t>
  </si>
  <si>
    <t xml:space="preserve">EMPRESA TRANSPORTE CORPORACION RONALDO S.A.C. </t>
  </si>
  <si>
    <t>MZ. B LOTE 44 ASC. MICAELA BASTIDAS (ALT. GRIFO SAN PEDRO)</t>
  </si>
  <si>
    <t>AGUILAR VILLANUEVA BERNARDO SAMUEL</t>
  </si>
  <si>
    <t>151367-046-041020</t>
  </si>
  <si>
    <t>GRUPO MORALES CURI S.A.C.</t>
  </si>
  <si>
    <t>AVENIDA MIRAFLORES N° 739 URB. MIRAFLORES</t>
  </si>
  <si>
    <t>HAROLD ANDREY MORALES CURI</t>
  </si>
  <si>
    <t>143713-046-200519</t>
  </si>
  <si>
    <t>PETRA VALE E.I.R.L.</t>
  </si>
  <si>
    <t>ASOCIACION 1RO DE MAYO MZ. A, LOTE 10</t>
  </si>
  <si>
    <t>ARISTIDES WILFREDO VELA LANDA</t>
  </si>
  <si>
    <t>149263-046-110320</t>
  </si>
  <si>
    <t>NAA TRANSPORTES E.I.R.L.</t>
  </si>
  <si>
    <t xml:space="preserve">AV. YARINACOCHA N° 2210 </t>
  </si>
  <si>
    <t>YARINACOCHA</t>
  </si>
  <si>
    <t>NADIA ANGELICA CHAVEZ SALINAS</t>
  </si>
  <si>
    <t>143716-046-200519</t>
  </si>
  <si>
    <t>SAN PEDRO SERVICE E.I.R.L.</t>
  </si>
  <si>
    <t>CALLE HERRERA N° 150</t>
  </si>
  <si>
    <t>RIMAC</t>
  </si>
  <si>
    <t>TANTARUNA ENCARNACION, AVELINO</t>
  </si>
  <si>
    <t>143715-046-200519</t>
  </si>
  <si>
    <t>MULTISERVICIOS DASU S.A.C.</t>
  </si>
  <si>
    <t>ASOCIACIÓN DE VIVIENDAS LAS HARAS DE CHILLÓN MZ. K LOTE 18</t>
  </si>
  <si>
    <t>MARIELITA DAVILA SILVA</t>
  </si>
  <si>
    <t>149267-046-210220</t>
  </si>
  <si>
    <t>YOVANNA MALAGA MALAGA</t>
  </si>
  <si>
    <t>URB. MONTERREY MZ. D, LOTE I-A</t>
  </si>
  <si>
    <t>151189-046-290920</t>
  </si>
  <si>
    <t>EMPRESA DE TRANSPORTE Y SERVICIOS MULTIPLES AKF S.A.C.</t>
  </si>
  <si>
    <t xml:space="preserve">AV. BUENOS AIRES MZ C LT 12 AH LA UNION </t>
  </si>
  <si>
    <t>DIESEL B5,Diesel B5 S-50,HEXANO,PENTANO,PETRÓLEO INDUSTRIAL Nº 500,PETRÓLEO INDUSTRIAL Nº 6,SOLVENTE 1,SOLVENTE 3</t>
  </si>
  <si>
    <t>FRABRIZZIO ALEXANDER ARELLANO MELO</t>
  </si>
  <si>
    <t>143708-046-200519</t>
  </si>
  <si>
    <t>PETROLEOS SOLORZANO S.A.C.</t>
  </si>
  <si>
    <t xml:space="preserve">MZ. Ñ2 LOTE 47 LOS JARDINES DE CHILLON </t>
  </si>
  <si>
    <t>ASFALTO LÍQUIDO MC-30,ASFALTO LÍQUIDO RC-250,CEMENTO ASFÁLTICO,DIESEL B5,Diesel B5 S-50,PETRÓLEO INDUSTRIAL Nº 5,PETRÓLEO INDUSTRIAL Nº 500,PETRÓLEO INDUSTRIAL Nº 6,SOLVENTE 1,SOLVENTE 3</t>
  </si>
  <si>
    <t>TEOFILO VALERIO SOLORZANO VALERIO</t>
  </si>
  <si>
    <t>147061-046-161019</t>
  </si>
  <si>
    <t>BORKA COMERCIALIZADORA Y SERVICIOS GENERALES S.A.C. - BORKA S.A.C.</t>
  </si>
  <si>
    <t>JIRON PIURA Nº 249</t>
  </si>
  <si>
    <t>CARMEN DE LA LEGUA REYNOSO</t>
  </si>
  <si>
    <t>ASFALTO LÍQUIDO RC-250,Diesel B5 S-50,PETRÓLEO INDUSTRIAL Nº 500,PETRÓLEO INDUSTRIAL Nº 6,SOLVENTE 3</t>
  </si>
  <si>
    <t>GINA VERONICA BORJA CASTILLO</t>
  </si>
  <si>
    <t>143707-046-200519</t>
  </si>
  <si>
    <t xml:space="preserve">J &amp; R BUNKER E.I.R.L. </t>
  </si>
  <si>
    <t xml:space="preserve">CALLE COLOMBIA N° 790, 3ER PISO, DPTO. 303 </t>
  </si>
  <si>
    <t>ASFALTO LÍQUIDO,BREA,PETRÓLEO INDUSTRIAL Nº 500,PETRÓLEO INDUSTRIAL Nº 6</t>
  </si>
  <si>
    <t>ROBERTO ALFONSO AGÜERO RAMÍREZ</t>
  </si>
  <si>
    <t>143463-046-200519</t>
  </si>
  <si>
    <t>COMERCIAL M &amp; VICIE S.A.C.</t>
  </si>
  <si>
    <t xml:space="preserve">SAN CARLOS MZ. C LT. 29 </t>
  </si>
  <si>
    <t>CHUQUIHUARACA ORTIZ MANUEL ANGEL</t>
  </si>
  <si>
    <t>143462-046-200519</t>
  </si>
  <si>
    <t>INVERSIONES Y PROYECTOS SAM S.A.C.</t>
  </si>
  <si>
    <t xml:space="preserve">CL. LAS ACACIAS N° 205 URB. UR UR SAN ISIDRO </t>
  </si>
  <si>
    <t>SEPULVEDA RAMOS FERNANDO JULIO</t>
  </si>
  <si>
    <t>143461-046-200519</t>
  </si>
  <si>
    <t>INVERSIONES MIDO S.A.C.</t>
  </si>
  <si>
    <t>AV. SAN MARTIN N° 1234 MA. B-05 LT. 10 2 PISO URB. SAN ISIDRO</t>
  </si>
  <si>
    <t>ALBERTO AUGUSTO PALACIOS ASCURRA</t>
  </si>
  <si>
    <t>143460-046-200519</t>
  </si>
  <si>
    <t>SERVICIO LOGISTICO M Y G S.A.C.</t>
  </si>
  <si>
    <t xml:space="preserve">CALLE LAS GARDENIAS URB LA MODERNA MZ M LT 19 </t>
  </si>
  <si>
    <t>CORDOVA ARIAS MAX JOEL</t>
  </si>
  <si>
    <t>143459-046-200519</t>
  </si>
  <si>
    <t xml:space="preserve">MCM SOLUTIONS S.R.L </t>
  </si>
  <si>
    <t xml:space="preserve">CL. LONDRES 709 LA TINGUIÑA </t>
  </si>
  <si>
    <t>COCHACHIN MOTA MIGUEL ANGEL</t>
  </si>
  <si>
    <t>143458-046-200519</t>
  </si>
  <si>
    <t xml:space="preserve">PICORP S.A.C. </t>
  </si>
  <si>
    <t xml:space="preserve">MZ. G LT. 22 ET. 4 URB. SAN JOAQUIN </t>
  </si>
  <si>
    <t>ASFALTO LÍQUIDO,ASFALTO SOLIDO,BREA,CGN SOLVENTE,DIESEL B5,Diesel B5 S-50,HEXANO,LUBRICANTES,PENTANO,PETRÓLEO INDUSTRIAL Nº 500,PETRÓLEO INDUSTRIAL Nº 6,SOLVENTE 1,SOLVENTE 3</t>
  </si>
  <si>
    <t>PINEDO MEZARINA EDWIN CLEMENTE</t>
  </si>
  <si>
    <t>143457-046-200519</t>
  </si>
  <si>
    <t>EXCURSIONES OASIS E.I.R.L.</t>
  </si>
  <si>
    <t xml:space="preserve">ET 3 MZ Ñ LT 4 URB SAN CARLOS </t>
  </si>
  <si>
    <t>GUEVARA RODRIGUEZ DAYSI FLOR</t>
  </si>
  <si>
    <t>150505-046-010920</t>
  </si>
  <si>
    <t>FIVE STARS CAPITAL S.A.C.</t>
  </si>
  <si>
    <t>AV. OLAVEGOYA N° 2017 DPTO. 402 – CONDOMINIO SAN FELIPE</t>
  </si>
  <si>
    <t>JESUS MARIA</t>
  </si>
  <si>
    <t>ASFALTO LÍQUIDO MC-30,ASFALTO LÍQUIDO MC-70,ASFALTO LÍQUIDO RC-250,ASFALTO LÍQUIDO RC-70,CGN SOLVENTE,DIESEL B5,Diesel B5 S-50,HEXANO,LUBRICANTES,PENTANO,PETRÓLEO INDUSTRIAL Nº 4,PETRÓLEO INDUSTRIAL Nº 5,PETRÓLEO INDUSTRIAL Nº 500,PETRÓLEO INDUSTRIAL Nº 6,SOLVENTE 1,SOLVENTE 3</t>
  </si>
  <si>
    <t>DANTE IVAN CARDENAS NUÑEZ</t>
  </si>
  <si>
    <t>145184-046-150719</t>
  </si>
  <si>
    <t>JUAN ENRIQUE BLANCO LEON</t>
  </si>
  <si>
    <t>CALLE 10 MZ. B LOTE 16, ASOC. VIRGEN DEL SOL</t>
  </si>
  <si>
    <t>150506-046-180820</t>
  </si>
  <si>
    <t>LUIS BRAVO ANTONIO</t>
  </si>
  <si>
    <t>AV.1 MZ. H LT. 04 ASOCIACION DE VIVIENDA RESIDENCIAL VILLA HERMOSA</t>
  </si>
  <si>
    <t>151637-046-051020</t>
  </si>
  <si>
    <t>LABORATORIO DIESEL DEL SUR S.A.C.</t>
  </si>
  <si>
    <t xml:space="preserve">MZA. E LOTE 2 COM. SANTA ROSA DE MANCHAY </t>
  </si>
  <si>
    <t>PACHACAMAC</t>
  </si>
  <si>
    <t xml:space="preserve">GENARO AVALOS OVALLE </t>
  </si>
  <si>
    <t>150092-046-250720</t>
  </si>
  <si>
    <t>ARRIETA NINO LUIS FRANCISCO</t>
  </si>
  <si>
    <t>AV. GRAU N° 1800</t>
  </si>
  <si>
    <t>146659-046-201119</t>
  </si>
  <si>
    <t>HIRIDARAN E.I.R.L.</t>
  </si>
  <si>
    <t>N° B INTERIOR 5 COO. FAMILIAS UNIDAS (AV. P. MIOTA Y VARGAS MACHUCA/PTE ALIPIO)</t>
  </si>
  <si>
    <t>CGN SOLVENTE,DIESEL B5,Diesel B5 S-50,HEXANO,LUBRICANTES,SOLVENTE 1,SOLVENTE 3</t>
  </si>
  <si>
    <t xml:space="preserve">DILMAR REYES ALBUJAR </t>
  </si>
  <si>
    <t>148449-046-090320</t>
  </si>
  <si>
    <t>PETROSOL S.A.C.</t>
  </si>
  <si>
    <t>A.H. HIJOS DE VENTANILLA, MZ.A, LT. 6</t>
  </si>
  <si>
    <t>ASFALTO LÍQUIDO RC-250,CGN SOLVENTE,Diesel B5 S-50,PETRÓLEO INDUSTRIAL Nº 500,PETRÓLEO INDUSTRIAL Nº 6,SOLVENTE 1,SOLVENTE 3</t>
  </si>
  <si>
    <t>JENNY VIRNA ZAPATA MARTINEZ</t>
  </si>
  <si>
    <t>143466-046-200519</t>
  </si>
  <si>
    <t>JANETE SOLAIDA MANTARI MANTARI</t>
  </si>
  <si>
    <t>CARRETERA PANAMERICANA SUR KM 299</t>
  </si>
  <si>
    <t>SUBTANJALLA</t>
  </si>
  <si>
    <t>143464-046-200519</t>
  </si>
  <si>
    <t>GRUPO JRH S.R.L.</t>
  </si>
  <si>
    <t>MZ. N INT. 204 URB. UV UNIDAD VECINAL</t>
  </si>
  <si>
    <t>ROSALES HUERTA JANDO DIOGENES</t>
  </si>
  <si>
    <t>143450-046-200519</t>
  </si>
  <si>
    <t xml:space="preserve">YHONER LUIS OBREGON DIAZ </t>
  </si>
  <si>
    <t xml:space="preserve">JR. BOLOGNESI NRO. S/N (AL COSTADO DEL HOTEL BARATILLO) </t>
  </si>
  <si>
    <t>MARAÑON</t>
  </si>
  <si>
    <t>HUACRACHUCO</t>
  </si>
  <si>
    <t>143449-046-200519</t>
  </si>
  <si>
    <t>SERVICIOS MULTIPLES MONTECINOS DAYO E.I.R.L.</t>
  </si>
  <si>
    <t>PASAJE LOS OLIVOS MZ.C LOTE 12</t>
  </si>
  <si>
    <t>PILLCO MARCA</t>
  </si>
  <si>
    <t>NANCY OLGA MARTINEZ CASTRO</t>
  </si>
  <si>
    <t>143452-046-200519</t>
  </si>
  <si>
    <t>CORPORACION HTD S.A.C.</t>
  </si>
  <si>
    <t xml:space="preserve">CL. CALLAO 511 INT. 4 URB. CERCADO CHINCHA </t>
  </si>
  <si>
    <t>TORRES QUIQUIA RAUL</t>
  </si>
  <si>
    <t>143451-046-200519</t>
  </si>
  <si>
    <t xml:space="preserve">PALACIOS CASTRO MARITZA </t>
  </si>
  <si>
    <t xml:space="preserve">UPIS SAN LUIS MZ. J LT. 19 </t>
  </si>
  <si>
    <t>PALACIOS CASTRO MARITZA</t>
  </si>
  <si>
    <t>146077-046-260819</t>
  </si>
  <si>
    <t>S.F. INVERSIONES PERU S.A.</t>
  </si>
  <si>
    <t>143448-046-200519</t>
  </si>
  <si>
    <t>ESTACION DE SERVICIOS PASTOR S.R.L.</t>
  </si>
  <si>
    <t>JR. HUALLAYCO Nº 930</t>
  </si>
  <si>
    <t>MATUTE PALACIOS DE PASTOR, ELVA AUDINA</t>
  </si>
  <si>
    <t>143447-046-200519</t>
  </si>
  <si>
    <t>RAUL HEINZ CIPRIANO MARTEL</t>
  </si>
  <si>
    <t>JR. INDEPENDENCIA N° 219</t>
  </si>
  <si>
    <t>147248-046-210220</t>
  </si>
  <si>
    <t>CORPORACION PETROSUR S.A.C.</t>
  </si>
  <si>
    <t>AV. GUARDIA CIVIL N° 608, DPTO. 304 B</t>
  </si>
  <si>
    <t>ENRIQUE VILCHEZ YAURI</t>
  </si>
  <si>
    <t>151628-046-011020</t>
  </si>
  <si>
    <t>ESTACION DE SERVICIOS SACRAMENTO E.I.R.L.</t>
  </si>
  <si>
    <t>CALLE 14 300 PUEBLO JOVEN LA ANGOSTURA</t>
  </si>
  <si>
    <t>CARLOS ANDRES MUÑOZ PEÑA</t>
  </si>
  <si>
    <t>146656-046-200919</t>
  </si>
  <si>
    <t>TRANPORTES Y CONSTRUCTORA ARCE EIRL</t>
  </si>
  <si>
    <t>AV. NICOLÁS ARRIOLA NRO. 2320 URB. SAN LUIS</t>
  </si>
  <si>
    <t xml:space="preserve">MARIO FELIX ARCE ALEGRIA </t>
  </si>
  <si>
    <t>143727-046-200519</t>
  </si>
  <si>
    <t>DISTRIBUCIÓN Y PLANEAMIENTO EL EXPRESO S.A.C.</t>
  </si>
  <si>
    <t>JIRON LOS AMAUTAS Nº 1127, URB. ZARATE</t>
  </si>
  <si>
    <t>JHON CARPIO PACAHUALA SANCHEZ</t>
  </si>
  <si>
    <t>143728-046-200519</t>
  </si>
  <si>
    <t>DISTRIBUCION COMERCIALIZACION Y SERVICIOS BACI S.A.C.</t>
  </si>
  <si>
    <t>MZ. R1 LOTE 26 AA.HH. JOSE CARLOS MARIATEGUI</t>
  </si>
  <si>
    <t>EDITH ZARELA FLORES MENDOZA</t>
  </si>
  <si>
    <t>143729-046-200519</t>
  </si>
  <si>
    <t>SOCIEDAD PERUANA DE GAS S.A.C.</t>
  </si>
  <si>
    <t xml:space="preserve">PJ. VICTOR ANDRES BELAUNDE N° 257 URB. CHACARILLA DE OTERO </t>
  </si>
  <si>
    <t>143730-046-200519</t>
  </si>
  <si>
    <t>MEZA DUEÑAS MAXIMO</t>
  </si>
  <si>
    <t>JR PROGRESO Nº375 URB. MESA REDONDA</t>
  </si>
  <si>
    <t>148820-046-280120</t>
  </si>
  <si>
    <t>EMPRESA DE TRANSPORTE ANDERSON DARIO S.C.R.L.</t>
  </si>
  <si>
    <t>AVENIDA AMERICA SUR 589-A URB. SANTA MARIA</t>
  </si>
  <si>
    <t>JHEISSON GIOVE GARCIA MORALES</t>
  </si>
  <si>
    <t>143735-046-200519</t>
  </si>
  <si>
    <t>CARMEN ROSA VILCACHAGUA AREVALO</t>
  </si>
  <si>
    <t>VALLE AZUL DE SAN DIEGO MZ. A LOTE 31</t>
  </si>
  <si>
    <t>143736-046-200519</t>
  </si>
  <si>
    <t>CORPORACION PETROQUIMICA DEL PERU S.A.C.</t>
  </si>
  <si>
    <t>CALLE. LA MILLA NRO. 218 URB. INDUSTRIAL LA MILLA</t>
  </si>
  <si>
    <t>ASFALTO LÍQUIDO INDUSTRIAL,CGN SOLVENTE,SOLVENTE 1,SOLVENTE 3</t>
  </si>
  <si>
    <t>JORGE IBAÑEZ CALLE</t>
  </si>
  <si>
    <t>143453-046-200519</t>
  </si>
  <si>
    <t>COMPAÑIA MACAE S.A.C.</t>
  </si>
  <si>
    <t>JR. JUNIN N° 589</t>
  </si>
  <si>
    <t>MENDOZA ESTEBAN GERMAN WALTER</t>
  </si>
  <si>
    <t>143731-046-200519</t>
  </si>
  <si>
    <t>FORTUNATO CONTRERAS BRAVO</t>
  </si>
  <si>
    <t>MZ. E, LOTE 1, ASOCIACIÓN ROSARIO DEL NORTE</t>
  </si>
  <si>
    <t>143732-046-200519</t>
  </si>
  <si>
    <t>DELIA PEREZ PINO</t>
  </si>
  <si>
    <t>MZ. T LOTE. 5 LOS EUCALIPTOS</t>
  </si>
  <si>
    <t>PEREZ PINO, DELIA</t>
  </si>
  <si>
    <t>143454-046-200519</t>
  </si>
  <si>
    <t xml:space="preserve">ASFALTO PERU E.I.R.L. </t>
  </si>
  <si>
    <t>SUE HELEN OTAROLA MUÑOZ</t>
  </si>
  <si>
    <t>143733-046-200519</t>
  </si>
  <si>
    <t>ORTEGA VALENCIA MARIA MINERVA</t>
  </si>
  <si>
    <t>MZ. H LOTE 23 ASOC. MIGUEL GRAU - ZONA NORTE</t>
  </si>
  <si>
    <t>MARIA MINERVA ORTEGA VALENCIA</t>
  </si>
  <si>
    <t>143455-046-200519</t>
  </si>
  <si>
    <t>EUROTRANSPORTES E.I.R.L.</t>
  </si>
  <si>
    <t xml:space="preserve">JR JUNIN N°589 </t>
  </si>
  <si>
    <t>WILLER ALBERTO ROJAS CHAVEZ</t>
  </si>
  <si>
    <t>143734-046-200519</t>
  </si>
  <si>
    <t xml:space="preserve">ALEXANDER BUITRON BARRIENTOS </t>
  </si>
  <si>
    <t xml:space="preserve">MZ. B, LOTE 21, PRO.VIV. EL MIRADOR </t>
  </si>
  <si>
    <t>143456-046-200519</t>
  </si>
  <si>
    <t>GRUPO VCV GAS S.A.C.</t>
  </si>
  <si>
    <t>EDSON JHON CORDOVA ATACHAGUA</t>
  </si>
  <si>
    <t>143481-046-200519</t>
  </si>
  <si>
    <t>EMPRESA DE TRANSPORTES Y MULTISERVICIOS SEÑOR DE PICOTA E.I.R.L.</t>
  </si>
  <si>
    <t>AV. JUAN SANTOS ATAHUALPA S/N ANEXO HUACARA</t>
  </si>
  <si>
    <t>CHANCHAMAYO</t>
  </si>
  <si>
    <t>SAN RAMON</t>
  </si>
  <si>
    <t>BONIFACIA BARBOZA QUISPE</t>
  </si>
  <si>
    <t>143480-046-200519</t>
  </si>
  <si>
    <t>MAXIMILIANO JOAQUIN ATAO CAJA</t>
  </si>
  <si>
    <t>AV. JUAN SANTOS ATAHUALPA S/N - KM 93 - SECTOR HUACARA</t>
  </si>
  <si>
    <t>143479-046-200519</t>
  </si>
  <si>
    <t>INCOTRAC S.A.C.</t>
  </si>
  <si>
    <t xml:space="preserve">CAR. PANAMERICANA SUR KM. 231 </t>
  </si>
  <si>
    <t>TUPAC AMARU INCA</t>
  </si>
  <si>
    <t>OLIVARES ABAD MAGNO</t>
  </si>
  <si>
    <t>143478-046-200519</t>
  </si>
  <si>
    <t>ZETA INVERSIONES S.R.L.</t>
  </si>
  <si>
    <t xml:space="preserve">CALLE LOS FLAMENCOS MZ. D LOTE 2 (LOTE 2 Y 3) </t>
  </si>
  <si>
    <t>CESAR LORENZO ZORRILLA SANCHEZ</t>
  </si>
  <si>
    <t>143485-046-200519</t>
  </si>
  <si>
    <t>CONTRATISTA MINERA E INVERSIONES VILCA HERMANOS S.A.C.</t>
  </si>
  <si>
    <t>CARRETERA PNAMERICANA SUR N°460</t>
  </si>
  <si>
    <t>LUISA JAVIER MEZA</t>
  </si>
  <si>
    <t>146333-046-040919</t>
  </si>
  <si>
    <t xml:space="preserve">AURORA MALLMA VARGAS </t>
  </si>
  <si>
    <t>BARRIO SALVADOR S/N</t>
  </si>
  <si>
    <t>CHALLHUAHUACHO</t>
  </si>
  <si>
    <t>143483-046-130619</t>
  </si>
  <si>
    <t xml:space="preserve">EMPRESA SORIA Y COMPAÑIA S.C. </t>
  </si>
  <si>
    <t>CALLE REAL N° 564</t>
  </si>
  <si>
    <t>SORIA ALVARADO PERCY ALBERTO</t>
  </si>
  <si>
    <t>143482-046-200519</t>
  </si>
  <si>
    <t>NEGOCIACIONES Y SERVICIOS LATINO S.A.C.</t>
  </si>
  <si>
    <t>JR. BOLOGNESI N°524</t>
  </si>
  <si>
    <t>CONCEPCION</t>
  </si>
  <si>
    <t>CESAR MOISES HUACCHO ALCOCER</t>
  </si>
  <si>
    <t>143477-046-200519</t>
  </si>
  <si>
    <t xml:space="preserve">TRANSPO-OSCAR COMBUSTIBLES E.I.R.L. </t>
  </si>
  <si>
    <t xml:space="preserve">CALLE ECUADOR MZ. B1 LOTE 4 </t>
  </si>
  <si>
    <t>OSCAR MENDOZA TORRES</t>
  </si>
  <si>
    <t>151061-046-120920</t>
  </si>
  <si>
    <t>TRANSPORTES Y COMBUSTIBLES FER E.I.R.L.</t>
  </si>
  <si>
    <t>PROLONGACIÓN LEONCIO PRADO NRO. 561</t>
  </si>
  <si>
    <t>MARTHA ELENA VEGA PAJARES</t>
  </si>
  <si>
    <t>143486-046-200519</t>
  </si>
  <si>
    <t>REPRESENTACIONES MENDOZA CONSTRUCCIONES &amp; CONSULTORES S.A.C.</t>
  </si>
  <si>
    <t>AV. ARTERIAL N°149</t>
  </si>
  <si>
    <t>ASFALTO LÍQUIDO MC-30,ASFALTO LÍQUIDO MC-70,ASFALTO LÍQUIDO RC-250,BREA,CEMENTO ASFÁLTICO 120-150,CEMENTO ASFÁLTICO 40-50,CEMENTO ASFÁLTICO 60-70,CEMENTO ASFÁLTICO 85-100,PETRÓLEOS INDUSTRIALES</t>
  </si>
  <si>
    <t>MENDOZA CALDERON CIRILO</t>
  </si>
  <si>
    <t>147808-046-181119</t>
  </si>
  <si>
    <t>IP MART S.A.C.</t>
  </si>
  <si>
    <t>AV. ABELARDO QUIÑONES N° 1780 - SAN JUAN</t>
  </si>
  <si>
    <t>143468-046-200519</t>
  </si>
  <si>
    <t>CORPORACION CENTURION S.A.C.</t>
  </si>
  <si>
    <t>CALLE DOS DE MAYO MZ. F LT. 29 - SANTA FE</t>
  </si>
  <si>
    <t>YANETH FLORES ALVAREZ DE RIVERA</t>
  </si>
  <si>
    <t>143470-046-280120</t>
  </si>
  <si>
    <t>TRANSPORTES Y SERVICIOS MULTIPLES NIÑO Y CAUTIVO S.A.C.</t>
  </si>
  <si>
    <t>CALLE CAJATAMBO NRO. 232</t>
  </si>
  <si>
    <t>SUPE PUERTO</t>
  </si>
  <si>
    <t>DIONISIA LUCILA RAMIREZ CARDENAS</t>
  </si>
  <si>
    <t>143469-046-200519</t>
  </si>
  <si>
    <t>EMPRESA DE TRANSPORTE DE PETROLEOS S.A.C.</t>
  </si>
  <si>
    <t xml:space="preserve">AV SAN CARLOS N° S/N </t>
  </si>
  <si>
    <t>ALEXIS ALATRISTA TAYPE</t>
  </si>
  <si>
    <t>143472-046-200519</t>
  </si>
  <si>
    <t>INVERSIONES RV SEÑOR DE MURUHUAY S.A.C.</t>
  </si>
  <si>
    <t>AV. FEDERICO URANGA N° 818</t>
  </si>
  <si>
    <t>RONALD OMAR MENDOZA YACHACHIN</t>
  </si>
  <si>
    <t>143471-046-200519</t>
  </si>
  <si>
    <t xml:space="preserve">REPRESENTACIONES Y NEGOCIOS OMEGA E.I.R.L. </t>
  </si>
  <si>
    <t>CALLE 2DE MAYO MZ. F LT. 29 ¿ SANTA FE</t>
  </si>
  <si>
    <t>GINA PIERINA VITTORIA CUBA FLORES</t>
  </si>
  <si>
    <t>143474-046-200519</t>
  </si>
  <si>
    <t xml:space="preserve">FLORES TOURS E.I.R.L </t>
  </si>
  <si>
    <t xml:space="preserve">CALLE ECUADOR MZ B1 LT 4 </t>
  </si>
  <si>
    <t>CECILIA EDITH FLORES MAGARIÑO</t>
  </si>
  <si>
    <t>143473-046-200519</t>
  </si>
  <si>
    <t>EMBARCADERO 41 E.I.R.L.</t>
  </si>
  <si>
    <t>MZ. B, LOTE 1, AA.HH. TATAJE</t>
  </si>
  <si>
    <t>PARACAS</t>
  </si>
  <si>
    <t>EFRAIN AGUIRRE SANCHEZ</t>
  </si>
  <si>
    <t>150478-046-190820</t>
  </si>
  <si>
    <t xml:space="preserve">LUIS SEBASTIAN TAMARIZ MALPICA </t>
  </si>
  <si>
    <t>CALLE MARIA PARADO DE BELLIDO N° 656</t>
  </si>
  <si>
    <t>LUIS SEBASTIAN TAMARIZ MALPICA</t>
  </si>
  <si>
    <t>150479-046-190820</t>
  </si>
  <si>
    <t>EMPRESA CONSTRUCTORA E INMOBILIARIA IBAÑEZ RUIZ S.A.C.</t>
  </si>
  <si>
    <t>CALLE FRANCISCO SOLANO N° 342-347 URB. SAN ANDRÉS</t>
  </si>
  <si>
    <t>CESAR IBAÑEZ RUIZ</t>
  </si>
  <si>
    <t>150475-046-170820</t>
  </si>
  <si>
    <t>INVERSIONES Y NEGOCIOS GENERALES SHALOM JAC S.A.C.</t>
  </si>
  <si>
    <t>MZ D LOTE 23 URB. LIBERTAD</t>
  </si>
  <si>
    <t>JULIO ARROYO CASTILLO</t>
  </si>
  <si>
    <t>143475-046-200519</t>
  </si>
  <si>
    <t>NEGOCIOS Y REPRESENTACION LOYOLA S.A.C.</t>
  </si>
  <si>
    <t>NICOLAYEB TEODORO LOYOLA MALLQUI</t>
  </si>
  <si>
    <t>143476-046-200519</t>
  </si>
  <si>
    <t xml:space="preserve">CORPORACION ENRIQUE &amp; JANIS E.I.R.L. </t>
  </si>
  <si>
    <t>NOEDING JANIS EULOGIO AZAÑA</t>
  </si>
  <si>
    <t>151068-046-090920</t>
  </si>
  <si>
    <t>JOAM LOGISTICA E.I.R.L.</t>
  </si>
  <si>
    <t>MZA. I LOTE 22 URB. ALFONSO COBIAM</t>
  </si>
  <si>
    <t>JULIO OMAR ANTAZU MALQUI</t>
  </si>
  <si>
    <t>149220-046-210220</t>
  </si>
  <si>
    <t>DNT COMPANY E.I.R.L.</t>
  </si>
  <si>
    <t>MZ. W LT.20 ALTO TRUJILLO BARRIO 06</t>
  </si>
  <si>
    <t>NEL BUSTAMANTE PONCE</t>
  </si>
  <si>
    <t>150190-046-250720</t>
  </si>
  <si>
    <t>TERMOTRANSPORT S.A.C.</t>
  </si>
  <si>
    <t>ASFALTO LÍQUIDO MC-30,ASFALTO LÍQUIDO RC-250,CEMENTO ASFÁLTICO 120-150,CEMENTO ASFÁLTICO 60-70,CEMENTO ASFÁLTICO 85-100,DIESEL B5,Diesel B5 S-50,PETRÓLEO INDUSTRIAL Nº 500,PETRÓLEO INDUSTRIAL Nº 6</t>
  </si>
  <si>
    <t>OSCAR POZO SANDOVAL</t>
  </si>
  <si>
    <t>149928-046-110720</t>
  </si>
  <si>
    <t>INVERSIONES SELFA S.R.L.</t>
  </si>
  <si>
    <t>JR. TRUJILLO S/N BARRIO TRUJILLO (ALTURA DEL CAMAL MUNICIPAL)</t>
  </si>
  <si>
    <t>SANTIAGO DE CHUCO</t>
  </si>
  <si>
    <t>QUIRUVILCA</t>
  </si>
  <si>
    <t>ISAAC SAUL SANCHEZ ARQUEROS</t>
  </si>
  <si>
    <t>148939-046-120220</t>
  </si>
  <si>
    <t>ELMER GUILLERMO SALAZAR OLIVARES</t>
  </si>
  <si>
    <t>CALLE LA NIÑA MZA. B LOTE 11, URB. PABLO CANEPA</t>
  </si>
  <si>
    <t>ASFALTO LÍQUIDO MC-30,ASFALTO LÍQUIDO MC-70,ASFALTO LÍQUIDO RC-250,CEMENTO ASFÁLTICO 120-150,CEMENTO ASFÁLTICO 40-50,CEMENTO ASFÁLTICO 60-70,CEMENTO ASFÁLTICO 85-100,PETRÓLEO INDUSTRIAL Nº 500,PETRÓLEO INDUSTRIAL Nº 6</t>
  </si>
  <si>
    <t>150795-046-010920</t>
  </si>
  <si>
    <t>ESTACION DE SERVICIOS LUNA S.A.C.</t>
  </si>
  <si>
    <t>CARRETERA FEDERICO BASADRE KM. 29</t>
  </si>
  <si>
    <t>LEONIDAS FIGUEREDO BAYLON</t>
  </si>
  <si>
    <t>149923-046-100720</t>
  </si>
  <si>
    <t>C &amp; L CORPORACION LOGISTICA S.A.C.</t>
  </si>
  <si>
    <t>CAL. SALAZAR BONDY 539 1ER PISO URB. ANDRES RAZURI II ETAPA</t>
  </si>
  <si>
    <t>JOSE FIORELLA ZAVALETA QUILICHE</t>
  </si>
  <si>
    <t>143245-046-200519</t>
  </si>
  <si>
    <t>PETROPAC S.R.L.</t>
  </si>
  <si>
    <t>URB. JOSÉ CARLOS MARIATEGUI A-3 LT. 32</t>
  </si>
  <si>
    <t>ORTEGA PASTOR, JOSÉ DANIEL</t>
  </si>
  <si>
    <t>143244-046-200519</t>
  </si>
  <si>
    <t>PETRO MARINE S.A.C.</t>
  </si>
  <si>
    <t>AV. ENRIQUE MEIGGS 2699 P.J. MIRAFLORES ALTO</t>
  </si>
  <si>
    <t>JUANA ACELA CASTRO LIZARRAGA</t>
  </si>
  <si>
    <t>149230-046-160220</t>
  </si>
  <si>
    <t>INVERSIONES Y SERVICIOS BERACA S.A.C.</t>
  </si>
  <si>
    <t>ZONA INDUSTRIAL MZ. 0 LOTE 0 TALARA ALTA</t>
  </si>
  <si>
    <t>ASFALTO LÍQUIDO MC-30,ASFALTO LÍQUIDO RC-250,BREA,CEMENTO ASFÁLTICO 60-70,DIESEL B5,Diesel B5 S-50,HEXANO,LUBRICANTES,PENTANO,PETRÓLEO INDUSTRIAL Nº 500,PETRÓLEO INDUSTRIAL Nº 6,SOLVENTE 1,SOLVENTE 3</t>
  </si>
  <si>
    <t>REYES ZAPATA SARA LYSBETH</t>
  </si>
  <si>
    <t>143246-046-101219</t>
  </si>
  <si>
    <t>COMBUSTIBLES BERAKA E.I.R.L.</t>
  </si>
  <si>
    <t>PJ. LOS OLIVOS MZ. V1 LOTE 10 P.J. MIRAFLORES ALTO</t>
  </si>
  <si>
    <t>ASFALTO LÍQUIDO MC-30,ASFALTO LÍQUIDO MC-70,ASFALTO LÍQUIDO RC-250,ASFALTO LÍQUIDO RC-70,BREA,CEMENTO ASFÁLTICO 10-20,CEMENTO ASFÁLTICO 120-150,CEMENTO ASFÁLTICO 20-30,CEMENTO ASFÁLTICO 40-50,CEMENTO ASFÁLTICO 60-70,CEMENTO ASFÁLTICO 85-100,CGN SOLVENTE,DIESEL B5,Diesel B5 S-50,HEXANO,LUBRICANTES,PETRÓLEO INDUSTRIAL Nº 4,PETRÓLEO INDUSTRIAL Nº 5,PETRÓLEO INDUSTRIAL Nº 500,PETRÓLEO INDUSTRIAL Nº 6,SOLVENTE 1,SOLVENTE 3</t>
  </si>
  <si>
    <t>BERARDO JAVIER MARTINEZ GURREONERO</t>
  </si>
  <si>
    <t>143237-046-181219</t>
  </si>
  <si>
    <t>EMPRESA DE TRANSPORTES IVALLE S.A.C.</t>
  </si>
  <si>
    <t>JR. HUANCAVELICA MZ L LOTE 07 P..J. FLORIDA ALTA</t>
  </si>
  <si>
    <t>IVAN ENRIQUE VASQUEZ LLERENA</t>
  </si>
  <si>
    <t>143238-046-200519</t>
  </si>
  <si>
    <t>RUBYNOE CONTRATISTAS GENERALES S.A.C.</t>
  </si>
  <si>
    <t>AV. PARDO N° 385 CASCO URBANO</t>
  </si>
  <si>
    <t>CLARA ESTHER RODRIGUEZ RODRIGUEZ</t>
  </si>
  <si>
    <t>148924-046-290120</t>
  </si>
  <si>
    <t>JC REAL GAS S.A.C.</t>
  </si>
  <si>
    <t>AVENIDA AMERICA SUR 589 A - URB. SANTA ROSALIA</t>
  </si>
  <si>
    <t>143239-046-200519</t>
  </si>
  <si>
    <t>TRANSPORTES MARICIELO &amp; MARISOL Y SERVICIOS GENERALES E.I.R.L.</t>
  </si>
  <si>
    <t xml:space="preserve">MZA. B1 LOTE. 13 URB. EL TRAPECIO II ETAPA </t>
  </si>
  <si>
    <t>ANGELICA MARIA QUEREVALU ZAVALU</t>
  </si>
  <si>
    <t>148923-046-280120</t>
  </si>
  <si>
    <t>AVENIDA AMERICA SUR 636 A - URB. PALERMO</t>
  </si>
  <si>
    <t>143240-046-200519</t>
  </si>
  <si>
    <t>NEGOCIACIONES E INVERSIONES HAYAI S.A.C.</t>
  </si>
  <si>
    <t>JR UNION 493 P.J. MIRAMAR BAJO</t>
  </si>
  <si>
    <t>RICARDO NAZARIO OSORIO MALCA</t>
  </si>
  <si>
    <t>143241-046-200519</t>
  </si>
  <si>
    <t>CORP. PERU PETROLEO E.I.R.L</t>
  </si>
  <si>
    <t>PROLONGACION ESPINAR N° 1566 P.J. MIRAMAR</t>
  </si>
  <si>
    <t>KENYO BRAYAN TANG SEVILLANO</t>
  </si>
  <si>
    <t>143242-046-200519</t>
  </si>
  <si>
    <t>PETROMOBIL ECO CHIMBOTE S.A.C.</t>
  </si>
  <si>
    <t>JR. PALMERAS MZ. V2 LOTE 13 ¿ MIRAFLORES ALTO</t>
  </si>
  <si>
    <t>LUIS FERNANDO RENGIFO RODRIGUEZ</t>
  </si>
  <si>
    <t>150468-046-110820</t>
  </si>
  <si>
    <t>MULTISERVICIOS VERHON EIRL</t>
  </si>
  <si>
    <t>PROLONGACION ALFONSO UGARTE S/N</t>
  </si>
  <si>
    <t>SUPE</t>
  </si>
  <si>
    <t>RONALD EUSEBIO LARA HUAMAN</t>
  </si>
  <si>
    <t>143243-046-200519</t>
  </si>
  <si>
    <t xml:space="preserve">INVERSIONES SOCEL S.R.L. </t>
  </si>
  <si>
    <t xml:space="preserve">MZ B19 LT 14 URB 21 DE ABRIL ZN B </t>
  </si>
  <si>
    <t>IVAN EDWARD HUETE LOYOLA</t>
  </si>
  <si>
    <t>147738-046-131119</t>
  </si>
  <si>
    <t>COMERCIO Y TRANSPORTE GALLARDO E.I.R.L.</t>
  </si>
  <si>
    <t>CALLE 2 MZ. D LOTE 23 A.H. SAN GENARO</t>
  </si>
  <si>
    <t>WILMER RAFAEL DAMAS</t>
  </si>
  <si>
    <t>149763-046-250620</t>
  </si>
  <si>
    <t>COMBUSTIBLES &amp; SERVICIOS GENERALES DEL NORTE E.I.R.L.</t>
  </si>
  <si>
    <t>AV. GONZALES PRADA N° 896, URB. SANTA MARIA</t>
  </si>
  <si>
    <t>BREA,DIESEL B5,Diesel B5 S-50,LUBRICANTES,PETRÓLEO INDUSTRIAL Nº 4,PETRÓLEO INDUSTRIAL Nº 5,PETRÓLEO INDUSTRIAL Nº 500,PETRÓLEO INDUSTRIAL Nº 6,SOLVENTE 1,SOLVENTE 3</t>
  </si>
  <si>
    <t>KATLYN JHOVANA ALVA AVALOS</t>
  </si>
  <si>
    <t>143637-046-200519</t>
  </si>
  <si>
    <t>ALBINO EVANGELISTA ARELLANO</t>
  </si>
  <si>
    <t>AV. MARISCAL CASTILLA NRO. 321</t>
  </si>
  <si>
    <t>149249-046-250220</t>
  </si>
  <si>
    <t>PETRORUNNER S.A.C.</t>
  </si>
  <si>
    <t>AV. SANTA CRUZ NRO. 272, OF. 701</t>
  </si>
  <si>
    <t>EDWIN GINO VIZCARDO TRINIDAD</t>
  </si>
  <si>
    <t>143446-046-200519</t>
  </si>
  <si>
    <t>COMERCIAL FLOR DE MARIA DEL PILAR E.I.R.L.</t>
  </si>
  <si>
    <t>CARRETERA CENTRAL MZ. G9 LOTE A ZONA CPME-LLICUA</t>
  </si>
  <si>
    <t>AMARILIS</t>
  </si>
  <si>
    <t>FLORMIRA DEXTRE VILLAREAL</t>
  </si>
  <si>
    <t>143639-046-200519</t>
  </si>
  <si>
    <t>ESTACIONES DE SERVICIO MERLY E.I.R.L.</t>
  </si>
  <si>
    <t>PANAMERICANA NORTE KM. 154</t>
  </si>
  <si>
    <t xml:space="preserve">EDILBERTO OBISPO CARDENAS </t>
  </si>
  <si>
    <t>143638-046-200519</t>
  </si>
  <si>
    <t xml:space="preserve">NEGOCIOS Y COMBUSTIBLES S&amp;E E.I.R.L. </t>
  </si>
  <si>
    <t>CALLE REQUENA N° 122</t>
  </si>
  <si>
    <t>SHIRLEY ROSARIO ESPINOZA RODRIGUEZ</t>
  </si>
  <si>
    <t>150992-046-030920</t>
  </si>
  <si>
    <t>EMPRESA DE TRANSPORTES ROMERO S.R.L.</t>
  </si>
  <si>
    <t>MZ. B LOTE 19 ZONA INDUSTRIAL TALARA ALTA</t>
  </si>
  <si>
    <t xml:space="preserve">JULIO ROMERO CRUZ </t>
  </si>
  <si>
    <t>143443-046-200519</t>
  </si>
  <si>
    <t>INVERSIONES KOTHAGUACS S.R.L.</t>
  </si>
  <si>
    <t xml:space="preserve">JR. APARICIO POMARES MZ G9 LOTE 18 </t>
  </si>
  <si>
    <t>DOS DE MAYO</t>
  </si>
  <si>
    <t>PACHAS</t>
  </si>
  <si>
    <t>MELITON OSCAR CARBAJAL SANCHEZ</t>
  </si>
  <si>
    <t>148367-046-231219</t>
  </si>
  <si>
    <t>TRANSMIN SANTIAGO E.I.R.L.</t>
  </si>
  <si>
    <t>URB. LOS ROSALES MZ. D, LOTE N° 3, DPTO. 401</t>
  </si>
  <si>
    <t>MARIO ELISEO YAURI YAURI</t>
  </si>
  <si>
    <t>143442-046-200519</t>
  </si>
  <si>
    <t>EMPRESA DE TRANSPORTES INVERSIONES RYLE E.I.R.L.</t>
  </si>
  <si>
    <t>CAR.CENTRAL LIMA - HUANUCO KM. 204 P.J. HUARACALLA</t>
  </si>
  <si>
    <t>AMBO</t>
  </si>
  <si>
    <t>HERMELINDA ARGANDOÑA HUAMAN</t>
  </si>
  <si>
    <t>143445-046-200519</t>
  </si>
  <si>
    <t>JUAN ALBERTO LAGUNA ESPINOZA</t>
  </si>
  <si>
    <t>JR. PROLONGACION 28 DE JULIO S/N</t>
  </si>
  <si>
    <t>HUAMALIES</t>
  </si>
  <si>
    <t>LLATA</t>
  </si>
  <si>
    <t>CGN SOLVENTE,DIESEL B5</t>
  </si>
  <si>
    <t>143444-046-200519</t>
  </si>
  <si>
    <t>INVERSIONES GRUPO MARAÑON S.A.C</t>
  </si>
  <si>
    <t>AV. CENTRAL N° 102</t>
  </si>
  <si>
    <t>QUIVILLA</t>
  </si>
  <si>
    <t>AMANCIO VERA BERROSPI</t>
  </si>
  <si>
    <t>150779-046-020920</t>
  </si>
  <si>
    <t>CORPORACION MAPAH S.A.C.</t>
  </si>
  <si>
    <t>AV. TEODORO VALCARCEL N° 589 - URB. PRIMAVERA</t>
  </si>
  <si>
    <t xml:space="preserve">YANE FELICITAS HUERTA RIVERA </t>
  </si>
  <si>
    <t>148945-046-290120</t>
  </si>
  <si>
    <t>TRANSPORTES Y MULTISERVICIOS BRIHANA S.A.C.</t>
  </si>
  <si>
    <t>MZ. B LOTE 5 SECTOR LOS ROSALES DE SAN LUIS</t>
  </si>
  <si>
    <t>ANGILBERTO CARRERA ARELLANO</t>
  </si>
  <si>
    <t>146367-046-050919</t>
  </si>
  <si>
    <t>TODO NEGOCIOS &amp; MULTISERVICIOS S.A.C.</t>
  </si>
  <si>
    <t>CALLE PRINCIPAL S/N</t>
  </si>
  <si>
    <t>ONGON</t>
  </si>
  <si>
    <t>WELSMAN MIRANDA RAMOS</t>
  </si>
  <si>
    <t>143644-046-200519</t>
  </si>
  <si>
    <t>REPRESENTACIONES E INVERSIONES AMERICAN BUS S.A.C.</t>
  </si>
  <si>
    <t>PARCELA 17 MZ. A LOTE 17 FUNDO SAN ISIDRO</t>
  </si>
  <si>
    <t>DAVID ARQUIMEDES FUERTES VILCAPOMA</t>
  </si>
  <si>
    <t>143438-046-200519</t>
  </si>
  <si>
    <t>GRIFO EL VOLANTE S.A.C.</t>
  </si>
  <si>
    <t>CARRETERA CUSCO - URCOS KM. 25</t>
  </si>
  <si>
    <t>LUCRE</t>
  </si>
  <si>
    <t>CELINDA GARCIA MIRANDA</t>
  </si>
  <si>
    <t>143439-046-200519</t>
  </si>
  <si>
    <t>VIRGINIA LOAIZA DELGADO</t>
  </si>
  <si>
    <t>SECTOR LIMACPUNCO S/N</t>
  </si>
  <si>
    <t>MARCAPATA</t>
  </si>
  <si>
    <t>149250-046-180220</t>
  </si>
  <si>
    <t>TRANSPORTES MANDUJANO S.R.L. - TRAMACSA S.R.L.</t>
  </si>
  <si>
    <t>AV. JAVIER PRADO ESTE N° 6210 OFICINAS 707-708</t>
  </si>
  <si>
    <t>AMILCAR ALEJANDRO MANDUJANO PALOMINO</t>
  </si>
  <si>
    <t>143645-046-200519</t>
  </si>
  <si>
    <t>CIA. PETROLEOS MYBES S.A.C.</t>
  </si>
  <si>
    <t>CALLE NICOLASA TORRES N° 212 URB. TUNGASUCA 1ERA ETAPA</t>
  </si>
  <si>
    <t>NUÑEZ CASTRO, NANCY</t>
  </si>
  <si>
    <t>143440-046-200519</t>
  </si>
  <si>
    <t>CRISTINA PUMA CONDO</t>
  </si>
  <si>
    <t>COMUNIDAD CHECCASPAMPA S/N</t>
  </si>
  <si>
    <t>OCONGATE</t>
  </si>
  <si>
    <t>143646-046-200519</t>
  </si>
  <si>
    <t>HIDROTRANSP S.A.C</t>
  </si>
  <si>
    <t>CRUZ DEL NORTE I ZONA BAJA MZ C LOTE 5-A.H. ALIANZA INDUSTRIAL DE LAS LOMAS</t>
  </si>
  <si>
    <t>CESAR JAIME MANRIQUE MILLA</t>
  </si>
  <si>
    <t>143441-046-200519</t>
  </si>
  <si>
    <t>GRIFO AYACCOCHA E.I.R.L.</t>
  </si>
  <si>
    <t>AV. JOSE CARLOS MARIATEGUI S/N</t>
  </si>
  <si>
    <t>HUANCAVELICA</t>
  </si>
  <si>
    <t>ACORIA</t>
  </si>
  <si>
    <t>ALFREDO COCA HUATARONGO</t>
  </si>
  <si>
    <t>143640-046-200519</t>
  </si>
  <si>
    <t>COMBUSTIBLES Y TRANSPORTES P&amp;R E.I.R.L.</t>
  </si>
  <si>
    <t>PUEBLO NUEVO N° 400</t>
  </si>
  <si>
    <t>SAYAN</t>
  </si>
  <si>
    <t>PESE ALTAMIRANO, ABEL</t>
  </si>
  <si>
    <t>147429-046-151119</t>
  </si>
  <si>
    <t>TRANSPORTES POLMAR S.R.L.</t>
  </si>
  <si>
    <t>AV. COLECTORA MZ. A7 LOTES 14 Y 15, LOS PORTALES DE SANTA ANITA</t>
  </si>
  <si>
    <t>MARTIN MARCELO MORALES</t>
  </si>
  <si>
    <t>143641-046-200519</t>
  </si>
  <si>
    <t>AERO GAS DEL NORTE S.A.C.</t>
  </si>
  <si>
    <t>CALLE LOS CALIBRADORES MZA. 01 LOTE 5,7 Z.I. PARQUE INDUSTRIAL ACOMPIA</t>
  </si>
  <si>
    <t>ANCON</t>
  </si>
  <si>
    <t>CGN SOLVENTE,DIESEL B5,Diesel B5 S-50,PENTANO,SOLVENTE 1,SOLVENTE 3</t>
  </si>
  <si>
    <t>PEDRO CIERTO CABRERA</t>
  </si>
  <si>
    <t>143642-046-200519</t>
  </si>
  <si>
    <t>COMPAÑIA PETROLERA Y MINERA S.A.C.</t>
  </si>
  <si>
    <t>CASA HUERTA EL REPOSO MZ. G LT. 09-10</t>
  </si>
  <si>
    <t>COTRINA BARRIONUEVO, MARIBEL</t>
  </si>
  <si>
    <t>143437-046-200519</t>
  </si>
  <si>
    <t>RODOLFO MUÑOZ MENDOZA</t>
  </si>
  <si>
    <t>AV.FERNANDO BELAUNDE TERRY,MZA ¿X¿ LOTE 5</t>
  </si>
  <si>
    <t>143643-046-200519</t>
  </si>
  <si>
    <t>PETROLEOS Y DERIVADOS LIMA S.A.C.</t>
  </si>
  <si>
    <t>JR. TRINITARIAS Nº 102 URB. SANTA ISABEL</t>
  </si>
  <si>
    <t>ALONSO COTRINA RABANAL</t>
  </si>
  <si>
    <t>147431-046-271019</t>
  </si>
  <si>
    <t>INVERSIONES CHOY WA S.A.C</t>
  </si>
  <si>
    <t>ASFALTO LÍQUIDO MC-30,ASFALTO LÍQUIDO RC-250,CEMENTO ASFÁLTICO 120-150,CEMENTO ASFÁLTICO 60-70,CEMENTO ASFÁLTICO 85-100,PETRÓLEO INDUSTRIAL Nº 500,PETRÓLEO INDUSTRIAL Nº 6</t>
  </si>
  <si>
    <t>JUAN CARLOS CHOY HUAMANI</t>
  </si>
  <si>
    <t>150668-046-030920</t>
  </si>
  <si>
    <t>EMANUEL COMPAÑIA DE TRANSPORTES S.A.C</t>
  </si>
  <si>
    <t>PASAJE DELFÍN N° 141 URB. BUENOS AIRES</t>
  </si>
  <si>
    <t>ROSA PAMELA MENDOZA ROMERO DE ZEGARRA</t>
  </si>
  <si>
    <t>148756-046-160120</t>
  </si>
  <si>
    <t>CALYMAC E.I.R.L.</t>
  </si>
  <si>
    <t>AV. 26 DE MARZO N° 331</t>
  </si>
  <si>
    <t>ASFALTO LÍQUIDO MC-30,ASFALTO LÍQUIDO MC-70,ASFALTO LÍQUIDO RC-250,ASFALTO LÍQUIDO RC-70,BREA,CEMENTO ASFÁLTICO 10-20,CEMENTO ASFÁLTICO 120-150,CEMENTO ASFÁLTICO 20-30,CEMENTO ASFÁLTICO 40-50,CEMENTO ASFÁLTICO 60-70,CGN SOLVENTE,DIESEL B5,Diesel B5 S-50,LUBRICANTES,PETRÓLEO INDUSTRIAL Nº 4,PETRÓLEO INDUSTRIAL Nº 5,PETRÓLEO INDUSTRIAL Nº 500,PETRÓLEO INDUSTRIAL Nº 6</t>
  </si>
  <si>
    <t>LEONARDO DOMINGUEZ MEZA</t>
  </si>
  <si>
    <t>149191-046-140220</t>
  </si>
  <si>
    <t>FASTROL S.A.C.</t>
  </si>
  <si>
    <t>CAR.PANAMERICANA NORTE KM. 421 SEC. INDUSTRIAL LOS PINOS</t>
  </si>
  <si>
    <t xml:space="preserve">CORINA IRENE LEON CHUQUIRUNA </t>
  </si>
  <si>
    <t>150665-046-240820</t>
  </si>
  <si>
    <t>ABASTECEDORA DE COMBUSTIBLES Y SERVICIOS GENERALES JA E.I.R.L.</t>
  </si>
  <si>
    <t xml:space="preserve">AAHH JUAN BAUTISTA ALVAREZ VERA MZ G LT 06 </t>
  </si>
  <si>
    <t>ASFALTO LÍQUIDO MC-30,ASFALTO LÍQUIDO MC-70,ASFALTO LÍQUIDO RC-250,ASFALTO LÍQUIDO RC-70,BREA,CEMENTO ASFÁLTICO 10-20,CEMENTO ASFÁLTICO 120-150,CEMENTO ASFÁLTICO 20-30,CEMENTO ASFÁLTICO 40-50,CEMENTO ASFÁLTICO 60-70,CEMENTO ASFÁLTICO 85-100,DIESEL B5,Diesel B5 S-50,PETRÓLEO INDUSTRIAL Nº 4,PETRÓLEO INDUSTRIAL Nº 5,PETRÓLEO INDUSTRIAL Nº 500,PETRÓLEO INDUSTRIAL Nº 6</t>
  </si>
  <si>
    <t>JOHNNY MARTIN AGURTO OLAYA</t>
  </si>
  <si>
    <t>150663-046-260820</t>
  </si>
  <si>
    <t>TRANSPORTES VANESSA S.A.C.</t>
  </si>
  <si>
    <t>CAR. 3RA ETAPA MZA. C 1A LOTE 25, URB. RESIDENCIAL PRADERAS DE PARIACHI</t>
  </si>
  <si>
    <t>HIPOLITO GENARO ATACHAGUA MAURICIO</t>
  </si>
  <si>
    <t>143649-046-200519</t>
  </si>
  <si>
    <t>CORPORACION PETROFUELS S.A.C.</t>
  </si>
  <si>
    <t>PJ. PURUCHUCO MZ. C LOTE 30 URB. LUCIANA 2DA ETAPA</t>
  </si>
  <si>
    <t>AURA YDELIA AGUINAGA MASLUCAN DE COLLAHUA</t>
  </si>
  <si>
    <t>143650-046-200519</t>
  </si>
  <si>
    <t>ALDO ANGEL GARAYAR MIGUEL</t>
  </si>
  <si>
    <t>MZ. CH- LOTE -03 AA. HH. DIOS AMOR LA PASCANA</t>
  </si>
  <si>
    <t>149756-046-240620</t>
  </si>
  <si>
    <t xml:space="preserve">EPIFANEO OLARTE JAULIS </t>
  </si>
  <si>
    <t xml:space="preserve">KM 111 VIA ANDAHUAYLAS - PUQUIO - ANEXO SAN JUAN DE AYAPAMPA </t>
  </si>
  <si>
    <t>PAMPACHIRI</t>
  </si>
  <si>
    <t>151348-046-221020</t>
  </si>
  <si>
    <t>FUEL ENERGY CORPORATION S.A.C.</t>
  </si>
  <si>
    <t>AV. PROCERES DE LA INDEPENDENCIA N° 1609 DPTO. 202, URB. LAS FLORES</t>
  </si>
  <si>
    <t>FERNANDO JULIO SEPÚLVEDA RAMOS</t>
  </si>
  <si>
    <t>143647-046-200519</t>
  </si>
  <si>
    <t>LOGISTICA Y TRANSPORTES MSA E.I.R.L.</t>
  </si>
  <si>
    <t>AV. SAN MARTIN 469, URB. SANTA ISABEL</t>
  </si>
  <si>
    <t>CARMEN MELIDA YARLEQUE MUJICA</t>
  </si>
  <si>
    <t>143648-046-200519</t>
  </si>
  <si>
    <t>NAPOL S.A.C.</t>
  </si>
  <si>
    <t>LUCYANA AMPLIA MZ. C LOTE 9 URB. CARABAYLLO</t>
  </si>
  <si>
    <t>ASFALTO LÍQUIDO,ASFALTO SOLIDO,BREA,CEMENTO ASFÁLTICO,PETRÓLEOS INDUSTRIALES,RESIDUALES</t>
  </si>
  <si>
    <t>LAURA COLLAHUA AGUINAGA</t>
  </si>
  <si>
    <t>143654-046-200519</t>
  </si>
  <si>
    <t>TRANSPORTES INTERVEGA S.A.C.</t>
  </si>
  <si>
    <t xml:space="preserve">JR. FEDERICO BARRETO Nº 178 - URB. SAN AGUSTIN </t>
  </si>
  <si>
    <t xml:space="preserve">ANTONIO MICHEL VEGA PAREDES </t>
  </si>
  <si>
    <t>151345-046-260920</t>
  </si>
  <si>
    <t>ROBOT HYDRO CLEAN S.A.C.</t>
  </si>
  <si>
    <t>PASAJE MATEO PUMACAHUA N° 122, URB. CHACARILLA DE OTERO</t>
  </si>
  <si>
    <t>ALEJANDRO JESUS DIAZ VELASQUEZ</t>
  </si>
  <si>
    <t>143653-046-200519</t>
  </si>
  <si>
    <t>SERVICIOS DE CORTE Y DOBLEZ S.A.</t>
  </si>
  <si>
    <t>AV. LOS INCAS MZ N4 LOTE 14 - URB. EL PINAR</t>
  </si>
  <si>
    <t>LUIS ALBERTO LEIVA BRAVO</t>
  </si>
  <si>
    <t>143652-046-200519</t>
  </si>
  <si>
    <t>DALILA MONAGO LAURA</t>
  </si>
  <si>
    <t xml:space="preserve">AV. TUPAC AMARU NR. 264 B - LA MERCED </t>
  </si>
  <si>
    <t>151344-046-220920</t>
  </si>
  <si>
    <t>SERVICENTRO EL CAMIONERO S.A.C.</t>
  </si>
  <si>
    <t>CALLE PIURA MZA. B LOTE 8 A APV CAMPO SOL - CARAPONGO</t>
  </si>
  <si>
    <t>MICHAEL ROJAS VELASQUEZ</t>
  </si>
  <si>
    <t>148588-046-060120</t>
  </si>
  <si>
    <t>NESERCON S.A.C.</t>
  </si>
  <si>
    <t>AV.SANCHEZ CERRO N°755, INTERIOR 202</t>
  </si>
  <si>
    <t>ASFALTO LÍQUIDO MC-30,ASFALTO LÍQUIDO RC-250,CEMENTO ASFÁLTICO 60-70,DIESEL B5,Diesel B5 S-50,HEXANO,LUBRICANTES,PENTANO,PETRÓLEO INDUSTRIAL Nº 500,SOLVENTE 1,SOLVENTE 3</t>
  </si>
  <si>
    <t xml:space="preserve">SEGUNDO CESAR GUZMAN LEON </t>
  </si>
  <si>
    <t>143651-046-200519</t>
  </si>
  <si>
    <t>EDGAR EDUARDO GRADOS FUERTES</t>
  </si>
  <si>
    <t>JR. PALLARDELLI Nº 465 - URB. SAN AGUSTIN</t>
  </si>
  <si>
    <t>143268-046-200519</t>
  </si>
  <si>
    <t>INGENIERÍA PERU SOLUCIONES Y SERVICIOS E.I.R.L.</t>
  </si>
  <si>
    <t>COOPERATIVA LOS EUCALIPTOS A-16 PAMPAS DE POLANCO</t>
  </si>
  <si>
    <t>ALTO SELVA ALEGRE</t>
  </si>
  <si>
    <t>TEODORO OMAR PEQUEÑA VILCA</t>
  </si>
  <si>
    <t>143267-046-200519</t>
  </si>
  <si>
    <t>CHALCOSUR S.A.C.</t>
  </si>
  <si>
    <t>MZ O LOTE 6 COMUNIDAD FUERABAMBA</t>
  </si>
  <si>
    <t>MELBIN EDMUNDO CAMERO REAÑO</t>
  </si>
  <si>
    <t>149044-046-060220</t>
  </si>
  <si>
    <t>AV. GRAN CHIMU N° 1179 PISO 2</t>
  </si>
  <si>
    <t>143656-046-200519</t>
  </si>
  <si>
    <t>ORGANIZACION DE NEGOCIOS MULTIPLES SAN FRANCISCO DE ASIS S.A.C.</t>
  </si>
  <si>
    <t xml:space="preserve">AV. SANTO TORIBIO DE MOGROVEJO N° 490, 3RA. ZONA COLLIQUE </t>
  </si>
  <si>
    <t>ASFALTO LÍQUIDO RC-250,ASFALTO SOLIDO,DIESEL B5,Diesel B5 S-50,PETRÓLEO INDUSTRIAL Nº 4,PETRÓLEO INDUSTRIAL Nº 5,PETRÓLEO INDUSTRIAL Nº 500,PETRÓLEO INDUSTRIAL Nº 6</t>
  </si>
  <si>
    <t>IVAN JOSEPH CONTRERAS PINEDO</t>
  </si>
  <si>
    <t>150394-046-070820</t>
  </si>
  <si>
    <t>FERNANDEZ VILELA JOSE MAXIMO</t>
  </si>
  <si>
    <t>JR. SAN SEBASTIAN N° 251</t>
  </si>
  <si>
    <t>143655-046-200519</t>
  </si>
  <si>
    <t>TRANS OIL BUNKER S.A.C.</t>
  </si>
  <si>
    <t xml:space="preserve">JR. TUPAC AMARU Nº 408, KM. 8.5 </t>
  </si>
  <si>
    <t>ZAIDA PRIMITIVA PAREDES SALINAS</t>
  </si>
  <si>
    <t>143272-046-200519</t>
  </si>
  <si>
    <t>CONSTRUCTORA LOS CASTILLOS DEL SUR S.A.C</t>
  </si>
  <si>
    <t>CALLE SAN JOSÉ N° 322, D-4</t>
  </si>
  <si>
    <t>WILBER GREGORIO MAMANI VILCAHUAMAN</t>
  </si>
  <si>
    <t>150391-046-060820</t>
  </si>
  <si>
    <t>SERVICENTRO J Y S RAMIREZ S.C.R.L.</t>
  </si>
  <si>
    <t xml:space="preserve">CASERÍO JIMACA CARRETERA A SAPALACHE </t>
  </si>
  <si>
    <t xml:space="preserve">NESTOR SEGUNDO RAMIREZ PALACIOS </t>
  </si>
  <si>
    <t>143271-046-200519</t>
  </si>
  <si>
    <t>DISTRIBUCIONES CANDELARIA SC</t>
  </si>
  <si>
    <t>CALLE LOS PICAFLORES 151 URB EL CARMEN</t>
  </si>
  <si>
    <t xml:space="preserve">MONTIEL YUCRA LUCILA </t>
  </si>
  <si>
    <t>143270-046-200519</t>
  </si>
  <si>
    <t>AUTOMOTRIZ ANDINA S.A. - AUTRISA</t>
  </si>
  <si>
    <t>AV. PARRA N° 122</t>
  </si>
  <si>
    <t>RAUL LLAMOSAS CARBAJAL</t>
  </si>
  <si>
    <t>143269-046-200519</t>
  </si>
  <si>
    <t>FULL H.P. S.C.R.L.</t>
  </si>
  <si>
    <t>COOP. VILLA EL SOL MZ K LOTE 1</t>
  </si>
  <si>
    <t xml:space="preserve">MARGARITA ARATA PANIURA </t>
  </si>
  <si>
    <t>143276-046-200519</t>
  </si>
  <si>
    <t>FELIPE WISER QUISPE ARANA</t>
  </si>
  <si>
    <t>URB. LOS ANGELES A-1 JORGE BASADRE</t>
  </si>
  <si>
    <t>CAYMA</t>
  </si>
  <si>
    <t>143275-046-200519</t>
  </si>
  <si>
    <t>EPIFANIA MACHACA USCA</t>
  </si>
  <si>
    <t>AV. GENERAL VARELA 534 ACEQUIA ALTA</t>
  </si>
  <si>
    <t>143274-046-200519</t>
  </si>
  <si>
    <t>LUCILA TEOFILA YUCRA CCOSAÑA</t>
  </si>
  <si>
    <t>URB LOS ANGELES A-1 JORGE BASADRE</t>
  </si>
  <si>
    <t>143273-046-200519</t>
  </si>
  <si>
    <t>STAR SOLUTIONS S.A.C.</t>
  </si>
  <si>
    <t xml:space="preserve">MZ. C LOTE 14 URB. CAMPIÑA DORADA </t>
  </si>
  <si>
    <t>YANET APARICIO SALAS</t>
  </si>
  <si>
    <t>146684-046-300919</t>
  </si>
  <si>
    <t>CARLA ANDREA MELGAREJO MALPARTIDA</t>
  </si>
  <si>
    <t>URBANIZACIÓN LA QUINTA MZ. B LOTE 6</t>
  </si>
  <si>
    <t>143657-046-270819</t>
  </si>
  <si>
    <t>TRANSPORTES PABEL E.I.R.L.</t>
  </si>
  <si>
    <t>AV. MARIA PARADO DE BELLIDO MZ. B LT. 13, URBANIZACION RESIDENCIAL LOS HUERTOS DE PRO</t>
  </si>
  <si>
    <t>ILDA AZUCENA BELVIDER ACUÑA</t>
  </si>
  <si>
    <t>143658-046-200519</t>
  </si>
  <si>
    <t>ADRIKA S.A.C.</t>
  </si>
  <si>
    <t>CALLE JUAN CASTRO # 174</t>
  </si>
  <si>
    <t>WILSON ZELADA RIVA</t>
  </si>
  <si>
    <t>143659-046-200519</t>
  </si>
  <si>
    <t>BRYAMPOL S.A.C.</t>
  </si>
  <si>
    <t>AV. FERROCARRIL MZ. M LOTES 4, 5 Y 6 URB. LA PRADERA 3ERA. ETAPA</t>
  </si>
  <si>
    <t>VENTURA RIVERA, BENJAMIN ANGEL</t>
  </si>
  <si>
    <t>143660-046-200519</t>
  </si>
  <si>
    <t>EMP. DE SERVIC. COMERCIAL DE DIVERSOS E.I.R.L.</t>
  </si>
  <si>
    <t>RESIDENCIAL HUANCAYO MZ. A LT. 3</t>
  </si>
  <si>
    <t>ASFALTO LÍQUIDO MC-30,ASFALTO LÍQUIDO RC-250,PETRÓLEO INDUSTRIAL Nº 500</t>
  </si>
  <si>
    <t>ACOSTA CORREA, LEONCIO N.</t>
  </si>
  <si>
    <t>143661-046-200519</t>
  </si>
  <si>
    <t>TRILKI E.I.R.L.</t>
  </si>
  <si>
    <t>AV. JOSE CARLOS MARIQTEGUI No 2255</t>
  </si>
  <si>
    <t>VENTURA RIVERA, EDWIN</t>
  </si>
  <si>
    <t>143663-046-200519</t>
  </si>
  <si>
    <t>PETROSA S.A.C.</t>
  </si>
  <si>
    <t>CALLE LOS QUEROS N° 7457 URB. INDUSTRIAL MULERIA</t>
  </si>
  <si>
    <t>SALAZAR MEZARINA, JAVIER ERNESTO</t>
  </si>
  <si>
    <t>143662-046-200519</t>
  </si>
  <si>
    <t>INVERSIONES EN MERCADOS DE CONSTRUCCION Y COMBUSTIBLES S.A.C. - INVERMERCO S.A.C (WQ-1477)</t>
  </si>
  <si>
    <t>CALLE LOS JACINTOS Nº 151 URB. JOSÉ GÁLVEZ</t>
  </si>
  <si>
    <t>PINEDO SIFUENTES, ALBERTO SATURNINO</t>
  </si>
  <si>
    <t>143665-046-200519</t>
  </si>
  <si>
    <t>NEGOCIACIONES TAMBOGRANDE S.R.L.</t>
  </si>
  <si>
    <t>CA. MARTINEZ DE PINILLOS N° 141</t>
  </si>
  <si>
    <t>GODOFREDO LUCAS LAVANDERA GONZALES</t>
  </si>
  <si>
    <t>143664-046-200519</t>
  </si>
  <si>
    <t>PETROLDISA CORPORATION S.A.C.</t>
  </si>
  <si>
    <t>CALLE LOS JACINTOS Nº 151 - URB. JOSE GALVEZ</t>
  </si>
  <si>
    <t>ASFALTO LÍQUIDO RC-250,PETRÓLEO INDUSTRIAL Nº 4,PETRÓLEO INDUSTRIAL Nº 5,PETRÓLEO INDUSTRIAL Nº 500,PETRÓLEO INDUSTRIAL Nº 6</t>
  </si>
  <si>
    <t>CRISTIAN ALEXANDER PEREYRA PINEDO</t>
  </si>
  <si>
    <t>143277-046-200519</t>
  </si>
  <si>
    <t>GEOTEC S.A.</t>
  </si>
  <si>
    <t>URB. LOS ANGELES A-1, JORGE BASADRE</t>
  </si>
  <si>
    <t>ANGEL GUSTAVO DIAZ PAIVA</t>
  </si>
  <si>
    <t>150401-046-281020</t>
  </si>
  <si>
    <t>TRANSPORTES Y NEGOCIOS LIDER E.I.R.L.</t>
  </si>
  <si>
    <t>MZ C LOTE 06 OTR UPIS LAS DELICIAS</t>
  </si>
  <si>
    <t>SEGUNDO AGUSTIN VEGA CHAVEZ</t>
  </si>
  <si>
    <t>143666-046-200519</t>
  </si>
  <si>
    <t>AV. OLABEGOYA N° 2017 DPTO 402</t>
  </si>
  <si>
    <t>DIESEL B5,Diesel B5 S-50,HEXANO,LUBRICANTES,PENTANO,PETRÓLEOS INDUSTRIALES,SOLVENTE 1,SOLVENTE 3</t>
  </si>
  <si>
    <t>JOSE ALFREDO CARDENAS NUÑEZ</t>
  </si>
  <si>
    <t>143279-046-200519</t>
  </si>
  <si>
    <t>GRUPO PORVENIR CONTRATISTAS TRANSPORTE &amp; MAQUINARIAS E.I.R.L.</t>
  </si>
  <si>
    <t>ABDON FRANCISCO CAMAPAZA CUENTAS</t>
  </si>
  <si>
    <t>150403-046-070820</t>
  </si>
  <si>
    <t>PERCOM GROUP S.A.C.</t>
  </si>
  <si>
    <t>MZ. K LOTE 8 URB. MONSERRATE</t>
  </si>
  <si>
    <t>AMARO SEGUNDO BOCANEGRA CERDAN</t>
  </si>
  <si>
    <t>143278-046-200519</t>
  </si>
  <si>
    <t>ETRANSMUL H&amp;V S.R.L.</t>
  </si>
  <si>
    <t>PPJJ FRANCISCO BOLOGNESI CHACHANI 306</t>
  </si>
  <si>
    <t>VICTORIA VARGAS QUISPE</t>
  </si>
  <si>
    <t>143281-046-200519</t>
  </si>
  <si>
    <t>C. Q. PABELLONES S.R.L.</t>
  </si>
  <si>
    <t>URB. EL REMANSO A-6</t>
  </si>
  <si>
    <t xml:space="preserve">GLORIA EULOGIA QUICAÑA CONTRERAS </t>
  </si>
  <si>
    <t>143280-046-200519</t>
  </si>
  <si>
    <t>FULL TERRA UMASI S.R.L</t>
  </si>
  <si>
    <t>URB. MIRASOL E-15</t>
  </si>
  <si>
    <t>SANTOS UMASI CHANCAYAURI</t>
  </si>
  <si>
    <t>143283-046-200519</t>
  </si>
  <si>
    <t>LIZBETH MILAGROS HUARCA FLORES</t>
  </si>
  <si>
    <t>ASOC PARQUE INDUSTRIAL PORVENIR MZ. C5, LT. 7, SECTOR X APIPA</t>
  </si>
  <si>
    <t>143282-046-200519</t>
  </si>
  <si>
    <t>FIDEL SERGIO VARGAS HUANCA</t>
  </si>
  <si>
    <t>ASOCIACION DE VIVIENDA LAS FLORES ZONA.3 MZ.H LOTE 1</t>
  </si>
  <si>
    <t>143285-046-200519</t>
  </si>
  <si>
    <t>SERVICENTRO SAN LUIS S.A.C.</t>
  </si>
  <si>
    <t>CARRETERA VARIANTE DE UCHUMAYO KM 3.5</t>
  </si>
  <si>
    <t>MENDOZA CHAVEZ ANTONIO JOSE</t>
  </si>
  <si>
    <t>143284-046-200519</t>
  </si>
  <si>
    <t xml:space="preserve">AMADO S.A.C. </t>
  </si>
  <si>
    <t xml:space="preserve">JR. LAMBAYEQUE F-4 LT. 10 SEMI RURAL PACHACUTEC </t>
  </si>
  <si>
    <t>AMADO VILLANUEVA, HERBERT ELADIO</t>
  </si>
  <si>
    <t>143286-046-200519</t>
  </si>
  <si>
    <t>TRANSPORTES EXALTACION CONDOR LLANA E HIJOS SOCIEDAD ANONIMA CERRADA</t>
  </si>
  <si>
    <t>AV. LOS INCAS 908 SEMIRURAL PACHACUTEC</t>
  </si>
  <si>
    <t>ARZAPALO DE CONDOR, VALERIANA JACINTA</t>
  </si>
  <si>
    <t>150651-046-180820</t>
  </si>
  <si>
    <t>ASOCIACION DE MINEROS ARTESANALES PEPAS DE ORO DE PAMPAMARCA</t>
  </si>
  <si>
    <t>PZA.PLAZA DE ARMAS PAMPAMARCA NRO. S/N C.C. ANEXO PAMPAMARCA</t>
  </si>
  <si>
    <t>AYMARAES</t>
  </si>
  <si>
    <t>COTARUSE</t>
  </si>
  <si>
    <t xml:space="preserve">WILDER VALDERRAMA HUILLCAYA </t>
  </si>
  <si>
    <t>143255-046-200519</t>
  </si>
  <si>
    <t xml:space="preserve">VARGAS VILLAFRANCA ZACARIAS VIDAL </t>
  </si>
  <si>
    <t>MUSHO S/N, A 1 CDRA. DE ESCUELA HUAMBOMUSHO</t>
  </si>
  <si>
    <t>YUNGAY</t>
  </si>
  <si>
    <t>149206-046-120220</t>
  </si>
  <si>
    <t>PETROINMAR E.I.R.L.</t>
  </si>
  <si>
    <t>PARQUE 2 - 15 LATERAL TALARA</t>
  </si>
  <si>
    <t>ASFALTO LÍQUIDO MC-30,ASFALTO LÍQUIDO RC-250,BREA,CEMENTO ASFÁLTICO 60-70,CGN SOLVENTE,Diesel B5 S-50,HEXANO,LUBRICANTES,PENTANO,PETRÓLEO INDUSTRIAL Nº 500,PETRÓLEO INDUSTRIAL Nº 6,SOLVENTE 1,SOLVENTE 3</t>
  </si>
  <si>
    <t xml:space="preserve">ARTHUR GILMAR TIMANA VILLAR </t>
  </si>
  <si>
    <t>143256-046-200519</t>
  </si>
  <si>
    <t xml:space="preserve">MARUJA SMILDA TERRAZAS LOAIZA </t>
  </si>
  <si>
    <t>TAMBURCO</t>
  </si>
  <si>
    <t>143671-046-200519</t>
  </si>
  <si>
    <t>ALEXANDER LINDER GARCIA AIROS</t>
  </si>
  <si>
    <t>JR ANTONIO MIRO QUESADA N 1404 INT 24</t>
  </si>
  <si>
    <t>SALVADOR PALACIOS, ROMULO ANIBAL</t>
  </si>
  <si>
    <t>147975-046-051219</t>
  </si>
  <si>
    <t>FADI PETROLEUM E.I.R.L.</t>
  </si>
  <si>
    <t xml:space="preserve">GARCILAZO DE LA VEGA NRO. 100 SECTOR ROMERO </t>
  </si>
  <si>
    <t>VALERIO ACOSTA SANTISTEBAN</t>
  </si>
  <si>
    <t>143672-046-200519</t>
  </si>
  <si>
    <t>CARLOS MELCHOR OLIVAS CAVALIE</t>
  </si>
  <si>
    <t>JR. GREGORIO PAREDES N° 461</t>
  </si>
  <si>
    <t>OLIVAS CAVALIE, CARLOS MELCHOR</t>
  </si>
  <si>
    <t>143669-046-200519</t>
  </si>
  <si>
    <t>FUEL &amp; GAS OIL S.A.C.</t>
  </si>
  <si>
    <t>CALLE ARAOZ Y CASTILLA Nº 135</t>
  </si>
  <si>
    <t>PETRÓLEO INDUSTRIAL Nº 500,PETRÓLEO INDUSTRIAL Nº 6,RESIDUAL ASFALTICO RC-250</t>
  </si>
  <si>
    <t>149203-046-140220</t>
  </si>
  <si>
    <t>AGREGADOS CONSTRUCCIONES Y ASFALTOS DANTON S.R.L.</t>
  </si>
  <si>
    <t>AV. PETIT THOUARS 1488 DPTO 1505</t>
  </si>
  <si>
    <t>ASFALTO LÍQUIDO MC-30,ASFALTO LÍQUIDO MC-70,ASFALTO LÍQUIDO RC-250,ASFALTO LÍQUIDO RC-70,CEMENTO ASFÁLTICO 10-20,CEMENTO ASFÁLTICO 120-150,CEMENTO ASFÁLTICO 20-30,CEMENTO ASFÁLTICO 40-50,CEMENTO ASFÁLTICO 60-70,CEMENTO ASFÁLTICO 85-100</t>
  </si>
  <si>
    <t>ANTONIO ROMEL DE LA CRUZ CONOZCO</t>
  </si>
  <si>
    <t>143670-046-200519</t>
  </si>
  <si>
    <t>CERVERA LENGUA ROCIO PATRICIA</t>
  </si>
  <si>
    <t>URBANIZACION PALOMINO BLOCK LL-2 INTERIOR 10</t>
  </si>
  <si>
    <t>CERVERA LENGUA, ROCIO PATRICIA</t>
  </si>
  <si>
    <t>143667-046-200519</t>
  </si>
  <si>
    <t>ENERHYGAS S.A.C.</t>
  </si>
  <si>
    <t>AV. GENERAL GARZON NRO. 1082 OF. 203 (A 2 CDRAS DE METRO DE JESUS MARIA)</t>
  </si>
  <si>
    <t>GERMAN WILFREDO CAVERO PALOMINO</t>
  </si>
  <si>
    <t>143668-046-200519</t>
  </si>
  <si>
    <t xml:space="preserve">NATURGAS S.A.C. </t>
  </si>
  <si>
    <t>AV. SANCHEZ CARRION N° 327 INTERIOR N° 05</t>
  </si>
  <si>
    <t>LUIS MIGUEL AGUSTIN NOVOA PORRAS</t>
  </si>
  <si>
    <t>150381-046-140820</t>
  </si>
  <si>
    <t>DAYANNA INGENIEROS S.R.L..</t>
  </si>
  <si>
    <t>JR. MARRUECOS MZA. B LOTE 11A BAR. VENECIA</t>
  </si>
  <si>
    <t xml:space="preserve">NELSON HERNANDEZ VASQUEZ </t>
  </si>
  <si>
    <t>143676-046-200519</t>
  </si>
  <si>
    <t>CONSTRUCTORA Y MULTISERVICIOS DYDEK´S E.I.R.L.</t>
  </si>
  <si>
    <t>CALLE MANUEL DEL PINO N° 391</t>
  </si>
  <si>
    <t xml:space="preserve">DALINDA SONIA SANTOS ESPINOZA </t>
  </si>
  <si>
    <t>143675-046-200519</t>
  </si>
  <si>
    <t xml:space="preserve">TRANSPORTES PEREZ CARGO S.A.C. </t>
  </si>
  <si>
    <t xml:space="preserve">AV. PETIT THOUARS 994 </t>
  </si>
  <si>
    <t>KERSON KILWER VILLEGAS PEREZ</t>
  </si>
  <si>
    <t>143674-046-250220</t>
  </si>
  <si>
    <t>BUSINESS &amp; SERVICES COBRA S.A.C.</t>
  </si>
  <si>
    <t>JR. CARABAYA Nº 1119 OF. 602</t>
  </si>
  <si>
    <t>GILBERTO ZENOBIO MEJÍA RAMÍREZ</t>
  </si>
  <si>
    <t>143673-046-200519</t>
  </si>
  <si>
    <t>GREGORIO PAREDES VILCA</t>
  </si>
  <si>
    <t>JR. ASCOPE 552 - A 21 RESIDENCIAL SANTA ROSA</t>
  </si>
  <si>
    <t>PAREDES VILCA, GREGORIO</t>
  </si>
  <si>
    <t>143254-046-200519</t>
  </si>
  <si>
    <t>MAYLLHER S.A.C.</t>
  </si>
  <si>
    <t>AV. 28 DE JULIO S/N ¿ CENTRO SIHUAS</t>
  </si>
  <si>
    <t>SIHUAS</t>
  </si>
  <si>
    <t>MAYCOL GUTIERREZ DE LA CRUZ</t>
  </si>
  <si>
    <t>143253-046-200519</t>
  </si>
  <si>
    <t>MARKET OIL S.A.C.</t>
  </si>
  <si>
    <t>AA.HH. LAS BRISAS 4TA ETAPA MZ K, LT 17</t>
  </si>
  <si>
    <t>LEYTON ARROYO JOSE DANIEL</t>
  </si>
  <si>
    <t>143252-046-091019</t>
  </si>
  <si>
    <t>GROUP SHEKINA S.A.C.</t>
  </si>
  <si>
    <t>MZ. T, LOTE 02 – P. J. VILLA MARIA</t>
  </si>
  <si>
    <t>BRANCO FRANZ VASQUEZ QUEREVALU</t>
  </si>
  <si>
    <t>143251-046-200519</t>
  </si>
  <si>
    <t>VENTAS Y SERVICIOS INDUSTRIALES MARUJA E.I.R.L.</t>
  </si>
  <si>
    <t>MZ. C LOTE 12 - P.J. VILLA MARIA I NUEVO CHIMBOTE</t>
  </si>
  <si>
    <t>JOSÉ EDWARD NUÑEZ VASQUEZ</t>
  </si>
  <si>
    <t>143250-046-200519</t>
  </si>
  <si>
    <t>CORP PERU COMBUSTIBLE E.I.R.L.</t>
  </si>
  <si>
    <t>MZA. 5 LOTE 5 P.J. 1 DE MAYO</t>
  </si>
  <si>
    <t>ELIDA EMPERATRIZ QUISPE YZAGUIRRE</t>
  </si>
  <si>
    <t>143249-046-170420</t>
  </si>
  <si>
    <t>INVERSIONES OSTOLAZA S.A.C.</t>
  </si>
  <si>
    <t>AV. ANCHOVETA MZ. B, LOTE 33 – UPIS SAN DIEGO</t>
  </si>
  <si>
    <t>CARLOS ALBERTO OSTOLAZA SALINAS</t>
  </si>
  <si>
    <t>143248-046-011020</t>
  </si>
  <si>
    <t>LP INVERSIONES Y SERVICIOS GENERALES S.R.L.</t>
  </si>
  <si>
    <t>A.H. LAS BRISAS 4TA ETAPA MZ. K LOTE 17</t>
  </si>
  <si>
    <t>143247-046-200519</t>
  </si>
  <si>
    <t>ABASTECEDORA Y SERVICIOS GENERALES KARLALUANA S.A.C.</t>
  </si>
  <si>
    <t xml:space="preserve">URB. LOS CIPRESES L. 14 </t>
  </si>
  <si>
    <t>CARLOS ALBERTO RODRIGUEZ CHICOMA</t>
  </si>
  <si>
    <t>148408-046-271219</t>
  </si>
  <si>
    <t>SERVICENTRO AGUKI NORTE S.A. - AGUKI NORTE S.A.</t>
  </si>
  <si>
    <t>AV. ELMER FAUCETT N° 5482</t>
  </si>
  <si>
    <t>143266-046-200519</t>
  </si>
  <si>
    <t>MULTISERVICIOS SURPHUY S.A.C.</t>
  </si>
  <si>
    <t>NRO. SN CHUSPIRI (JOSE COSILLA C1P URB NUEVACHUSPIRI GRANJ)</t>
  </si>
  <si>
    <t xml:space="preserve">JOSE ERNESTO CCONISLLA CCOROPUNA </t>
  </si>
  <si>
    <t>148764-046-170120</t>
  </si>
  <si>
    <t>T &amp; G CONSTRUCTORES S.A.C.</t>
  </si>
  <si>
    <t>CALLE LOS BRILLANTES MZ. X LOTE 18 DPTO 101 URB.MIRAFLORES</t>
  </si>
  <si>
    <t>CHIROQUE PANTA EDITH</t>
  </si>
  <si>
    <t>143680-046-200519</t>
  </si>
  <si>
    <t>PLUS QUIMICOS S.A.C.</t>
  </si>
  <si>
    <t>APURIMAC No 577 OF.24 2DO PISO</t>
  </si>
  <si>
    <t>TUCTO CASIMIRO, VICTORIA AUGUSTA</t>
  </si>
  <si>
    <t>143681-046-200519</t>
  </si>
  <si>
    <t xml:space="preserve">CORPORACION TRANSERFI S.A.C. </t>
  </si>
  <si>
    <t>AV. MORALES DUAREZ 1835</t>
  </si>
  <si>
    <t>FIGUEROA RODRIGUEZ MADAI ROSSELYNA</t>
  </si>
  <si>
    <t>143682-046-200519</t>
  </si>
  <si>
    <t>AV. PETIT THOUARS Nº1488 DPTO. 1505</t>
  </si>
  <si>
    <t>ASFALTO LÍQUIDO MC-30,ASFALTO LÍQUIDO RC-250,ASFALTO SOLIDO,BREA,PETRÓLEO INDUSTRIAL Nº 500,PETRÓLEO INDUSTRIAL Nº 6</t>
  </si>
  <si>
    <t>143683-046-200519</t>
  </si>
  <si>
    <t>YUPAJ FER S.A.C.</t>
  </si>
  <si>
    <t xml:space="preserve">CALLE COMANDANTE JOSE TORRES PAZ N° 1056 </t>
  </si>
  <si>
    <t xml:space="preserve">JHORDAN ROMERO FERNANDEZ </t>
  </si>
  <si>
    <t>150222-046-290720</t>
  </si>
  <si>
    <t>CORDOVA CARRION JEAN PAUL</t>
  </si>
  <si>
    <t>MZ. D LOTE 20 AA.HH. EL ROSAL</t>
  </si>
  <si>
    <t>ASFALTO LÍQUIDO MC-30,ASFALTO LÍQUIDO MC-70,ASFALTO LÍQUIDO RC-250,ASFALTO LÍQUIDO RC-70,BREA,CEMENTO ASFÁLTICO 10-20,CEMENTO ASFÁLTICO 120-150,CEMENTO ASFÁLTICO 20-30,CEMENTO ASFÁLTICO 40-50,CEMENTO ASFÁLTICO 60-70,CEMENTO ASFÁLTICO 85-100,CGN SOLVENTE,DIESEL B5,Diesel B5 S-50,LUBRICANTES,PETRÓLEO INDUSTRIAL Nº 5,SOLVENTE 1,SOLVENTE 3</t>
  </si>
  <si>
    <t>143677-046-200519</t>
  </si>
  <si>
    <t>INVERSIONES Y COMERCIO DE PRODUCTOS BITUMINOSOS C.C. S.A. INCOBISA</t>
  </si>
  <si>
    <t>JR. BAMBAS 451 OF. 401</t>
  </si>
  <si>
    <t>ASFALTO LÍQUIDO MC-30,ASFALTO LÍQUIDO RC-250,PETRÓLEO INDUSTRIAL Nº 500,PETRÓLEO INDUSTRIAL Nº 6</t>
  </si>
  <si>
    <t>CARDENAS FLORES, CAROLINA</t>
  </si>
  <si>
    <t>151343-046-190920</t>
  </si>
  <si>
    <t>LILIANA ZULEKEIT ROMERO PALACIOS</t>
  </si>
  <si>
    <t xml:space="preserve">JR. COMERCIO S/N CENTRO </t>
  </si>
  <si>
    <t>QUEROCOTO</t>
  </si>
  <si>
    <t>143678-046-200519</t>
  </si>
  <si>
    <t>DISTRIBUIDORA DE COMBUSTIBLES REMIT S.A.</t>
  </si>
  <si>
    <t>URB. PALOMINO BLOCK LL-2 DPTO. 10</t>
  </si>
  <si>
    <t>146671-046-240919</t>
  </si>
  <si>
    <t>SERVICENTRO MINELU E.I.R.L.</t>
  </si>
  <si>
    <t>JR. TOMAS DAVILA SANDOVAL MZ. V LOTE 14</t>
  </si>
  <si>
    <t>MANANTAY</t>
  </si>
  <si>
    <t>CARLOS MICHAELL MEDINA HUAMAN</t>
  </si>
  <si>
    <t>143679-046-200519</t>
  </si>
  <si>
    <t>DISTRIBUIDORA DE COMBUSTIBLE ALONZO E.I.R.L.</t>
  </si>
  <si>
    <t>JR. LAMPA N° 879 OF. N° 504</t>
  </si>
  <si>
    <t>BOTTON ELERA, REYME MOISES</t>
  </si>
  <si>
    <t>148560-046-100120</t>
  </si>
  <si>
    <t>ARNAO SANCHEZ JORGE DIONICIO</t>
  </si>
  <si>
    <t xml:space="preserve">CASERIO ICHIC HUISHCA </t>
  </si>
  <si>
    <t>TICAPAMPA</t>
  </si>
  <si>
    <t>143257-046-200519</t>
  </si>
  <si>
    <t xml:space="preserve">LUCIA KARINA ARCE TERRAZAS </t>
  </si>
  <si>
    <t>143685-046-200519</t>
  </si>
  <si>
    <t>INVERSIONES AMERICAN VICH E.I.R.L.</t>
  </si>
  <si>
    <t>MZ. O LT. 2 CALLE 34 3ERA ETAPA - URB. EL TREBOL</t>
  </si>
  <si>
    <t>IVAN CARLOS GUEVOVICH JAIME</t>
  </si>
  <si>
    <t>143684-046-200519</t>
  </si>
  <si>
    <t>GIOVANA LUCILA RUMICHE NUÑEZ</t>
  </si>
  <si>
    <t>PANAMERICANA NORTE KM. 17 MZ. 25 LOTE 7 URB. PREVI</t>
  </si>
  <si>
    <t>RUMICHE NUÑEZ GIOVANA LUCILA</t>
  </si>
  <si>
    <t>151337-046-220920</t>
  </si>
  <si>
    <t>MARCO ANTONIO MEZA MONTOYA</t>
  </si>
  <si>
    <t>AV. ABANCAY 1176 DPTO. 1010</t>
  </si>
  <si>
    <t>CGN SOLVENTE,DIESEL B5,Diesel B5 S-50,HEXANO,PENTANO,SOLVENTE 1,SOLVENTE 3</t>
  </si>
  <si>
    <t>150389-046-080820</t>
  </si>
  <si>
    <t>RAMIREZ PALACIOS JOSE DOMINGO</t>
  </si>
  <si>
    <t>CALLE DOS DE MAYO S/N</t>
  </si>
  <si>
    <t>ASFALTO LÍQUIDO MC-30,ASFALTO LÍQUIDO RC-250,CEMENTO ASFÁLTICO 60-70,Diesel B5 S-50,HEXANO,LUBRICANTES,PETRÓLEO INDUSTRIAL Nº 500,PETRÓLEO INDUSTRIAL Nº 6,SOLVENTE 1,SOLVENTE 3</t>
  </si>
  <si>
    <t>150388-046-060820</t>
  </si>
  <si>
    <t>COMBUSTIBLES Y LUBRICANTES CARRASCO E.I.R.L.</t>
  </si>
  <si>
    <t>CENTRO POBLADO LAYNAS KM. 8 CARRETERA LAYNAS A BUENOS AIRES.</t>
  </si>
  <si>
    <t>LA MATANZA</t>
  </si>
  <si>
    <t>LUIS ENRIQUE CARRASCO PRIETO</t>
  </si>
  <si>
    <t>143686-046-200519</t>
  </si>
  <si>
    <t>JR. RICARDO ODONOVA N° 109 URB. VILLA EL SOL</t>
  </si>
  <si>
    <t>DOMINGUEZ MARTINEZ, MAGNO ALEJANDRO</t>
  </si>
  <si>
    <t>143263-046-200519</t>
  </si>
  <si>
    <t>IMELDA CCORI PACCOSONCCO</t>
  </si>
  <si>
    <t>URB. WICHAYPAMPA NRO. S/N</t>
  </si>
  <si>
    <t>143262-046-200519</t>
  </si>
  <si>
    <t xml:space="preserve">OBISPO HUAMANI CRIOLLO </t>
  </si>
  <si>
    <t>COMUNIDAD CAMPESINA TAMBULLA S/N</t>
  </si>
  <si>
    <t>143264-046-200519</t>
  </si>
  <si>
    <t>GRIFO LAS BAMBAS E.I.R.L.</t>
  </si>
  <si>
    <t>MZ. H LOTE 18,19,20 APV. SAN MARCO DE SEOANE CORRALES</t>
  </si>
  <si>
    <t>WENDY YOMAIRA URBINA PRIETO</t>
  </si>
  <si>
    <t>143259-046-200519</t>
  </si>
  <si>
    <t>ESTACION DE SERVICIOS EL PILOTO S.R.L.</t>
  </si>
  <si>
    <t>MARUJA SMILDA TERRAZAS LOAYZA</t>
  </si>
  <si>
    <t>143258-046-200519</t>
  </si>
  <si>
    <t>ESTACION DE SERVICIOS GRUPO A &amp; T PERU SOCIEDAD ANONIMA CERRADA</t>
  </si>
  <si>
    <t>143261-046-200519</t>
  </si>
  <si>
    <t xml:space="preserve">VICTOR AUGUSTO ZAMORA TICA </t>
  </si>
  <si>
    <t>JIRÓN LEGUIA S/N</t>
  </si>
  <si>
    <t>ANTABAMBA</t>
  </si>
  <si>
    <t>VICTOR AUGUSTO ZAMORA TICA</t>
  </si>
  <si>
    <t>143260-046-200519</t>
  </si>
  <si>
    <t>PILOTOS GAS S.A.C.</t>
  </si>
  <si>
    <t>AV. CONFRATERNIDAD N° 2138</t>
  </si>
  <si>
    <t>ARCE TERRAZAS LUCIA KARINA</t>
  </si>
  <si>
    <t>143313-046-200519</t>
  </si>
  <si>
    <t>CAR INGENIERIA Y SERVICIOS S.R.L.</t>
  </si>
  <si>
    <t>AV. UNION 821</t>
  </si>
  <si>
    <t>PETRÓLEO INDUSTRIAL Nº 500,RESIDUAL ASFALTICO RC-250</t>
  </si>
  <si>
    <t>CHAVEZ TEJADA, ALBERTO MIGUEL</t>
  </si>
  <si>
    <t>143314-046-200519</t>
  </si>
  <si>
    <t>ECOGAS E.I.R.L.</t>
  </si>
  <si>
    <t>AV. PROHOGAR N° 406</t>
  </si>
  <si>
    <t>ALVARO EDILBERTO CORNEJO SANCHEZ</t>
  </si>
  <si>
    <t>143315-046-200519</t>
  </si>
  <si>
    <t>GRUPO FANNY S.C.R.L.</t>
  </si>
  <si>
    <t>AV. SAN MARTIN N°5117 MZ. 35 LT.5 EL PORVENIR</t>
  </si>
  <si>
    <t>YONY DIONICIO ORTIZ ESCOBEDO</t>
  </si>
  <si>
    <t>143316-046-200519</t>
  </si>
  <si>
    <t>JS TRANSPORTES S.A.C.</t>
  </si>
  <si>
    <t>CALLE SANCHEZ TRUJILLO 223 PJ UNION EDIFICADORES MISTI</t>
  </si>
  <si>
    <t>JULIA SABINA SANCHEZ AVILA</t>
  </si>
  <si>
    <t>143307-046-200519</t>
  </si>
  <si>
    <t xml:space="preserve">SEDISA RENTA CAR S.A.C. </t>
  </si>
  <si>
    <t>CAL. ANDIA N° 229</t>
  </si>
  <si>
    <t>PATRICIA MARCELA BUSTAMANTE DE YAÑEZ</t>
  </si>
  <si>
    <t>143308-046-200519</t>
  </si>
  <si>
    <t>JUPASA S.R.L.</t>
  </si>
  <si>
    <t>PASAJE 1° DE MAYO N° 220</t>
  </si>
  <si>
    <t>PACHECO SANCHEZ, ZOILA</t>
  </si>
  <si>
    <t>143309-046-200519</t>
  </si>
  <si>
    <t>TRANSPORTES ADRIANA LAROTA E.I.R.L.</t>
  </si>
  <si>
    <t>CALLE SAN MIGUEL N° 716</t>
  </si>
  <si>
    <t>ADRIANA LAROTA FLOREZ</t>
  </si>
  <si>
    <t>143310-046-200519</t>
  </si>
  <si>
    <t>DANK CAR E.I.R.L.</t>
  </si>
  <si>
    <t>CALLE CHANCAY N° 425</t>
  </si>
  <si>
    <t>ELIA ELIZABETH CHULLO ARIAS</t>
  </si>
  <si>
    <t>143311-046-200519</t>
  </si>
  <si>
    <t>MOLLEDA PILLCO, TOMAS</t>
  </si>
  <si>
    <t>CALLE PUNO N° 503</t>
  </si>
  <si>
    <t>143312-046-200519</t>
  </si>
  <si>
    <t>GROBER VARGAS CASTRO</t>
  </si>
  <si>
    <t>AV. SAN MARTIN NRO. 4713 - P.J. PORVENIR</t>
  </si>
  <si>
    <t>143975-046-200519</t>
  </si>
  <si>
    <t>JOTA TRANSPORTES E.I.R.L.</t>
  </si>
  <si>
    <t>SECTOR LA CONCORDIA MZ. A LT. 08 ALT. KM 17 PANAMERICANA SUR</t>
  </si>
  <si>
    <t>JORGE CARLOS GONZALES</t>
  </si>
  <si>
    <t>143976-046-200519</t>
  </si>
  <si>
    <t xml:space="preserve">FIRTH INDUSTRIES PERU S.A. </t>
  </si>
  <si>
    <t xml:space="preserve">COOP. LAS VERTIENTES MZ. F LOTE 3A </t>
  </si>
  <si>
    <t>JUAN ANTONIO STURLA VENTURO</t>
  </si>
  <si>
    <t>143973-046-200519</t>
  </si>
  <si>
    <t>LUZ AIDA VALENZUELA ZABARBURU</t>
  </si>
  <si>
    <t>SECTOR 8 GRUPO 12 MZ. L LT. 5</t>
  </si>
  <si>
    <t>VALENZUELA ZABARBURU, LUZ AIDA</t>
  </si>
  <si>
    <t>143974-046-200519</t>
  </si>
  <si>
    <t xml:space="preserve">EDISON PIMENTEL MANTILLA </t>
  </si>
  <si>
    <t xml:space="preserve">PARCELA 2, MZ. L-1, LOTE 5. PARQUE INDUSTRIAL </t>
  </si>
  <si>
    <t>143967-046-200519</t>
  </si>
  <si>
    <t xml:space="preserve">G Y M S.A. </t>
  </si>
  <si>
    <t xml:space="preserve">AV. PASEO DE LA REPÚBLICA 4675 </t>
  </si>
  <si>
    <t>ALVARO MARTIN CASTRO ROCA</t>
  </si>
  <si>
    <t>143968-046-200519</t>
  </si>
  <si>
    <t>SAN FERNANDO S.A.</t>
  </si>
  <si>
    <t>AV. REPUBLICA DE PANAMA N° 4295</t>
  </si>
  <si>
    <t>CARLOS ENRIQUE IZQGUIRRE GADEA</t>
  </si>
  <si>
    <t>143971-046-200519</t>
  </si>
  <si>
    <t>MULTINEGOCIOS IBERICOS S.A.C.</t>
  </si>
  <si>
    <t>AV. REPUBLICA DE PANAMA Nº 5160</t>
  </si>
  <si>
    <t>SOBRINO CUERVO, ISABEL</t>
  </si>
  <si>
    <t>149376-046-030320</t>
  </si>
  <si>
    <t>MULTISERVICIOS CHICAMA E.I.R.L.</t>
  </si>
  <si>
    <t>AV. ARRIAGA N° 604 - PUEBLO CHICAMA</t>
  </si>
  <si>
    <t>ILEANA LIZBETH BADA CALDERON</t>
  </si>
  <si>
    <t>143972-046-200519</t>
  </si>
  <si>
    <t>ASEPTIKA PERU S.A.C.</t>
  </si>
  <si>
    <t>AV. PRINCIPAL N° 377 INTERIOR 403 URBANIZACION LA CALERA DE LA MERCED</t>
  </si>
  <si>
    <t>NILTON SIGFREDO VELÁSQUEZ CHIRINOS</t>
  </si>
  <si>
    <t>143969-046-200519</t>
  </si>
  <si>
    <t>CONSTRUCCIONES Y SERVICIOS BITUMINOSOS S.A.C.</t>
  </si>
  <si>
    <t>CALLE FRANCISCO MORENO 790 OF 303</t>
  </si>
  <si>
    <t>ASFALTO LÍQUIDO MC-30,ASFALTO LÍQUIDO MC-70,ASFALTO LÍQUIDO RC-250,ASFALTO SOLIDO,ASFALTOS,BREA,CEMENTO ASFÁLTICO,PETRÓLEOS INDUSTRIALES</t>
  </si>
  <si>
    <t>VIRGINIA YSABEL CARRANZA NAVARRETE VIUDA DE GUERRERO</t>
  </si>
  <si>
    <t>143970-046-200519</t>
  </si>
  <si>
    <t>SUQUINOR S.A.C.</t>
  </si>
  <si>
    <t>AV. REPUBLICA DE PANAMA 5160</t>
  </si>
  <si>
    <t>CARRION VERA, VICTOR RAUL</t>
  </si>
  <si>
    <t>143326-046-200519</t>
  </si>
  <si>
    <t>PETROLCENTER S.A.C</t>
  </si>
  <si>
    <t>CALLE PRIMAVERA MZ. O LTE 4, URB. LEONCIO PRADO</t>
  </si>
  <si>
    <t>PAUCARPATA</t>
  </si>
  <si>
    <t>LUCILA NATALIA HUAMANI UMIYAURI</t>
  </si>
  <si>
    <t>146999-046-081019</t>
  </si>
  <si>
    <t xml:space="preserve">AYC IMPORT EXPORT S.A.C. </t>
  </si>
  <si>
    <t>JR. SANTA ISABEL NRO. 1081 CERCADO DE EL TAMBO</t>
  </si>
  <si>
    <t>EDGAR PAUL NESTARES CORONACION</t>
  </si>
  <si>
    <t>143324-046-200519</t>
  </si>
  <si>
    <t>TRANSMDICAS S.R.L</t>
  </si>
  <si>
    <t>URB. VILLA HERMOZA MZ. C, LOTE N° 11</t>
  </si>
  <si>
    <t>RICHARD ALDRIN PEZO HUAYLLA</t>
  </si>
  <si>
    <t>143325-046-200519</t>
  </si>
  <si>
    <t>SERVICENTROS MIGUEL GRAU S.R.L.</t>
  </si>
  <si>
    <t>CALLE LOS ALPES MZ 1 LOTE 24 A</t>
  </si>
  <si>
    <t>WALTER BENITO SALAZAR CHIRIO</t>
  </si>
  <si>
    <t>149409-046-030320</t>
  </si>
  <si>
    <t>INVERSIONES JOCYMAS S.A.C.</t>
  </si>
  <si>
    <t>ZONA VIVIENDA TALLER CALLE LOS CONSTRUCTORES MZ. A LOTE 13</t>
  </si>
  <si>
    <t>CRUZ ALAYO MIZRAIM YHONATHAN</t>
  </si>
  <si>
    <t>149410-046-090320</t>
  </si>
  <si>
    <t>SERVICENTRO FASTROL E.I.R.L.</t>
  </si>
  <si>
    <t>JR. LIMA N° 688 DPTO. 2 P.J. FLORIDA BAJA</t>
  </si>
  <si>
    <t>143318-046-200519</t>
  </si>
  <si>
    <t>JESUS ANDRES PACO ACARAPI</t>
  </si>
  <si>
    <t>URB MORRO DE ARICA B-3</t>
  </si>
  <si>
    <t>143319-046-200519</t>
  </si>
  <si>
    <t>ESTACION DE SERVICIOS SAN JOSE ESPINAR CUSCO S.R.L</t>
  </si>
  <si>
    <t>LUIS ALBERTO PEZO HUAYLLA</t>
  </si>
  <si>
    <t>143317-046-200519</t>
  </si>
  <si>
    <t>ANTONIETA SATURNINA WAGNER SALMON</t>
  </si>
  <si>
    <t>AV. JOHN F. KENNEDY 801 MZ. E LOTE 7</t>
  </si>
  <si>
    <t>143322-046-200519</t>
  </si>
  <si>
    <t>TRANSMAVEN S.R.L.</t>
  </si>
  <si>
    <t>CALLE MICAELA BASTIDAS N° 218 URB PEDRO P.DIAZ</t>
  </si>
  <si>
    <t>RICHARD STEVEND VENTURA COSI</t>
  </si>
  <si>
    <t>143323-046-200519</t>
  </si>
  <si>
    <t>AUTRINDS S.A.C</t>
  </si>
  <si>
    <t>URB. APIMA AV. INDUSTRIAL N° 401</t>
  </si>
  <si>
    <t xml:space="preserve">ROSA ESPERANZA GALLARDO TORRES </t>
  </si>
  <si>
    <t>143320-046-200519</t>
  </si>
  <si>
    <t>DISTRIBUCIONES GENERALES A&amp;C S.A.C.</t>
  </si>
  <si>
    <t>AV SALAVERRY 806 URB 15 DE AGOSTO</t>
  </si>
  <si>
    <t>ESPERANZA LEONOR CARDENAS TICONA</t>
  </si>
  <si>
    <t>143321-046-200519</t>
  </si>
  <si>
    <t>MULTISERVIS BRIANA STEPHANY E.I.R.L.</t>
  </si>
  <si>
    <t>APV. NUEVO HUASAO MZA. G LOTE. 8</t>
  </si>
  <si>
    <t>OROPESA</t>
  </si>
  <si>
    <t>143962-046-100619</t>
  </si>
  <si>
    <t>MN ACONDICIONAMIENTOS DE EDIFICIOS S.A.C</t>
  </si>
  <si>
    <t>ASOC. REMANSO DE SANTA CLARA PASAJE 7 MZ. A LOTE 09</t>
  </si>
  <si>
    <t>MAVI SIU MALLMA</t>
  </si>
  <si>
    <t>143963-046-200519</t>
  </si>
  <si>
    <t xml:space="preserve">DIESELDOOR PERU S.A.C. </t>
  </si>
  <si>
    <t>AV. EL DERBY N° 254 INTERIOR 703 URBANIZACION EL DERBY</t>
  </si>
  <si>
    <t>ROBERTO JACOB RUISANCHEZ</t>
  </si>
  <si>
    <t>143964-046-200519</t>
  </si>
  <si>
    <t xml:space="preserve">S Y M COMERCIAL DEL PERU S.A.C. </t>
  </si>
  <si>
    <t>AV. LA ENCALADA NRO. 1420 INT. 1106 URB. POLO HUNT</t>
  </si>
  <si>
    <t>JUAN FRANCISCO SANCHEZ RIOS ARIAS</t>
  </si>
  <si>
    <t>143966-046-200519</t>
  </si>
  <si>
    <t>CORPORACION E INVERSIONES JECHRIVA S.A.C.</t>
  </si>
  <si>
    <t>AV. JACARANDA N° 329 URB. LAS CASUARINAS BAJA, DPTO. 301</t>
  </si>
  <si>
    <t>143957-046-200519</t>
  </si>
  <si>
    <t>CORPORACION MARITIMA PETROLERA S.A.C.</t>
  </si>
  <si>
    <t>AV. JACARANDA 329 URB. VALLE HERMOSO</t>
  </si>
  <si>
    <t>PALACIOS RABANAL, OCTAVIO MANUEL</t>
  </si>
  <si>
    <t>143958-046-200519</t>
  </si>
  <si>
    <t>D &amp; B COMBUSTIBLES DEL PERÚ S.A.C.</t>
  </si>
  <si>
    <t>CALLE LOS PRECIADOS N° 166 URB. HIGUERETA</t>
  </si>
  <si>
    <t>HILDEBRANDO VASQUEZ CARRASCO</t>
  </si>
  <si>
    <t>143959-046-200519</t>
  </si>
  <si>
    <t>CN TRANSPORTES S.A.C.</t>
  </si>
  <si>
    <t>PJ. MONTE AZUL N 180 INT 213</t>
  </si>
  <si>
    <t>CARLOS ALFONSO MARTIN ICOCHEA REGINATO</t>
  </si>
  <si>
    <t>143960-046-200519</t>
  </si>
  <si>
    <t>TRITON COMBUSTIBLES S.A.C.</t>
  </si>
  <si>
    <t>AV. VELASCO ASTETE N° 1961 DPTO. 201 URB. LAS GARDENIAS</t>
  </si>
  <si>
    <t>PEDRO CARLOS VARGAS SOLDI</t>
  </si>
  <si>
    <t>147001-046-101019</t>
  </si>
  <si>
    <t xml:space="preserve">MJ CORPORATIONS S.A.C. </t>
  </si>
  <si>
    <t>CALLE LAS GRANADAS NRO. 4189, URB. MICAELA BASTIDAS</t>
  </si>
  <si>
    <t>MANUEL MARCIAL AMAYA GARCIA</t>
  </si>
  <si>
    <t>149564-046-110520</t>
  </si>
  <si>
    <t>INVERSIONES NAHIARA E.I.R.L.</t>
  </si>
  <si>
    <t>PROLONGACIÓN 27 DE NOVIEMBRE N° 1641 BARRIO VILLON BAJO</t>
  </si>
  <si>
    <t>147000-046-111019</t>
  </si>
  <si>
    <t xml:space="preserve">GRUPO EJECUTOR DE OBRAS CIVILES-CONSTRUCTORES E.I.R.L. </t>
  </si>
  <si>
    <t>CALLE JERUSALEN MZA. E 1 LOTE 03 A.H. BELEN</t>
  </si>
  <si>
    <t>ANGEL DAVID FABIAN ROMERO</t>
  </si>
  <si>
    <t>143961-046-200519</t>
  </si>
  <si>
    <t>LUCETRANSP S.A.C.</t>
  </si>
  <si>
    <t>CALLE DOÑA CONSUELO N° 115 URB. HUERTOS DE SURCO</t>
  </si>
  <si>
    <t>JULIO CESAR CASTILLO BOULANGGER</t>
  </si>
  <si>
    <t>143295-046-200519</t>
  </si>
  <si>
    <t>JEOVA ES MI ROCA E.I.R.L.</t>
  </si>
  <si>
    <t xml:space="preserve">VICTOR ANDRES BELAUNDE, G 18 COMITÉ 5 </t>
  </si>
  <si>
    <t>TOMAZA NILDA PUMA MENDOZA</t>
  </si>
  <si>
    <t>143296-046-200519</t>
  </si>
  <si>
    <t>LADRIMASTER E.I.R.L</t>
  </si>
  <si>
    <t>PJ. NUEVO HORIZONTE L-19</t>
  </si>
  <si>
    <t>ASFALTO LÍQUIDO MC-30,ASFALTO LÍQUIDO RC-250,BREA,CEMENTO ASFÁLTICO 120-150,CEMENTO ASFÁLTICO 60-70,CEMENTO ASFÁLTICO 85-100,PETRÓLEO INDUSTRIAL Nº 500,PETRÓLEO INDUSTRIAL Nº 6</t>
  </si>
  <si>
    <t xml:space="preserve">SIMONA HUAMAN ZELA </t>
  </si>
  <si>
    <t>143291-046-200519</t>
  </si>
  <si>
    <t>QORITRANS M&amp;S S.A.C.</t>
  </si>
  <si>
    <t>PP JJ. VICTOR ANDRES BELAUNDE ZN A COMITE 13 MZ Q LOTE 1-A</t>
  </si>
  <si>
    <t>JONATHAN FAUSTO MONTOYA TUNQUIPA</t>
  </si>
  <si>
    <t>143293-046-200519</t>
  </si>
  <si>
    <t>D&amp;M MAQUINARIA Y MINERIA S.A.C.</t>
  </si>
  <si>
    <t xml:space="preserve">AV. PERU MZA. S/N LOTE 10 </t>
  </si>
  <si>
    <t xml:space="preserve">HIPOLITO CHACON QUISPE </t>
  </si>
  <si>
    <t>143294-046-200519</t>
  </si>
  <si>
    <t>MAQUINARIAS &amp; SERVICIOS ESPINAR E.I.R.L.</t>
  </si>
  <si>
    <t>VÍA YURA KM. 9, PP.JJ. RÍO SECO</t>
  </si>
  <si>
    <t>ESTHER CELEDONIA GALLEGOS DE MACHACA</t>
  </si>
  <si>
    <t>143287-046-200519</t>
  </si>
  <si>
    <t>SERVITRANSER S.A.C.</t>
  </si>
  <si>
    <t>CARRETERA A YURA KM.9, ESQUINA CON VIA DE EVITAMIENTO, SUB LOTE4, RIO SECO</t>
  </si>
  <si>
    <t xml:space="preserve">ROGER ANGEL MACHACA GALLEGOS </t>
  </si>
  <si>
    <t>140379-046-070619</t>
  </si>
  <si>
    <t>R.V.C. GRIFOS S.C.R.L.</t>
  </si>
  <si>
    <t>AV. VILCANOTA OESTE N° 1059</t>
  </si>
  <si>
    <t>143288-046-200519</t>
  </si>
  <si>
    <t>TRAI DIVINA MISERICORDIA E.I.R.L.</t>
  </si>
  <si>
    <t>28 DE JULIO N° 218</t>
  </si>
  <si>
    <t>EBERT ARTURO VALENCIA CONCHA</t>
  </si>
  <si>
    <t>143289-046-200519</t>
  </si>
  <si>
    <t>TICLAVILCA LOGISTIC OPERATOR S.A.C.</t>
  </si>
  <si>
    <t>VIA DE EVITAMIENTO KM 6 (CERRO COLORADO)</t>
  </si>
  <si>
    <t>EDWIN ARTURO TICLAVILCA HERRERA</t>
  </si>
  <si>
    <t>143290-046-200519</t>
  </si>
  <si>
    <t>SL DIMAJ</t>
  </si>
  <si>
    <t>CALLE 27 DE NOVIEMBRE 212 URB. LA LIBERTAD</t>
  </si>
  <si>
    <t>CARLOS MIGUEL OLAECHEA POLANCO</t>
  </si>
  <si>
    <t>149364-046-120320</t>
  </si>
  <si>
    <t>SUMINISTROS PETROLEROS S.A.C.</t>
  </si>
  <si>
    <t>PARCELA 2 LOTE A2-2, AA.HH. VILLA NICOLAZA</t>
  </si>
  <si>
    <t>143955-046-200519</t>
  </si>
  <si>
    <t>MAXPETROL S.A.C.</t>
  </si>
  <si>
    <t>AV EL DERBY EDIFICIO CRONOS NRO 055-INT 701 URB MONTERRICO</t>
  </si>
  <si>
    <t>CARMEN ROSA FERNANDEZ PONCE</t>
  </si>
  <si>
    <t>143956-046-200519</t>
  </si>
  <si>
    <t>DISPETSA S.A.C.</t>
  </si>
  <si>
    <t>CALLE MOTEFLOR N° 539 CHACARILLA</t>
  </si>
  <si>
    <t>ABUSADA DE SABA JARUFE, GIOVANNA MARIA</t>
  </si>
  <si>
    <t>143953-046-200519</t>
  </si>
  <si>
    <t>COPEMI S.A.C. CONSTRUCTORES</t>
  </si>
  <si>
    <t>AV. EL DERBY N° 254 INT 2401, URB. EL DERBY DE MONTERRICO</t>
  </si>
  <si>
    <t>PILAR LOURDES SOLORZANO LOPEZ</t>
  </si>
  <si>
    <t>143954-046-200519</t>
  </si>
  <si>
    <t>DIESELDOOR PERU S.A.C.</t>
  </si>
  <si>
    <t>143952-046-200519</t>
  </si>
  <si>
    <t>TRANSPORTES Y EQUIPOS COMERCIALES S.A.C - TRAECO S.A.C</t>
  </si>
  <si>
    <t>AV. PEDRO VENTURO 492 URB. IGUERETA</t>
  </si>
  <si>
    <t>FRANCO MONAR, CARLOS ENRIQUE</t>
  </si>
  <si>
    <t>143949-046-200519</t>
  </si>
  <si>
    <t>TRANSPORTES GUAPO LINDO S.R.L.</t>
  </si>
  <si>
    <t>AV. LA ENCALADA Nº 1388</t>
  </si>
  <si>
    <t>LEANDRO SALOMÓN RAMIREZ AYBAR</t>
  </si>
  <si>
    <t>143950-046-200519</t>
  </si>
  <si>
    <t>AERO TECNIC E.I.R.L.</t>
  </si>
  <si>
    <t>PASAJE CUCULI N° 120 URB. LAS CASUARINAS</t>
  </si>
  <si>
    <t>WALTER BALAREZO BALAREZO</t>
  </si>
  <si>
    <t>143947-046-200519</t>
  </si>
  <si>
    <t>RAFAEL VICENTE ALMEIDA MÁRQUEZ</t>
  </si>
  <si>
    <t>JR. SANTORÍN N° 258 - URB. EL DERBY</t>
  </si>
  <si>
    <t>143948-046-200519</t>
  </si>
  <si>
    <t>RICARDO POLO CONTRERAS</t>
  </si>
  <si>
    <t>JR. JUAN DE LA RADA MZ. 8 LT. 2 URB. LIGURIA</t>
  </si>
  <si>
    <t>144137-046-200519</t>
  </si>
  <si>
    <t xml:space="preserve">NAA TRANSPORTES E.I.R.L. </t>
  </si>
  <si>
    <t>AV. UNION ESQUINA CON AV. SALVADOR ALLENDE S/N, MZ. K LOTE 14</t>
  </si>
  <si>
    <t>143306-046-200519</t>
  </si>
  <si>
    <t>AGUSTIN JULIAN ATAUCURI ALVIZ</t>
  </si>
  <si>
    <t>AV. SAN JERONIMO ZONA A MZ. T LT. 05</t>
  </si>
  <si>
    <t>143304-046-200519</t>
  </si>
  <si>
    <t>ESTACION DE SERVICIOS W Y E S.R.L.</t>
  </si>
  <si>
    <t>MZ. F LOTE 10 COOPERATIVA RIEGO CHILI</t>
  </si>
  <si>
    <t>JUSTO ALBERTO MOTTA LINO</t>
  </si>
  <si>
    <t>143305-046-200519</t>
  </si>
  <si>
    <t>INVERSIONES DORESUR E.I.R.L</t>
  </si>
  <si>
    <t>URB. VILLA HERMOSA CERRO JULY, MZ. G, LOTE. 15, ZONA A</t>
  </si>
  <si>
    <t xml:space="preserve">CHECAHUARI PALOMINO DORIS HERMELINDA </t>
  </si>
  <si>
    <t>143302-046-200519</t>
  </si>
  <si>
    <t>M.C TRANSPORTES S.R.L</t>
  </si>
  <si>
    <t>AV. PORONGOCHE N° 774</t>
  </si>
  <si>
    <t>BRENER MARTIN CORRALES JARA</t>
  </si>
  <si>
    <t>143303-046-200519</t>
  </si>
  <si>
    <t>TRANSERVIM CCORI S.R.L.</t>
  </si>
  <si>
    <t>URB. MONTERREY MZ. J LT. 16</t>
  </si>
  <si>
    <t>MARCELINO CCORAHUA ANCCA</t>
  </si>
  <si>
    <t>143300-046-200519</t>
  </si>
  <si>
    <t>CORPORACION YANQUIS NR &amp; CIA S.R.L.</t>
  </si>
  <si>
    <t>MZ. R, LOTE Nº 4, URB. ALTO ALIANZA</t>
  </si>
  <si>
    <t>JACOBO HUNTER</t>
  </si>
  <si>
    <t>JOEL RUBEN YANQUI CONDORI</t>
  </si>
  <si>
    <t>143301-046-200519</t>
  </si>
  <si>
    <t>E.S.V. SERVICIOS GENERALES E.I.R.L.</t>
  </si>
  <si>
    <t>URB. AMAUTA D-8, PRIMER PISO</t>
  </si>
  <si>
    <t>EDDY PAUL SULCA VALDIVIA</t>
  </si>
  <si>
    <t>143298-046-200519</t>
  </si>
  <si>
    <t>CARABAYA CONTRATISTAS GENERALES SOCIEDAD ANONIMA CERRADA</t>
  </si>
  <si>
    <t>CALLE GONZALES PRADA MZ. E LOTE 11 P.J. AUGUSTO FREYRE GARCÍA</t>
  </si>
  <si>
    <t>PEDRO TAPIA CHAMBILLA</t>
  </si>
  <si>
    <t>143299-046-200519</t>
  </si>
  <si>
    <t>GROUP EDYMAR SOCIEDAD ANONIMA CERRADA</t>
  </si>
  <si>
    <t xml:space="preserve">AV. TUPAC AMARU MZ. C LOTE. 12 PUEBLO JOVEN AMPLIACION PAMPAS DEL CUSCO </t>
  </si>
  <si>
    <t>FREDY EDISON MEZA SAICO</t>
  </si>
  <si>
    <t>144139-046-200519</t>
  </si>
  <si>
    <t>BLANCA MARIANA VARGAS VILCHEZ</t>
  </si>
  <si>
    <t>PASAJE. LAS BRISAS MZA. 179A, LOTE. 11</t>
  </si>
  <si>
    <t>143297-046-200519</t>
  </si>
  <si>
    <t>FH &amp; R SERVICIOS GENERALES SEÑOR DE LUREN E.I.R.L.</t>
  </si>
  <si>
    <t>AV. APIPA MZ. J, LOTE 7-C, ASOCIACIÓN PARQUE INDUSTRIAL PORVENIR AREQUIPA, APIPA SECTOR II</t>
  </si>
  <si>
    <t>FLORA HANCCO MAMANI</t>
  </si>
  <si>
    <t>144138-046-200519</t>
  </si>
  <si>
    <t>GRUPO MELI S.A.C.</t>
  </si>
  <si>
    <t>JR. UCAYALI Nº 652 OFICINA 2</t>
  </si>
  <si>
    <t>144141-046-200519</t>
  </si>
  <si>
    <t>GRUPO CORPORATIVO ALANIA S.A.C.</t>
  </si>
  <si>
    <t>JR. TUPAC AMARU MZ. C LOTE 18</t>
  </si>
  <si>
    <t>ALANIA CANCHORICRA ROB MARTIN</t>
  </si>
  <si>
    <t>144140-046-200519</t>
  </si>
  <si>
    <t>MULTISERVICIOS EL GOLFO S.R.L.</t>
  </si>
  <si>
    <t>AV. 9 DE OCTUBRE N° 125 CON CALLE SALAVERRY-PUCALLPA</t>
  </si>
  <si>
    <t xml:space="preserve">CABRERA RAMIREZ INES </t>
  </si>
  <si>
    <t>143944-046-200519</t>
  </si>
  <si>
    <t>INVERSIONES &amp; MULTISERVICIOS SANTO TORIBIO A.H. S.A.C</t>
  </si>
  <si>
    <t>AV CASCANUEVES. URB VILLA SANTA ANITA MZ C LOTE 09</t>
  </si>
  <si>
    <t>ANA CECILIA AGUILAR HUERTA DE GUERRA</t>
  </si>
  <si>
    <t>145811-046-140819</t>
  </si>
  <si>
    <t>INVERSIONES PERU SERVICIOS FLUVIALES S.A.C.</t>
  </si>
  <si>
    <t>145812-046-140819</t>
  </si>
  <si>
    <t>BS OPERACIONES S.A.C.</t>
  </si>
  <si>
    <t>TOMAS BOISSET MAZZI</t>
  </si>
  <si>
    <t>143945-046-200519</t>
  </si>
  <si>
    <t>CIA RICALDI S.A.C</t>
  </si>
  <si>
    <t xml:space="preserve">AV. HUAROCHIRI MZA. H1 LOTE. 1 URB. EL ASESOR (ENTRE AV. METROPOLITANA Y AV. HUAROCHIRI) </t>
  </si>
  <si>
    <t>ANA MARIA YALI RICALDI</t>
  </si>
  <si>
    <t>143946-046-200519</t>
  </si>
  <si>
    <t xml:space="preserve">MULTISERVICIOS F &amp; H TRANSPORT S.A.C. </t>
  </si>
  <si>
    <t>CALLE HERMANOS AYAR MZ. H1 LT. 30 COOP. LOS CHANCAS DE ANDAHUAYLAS</t>
  </si>
  <si>
    <t>HECTOR MAXIMO CAHUANA SALAS</t>
  </si>
  <si>
    <t>143940-046-200519</t>
  </si>
  <si>
    <t>TRANSPORTES SAN JOAQUIN S.R.L.</t>
  </si>
  <si>
    <t>AV. LA CULTURA Nº 701 INT 48 MERCADO PRODUCTORES DE AGRICULTURA SANTA ANITA</t>
  </si>
  <si>
    <t>ANDRE BECERRIL CHIA</t>
  </si>
  <si>
    <t>143941-046-200519</t>
  </si>
  <si>
    <t>LOGISTICA INVERSIONES MULTIPLES VERONICA S.A.C.</t>
  </si>
  <si>
    <t>CALLE 3 URB. AL ASESOR II MZ. C LOTE 16</t>
  </si>
  <si>
    <t>VERONICA VIOLETA TEJEDA RAMON</t>
  </si>
  <si>
    <t>143942-046-200519</t>
  </si>
  <si>
    <t xml:space="preserve">SERVICIOS MULTIPLES AFC E.I.R.L </t>
  </si>
  <si>
    <t>CALLE LOS PARDILLOS N°159 URB. SANTA ANITA 2DO SECTOR</t>
  </si>
  <si>
    <t>SOLEDAD AGUIRRE ZEVALLOS</t>
  </si>
  <si>
    <t>143943-046-200519</t>
  </si>
  <si>
    <t>EMPRESA DE SERVICIOS GENERALES BEMCAR S.R.L.</t>
  </si>
  <si>
    <t>CALLE LOS TUCANES N° 274 URB. SANTA ANITA</t>
  </si>
  <si>
    <t>OLGA MARLENI GARCIA BASILIO</t>
  </si>
  <si>
    <t>143937-046-200519</t>
  </si>
  <si>
    <t xml:space="preserve">COMERCIALIZADORA E IMPORTADORA JOSÉ OLAYA S.A. </t>
  </si>
  <si>
    <t xml:space="preserve">AV. LOS CHANCAS Nº 502, COOPERATIVA DE VIVIENDA ANDAHUAYLAS </t>
  </si>
  <si>
    <t>EDILBERTO RAMOS CHIPANA</t>
  </si>
  <si>
    <t>143938-046-200519</t>
  </si>
  <si>
    <t>EMPRESA DE TRANSPORTES VIRGEN DEL CARMEN S.R.L.;</t>
  </si>
  <si>
    <t>AV. LOS RUISEÑORES 465 - DPTO 102, EDIF. 102</t>
  </si>
  <si>
    <t>EFRAIN HOLGUINO LAROTA</t>
  </si>
  <si>
    <t>143939-046-200519</t>
  </si>
  <si>
    <t>EMPRESA DE TRANSPORTES JESUS CALLUPE E.I.R.L.</t>
  </si>
  <si>
    <t>AV. COLECTORA MZ. A1 LOTE 5</t>
  </si>
  <si>
    <t>CALLUPE CAMPOS, JESÚS CIRILO</t>
  </si>
  <si>
    <t>150250-046-110820</t>
  </si>
  <si>
    <t>AMERICA PETROFUELS PERU E.I.R.L.</t>
  </si>
  <si>
    <t>AV. 12 DE OCTUBRE MZA. E LOTE. 02 ASC. SAN JUAN DE DIOS</t>
  </si>
  <si>
    <t>CARLOS ALBERTO CORDOVA CARRANZA</t>
  </si>
  <si>
    <t>149256-046-160220</t>
  </si>
  <si>
    <t>E.E.S.S. ONERGY SOCIEDAD ANONIMA CERRADA</t>
  </si>
  <si>
    <t>AV. SANCHEZ CERRO MZ.A LOTE 15 ZONA INDUSTRIAL II-6</t>
  </si>
  <si>
    <t>GOICOCHEA MECHATO WILLIAM DAVID</t>
  </si>
  <si>
    <t>149899-046-070720</t>
  </si>
  <si>
    <t>JOSE EDUARDO VASSALLO REYES</t>
  </si>
  <si>
    <t>KM 52 HUAYLILLAS</t>
  </si>
  <si>
    <t>OCROS</t>
  </si>
  <si>
    <t>COCHAS</t>
  </si>
  <si>
    <t>149586-046-300520</t>
  </si>
  <si>
    <t>CAPITANO SERVICIOS GENERALES E.I.R.L.</t>
  </si>
  <si>
    <t>C.P. SEMI-RURAL PACHACUTEC GRPZN. 19, ZN. D, MZ. 01, LT. 03</t>
  </si>
  <si>
    <t>ADDIA NEYDER RIVEROS URBINA</t>
  </si>
  <si>
    <t>149597-046-310520</t>
  </si>
  <si>
    <t>149258-046-280220</t>
  </si>
  <si>
    <t>INVERSIONES FERCAM S.A.C.</t>
  </si>
  <si>
    <t>CALLE 8, MZ. B2, LT. 6, ASOC. SAN FRANCISCO DE CAYRAN</t>
  </si>
  <si>
    <t>RENE RAMIREZ RIMACHI</t>
  </si>
  <si>
    <t>143332-046-200519</t>
  </si>
  <si>
    <t>MUNCAR FERRETERIA Y SERVICIOS GENERALES SOCIEDAD ANONIMA CERRADA</t>
  </si>
  <si>
    <t xml:space="preserve">CALLE JOSÉ OLAYA Nº 123, URB. CIUDAD MI TRABAJO </t>
  </si>
  <si>
    <t>SOCABAYA</t>
  </si>
  <si>
    <t>JOSE LUIS MURILLO CHURATA</t>
  </si>
  <si>
    <t>143331-046-200519</t>
  </si>
  <si>
    <t>BLACK OILS S.A.C</t>
  </si>
  <si>
    <t>MZ L LOTE 08 URB. LARA</t>
  </si>
  <si>
    <t>ASFALTO LÍQUIDO MC-70,CEMENTO ASFÁLTICO 60-70,PETRÓLEO INDUSTRIAL Nº 500,PETRÓLEO INDUSTRIAL Nº 6</t>
  </si>
  <si>
    <t>ELADDY MILAGROS PAREDES CARPIO</t>
  </si>
  <si>
    <t>143334-046-200519</t>
  </si>
  <si>
    <t>IRON HORSE S.A.C.</t>
  </si>
  <si>
    <t>CALLE ARICA N° 310</t>
  </si>
  <si>
    <t>YANAHUARA</t>
  </si>
  <si>
    <t>MANUEL ALEJANDRO SEGOVIA URIZAR</t>
  </si>
  <si>
    <t>143333-046-200519</t>
  </si>
  <si>
    <t>FRANCISCO CARBAJAL BERNAL S.A.</t>
  </si>
  <si>
    <t>VARIANTE DE UCHUMAYO KM 3.5</t>
  </si>
  <si>
    <t>ASFALTO LÍQUIDO,ASFALTO SOLIDO,CEMENTO ASFÁLTICO,Diesel B5 S-50,PETRÓLEOS INDUSTRIALES,RESIDUAL ASFALTICO,RESIDUAL ASFALTICO RC-250</t>
  </si>
  <si>
    <t>LIZBETH KATHERINA JIMENEZ CANGALAYA</t>
  </si>
  <si>
    <t>143328-046-200519</t>
  </si>
  <si>
    <t>SERVICE CLEMENT´S S.R.L.</t>
  </si>
  <si>
    <t>VARIANTE DE UCHUMAYO KM 1.5</t>
  </si>
  <si>
    <t>SACHACA</t>
  </si>
  <si>
    <t xml:space="preserve">MARITZA CRISTINA PINO VALDIVIA DE MANRIQUE </t>
  </si>
  <si>
    <t>143327-046-200519</t>
  </si>
  <si>
    <t>SERYAN E.I.R.L.</t>
  </si>
  <si>
    <t xml:space="preserve">P.J. CONTISUYO MZ. L, LOTE 07 </t>
  </si>
  <si>
    <t xml:space="preserve">EDGAR ABDON YANQUE HUACHANI </t>
  </si>
  <si>
    <t>143330-046-200519</t>
  </si>
  <si>
    <t>AMPLIACION DE NEGOCIOS S.A.C.</t>
  </si>
  <si>
    <t>VARIANTE DE UCHUMAYO KM. 3.5</t>
  </si>
  <si>
    <t>ASFALTO LÍQUIDO,ASFALTO SOLIDO,CEMENTO ASFÁLTICO,PETRÓLEOS INDUSTRIALES,RESIDUAL ASFALTICO,RESIDUAL ASFALTICO RC-250</t>
  </si>
  <si>
    <t>JOSE FRANCISCO SEGUNDO CARBAJAL GORVENIA</t>
  </si>
  <si>
    <t>143329-046-200519</t>
  </si>
  <si>
    <t>COMPAÑÍA MINERA SOUTH AMERICA S.A.C</t>
  </si>
  <si>
    <t>CARRETERA VARIANTE DE UCHUMAYO KM 4 (CRUCE VIA DE EVITAMIENTO)</t>
  </si>
  <si>
    <t>LUZ MARINA LANZA CHEVARRIA</t>
  </si>
  <si>
    <t>144177-046-030619</t>
  </si>
  <si>
    <t>SERVICIOS LOGISTICOS SANTANA S.R.L.</t>
  </si>
  <si>
    <t>CAR. BAGUA SARAMIRIZA KM 268 C.P. FELIX FLORES - LORETO</t>
  </si>
  <si>
    <t xml:space="preserve">JOSE SANTIAGO DIAZ TARRILLO </t>
  </si>
  <si>
    <t>143336-046-200519</t>
  </si>
  <si>
    <t>COMERCIALIZADORA DOÑA MELCHORITA E.I.R.L.</t>
  </si>
  <si>
    <t>JR. MOQUEGUA Nº 461</t>
  </si>
  <si>
    <t>PERCY FLORES DELGADO</t>
  </si>
  <si>
    <t>143335-046-200519</t>
  </si>
  <si>
    <t>SERVICONDOR S.R.L.</t>
  </si>
  <si>
    <t>KM. 13.5 VIA A YURA MZA. R LOTE 1 - CIUDAD DE DIOS</t>
  </si>
  <si>
    <t>NICEFORO FLORES FLORES</t>
  </si>
  <si>
    <t>149569-046-120620</t>
  </si>
  <si>
    <t>ILING COMPANY E.I.R.L.</t>
  </si>
  <si>
    <t>AV. TACNA 535 INTERIOR 74 CERCADO DE LIMA</t>
  </si>
  <si>
    <t>149568-046-150620</t>
  </si>
  <si>
    <t>COMBUSTIBLES Y SERVICIOS S.R.L.</t>
  </si>
  <si>
    <t>AV. LUIS MONTERO S/N (ANTES AV. SAN PEDRO N° 339) URB. MIRAFLORES I ETAPA</t>
  </si>
  <si>
    <t>ASFALTO LÍQUIDO MC-30,ASFALTO LÍQUIDO RC-250,ASFALTO LÍQUIDO RC-70,BREA,CEMENTO ASFÁLTICO 10-20,CEMENTO ASFÁLTICO 120-150,CEMENTO ASFÁLTICO 20-30,CEMENTO ASFÁLTICO 40-50,CEMENTO ASFÁLTICO 60-70,CEMENTO ASFÁLTICO 85-100,CGN SOLVENTE,DIESEL B5,Diesel B5 S-50,PETRÓLEO INDUSTRIAL Nº 5,SOLVENTE 1,SOLVENTE 3</t>
  </si>
  <si>
    <t>MIGUEL ANGEL CHAVARRY MONTES</t>
  </si>
  <si>
    <t>149571-046-200520</t>
  </si>
  <si>
    <t>CARRETERA PANAMERICANA SUR KM 228.8</t>
  </si>
  <si>
    <t>151780-046-121020</t>
  </si>
  <si>
    <t>RICHARD ULDERICO DIAZ Y RODRIGUEZ</t>
  </si>
  <si>
    <t>LAS PONCIANAS Nº 889 (MZ. 24 A, LOTE 10 – TERCER PISO, URB. LA RINCONADA)</t>
  </si>
  <si>
    <t>149880-046-070720</t>
  </si>
  <si>
    <t>SERVINEGOCIOS LIDER S.A.C.</t>
  </si>
  <si>
    <t>CASERIO ALTILLO MZ. A LOTE 48</t>
  </si>
  <si>
    <t>CHALACO</t>
  </si>
  <si>
    <t xml:space="preserve">MISAEL RODRIGUEZ VINCES </t>
  </si>
  <si>
    <t>149575-046-260520</t>
  </si>
  <si>
    <t>INVERSIONES MCV S.A.C.</t>
  </si>
  <si>
    <t>MZ. A LOTE 21 URB. PRADERAS DE PARIACHI 3ERA. ETAPA</t>
  </si>
  <si>
    <t>OSCAR FREDY ROMAN CRUZ</t>
  </si>
  <si>
    <t>149582-046-270520</t>
  </si>
  <si>
    <t>ARCE GUTIERREZ SAMUEL JAHER</t>
  </si>
  <si>
    <t>AV. SESQUICENTENARIO S/N</t>
  </si>
  <si>
    <t>TALAVERA</t>
  </si>
  <si>
    <t>149583-046-290520</t>
  </si>
  <si>
    <t>CONSTRUCTORA LA TORRE CONTRATISTAS GENERALES S.R.L.</t>
  </si>
  <si>
    <t>CAL. LOS CARDOS NRO. 200 DPTO. 102 URB. MIRAFLORES ETAPA 1</t>
  </si>
  <si>
    <t>LA TORRE SAENZ CARLOS RICARDO</t>
  </si>
</sst>
</file>

<file path=xl/styles.xml><?xml version="1.0" encoding="utf-8"?>
<styleSheet xmlns="http://schemas.openxmlformats.org/spreadsheetml/2006/main">
  <numFmts count="12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FFF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0E0E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80"/>
      </left>
      <right style="thin">
        <color rgb="FF000080"/>
      </right>
      <top style="thin">
        <color rgb="FF000080"/>
      </top>
      <bottom style="thin">
        <color rgb="FF000080"/>
      </bottom>
    </border>
    <border>
      <left>
        <color indexed="63"/>
      </left>
      <right style="thin">
        <color rgb="FF000080"/>
      </right>
      <top style="thin">
        <color rgb="FF000080"/>
      </top>
      <bottom style="thin">
        <color rgb="FF00008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8" fillId="21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24" fillId="0" borderId="8" applyNumberFormat="0" applyFill="0" applyAlignment="0" applyProtection="0"/>
    <xf numFmtId="0" fontId="33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34" fillId="33" borderId="10" xfId="0" applyFont="1" applyFill="1" applyBorder="1" applyAlignment="1">
      <alignment horizontal="center" vertical="center" wrapText="1"/>
    </xf>
    <xf numFmtId="0" fontId="34" fillId="33" borderId="11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wrapText="1"/>
    </xf>
    <xf numFmtId="14" fontId="0" fillId="34" borderId="10" xfId="0" applyNumberFormat="1" applyFill="1" applyBorder="1" applyAlignment="1">
      <alignment wrapText="1"/>
    </xf>
    <xf numFmtId="0" fontId="0" fillId="35" borderId="10" xfId="0" applyFill="1" applyBorder="1" applyAlignment="1">
      <alignment wrapText="1"/>
    </xf>
    <xf numFmtId="14" fontId="0" fillId="35" borderId="10" xfId="0" applyNumberFormat="1" applyFill="1" applyBorder="1" applyAlignment="1">
      <alignment wrapText="1"/>
    </xf>
    <xf numFmtId="0" fontId="33" fillId="0" borderId="0" xfId="0" applyFont="1" applyAlignment="1">
      <alignment horizontal="center" wrapText="1"/>
    </xf>
    <xf numFmtId="0" fontId="0" fillId="0" borderId="0" xfId="0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srvtest03.osinerg.gob.pe:23314/msfh5/images/Logo-azul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742950</xdr:colOff>
      <xdr:row>3</xdr:row>
      <xdr:rowOff>47625</xdr:rowOff>
    </xdr:to>
    <xdr:pic>
      <xdr:nvPicPr>
        <xdr:cNvPr id="1" name="Picture 1" descr="Logo Osinergmin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32861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customProperty" Target="../customProperty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253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4.8515625" style="0" customWidth="1"/>
    <col min="2" max="2" width="13.8515625" style="0" customWidth="1"/>
    <col min="3" max="3" width="19.421875" style="0" bestFit="1" customWidth="1"/>
    <col min="4" max="4" width="17.140625" style="0" bestFit="1" customWidth="1"/>
    <col min="5" max="5" width="11.8515625" style="0" bestFit="1" customWidth="1"/>
    <col min="6" max="7" width="44.8515625" style="0" bestFit="1" customWidth="1"/>
    <col min="8" max="9" width="23.140625" style="0" bestFit="1" customWidth="1"/>
    <col min="10" max="10" width="38.57421875" style="0" bestFit="1" customWidth="1"/>
    <col min="11" max="11" width="44.8515625" style="0" bestFit="1" customWidth="1"/>
    <col min="12" max="12" width="12.140625" style="0" bestFit="1" customWidth="1"/>
    <col min="13" max="13" width="20.421875" style="0" bestFit="1" customWidth="1"/>
    <col min="14" max="14" width="44.8515625" style="0" bestFit="1" customWidth="1"/>
  </cols>
  <sheetData>
    <row r="2" spans="1:14" ht="13.5" customHeight="1">
      <c r="A2" s="7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6" spans="1:14" ht="13.5">
      <c r="A6" s="1" t="s">
        <v>1</v>
      </c>
      <c r="B6" s="2" t="s">
        <v>2</v>
      </c>
      <c r="C6" s="1" t="s">
        <v>3</v>
      </c>
      <c r="D6" s="1" t="s">
        <v>4</v>
      </c>
      <c r="E6" s="1" t="s">
        <v>5</v>
      </c>
      <c r="F6" s="1" t="s">
        <v>6</v>
      </c>
      <c r="G6" s="1" t="s">
        <v>7</v>
      </c>
      <c r="H6" s="1" t="s">
        <v>8</v>
      </c>
      <c r="I6" s="1" t="s">
        <v>9</v>
      </c>
      <c r="J6" s="1" t="s">
        <v>10</v>
      </c>
      <c r="K6" s="1" t="s">
        <v>11</v>
      </c>
      <c r="L6" s="1" t="s">
        <v>12</v>
      </c>
      <c r="M6" s="1" t="s">
        <v>13</v>
      </c>
      <c r="N6" s="1" t="s">
        <v>14</v>
      </c>
    </row>
    <row r="7" spans="1:14" ht="27.75">
      <c r="A7" s="3">
        <v>1</v>
      </c>
      <c r="B7" s="3" t="str">
        <f>"201900078808"</f>
        <v>201900078808</v>
      </c>
      <c r="C7" s="3" t="str">
        <f>"143986"</f>
        <v>143986</v>
      </c>
      <c r="D7" s="3" t="s">
        <v>15</v>
      </c>
      <c r="E7" s="3">
        <v>20601460182</v>
      </c>
      <c r="F7" s="3" t="s">
        <v>16</v>
      </c>
      <c r="G7" s="3" t="s">
        <v>17</v>
      </c>
      <c r="H7" s="3" t="s">
        <v>18</v>
      </c>
      <c r="I7" s="3" t="s">
        <v>18</v>
      </c>
      <c r="J7" s="3" t="s">
        <v>19</v>
      </c>
      <c r="K7" s="3" t="s">
        <v>20</v>
      </c>
      <c r="L7" s="4">
        <v>43617</v>
      </c>
      <c r="M7" s="3" t="s">
        <v>21</v>
      </c>
      <c r="N7" s="3" t="s">
        <v>22</v>
      </c>
    </row>
    <row r="8" spans="1:14" ht="27.75">
      <c r="A8" s="5">
        <v>2</v>
      </c>
      <c r="B8" s="5" t="str">
        <f>"201900095946"</f>
        <v>201900095946</v>
      </c>
      <c r="C8" s="5" t="str">
        <f>"143985"</f>
        <v>143985</v>
      </c>
      <c r="D8" s="5" t="s">
        <v>23</v>
      </c>
      <c r="E8" s="5">
        <v>20562748637</v>
      </c>
      <c r="F8" s="5" t="s">
        <v>24</v>
      </c>
      <c r="G8" s="5" t="s">
        <v>25</v>
      </c>
      <c r="H8" s="5" t="s">
        <v>18</v>
      </c>
      <c r="I8" s="5" t="s">
        <v>18</v>
      </c>
      <c r="J8" s="5" t="s">
        <v>26</v>
      </c>
      <c r="K8" s="5" t="s">
        <v>20</v>
      </c>
      <c r="L8" s="6">
        <v>43637</v>
      </c>
      <c r="M8" s="5" t="s">
        <v>21</v>
      </c>
      <c r="N8" s="5" t="s">
        <v>27</v>
      </c>
    </row>
    <row r="9" spans="1:14" ht="27.75">
      <c r="A9" s="3">
        <v>3</v>
      </c>
      <c r="B9" s="3" t="str">
        <f>"201900125054"</f>
        <v>201900125054</v>
      </c>
      <c r="C9" s="3" t="str">
        <f>"143984"</f>
        <v>143984</v>
      </c>
      <c r="D9" s="3" t="s">
        <v>28</v>
      </c>
      <c r="E9" s="3">
        <v>20555915048</v>
      </c>
      <c r="F9" s="3" t="s">
        <v>29</v>
      </c>
      <c r="G9" s="3" t="s">
        <v>30</v>
      </c>
      <c r="H9" s="3" t="s">
        <v>18</v>
      </c>
      <c r="I9" s="3" t="s">
        <v>18</v>
      </c>
      <c r="J9" s="3" t="s">
        <v>19</v>
      </c>
      <c r="K9" s="3" t="s">
        <v>31</v>
      </c>
      <c r="L9" s="4">
        <v>43685</v>
      </c>
      <c r="M9" s="3" t="s">
        <v>21</v>
      </c>
      <c r="N9" s="3" t="s">
        <v>32</v>
      </c>
    </row>
    <row r="10" spans="1:14" ht="27.75">
      <c r="A10" s="5">
        <v>4</v>
      </c>
      <c r="B10" s="5" t="str">
        <f>"201900078808"</f>
        <v>201900078808</v>
      </c>
      <c r="C10" s="5" t="str">
        <f>"143979"</f>
        <v>143979</v>
      </c>
      <c r="D10" s="5" t="s">
        <v>33</v>
      </c>
      <c r="E10" s="5">
        <v>20511697191</v>
      </c>
      <c r="F10" s="5" t="s">
        <v>34</v>
      </c>
      <c r="G10" s="5" t="s">
        <v>35</v>
      </c>
      <c r="H10" s="5" t="s">
        <v>18</v>
      </c>
      <c r="I10" s="5" t="s">
        <v>18</v>
      </c>
      <c r="J10" s="5" t="s">
        <v>19</v>
      </c>
      <c r="K10" s="5" t="s">
        <v>36</v>
      </c>
      <c r="L10" s="6">
        <v>43617</v>
      </c>
      <c r="M10" s="5" t="s">
        <v>21</v>
      </c>
      <c r="N10" s="5" t="s">
        <v>37</v>
      </c>
    </row>
    <row r="11" spans="1:14" ht="42">
      <c r="A11" s="3">
        <v>5</v>
      </c>
      <c r="B11" s="3" t="str">
        <f>"201900196278"</f>
        <v>201900196278</v>
      </c>
      <c r="C11" s="3" t="str">
        <f>"148008"</f>
        <v>148008</v>
      </c>
      <c r="D11" s="3" t="s">
        <v>38</v>
      </c>
      <c r="E11" s="3">
        <v>20603902221</v>
      </c>
      <c r="F11" s="3" t="s">
        <v>39</v>
      </c>
      <c r="G11" s="3" t="s">
        <v>40</v>
      </c>
      <c r="H11" s="3" t="s">
        <v>18</v>
      </c>
      <c r="I11" s="3" t="s">
        <v>18</v>
      </c>
      <c r="J11" s="3" t="s">
        <v>41</v>
      </c>
      <c r="K11" s="3" t="s">
        <v>42</v>
      </c>
      <c r="L11" s="4">
        <v>43797</v>
      </c>
      <c r="M11" s="3" t="s">
        <v>21</v>
      </c>
      <c r="N11" s="3" t="s">
        <v>43</v>
      </c>
    </row>
    <row r="12" spans="1:14" ht="27.75">
      <c r="A12" s="5">
        <v>6</v>
      </c>
      <c r="B12" s="5" t="str">
        <f aca="true" t="shared" si="0" ref="B12:B17">"201900078808"</f>
        <v>201900078808</v>
      </c>
      <c r="C12" s="5" t="str">
        <f>"143978"</f>
        <v>143978</v>
      </c>
      <c r="D12" s="5" t="s">
        <v>44</v>
      </c>
      <c r="E12" s="5">
        <v>20509634387</v>
      </c>
      <c r="F12" s="5" t="s">
        <v>45</v>
      </c>
      <c r="G12" s="5" t="s">
        <v>46</v>
      </c>
      <c r="H12" s="5" t="s">
        <v>18</v>
      </c>
      <c r="I12" s="5" t="s">
        <v>18</v>
      </c>
      <c r="J12" s="5" t="s">
        <v>19</v>
      </c>
      <c r="K12" s="5" t="s">
        <v>36</v>
      </c>
      <c r="L12" s="6">
        <v>43617</v>
      </c>
      <c r="M12" s="5" t="s">
        <v>21</v>
      </c>
      <c r="N12" s="5" t="s">
        <v>47</v>
      </c>
    </row>
    <row r="13" spans="1:14" ht="13.5">
      <c r="A13" s="3">
        <v>7</v>
      </c>
      <c r="B13" s="3" t="str">
        <f t="shared" si="0"/>
        <v>201900078808</v>
      </c>
      <c r="C13" s="3" t="str">
        <f>"143977"</f>
        <v>143977</v>
      </c>
      <c r="D13" s="3" t="s">
        <v>48</v>
      </c>
      <c r="E13" s="3">
        <v>20471203816</v>
      </c>
      <c r="F13" s="3" t="s">
        <v>49</v>
      </c>
      <c r="G13" s="3" t="s">
        <v>50</v>
      </c>
      <c r="H13" s="3" t="s">
        <v>18</v>
      </c>
      <c r="I13" s="3" t="s">
        <v>18</v>
      </c>
      <c r="J13" s="3" t="s">
        <v>19</v>
      </c>
      <c r="K13" s="3" t="s">
        <v>51</v>
      </c>
      <c r="L13" s="4">
        <v>43617</v>
      </c>
      <c r="M13" s="3" t="s">
        <v>21</v>
      </c>
      <c r="N13" s="3" t="s">
        <v>52</v>
      </c>
    </row>
    <row r="14" spans="1:14" ht="13.5">
      <c r="A14" s="5">
        <v>8</v>
      </c>
      <c r="B14" s="5" t="str">
        <f t="shared" si="0"/>
        <v>201900078808</v>
      </c>
      <c r="C14" s="5" t="str">
        <f>"143983"</f>
        <v>143983</v>
      </c>
      <c r="D14" s="5" t="s">
        <v>53</v>
      </c>
      <c r="E14" s="5">
        <v>20545041520</v>
      </c>
      <c r="F14" s="5" t="s">
        <v>54</v>
      </c>
      <c r="G14" s="5" t="s">
        <v>55</v>
      </c>
      <c r="H14" s="5" t="s">
        <v>18</v>
      </c>
      <c r="I14" s="5" t="s">
        <v>18</v>
      </c>
      <c r="J14" s="5" t="s">
        <v>19</v>
      </c>
      <c r="K14" s="5" t="s">
        <v>36</v>
      </c>
      <c r="L14" s="6">
        <v>43617</v>
      </c>
      <c r="M14" s="5" t="s">
        <v>21</v>
      </c>
      <c r="N14" s="5" t="s">
        <v>56</v>
      </c>
    </row>
    <row r="15" spans="1:14" ht="27.75">
      <c r="A15" s="3">
        <v>9</v>
      </c>
      <c r="B15" s="3" t="str">
        <f t="shared" si="0"/>
        <v>201900078808</v>
      </c>
      <c r="C15" s="3" t="str">
        <f>"143982"</f>
        <v>143982</v>
      </c>
      <c r="D15" s="3" t="s">
        <v>57</v>
      </c>
      <c r="E15" s="3">
        <v>20543830969</v>
      </c>
      <c r="F15" s="3" t="s">
        <v>58</v>
      </c>
      <c r="G15" s="3" t="s">
        <v>59</v>
      </c>
      <c r="H15" s="3" t="s">
        <v>18</v>
      </c>
      <c r="I15" s="3" t="s">
        <v>18</v>
      </c>
      <c r="J15" s="3" t="s">
        <v>19</v>
      </c>
      <c r="K15" s="3" t="s">
        <v>51</v>
      </c>
      <c r="L15" s="4">
        <v>43617</v>
      </c>
      <c r="M15" s="3" t="s">
        <v>21</v>
      </c>
      <c r="N15" s="3" t="s">
        <v>60</v>
      </c>
    </row>
    <row r="16" spans="1:14" ht="27.75">
      <c r="A16" s="5">
        <v>10</v>
      </c>
      <c r="B16" s="5" t="str">
        <f t="shared" si="0"/>
        <v>201900078808</v>
      </c>
      <c r="C16" s="5" t="str">
        <f>"143981"</f>
        <v>143981</v>
      </c>
      <c r="D16" s="5" t="s">
        <v>61</v>
      </c>
      <c r="E16" s="5">
        <v>20518829034</v>
      </c>
      <c r="F16" s="5" t="s">
        <v>62</v>
      </c>
      <c r="G16" s="5" t="s">
        <v>63</v>
      </c>
      <c r="H16" s="5" t="s">
        <v>18</v>
      </c>
      <c r="I16" s="5" t="s">
        <v>18</v>
      </c>
      <c r="J16" s="5" t="s">
        <v>19</v>
      </c>
      <c r="K16" s="5" t="s">
        <v>51</v>
      </c>
      <c r="L16" s="6">
        <v>43617</v>
      </c>
      <c r="M16" s="5" t="s">
        <v>21</v>
      </c>
      <c r="N16" s="5" t="s">
        <v>64</v>
      </c>
    </row>
    <row r="17" spans="1:14" ht="27.75">
      <c r="A17" s="3">
        <v>11</v>
      </c>
      <c r="B17" s="3" t="str">
        <f t="shared" si="0"/>
        <v>201900078808</v>
      </c>
      <c r="C17" s="3" t="str">
        <f>"143980"</f>
        <v>143980</v>
      </c>
      <c r="D17" s="3" t="s">
        <v>65</v>
      </c>
      <c r="E17" s="3">
        <v>20512025979</v>
      </c>
      <c r="F17" s="3" t="s">
        <v>66</v>
      </c>
      <c r="G17" s="3" t="s">
        <v>67</v>
      </c>
      <c r="H17" s="3" t="s">
        <v>18</v>
      </c>
      <c r="I17" s="3" t="s">
        <v>18</v>
      </c>
      <c r="J17" s="3" t="s">
        <v>19</v>
      </c>
      <c r="K17" s="3" t="s">
        <v>68</v>
      </c>
      <c r="L17" s="4">
        <v>43617</v>
      </c>
      <c r="M17" s="3" t="s">
        <v>21</v>
      </c>
      <c r="N17" s="3" t="s">
        <v>69</v>
      </c>
    </row>
    <row r="18" spans="1:14" ht="153.75">
      <c r="A18" s="5">
        <v>12</v>
      </c>
      <c r="B18" s="5" t="str">
        <f>"202000047064"</f>
        <v>202000047064</v>
      </c>
      <c r="C18" s="5" t="str">
        <f>"149529"</f>
        <v>149529</v>
      </c>
      <c r="D18" s="5" t="s">
        <v>70</v>
      </c>
      <c r="E18" s="5">
        <v>20482798561</v>
      </c>
      <c r="F18" s="5" t="s">
        <v>71</v>
      </c>
      <c r="G18" s="5" t="s">
        <v>72</v>
      </c>
      <c r="H18" s="5" t="s">
        <v>73</v>
      </c>
      <c r="I18" s="5" t="s">
        <v>74</v>
      </c>
      <c r="J18" s="5" t="s">
        <v>74</v>
      </c>
      <c r="K18" s="5" t="s">
        <v>75</v>
      </c>
      <c r="L18" s="6">
        <v>43919</v>
      </c>
      <c r="M18" s="5" t="s">
        <v>21</v>
      </c>
      <c r="N18" s="5" t="s">
        <v>76</v>
      </c>
    </row>
    <row r="19" spans="1:14" ht="27.75">
      <c r="A19" s="3">
        <v>13</v>
      </c>
      <c r="B19" s="3" t="str">
        <f>"201900132129"</f>
        <v>201900132129</v>
      </c>
      <c r="C19" s="3" t="str">
        <f>"145876"</f>
        <v>145876</v>
      </c>
      <c r="D19" s="3" t="s">
        <v>77</v>
      </c>
      <c r="E19" s="3">
        <v>20600965779</v>
      </c>
      <c r="F19" s="3" t="s">
        <v>78</v>
      </c>
      <c r="G19" s="3" t="s">
        <v>79</v>
      </c>
      <c r="H19" s="3" t="s">
        <v>18</v>
      </c>
      <c r="I19" s="3" t="s">
        <v>18</v>
      </c>
      <c r="J19" s="3" t="s">
        <v>80</v>
      </c>
      <c r="K19" s="3" t="s">
        <v>51</v>
      </c>
      <c r="L19" s="4">
        <v>43696</v>
      </c>
      <c r="M19" s="3" t="s">
        <v>21</v>
      </c>
      <c r="N19" s="3" t="s">
        <v>81</v>
      </c>
    </row>
    <row r="20" spans="1:14" ht="42">
      <c r="A20" s="5">
        <v>14</v>
      </c>
      <c r="B20" s="5" t="str">
        <f>"201900155026"</f>
        <v>201900155026</v>
      </c>
      <c r="C20" s="5" t="str">
        <f>"143997"</f>
        <v>143997</v>
      </c>
      <c r="D20" s="5" t="s">
        <v>82</v>
      </c>
      <c r="E20" s="5">
        <v>20603363940</v>
      </c>
      <c r="F20" s="5" t="s">
        <v>83</v>
      </c>
      <c r="G20" s="5" t="s">
        <v>84</v>
      </c>
      <c r="H20" s="5" t="s">
        <v>85</v>
      </c>
      <c r="I20" s="5" t="s">
        <v>86</v>
      </c>
      <c r="J20" s="5" t="s">
        <v>87</v>
      </c>
      <c r="K20" s="5" t="s">
        <v>42</v>
      </c>
      <c r="L20" s="6">
        <v>43735</v>
      </c>
      <c r="M20" s="5" t="s">
        <v>21</v>
      </c>
      <c r="N20" s="5" t="s">
        <v>88</v>
      </c>
    </row>
    <row r="21" spans="1:14" ht="27.75">
      <c r="A21" s="3">
        <v>15</v>
      </c>
      <c r="B21" s="3" t="str">
        <f>"202000046497"</f>
        <v>202000046497</v>
      </c>
      <c r="C21" s="3" t="str">
        <f>"149522"</f>
        <v>149522</v>
      </c>
      <c r="D21" s="3" t="s">
        <v>89</v>
      </c>
      <c r="E21" s="3">
        <v>20495896898</v>
      </c>
      <c r="F21" s="3" t="s">
        <v>90</v>
      </c>
      <c r="G21" s="3" t="s">
        <v>91</v>
      </c>
      <c r="H21" s="3" t="s">
        <v>92</v>
      </c>
      <c r="I21" s="3" t="s">
        <v>92</v>
      </c>
      <c r="J21" s="3" t="s">
        <v>92</v>
      </c>
      <c r="K21" s="3" t="s">
        <v>51</v>
      </c>
      <c r="L21" s="4">
        <v>43993</v>
      </c>
      <c r="M21" s="3" t="s">
        <v>21</v>
      </c>
      <c r="N21" s="3" t="s">
        <v>93</v>
      </c>
    </row>
    <row r="22" spans="1:14" ht="13.5">
      <c r="A22" s="5">
        <v>16</v>
      </c>
      <c r="B22" s="5" t="str">
        <f>"201900078812"</f>
        <v>201900078812</v>
      </c>
      <c r="C22" s="5" t="str">
        <f>"143996"</f>
        <v>143996</v>
      </c>
      <c r="D22" s="5" t="s">
        <v>94</v>
      </c>
      <c r="E22" s="5">
        <v>20542317257</v>
      </c>
      <c r="F22" s="5" t="s">
        <v>95</v>
      </c>
      <c r="G22" s="5" t="s">
        <v>96</v>
      </c>
      <c r="H22" s="5" t="s">
        <v>85</v>
      </c>
      <c r="I22" s="5" t="s">
        <v>86</v>
      </c>
      <c r="J22" s="5" t="s">
        <v>87</v>
      </c>
      <c r="K22" s="5" t="s">
        <v>97</v>
      </c>
      <c r="L22" s="6">
        <v>43617</v>
      </c>
      <c r="M22" s="5" t="s">
        <v>21</v>
      </c>
      <c r="N22" s="5" t="s">
        <v>98</v>
      </c>
    </row>
    <row r="23" spans="1:14" ht="42">
      <c r="A23" s="3">
        <v>17</v>
      </c>
      <c r="B23" s="3" t="str">
        <f>"202000066257"</f>
        <v>202000066257</v>
      </c>
      <c r="C23" s="3" t="str">
        <f>"149688"</f>
        <v>149688</v>
      </c>
      <c r="D23" s="3" t="s">
        <v>99</v>
      </c>
      <c r="E23" s="3">
        <v>20600004876</v>
      </c>
      <c r="F23" s="3" t="s">
        <v>100</v>
      </c>
      <c r="G23" s="3" t="s">
        <v>101</v>
      </c>
      <c r="H23" s="3" t="s">
        <v>102</v>
      </c>
      <c r="I23" s="3" t="s">
        <v>102</v>
      </c>
      <c r="J23" s="3" t="s">
        <v>103</v>
      </c>
      <c r="K23" s="3" t="s">
        <v>36</v>
      </c>
      <c r="L23" s="4">
        <v>44011</v>
      </c>
      <c r="M23" s="3" t="s">
        <v>21</v>
      </c>
      <c r="N23" s="3" t="s">
        <v>104</v>
      </c>
    </row>
    <row r="24" spans="1:14" ht="42">
      <c r="A24" s="5">
        <v>18</v>
      </c>
      <c r="B24" s="5" t="str">
        <f>"201900078812"</f>
        <v>201900078812</v>
      </c>
      <c r="C24" s="5" t="str">
        <f>"143995"</f>
        <v>143995</v>
      </c>
      <c r="D24" s="5" t="s">
        <v>105</v>
      </c>
      <c r="E24" s="5">
        <v>10052950452</v>
      </c>
      <c r="F24" s="5" t="s">
        <v>106</v>
      </c>
      <c r="G24" s="5" t="s">
        <v>107</v>
      </c>
      <c r="H24" s="5" t="s">
        <v>85</v>
      </c>
      <c r="I24" s="5" t="s">
        <v>86</v>
      </c>
      <c r="J24" s="5" t="s">
        <v>87</v>
      </c>
      <c r="K24" s="5" t="s">
        <v>108</v>
      </c>
      <c r="L24" s="6">
        <v>43617</v>
      </c>
      <c r="M24" s="5" t="s">
        <v>21</v>
      </c>
      <c r="N24" s="5" t="s">
        <v>106</v>
      </c>
    </row>
    <row r="25" spans="1:14" ht="13.5">
      <c r="A25" s="3">
        <v>19</v>
      </c>
      <c r="B25" s="3" t="str">
        <f>"202000066339"</f>
        <v>202000066339</v>
      </c>
      <c r="C25" s="3" t="str">
        <f>"149689"</f>
        <v>149689</v>
      </c>
      <c r="D25" s="3" t="s">
        <v>109</v>
      </c>
      <c r="E25" s="3">
        <v>20450386961</v>
      </c>
      <c r="F25" s="3" t="s">
        <v>110</v>
      </c>
      <c r="G25" s="3" t="s">
        <v>111</v>
      </c>
      <c r="H25" s="3" t="s">
        <v>102</v>
      </c>
      <c r="I25" s="3" t="s">
        <v>112</v>
      </c>
      <c r="J25" s="3" t="s">
        <v>113</v>
      </c>
      <c r="K25" s="3" t="s">
        <v>51</v>
      </c>
      <c r="L25" s="4">
        <v>44008</v>
      </c>
      <c r="M25" s="3" t="s">
        <v>21</v>
      </c>
      <c r="N25" s="3" t="s">
        <v>114</v>
      </c>
    </row>
    <row r="26" spans="1:14" ht="13.5">
      <c r="A26" s="5">
        <v>20</v>
      </c>
      <c r="B26" s="5" t="str">
        <f aca="true" t="shared" si="1" ref="B26:B33">"201900078808"</f>
        <v>201900078808</v>
      </c>
      <c r="C26" s="5" t="str">
        <f>"143988"</f>
        <v>143988</v>
      </c>
      <c r="D26" s="5" t="s">
        <v>115</v>
      </c>
      <c r="E26" s="5">
        <v>10040814227</v>
      </c>
      <c r="F26" s="5" t="s">
        <v>116</v>
      </c>
      <c r="G26" s="5" t="s">
        <v>117</v>
      </c>
      <c r="H26" s="5" t="s">
        <v>18</v>
      </c>
      <c r="I26" s="5" t="s">
        <v>18</v>
      </c>
      <c r="J26" s="5" t="s">
        <v>26</v>
      </c>
      <c r="K26" s="5" t="s">
        <v>51</v>
      </c>
      <c r="L26" s="6">
        <v>43617</v>
      </c>
      <c r="M26" s="5" t="s">
        <v>21</v>
      </c>
      <c r="N26" s="5" t="s">
        <v>116</v>
      </c>
    </row>
    <row r="27" spans="1:14" ht="27.75">
      <c r="A27" s="3">
        <v>21</v>
      </c>
      <c r="B27" s="3" t="str">
        <f t="shared" si="1"/>
        <v>201900078808</v>
      </c>
      <c r="C27" s="3" t="str">
        <f>"143987"</f>
        <v>143987</v>
      </c>
      <c r="D27" s="3" t="s">
        <v>118</v>
      </c>
      <c r="E27" s="3">
        <v>20604353646</v>
      </c>
      <c r="F27" s="3" t="s">
        <v>119</v>
      </c>
      <c r="G27" s="3" t="s">
        <v>120</v>
      </c>
      <c r="H27" s="3" t="s">
        <v>18</v>
      </c>
      <c r="I27" s="3" t="s">
        <v>18</v>
      </c>
      <c r="J27" s="3" t="s">
        <v>19</v>
      </c>
      <c r="K27" s="3" t="s">
        <v>121</v>
      </c>
      <c r="L27" s="4">
        <v>43617</v>
      </c>
      <c r="M27" s="3" t="s">
        <v>21</v>
      </c>
      <c r="N27" s="3" t="s">
        <v>122</v>
      </c>
    </row>
    <row r="28" spans="1:14" ht="27.75">
      <c r="A28" s="5">
        <v>22</v>
      </c>
      <c r="B28" s="5" t="str">
        <f t="shared" si="1"/>
        <v>201900078808</v>
      </c>
      <c r="C28" s="5" t="str">
        <f>"143990"</f>
        <v>143990</v>
      </c>
      <c r="D28" s="5" t="s">
        <v>123</v>
      </c>
      <c r="E28" s="5">
        <v>20503686962</v>
      </c>
      <c r="F28" s="5" t="s">
        <v>124</v>
      </c>
      <c r="G28" s="5" t="s">
        <v>125</v>
      </c>
      <c r="H28" s="5" t="s">
        <v>18</v>
      </c>
      <c r="I28" s="5" t="s">
        <v>18</v>
      </c>
      <c r="J28" s="5" t="s">
        <v>26</v>
      </c>
      <c r="K28" s="5" t="s">
        <v>20</v>
      </c>
      <c r="L28" s="6">
        <v>43617</v>
      </c>
      <c r="M28" s="5" t="s">
        <v>21</v>
      </c>
      <c r="N28" s="5" t="s">
        <v>126</v>
      </c>
    </row>
    <row r="29" spans="1:14" ht="13.5">
      <c r="A29" s="3">
        <v>23</v>
      </c>
      <c r="B29" s="3" t="str">
        <f t="shared" si="1"/>
        <v>201900078808</v>
      </c>
      <c r="C29" s="3" t="str">
        <f>"143989"</f>
        <v>143989</v>
      </c>
      <c r="D29" s="3" t="s">
        <v>127</v>
      </c>
      <c r="E29" s="3">
        <v>10105201546</v>
      </c>
      <c r="F29" s="3" t="s">
        <v>128</v>
      </c>
      <c r="G29" s="3" t="s">
        <v>129</v>
      </c>
      <c r="H29" s="3" t="s">
        <v>18</v>
      </c>
      <c r="I29" s="3" t="s">
        <v>18</v>
      </c>
      <c r="J29" s="3" t="s">
        <v>26</v>
      </c>
      <c r="K29" s="3" t="s">
        <v>97</v>
      </c>
      <c r="L29" s="4">
        <v>43617</v>
      </c>
      <c r="M29" s="3" t="s">
        <v>21</v>
      </c>
      <c r="N29" s="3" t="s">
        <v>128</v>
      </c>
    </row>
    <row r="30" spans="1:14" ht="13.5">
      <c r="A30" s="5">
        <v>24</v>
      </c>
      <c r="B30" s="5" t="str">
        <f t="shared" si="1"/>
        <v>201900078808</v>
      </c>
      <c r="C30" s="5" t="str">
        <f>"143992"</f>
        <v>143992</v>
      </c>
      <c r="D30" s="5" t="s">
        <v>130</v>
      </c>
      <c r="E30" s="5">
        <v>20519223369</v>
      </c>
      <c r="F30" s="5" t="s">
        <v>131</v>
      </c>
      <c r="G30" s="5" t="s">
        <v>132</v>
      </c>
      <c r="H30" s="5" t="s">
        <v>18</v>
      </c>
      <c r="I30" s="5" t="s">
        <v>18</v>
      </c>
      <c r="J30" s="5" t="s">
        <v>26</v>
      </c>
      <c r="K30" s="5" t="s">
        <v>97</v>
      </c>
      <c r="L30" s="6">
        <v>43617</v>
      </c>
      <c r="M30" s="5" t="s">
        <v>21</v>
      </c>
      <c r="N30" s="5" t="s">
        <v>133</v>
      </c>
    </row>
    <row r="31" spans="1:14" ht="27.75">
      <c r="A31" s="3">
        <v>25</v>
      </c>
      <c r="B31" s="3" t="str">
        <f t="shared" si="1"/>
        <v>201900078808</v>
      </c>
      <c r="C31" s="3" t="str">
        <f>"143991"</f>
        <v>143991</v>
      </c>
      <c r="D31" s="3" t="s">
        <v>134</v>
      </c>
      <c r="E31" s="3">
        <v>20507926259</v>
      </c>
      <c r="F31" s="3" t="s">
        <v>135</v>
      </c>
      <c r="G31" s="3" t="s">
        <v>136</v>
      </c>
      <c r="H31" s="3" t="s">
        <v>18</v>
      </c>
      <c r="I31" s="3" t="s">
        <v>18</v>
      </c>
      <c r="J31" s="3" t="s">
        <v>26</v>
      </c>
      <c r="K31" s="3" t="s">
        <v>137</v>
      </c>
      <c r="L31" s="4">
        <v>43617</v>
      </c>
      <c r="M31" s="3" t="s">
        <v>21</v>
      </c>
      <c r="N31" s="3" t="s">
        <v>138</v>
      </c>
    </row>
    <row r="32" spans="1:14" ht="27.75">
      <c r="A32" s="5">
        <v>26</v>
      </c>
      <c r="B32" s="5" t="str">
        <f t="shared" si="1"/>
        <v>201900078808</v>
      </c>
      <c r="C32" s="5" t="str">
        <f>"143994"</f>
        <v>143994</v>
      </c>
      <c r="D32" s="5" t="s">
        <v>139</v>
      </c>
      <c r="E32" s="5">
        <v>20600443357</v>
      </c>
      <c r="F32" s="5" t="s">
        <v>140</v>
      </c>
      <c r="G32" s="5" t="s">
        <v>141</v>
      </c>
      <c r="H32" s="5" t="s">
        <v>18</v>
      </c>
      <c r="I32" s="5" t="s">
        <v>18</v>
      </c>
      <c r="J32" s="5" t="s">
        <v>26</v>
      </c>
      <c r="K32" s="5" t="s">
        <v>36</v>
      </c>
      <c r="L32" s="6">
        <v>43617</v>
      </c>
      <c r="M32" s="5" t="s">
        <v>21</v>
      </c>
      <c r="N32" s="5" t="s">
        <v>142</v>
      </c>
    </row>
    <row r="33" spans="1:14" ht="13.5">
      <c r="A33" s="3">
        <v>27</v>
      </c>
      <c r="B33" s="3" t="str">
        <f t="shared" si="1"/>
        <v>201900078808</v>
      </c>
      <c r="C33" s="3" t="str">
        <f>"143993"</f>
        <v>143993</v>
      </c>
      <c r="D33" s="3" t="s">
        <v>143</v>
      </c>
      <c r="E33" s="3">
        <v>20554673407</v>
      </c>
      <c r="F33" s="3" t="s">
        <v>144</v>
      </c>
      <c r="G33" s="3" t="s">
        <v>145</v>
      </c>
      <c r="H33" s="3" t="s">
        <v>18</v>
      </c>
      <c r="I33" s="3" t="s">
        <v>18</v>
      </c>
      <c r="J33" s="3" t="s">
        <v>26</v>
      </c>
      <c r="K33" s="3" t="s">
        <v>36</v>
      </c>
      <c r="L33" s="4">
        <v>43617</v>
      </c>
      <c r="M33" s="3" t="s">
        <v>21</v>
      </c>
      <c r="N33" s="3" t="s">
        <v>146</v>
      </c>
    </row>
    <row r="34" spans="1:14" ht="13.5">
      <c r="A34" s="5">
        <v>28</v>
      </c>
      <c r="B34" s="5" t="str">
        <f>"201900078821"</f>
        <v>201900078821</v>
      </c>
      <c r="C34" s="5" t="str">
        <f>"144007"</f>
        <v>144007</v>
      </c>
      <c r="D34" s="5" t="s">
        <v>147</v>
      </c>
      <c r="E34" s="5">
        <v>20519734614</v>
      </c>
      <c r="F34" s="5" t="s">
        <v>148</v>
      </c>
      <c r="G34" s="5" t="s">
        <v>149</v>
      </c>
      <c r="H34" s="5" t="s">
        <v>150</v>
      </c>
      <c r="I34" s="5" t="s">
        <v>151</v>
      </c>
      <c r="J34" s="5" t="s">
        <v>151</v>
      </c>
      <c r="K34" s="5" t="s">
        <v>51</v>
      </c>
      <c r="L34" s="6">
        <v>43617</v>
      </c>
      <c r="M34" s="5" t="s">
        <v>21</v>
      </c>
      <c r="N34" s="5" t="s">
        <v>152</v>
      </c>
    </row>
    <row r="35" spans="1:14" ht="13.5">
      <c r="A35" s="3">
        <v>29</v>
      </c>
      <c r="B35" s="3" t="str">
        <f>"201900078821"</f>
        <v>201900078821</v>
      </c>
      <c r="C35" s="3" t="str">
        <f>"144008"</f>
        <v>144008</v>
      </c>
      <c r="D35" s="3" t="s">
        <v>153</v>
      </c>
      <c r="E35" s="3">
        <v>20533131329</v>
      </c>
      <c r="F35" s="3" t="s">
        <v>154</v>
      </c>
      <c r="G35" s="3" t="s">
        <v>155</v>
      </c>
      <c r="H35" s="3" t="s">
        <v>150</v>
      </c>
      <c r="I35" s="3" t="s">
        <v>151</v>
      </c>
      <c r="J35" s="3" t="s">
        <v>151</v>
      </c>
      <c r="K35" s="3" t="s">
        <v>51</v>
      </c>
      <c r="L35" s="4">
        <v>43617</v>
      </c>
      <c r="M35" s="3" t="s">
        <v>21</v>
      </c>
      <c r="N35" s="3" t="s">
        <v>156</v>
      </c>
    </row>
    <row r="36" spans="1:14" ht="27.75">
      <c r="A36" s="5">
        <v>30</v>
      </c>
      <c r="B36" s="5" t="str">
        <f>"201900149704"</f>
        <v>201900149704</v>
      </c>
      <c r="C36" s="5" t="str">
        <f>"146560"</f>
        <v>146560</v>
      </c>
      <c r="D36" s="5" t="s">
        <v>157</v>
      </c>
      <c r="E36" s="5">
        <v>20602160913</v>
      </c>
      <c r="F36" s="5" t="s">
        <v>158</v>
      </c>
      <c r="G36" s="5" t="s">
        <v>159</v>
      </c>
      <c r="H36" s="5" t="s">
        <v>160</v>
      </c>
      <c r="I36" s="5" t="s">
        <v>161</v>
      </c>
      <c r="J36" s="5" t="s">
        <v>162</v>
      </c>
      <c r="K36" s="5" t="s">
        <v>163</v>
      </c>
      <c r="L36" s="6">
        <v>43728</v>
      </c>
      <c r="M36" s="5" t="s">
        <v>21</v>
      </c>
      <c r="N36" s="5" t="s">
        <v>164</v>
      </c>
    </row>
    <row r="37" spans="1:14" ht="27.75">
      <c r="A37" s="3">
        <v>31</v>
      </c>
      <c r="B37" s="3" t="str">
        <f>"201900159173"</f>
        <v>201900159173</v>
      </c>
      <c r="C37" s="3" t="str">
        <f>"146563"</f>
        <v>146563</v>
      </c>
      <c r="D37" s="3" t="s">
        <v>165</v>
      </c>
      <c r="E37" s="3">
        <v>20538163121</v>
      </c>
      <c r="F37" s="3" t="s">
        <v>166</v>
      </c>
      <c r="G37" s="3" t="s">
        <v>167</v>
      </c>
      <c r="H37" s="3" t="s">
        <v>18</v>
      </c>
      <c r="I37" s="3" t="s">
        <v>18</v>
      </c>
      <c r="J37" s="3" t="s">
        <v>168</v>
      </c>
      <c r="K37" s="3" t="s">
        <v>20</v>
      </c>
      <c r="L37" s="4">
        <v>43742</v>
      </c>
      <c r="M37" s="3" t="s">
        <v>21</v>
      </c>
      <c r="N37" s="3" t="s">
        <v>169</v>
      </c>
    </row>
    <row r="38" spans="1:14" ht="27.75">
      <c r="A38" s="5">
        <v>32</v>
      </c>
      <c r="B38" s="5" t="str">
        <f>"201900078821"</f>
        <v>201900078821</v>
      </c>
      <c r="C38" s="5" t="str">
        <f>"144006"</f>
        <v>144006</v>
      </c>
      <c r="D38" s="5" t="s">
        <v>170</v>
      </c>
      <c r="E38" s="5">
        <v>20449465483</v>
      </c>
      <c r="F38" s="5" t="s">
        <v>171</v>
      </c>
      <c r="G38" s="5" t="s">
        <v>172</v>
      </c>
      <c r="H38" s="5" t="s">
        <v>150</v>
      </c>
      <c r="I38" s="5" t="s">
        <v>151</v>
      </c>
      <c r="J38" s="5" t="s">
        <v>151</v>
      </c>
      <c r="K38" s="5" t="s">
        <v>51</v>
      </c>
      <c r="L38" s="6">
        <v>43617</v>
      </c>
      <c r="M38" s="5" t="s">
        <v>21</v>
      </c>
      <c r="N38" s="5" t="s">
        <v>173</v>
      </c>
    </row>
    <row r="39" spans="1:14" ht="13.5">
      <c r="A39" s="3">
        <v>33</v>
      </c>
      <c r="B39" s="3" t="str">
        <f>"201900078821"</f>
        <v>201900078821</v>
      </c>
      <c r="C39" s="3" t="str">
        <f>"144005"</f>
        <v>144005</v>
      </c>
      <c r="D39" s="3" t="s">
        <v>174</v>
      </c>
      <c r="E39" s="3">
        <v>10308336251</v>
      </c>
      <c r="F39" s="3" t="s">
        <v>175</v>
      </c>
      <c r="G39" s="3" t="s">
        <v>176</v>
      </c>
      <c r="H39" s="3" t="s">
        <v>150</v>
      </c>
      <c r="I39" s="3" t="s">
        <v>151</v>
      </c>
      <c r="J39" s="3" t="s">
        <v>151</v>
      </c>
      <c r="K39" s="3" t="s">
        <v>97</v>
      </c>
      <c r="L39" s="4">
        <v>43617</v>
      </c>
      <c r="M39" s="3" t="s">
        <v>21</v>
      </c>
      <c r="N39" s="3" t="s">
        <v>177</v>
      </c>
    </row>
    <row r="40" spans="1:14" ht="13.5">
      <c r="A40" s="5">
        <v>34</v>
      </c>
      <c r="B40" s="5" t="str">
        <f>"201900078821"</f>
        <v>201900078821</v>
      </c>
      <c r="C40" s="5" t="str">
        <f>"144004"</f>
        <v>144004</v>
      </c>
      <c r="D40" s="5" t="s">
        <v>178</v>
      </c>
      <c r="E40" s="5">
        <v>10046504742</v>
      </c>
      <c r="F40" s="5" t="s">
        <v>179</v>
      </c>
      <c r="G40" s="5" t="s">
        <v>180</v>
      </c>
      <c r="H40" s="5" t="s">
        <v>150</v>
      </c>
      <c r="I40" s="5" t="s">
        <v>151</v>
      </c>
      <c r="J40" s="5" t="s">
        <v>151</v>
      </c>
      <c r="K40" s="5" t="s">
        <v>97</v>
      </c>
      <c r="L40" s="6">
        <v>43617</v>
      </c>
      <c r="M40" s="5" t="s">
        <v>21</v>
      </c>
      <c r="N40" s="5" t="s">
        <v>179</v>
      </c>
    </row>
    <row r="41" spans="1:14" ht="13.5">
      <c r="A41" s="3">
        <v>35</v>
      </c>
      <c r="B41" s="3" t="str">
        <f>"201900078821"</f>
        <v>201900078821</v>
      </c>
      <c r="C41" s="3" t="str">
        <f>"144003"</f>
        <v>144003</v>
      </c>
      <c r="D41" s="3" t="s">
        <v>181</v>
      </c>
      <c r="E41" s="3">
        <v>10007990915</v>
      </c>
      <c r="F41" s="3" t="s">
        <v>182</v>
      </c>
      <c r="G41" s="3" t="s">
        <v>183</v>
      </c>
      <c r="H41" s="3" t="s">
        <v>150</v>
      </c>
      <c r="I41" s="3" t="s">
        <v>151</v>
      </c>
      <c r="J41" s="3" t="s">
        <v>151</v>
      </c>
      <c r="K41" s="3" t="s">
        <v>97</v>
      </c>
      <c r="L41" s="4">
        <v>43617</v>
      </c>
      <c r="M41" s="3" t="s">
        <v>21</v>
      </c>
      <c r="N41" s="3" t="s">
        <v>182</v>
      </c>
    </row>
    <row r="42" spans="1:14" ht="13.5">
      <c r="A42" s="5">
        <v>36</v>
      </c>
      <c r="B42" s="5" t="str">
        <f>"201900078815"</f>
        <v>201900078815</v>
      </c>
      <c r="C42" s="5" t="str">
        <f>"144002"</f>
        <v>144002</v>
      </c>
      <c r="D42" s="5" t="s">
        <v>184</v>
      </c>
      <c r="E42" s="5">
        <v>20600576179</v>
      </c>
      <c r="F42" s="5" t="s">
        <v>185</v>
      </c>
      <c r="G42" s="5" t="s">
        <v>186</v>
      </c>
      <c r="H42" s="5" t="s">
        <v>187</v>
      </c>
      <c r="I42" s="5" t="s">
        <v>188</v>
      </c>
      <c r="J42" s="5" t="s">
        <v>188</v>
      </c>
      <c r="K42" s="5" t="s">
        <v>36</v>
      </c>
      <c r="L42" s="6">
        <v>43617</v>
      </c>
      <c r="M42" s="5" t="s">
        <v>21</v>
      </c>
      <c r="N42" s="5" t="s">
        <v>189</v>
      </c>
    </row>
    <row r="43" spans="1:14" ht="27.75">
      <c r="A43" s="3">
        <v>37</v>
      </c>
      <c r="B43" s="3" t="str">
        <f>"201900078815"</f>
        <v>201900078815</v>
      </c>
      <c r="C43" s="3" t="str">
        <f>"144001"</f>
        <v>144001</v>
      </c>
      <c r="D43" s="3" t="s">
        <v>190</v>
      </c>
      <c r="E43" s="3">
        <v>20490862961</v>
      </c>
      <c r="F43" s="3" t="s">
        <v>191</v>
      </c>
      <c r="G43" s="3" t="s">
        <v>192</v>
      </c>
      <c r="H43" s="3" t="s">
        <v>187</v>
      </c>
      <c r="I43" s="3" t="s">
        <v>188</v>
      </c>
      <c r="J43" s="3" t="s">
        <v>188</v>
      </c>
      <c r="K43" s="3" t="s">
        <v>36</v>
      </c>
      <c r="L43" s="4">
        <v>43617</v>
      </c>
      <c r="M43" s="3" t="s">
        <v>21</v>
      </c>
      <c r="N43" s="3" t="s">
        <v>193</v>
      </c>
    </row>
    <row r="44" spans="1:14" ht="27.75">
      <c r="A44" s="5">
        <v>38</v>
      </c>
      <c r="B44" s="5" t="str">
        <f>"201900078812"</f>
        <v>201900078812</v>
      </c>
      <c r="C44" s="5" t="str">
        <f>"144000"</f>
        <v>144000</v>
      </c>
      <c r="D44" s="5" t="s">
        <v>194</v>
      </c>
      <c r="E44" s="5">
        <v>20567113257</v>
      </c>
      <c r="F44" s="5" t="s">
        <v>195</v>
      </c>
      <c r="G44" s="5" t="s">
        <v>196</v>
      </c>
      <c r="H44" s="5" t="s">
        <v>85</v>
      </c>
      <c r="I44" s="5" t="s">
        <v>197</v>
      </c>
      <c r="J44" s="5" t="s">
        <v>198</v>
      </c>
      <c r="K44" s="5" t="s">
        <v>199</v>
      </c>
      <c r="L44" s="6">
        <v>43617</v>
      </c>
      <c r="M44" s="5" t="s">
        <v>21</v>
      </c>
      <c r="N44" s="5" t="s">
        <v>200</v>
      </c>
    </row>
    <row r="45" spans="1:14" ht="13.5">
      <c r="A45" s="3">
        <v>39</v>
      </c>
      <c r="B45" s="3" t="str">
        <f>"201900078812"</f>
        <v>201900078812</v>
      </c>
      <c r="C45" s="3" t="str">
        <f>"143999"</f>
        <v>143999</v>
      </c>
      <c r="D45" s="3" t="s">
        <v>201</v>
      </c>
      <c r="E45" s="3">
        <v>20103744131</v>
      </c>
      <c r="F45" s="3" t="s">
        <v>202</v>
      </c>
      <c r="G45" s="3" t="s">
        <v>203</v>
      </c>
      <c r="H45" s="3" t="s">
        <v>85</v>
      </c>
      <c r="I45" s="3" t="s">
        <v>197</v>
      </c>
      <c r="J45" s="3" t="s">
        <v>198</v>
      </c>
      <c r="K45" s="3" t="s">
        <v>97</v>
      </c>
      <c r="L45" s="4">
        <v>43617</v>
      </c>
      <c r="M45" s="3" t="s">
        <v>21</v>
      </c>
      <c r="N45" s="3" t="s">
        <v>204</v>
      </c>
    </row>
    <row r="46" spans="1:14" ht="42">
      <c r="A46" s="5">
        <v>40</v>
      </c>
      <c r="B46" s="5" t="str">
        <f>"201900078812"</f>
        <v>201900078812</v>
      </c>
      <c r="C46" s="5" t="str">
        <f>"143998"</f>
        <v>143998</v>
      </c>
      <c r="D46" s="5" t="s">
        <v>205</v>
      </c>
      <c r="E46" s="5">
        <v>20604012148</v>
      </c>
      <c r="F46" s="5" t="s">
        <v>206</v>
      </c>
      <c r="G46" s="5" t="s">
        <v>207</v>
      </c>
      <c r="H46" s="5" t="s">
        <v>85</v>
      </c>
      <c r="I46" s="5" t="s">
        <v>208</v>
      </c>
      <c r="J46" s="5" t="s">
        <v>209</v>
      </c>
      <c r="K46" s="5" t="s">
        <v>210</v>
      </c>
      <c r="L46" s="6">
        <v>43617</v>
      </c>
      <c r="M46" s="5" t="s">
        <v>21</v>
      </c>
      <c r="N46" s="5" t="s">
        <v>211</v>
      </c>
    </row>
    <row r="47" spans="1:14" ht="42">
      <c r="A47" s="3">
        <v>41</v>
      </c>
      <c r="B47" s="3" t="str">
        <f>"201900078824"</f>
        <v>201900078824</v>
      </c>
      <c r="C47" s="3" t="str">
        <f>"144017"</f>
        <v>144017</v>
      </c>
      <c r="D47" s="3" t="s">
        <v>212</v>
      </c>
      <c r="E47" s="3">
        <v>10040045002</v>
      </c>
      <c r="F47" s="3" t="s">
        <v>213</v>
      </c>
      <c r="G47" s="3" t="s">
        <v>214</v>
      </c>
      <c r="H47" s="3" t="s">
        <v>215</v>
      </c>
      <c r="I47" s="3" t="s">
        <v>215</v>
      </c>
      <c r="J47" s="3" t="s">
        <v>216</v>
      </c>
      <c r="K47" s="3" t="s">
        <v>42</v>
      </c>
      <c r="L47" s="4">
        <v>43617</v>
      </c>
      <c r="M47" s="3" t="s">
        <v>21</v>
      </c>
      <c r="N47" s="3" t="s">
        <v>213</v>
      </c>
    </row>
    <row r="48" spans="1:14" ht="13.5">
      <c r="A48" s="5">
        <v>42</v>
      </c>
      <c r="B48" s="5" t="str">
        <f>"202000135934"</f>
        <v>202000135934</v>
      </c>
      <c r="C48" s="5" t="str">
        <f>"144018"</f>
        <v>144018</v>
      </c>
      <c r="D48" s="5" t="s">
        <v>217</v>
      </c>
      <c r="E48" s="5">
        <v>20528919902</v>
      </c>
      <c r="F48" s="5" t="s">
        <v>218</v>
      </c>
      <c r="G48" s="5" t="s">
        <v>219</v>
      </c>
      <c r="H48" s="5" t="s">
        <v>215</v>
      </c>
      <c r="I48" s="5" t="s">
        <v>215</v>
      </c>
      <c r="J48" s="5" t="s">
        <v>220</v>
      </c>
      <c r="K48" s="5" t="s">
        <v>51</v>
      </c>
      <c r="L48" s="6">
        <v>44127</v>
      </c>
      <c r="M48" s="5" t="s">
        <v>21</v>
      </c>
      <c r="N48" s="5" t="s">
        <v>221</v>
      </c>
    </row>
    <row r="49" spans="1:14" ht="27.75">
      <c r="A49" s="3">
        <v>43</v>
      </c>
      <c r="B49" s="3" t="str">
        <f>"201900078824"</f>
        <v>201900078824</v>
      </c>
      <c r="C49" s="3" t="str">
        <f>"144019"</f>
        <v>144019</v>
      </c>
      <c r="D49" s="3" t="s">
        <v>222</v>
      </c>
      <c r="E49" s="3">
        <v>20600682271</v>
      </c>
      <c r="F49" s="3" t="s">
        <v>223</v>
      </c>
      <c r="G49" s="3" t="s">
        <v>224</v>
      </c>
      <c r="H49" s="3" t="s">
        <v>215</v>
      </c>
      <c r="I49" s="3" t="s">
        <v>215</v>
      </c>
      <c r="J49" s="3" t="s">
        <v>220</v>
      </c>
      <c r="K49" s="3" t="s">
        <v>225</v>
      </c>
      <c r="L49" s="4">
        <v>43617</v>
      </c>
      <c r="M49" s="3" t="s">
        <v>21</v>
      </c>
      <c r="N49" s="3" t="s">
        <v>226</v>
      </c>
    </row>
    <row r="50" spans="1:14" ht="42">
      <c r="A50" s="5">
        <v>44</v>
      </c>
      <c r="B50" s="5" t="str">
        <f>"202000136763"</f>
        <v>202000136763</v>
      </c>
      <c r="C50" s="5" t="str">
        <f>"151797"</f>
        <v>151797</v>
      </c>
      <c r="D50" s="5" t="s">
        <v>227</v>
      </c>
      <c r="E50" s="5">
        <v>20606353716</v>
      </c>
      <c r="F50" s="5" t="s">
        <v>228</v>
      </c>
      <c r="G50" s="5" t="s">
        <v>229</v>
      </c>
      <c r="H50" s="5" t="s">
        <v>230</v>
      </c>
      <c r="I50" s="5" t="s">
        <v>231</v>
      </c>
      <c r="J50" s="5" t="s">
        <v>232</v>
      </c>
      <c r="K50" s="5" t="s">
        <v>51</v>
      </c>
      <c r="L50" s="6">
        <v>44118</v>
      </c>
      <c r="M50" s="5" t="s">
        <v>21</v>
      </c>
      <c r="N50" s="5" t="s">
        <v>233</v>
      </c>
    </row>
    <row r="51" spans="1:14" ht="27.75">
      <c r="A51" s="3">
        <v>45</v>
      </c>
      <c r="B51" s="3" t="str">
        <f>"201900115195"</f>
        <v>201900115195</v>
      </c>
      <c r="C51" s="3" t="str">
        <f>"145283"</f>
        <v>145283</v>
      </c>
      <c r="D51" s="3" t="s">
        <v>234</v>
      </c>
      <c r="E51" s="3">
        <v>10703303051</v>
      </c>
      <c r="F51" s="3" t="s">
        <v>235</v>
      </c>
      <c r="G51" s="3" t="s">
        <v>236</v>
      </c>
      <c r="H51" s="3" t="s">
        <v>160</v>
      </c>
      <c r="I51" s="3" t="s">
        <v>237</v>
      </c>
      <c r="J51" s="3" t="s">
        <v>238</v>
      </c>
      <c r="K51" s="3" t="s">
        <v>36</v>
      </c>
      <c r="L51" s="4">
        <v>43669</v>
      </c>
      <c r="M51" s="3" t="s">
        <v>21</v>
      </c>
      <c r="N51" s="3" t="s">
        <v>235</v>
      </c>
    </row>
    <row r="52" spans="1:14" ht="27.75">
      <c r="A52" s="5">
        <v>46</v>
      </c>
      <c r="B52" s="5" t="str">
        <f>"202000114409"</f>
        <v>202000114409</v>
      </c>
      <c r="C52" s="5" t="str">
        <f>"150922"</f>
        <v>150922</v>
      </c>
      <c r="D52" s="5" t="s">
        <v>239</v>
      </c>
      <c r="E52" s="5">
        <v>20602225411</v>
      </c>
      <c r="F52" s="5" t="s">
        <v>240</v>
      </c>
      <c r="G52" s="5" t="s">
        <v>241</v>
      </c>
      <c r="H52" s="5" t="s">
        <v>18</v>
      </c>
      <c r="I52" s="5" t="s">
        <v>18</v>
      </c>
      <c r="J52" s="5" t="s">
        <v>242</v>
      </c>
      <c r="K52" s="5" t="s">
        <v>243</v>
      </c>
      <c r="L52" s="6">
        <v>44082</v>
      </c>
      <c r="M52" s="5" t="s">
        <v>21</v>
      </c>
      <c r="N52" s="5" t="s">
        <v>244</v>
      </c>
    </row>
    <row r="53" spans="1:14" ht="13.5">
      <c r="A53" s="3">
        <v>47</v>
      </c>
      <c r="B53" s="3" t="str">
        <f>"201900110089"</f>
        <v>201900110089</v>
      </c>
      <c r="C53" s="3" t="str">
        <f>"145115"</f>
        <v>145115</v>
      </c>
      <c r="D53" s="3" t="s">
        <v>245</v>
      </c>
      <c r="E53" s="3">
        <v>20600893026</v>
      </c>
      <c r="F53" s="3" t="s">
        <v>246</v>
      </c>
      <c r="G53" s="3" t="s">
        <v>247</v>
      </c>
      <c r="H53" s="3" t="s">
        <v>18</v>
      </c>
      <c r="I53" s="3" t="s">
        <v>18</v>
      </c>
      <c r="J53" s="3" t="s">
        <v>248</v>
      </c>
      <c r="K53" s="3" t="s">
        <v>51</v>
      </c>
      <c r="L53" s="4">
        <v>43669</v>
      </c>
      <c r="M53" s="3" t="s">
        <v>21</v>
      </c>
      <c r="N53" s="3" t="s">
        <v>249</v>
      </c>
    </row>
    <row r="54" spans="1:14" ht="42">
      <c r="A54" s="5">
        <v>48</v>
      </c>
      <c r="B54" s="5" t="str">
        <f>"202000136177"</f>
        <v>202000136177</v>
      </c>
      <c r="C54" s="5" t="str">
        <f>"151662"</f>
        <v>151662</v>
      </c>
      <c r="D54" s="5" t="s">
        <v>250</v>
      </c>
      <c r="E54" s="5">
        <v>20605010211</v>
      </c>
      <c r="F54" s="5" t="s">
        <v>251</v>
      </c>
      <c r="G54" s="5" t="s">
        <v>252</v>
      </c>
      <c r="H54" s="5" t="s">
        <v>253</v>
      </c>
      <c r="I54" s="5" t="s">
        <v>253</v>
      </c>
      <c r="J54" s="5" t="s">
        <v>254</v>
      </c>
      <c r="K54" s="5" t="s">
        <v>255</v>
      </c>
      <c r="L54" s="6">
        <v>44117</v>
      </c>
      <c r="M54" s="5" t="s">
        <v>21</v>
      </c>
      <c r="N54" s="5" t="s">
        <v>256</v>
      </c>
    </row>
    <row r="55" spans="1:14" ht="27.75">
      <c r="A55" s="3">
        <v>49</v>
      </c>
      <c r="B55" s="3" t="str">
        <f>"201900078821"</f>
        <v>201900078821</v>
      </c>
      <c r="C55" s="3" t="str">
        <f>"144014"</f>
        <v>144014</v>
      </c>
      <c r="D55" s="3" t="s">
        <v>257</v>
      </c>
      <c r="E55" s="3">
        <v>20534967684</v>
      </c>
      <c r="F55" s="3" t="s">
        <v>258</v>
      </c>
      <c r="G55" s="3" t="s">
        <v>259</v>
      </c>
      <c r="H55" s="3" t="s">
        <v>150</v>
      </c>
      <c r="I55" s="3" t="s">
        <v>260</v>
      </c>
      <c r="J55" s="3" t="s">
        <v>261</v>
      </c>
      <c r="K55" s="3" t="s">
        <v>51</v>
      </c>
      <c r="L55" s="4">
        <v>43617</v>
      </c>
      <c r="M55" s="3" t="s">
        <v>21</v>
      </c>
      <c r="N55" s="3" t="s">
        <v>262</v>
      </c>
    </row>
    <row r="56" spans="1:14" ht="13.5">
      <c r="A56" s="5">
        <v>50</v>
      </c>
      <c r="B56" s="5" t="str">
        <f>"201900078821"</f>
        <v>201900078821</v>
      </c>
      <c r="C56" s="5" t="str">
        <f>"144013"</f>
        <v>144013</v>
      </c>
      <c r="D56" s="5" t="s">
        <v>263</v>
      </c>
      <c r="E56" s="5">
        <v>20601469716</v>
      </c>
      <c r="F56" s="5" t="s">
        <v>264</v>
      </c>
      <c r="G56" s="5" t="s">
        <v>265</v>
      </c>
      <c r="H56" s="5" t="s">
        <v>150</v>
      </c>
      <c r="I56" s="5" t="s">
        <v>260</v>
      </c>
      <c r="J56" s="5" t="s">
        <v>150</v>
      </c>
      <c r="K56" s="5" t="s">
        <v>51</v>
      </c>
      <c r="L56" s="6">
        <v>43617</v>
      </c>
      <c r="M56" s="5" t="s">
        <v>21</v>
      </c>
      <c r="N56" s="5" t="s">
        <v>266</v>
      </c>
    </row>
    <row r="57" spans="1:14" ht="27.75">
      <c r="A57" s="3">
        <v>51</v>
      </c>
      <c r="B57" s="3" t="str">
        <f>"201900078824"</f>
        <v>201900078824</v>
      </c>
      <c r="C57" s="3" t="str">
        <f>"144016"</f>
        <v>144016</v>
      </c>
      <c r="D57" s="3" t="s">
        <v>267</v>
      </c>
      <c r="E57" s="3">
        <v>10040013488</v>
      </c>
      <c r="F57" s="3" t="s">
        <v>268</v>
      </c>
      <c r="G57" s="3" t="s">
        <v>269</v>
      </c>
      <c r="H57" s="3" t="s">
        <v>215</v>
      </c>
      <c r="I57" s="3" t="s">
        <v>215</v>
      </c>
      <c r="J57" s="3" t="s">
        <v>216</v>
      </c>
      <c r="K57" s="3" t="s">
        <v>137</v>
      </c>
      <c r="L57" s="4">
        <v>43617</v>
      </c>
      <c r="M57" s="3" t="s">
        <v>21</v>
      </c>
      <c r="N57" s="3" t="s">
        <v>270</v>
      </c>
    </row>
    <row r="58" spans="1:14" ht="97.5">
      <c r="A58" s="5">
        <v>52</v>
      </c>
      <c r="B58" s="5" t="str">
        <f>"202000119216"</f>
        <v>202000119216</v>
      </c>
      <c r="C58" s="5" t="str">
        <f>"151085"</f>
        <v>151085</v>
      </c>
      <c r="D58" s="5" t="s">
        <v>271</v>
      </c>
      <c r="E58" s="5">
        <v>20525588832</v>
      </c>
      <c r="F58" s="5" t="s">
        <v>272</v>
      </c>
      <c r="G58" s="5" t="s">
        <v>273</v>
      </c>
      <c r="H58" s="5" t="s">
        <v>274</v>
      </c>
      <c r="I58" s="5" t="s">
        <v>275</v>
      </c>
      <c r="J58" s="5" t="s">
        <v>276</v>
      </c>
      <c r="K58" s="5" t="s">
        <v>277</v>
      </c>
      <c r="L58" s="6">
        <v>44084</v>
      </c>
      <c r="M58" s="5" t="s">
        <v>21</v>
      </c>
      <c r="N58" s="5" t="s">
        <v>278</v>
      </c>
    </row>
    <row r="59" spans="1:14" ht="13.5">
      <c r="A59" s="3">
        <v>53</v>
      </c>
      <c r="B59" s="3" t="str">
        <f>"202000045086"</f>
        <v>202000045086</v>
      </c>
      <c r="C59" s="3" t="str">
        <f>"144015"</f>
        <v>144015</v>
      </c>
      <c r="D59" s="3" t="s">
        <v>279</v>
      </c>
      <c r="E59" s="3">
        <v>20182049086</v>
      </c>
      <c r="F59" s="3" t="s">
        <v>280</v>
      </c>
      <c r="G59" s="3" t="s">
        <v>281</v>
      </c>
      <c r="H59" s="3" t="s">
        <v>215</v>
      </c>
      <c r="I59" s="3" t="s">
        <v>282</v>
      </c>
      <c r="J59" s="3" t="s">
        <v>282</v>
      </c>
      <c r="K59" s="3" t="s">
        <v>36</v>
      </c>
      <c r="L59" s="4">
        <v>43965</v>
      </c>
      <c r="M59" s="3" t="s">
        <v>21</v>
      </c>
      <c r="N59" s="3" t="s">
        <v>283</v>
      </c>
    </row>
    <row r="60" spans="1:14" ht="13.5">
      <c r="A60" s="5">
        <v>54</v>
      </c>
      <c r="B60" s="5" t="str">
        <f>"201900078821"</f>
        <v>201900078821</v>
      </c>
      <c r="C60" s="5" t="str">
        <f>"144010"</f>
        <v>144010</v>
      </c>
      <c r="D60" s="5" t="s">
        <v>284</v>
      </c>
      <c r="E60" s="5">
        <v>20602382771</v>
      </c>
      <c r="F60" s="5" t="s">
        <v>285</v>
      </c>
      <c r="G60" s="5" t="s">
        <v>286</v>
      </c>
      <c r="H60" s="5" t="s">
        <v>150</v>
      </c>
      <c r="I60" s="5" t="s">
        <v>151</v>
      </c>
      <c r="J60" s="5" t="s">
        <v>151</v>
      </c>
      <c r="K60" s="5" t="s">
        <v>51</v>
      </c>
      <c r="L60" s="6">
        <v>43617</v>
      </c>
      <c r="M60" s="5" t="s">
        <v>21</v>
      </c>
      <c r="N60" s="5" t="s">
        <v>287</v>
      </c>
    </row>
    <row r="61" spans="1:14" ht="13.5">
      <c r="A61" s="3">
        <v>55</v>
      </c>
      <c r="B61" s="3" t="str">
        <f>"201900078821"</f>
        <v>201900078821</v>
      </c>
      <c r="C61" s="3" t="str">
        <f>"144009"</f>
        <v>144009</v>
      </c>
      <c r="D61" s="3" t="s">
        <v>288</v>
      </c>
      <c r="E61" s="3">
        <v>20600540859</v>
      </c>
      <c r="F61" s="3" t="s">
        <v>289</v>
      </c>
      <c r="G61" s="3" t="s">
        <v>290</v>
      </c>
      <c r="H61" s="3" t="s">
        <v>150</v>
      </c>
      <c r="I61" s="3" t="s">
        <v>151</v>
      </c>
      <c r="J61" s="3" t="s">
        <v>151</v>
      </c>
      <c r="K61" s="3" t="s">
        <v>36</v>
      </c>
      <c r="L61" s="4">
        <v>43617</v>
      </c>
      <c r="M61" s="3" t="s">
        <v>21</v>
      </c>
      <c r="N61" s="3" t="s">
        <v>291</v>
      </c>
    </row>
    <row r="62" spans="1:14" ht="27.75">
      <c r="A62" s="5">
        <v>56</v>
      </c>
      <c r="B62" s="5" t="str">
        <f>"201900078821"</f>
        <v>201900078821</v>
      </c>
      <c r="C62" s="5" t="str">
        <f>"144012"</f>
        <v>144012</v>
      </c>
      <c r="D62" s="5" t="s">
        <v>292</v>
      </c>
      <c r="E62" s="5">
        <v>20535439959</v>
      </c>
      <c r="F62" s="5" t="s">
        <v>293</v>
      </c>
      <c r="G62" s="5" t="s">
        <v>294</v>
      </c>
      <c r="H62" s="5" t="s">
        <v>150</v>
      </c>
      <c r="I62" s="5" t="s">
        <v>260</v>
      </c>
      <c r="J62" s="5" t="s">
        <v>150</v>
      </c>
      <c r="K62" s="5" t="s">
        <v>97</v>
      </c>
      <c r="L62" s="6">
        <v>43617</v>
      </c>
      <c r="M62" s="5" t="s">
        <v>21</v>
      </c>
      <c r="N62" s="5" t="s">
        <v>295</v>
      </c>
    </row>
    <row r="63" spans="1:14" ht="27.75">
      <c r="A63" s="3">
        <v>57</v>
      </c>
      <c r="B63" s="3" t="str">
        <f>"201900078821"</f>
        <v>201900078821</v>
      </c>
      <c r="C63" s="3" t="str">
        <f>"144011"</f>
        <v>144011</v>
      </c>
      <c r="D63" s="3" t="s">
        <v>296</v>
      </c>
      <c r="E63" s="3">
        <v>20533089292</v>
      </c>
      <c r="F63" s="3" t="s">
        <v>297</v>
      </c>
      <c r="G63" s="3" t="s">
        <v>298</v>
      </c>
      <c r="H63" s="3" t="s">
        <v>150</v>
      </c>
      <c r="I63" s="3" t="s">
        <v>260</v>
      </c>
      <c r="J63" s="3" t="s">
        <v>150</v>
      </c>
      <c r="K63" s="3" t="s">
        <v>51</v>
      </c>
      <c r="L63" s="4">
        <v>43617</v>
      </c>
      <c r="M63" s="3" t="s">
        <v>21</v>
      </c>
      <c r="N63" s="3" t="s">
        <v>299</v>
      </c>
    </row>
    <row r="64" spans="1:14" ht="27.75">
      <c r="A64" s="5">
        <v>58</v>
      </c>
      <c r="B64" s="5" t="str">
        <f>"201900078808"</f>
        <v>201900078808</v>
      </c>
      <c r="C64" s="5" t="str">
        <f>"143827"</f>
        <v>143827</v>
      </c>
      <c r="D64" s="5" t="s">
        <v>300</v>
      </c>
      <c r="E64" s="5">
        <v>20471973689</v>
      </c>
      <c r="F64" s="5" t="s">
        <v>301</v>
      </c>
      <c r="G64" s="5" t="s">
        <v>302</v>
      </c>
      <c r="H64" s="5" t="s">
        <v>18</v>
      </c>
      <c r="I64" s="5" t="s">
        <v>18</v>
      </c>
      <c r="J64" s="5" t="s">
        <v>303</v>
      </c>
      <c r="K64" s="5" t="s">
        <v>304</v>
      </c>
      <c r="L64" s="6">
        <v>43617</v>
      </c>
      <c r="M64" s="5" t="s">
        <v>21</v>
      </c>
      <c r="N64" s="5" t="s">
        <v>305</v>
      </c>
    </row>
    <row r="65" spans="1:14" ht="13.5">
      <c r="A65" s="3">
        <v>59</v>
      </c>
      <c r="B65" s="3" t="str">
        <f>"201900078808"</f>
        <v>201900078808</v>
      </c>
      <c r="C65" s="3" t="str">
        <f>"143828"</f>
        <v>143828</v>
      </c>
      <c r="D65" s="3" t="s">
        <v>306</v>
      </c>
      <c r="E65" s="3">
        <v>20487079635</v>
      </c>
      <c r="F65" s="3" t="s">
        <v>307</v>
      </c>
      <c r="G65" s="3" t="s">
        <v>308</v>
      </c>
      <c r="H65" s="3" t="s">
        <v>18</v>
      </c>
      <c r="I65" s="3" t="s">
        <v>18</v>
      </c>
      <c r="J65" s="3" t="s">
        <v>303</v>
      </c>
      <c r="K65" s="3" t="s">
        <v>51</v>
      </c>
      <c r="L65" s="4">
        <v>43617</v>
      </c>
      <c r="M65" s="3" t="s">
        <v>21</v>
      </c>
      <c r="N65" s="3" t="s">
        <v>309</v>
      </c>
    </row>
    <row r="66" spans="1:14" ht="97.5">
      <c r="A66" s="5">
        <v>60</v>
      </c>
      <c r="B66" s="5" t="str">
        <f>"201900163133"</f>
        <v>201900163133</v>
      </c>
      <c r="C66" s="5" t="str">
        <f>"143829"</f>
        <v>143829</v>
      </c>
      <c r="D66" s="5" t="s">
        <v>310</v>
      </c>
      <c r="E66" s="5">
        <v>20505663820</v>
      </c>
      <c r="F66" s="5" t="s">
        <v>311</v>
      </c>
      <c r="G66" s="5" t="s">
        <v>312</v>
      </c>
      <c r="H66" s="5" t="s">
        <v>18</v>
      </c>
      <c r="I66" s="5" t="s">
        <v>18</v>
      </c>
      <c r="J66" s="5" t="s">
        <v>303</v>
      </c>
      <c r="K66" s="5" t="s">
        <v>313</v>
      </c>
      <c r="L66" s="6">
        <v>43748</v>
      </c>
      <c r="M66" s="5" t="s">
        <v>21</v>
      </c>
      <c r="N66" s="5" t="s">
        <v>314</v>
      </c>
    </row>
    <row r="67" spans="1:14" ht="13.5">
      <c r="A67" s="3">
        <v>61</v>
      </c>
      <c r="B67" s="3" t="str">
        <f>"201900078808"</f>
        <v>201900078808</v>
      </c>
      <c r="C67" s="3" t="str">
        <f>"143830"</f>
        <v>143830</v>
      </c>
      <c r="D67" s="3" t="s">
        <v>315</v>
      </c>
      <c r="E67" s="3">
        <v>20505789092</v>
      </c>
      <c r="F67" s="3" t="s">
        <v>316</v>
      </c>
      <c r="G67" s="3" t="s">
        <v>317</v>
      </c>
      <c r="H67" s="3" t="s">
        <v>18</v>
      </c>
      <c r="I67" s="3" t="s">
        <v>18</v>
      </c>
      <c r="J67" s="3" t="s">
        <v>303</v>
      </c>
      <c r="K67" s="3" t="s">
        <v>51</v>
      </c>
      <c r="L67" s="4">
        <v>43617</v>
      </c>
      <c r="M67" s="3" t="s">
        <v>21</v>
      </c>
      <c r="N67" s="3" t="s">
        <v>318</v>
      </c>
    </row>
    <row r="68" spans="1:14" ht="42">
      <c r="A68" s="5">
        <v>62</v>
      </c>
      <c r="B68" s="5" t="str">
        <f>"201900078789"</f>
        <v>201900078789</v>
      </c>
      <c r="C68" s="5" t="str">
        <f>"143831"</f>
        <v>143831</v>
      </c>
      <c r="D68" s="5" t="s">
        <v>319</v>
      </c>
      <c r="E68" s="5">
        <v>20603963050</v>
      </c>
      <c r="F68" s="5" t="s">
        <v>320</v>
      </c>
      <c r="G68" s="5" t="s">
        <v>321</v>
      </c>
      <c r="H68" s="5" t="s">
        <v>322</v>
      </c>
      <c r="I68" s="5" t="s">
        <v>323</v>
      </c>
      <c r="J68" s="5" t="s">
        <v>324</v>
      </c>
      <c r="K68" s="5" t="s">
        <v>325</v>
      </c>
      <c r="L68" s="6">
        <v>43617</v>
      </c>
      <c r="M68" s="5" t="s">
        <v>21</v>
      </c>
      <c r="N68" s="5" t="s">
        <v>320</v>
      </c>
    </row>
    <row r="69" spans="1:14" ht="13.5">
      <c r="A69" s="3">
        <v>63</v>
      </c>
      <c r="B69" s="3" t="str">
        <f>"201900078808"</f>
        <v>201900078808</v>
      </c>
      <c r="C69" s="3" t="str">
        <f>"143832"</f>
        <v>143832</v>
      </c>
      <c r="D69" s="3" t="s">
        <v>326</v>
      </c>
      <c r="E69" s="3">
        <v>20518667891</v>
      </c>
      <c r="F69" s="3" t="s">
        <v>327</v>
      </c>
      <c r="G69" s="3" t="s">
        <v>328</v>
      </c>
      <c r="H69" s="3" t="s">
        <v>18</v>
      </c>
      <c r="I69" s="3" t="s">
        <v>18</v>
      </c>
      <c r="J69" s="3" t="s">
        <v>303</v>
      </c>
      <c r="K69" s="3" t="s">
        <v>36</v>
      </c>
      <c r="L69" s="4">
        <v>43617</v>
      </c>
      <c r="M69" s="3" t="s">
        <v>21</v>
      </c>
      <c r="N69" s="3" t="s">
        <v>329</v>
      </c>
    </row>
    <row r="70" spans="1:14" ht="55.5">
      <c r="A70" s="5">
        <v>64</v>
      </c>
      <c r="B70" s="5" t="str">
        <f>"202000044400"</f>
        <v>202000044400</v>
      </c>
      <c r="C70" s="5" t="str">
        <f>"149508"</f>
        <v>149508</v>
      </c>
      <c r="D70" s="5" t="s">
        <v>330</v>
      </c>
      <c r="E70" s="5">
        <v>20480666071</v>
      </c>
      <c r="F70" s="5" t="s">
        <v>331</v>
      </c>
      <c r="G70" s="5" t="s">
        <v>332</v>
      </c>
      <c r="H70" s="5" t="s">
        <v>333</v>
      </c>
      <c r="I70" s="5" t="s">
        <v>334</v>
      </c>
      <c r="J70" s="5" t="s">
        <v>334</v>
      </c>
      <c r="K70" s="5" t="s">
        <v>335</v>
      </c>
      <c r="L70" s="6">
        <v>43941</v>
      </c>
      <c r="M70" s="5" t="s">
        <v>21</v>
      </c>
      <c r="N70" s="5" t="s">
        <v>336</v>
      </c>
    </row>
    <row r="71" spans="1:14" ht="27.75">
      <c r="A71" s="3">
        <v>65</v>
      </c>
      <c r="B71" s="3" t="str">
        <f>"201900078808"</f>
        <v>201900078808</v>
      </c>
      <c r="C71" s="3" t="str">
        <f>"143833"</f>
        <v>143833</v>
      </c>
      <c r="D71" s="3" t="s">
        <v>337</v>
      </c>
      <c r="E71" s="3">
        <v>20541314378</v>
      </c>
      <c r="F71" s="3" t="s">
        <v>338</v>
      </c>
      <c r="G71" s="3" t="s">
        <v>339</v>
      </c>
      <c r="H71" s="3" t="s">
        <v>18</v>
      </c>
      <c r="I71" s="3" t="s">
        <v>18</v>
      </c>
      <c r="J71" s="3" t="s">
        <v>303</v>
      </c>
      <c r="K71" s="3" t="s">
        <v>51</v>
      </c>
      <c r="L71" s="4">
        <v>43617</v>
      </c>
      <c r="M71" s="3" t="s">
        <v>21</v>
      </c>
      <c r="N71" s="3" t="s">
        <v>340</v>
      </c>
    </row>
    <row r="72" spans="1:14" ht="13.5">
      <c r="A72" s="5">
        <v>66</v>
      </c>
      <c r="B72" s="5" t="str">
        <f>"201900078808"</f>
        <v>201900078808</v>
      </c>
      <c r="C72" s="5" t="str">
        <f>"143834"</f>
        <v>143834</v>
      </c>
      <c r="D72" s="5" t="s">
        <v>341</v>
      </c>
      <c r="E72" s="5">
        <v>20548665427</v>
      </c>
      <c r="F72" s="5" t="s">
        <v>342</v>
      </c>
      <c r="G72" s="5" t="s">
        <v>343</v>
      </c>
      <c r="H72" s="5" t="s">
        <v>18</v>
      </c>
      <c r="I72" s="5" t="s">
        <v>18</v>
      </c>
      <c r="J72" s="5" t="s">
        <v>303</v>
      </c>
      <c r="K72" s="5" t="s">
        <v>51</v>
      </c>
      <c r="L72" s="6">
        <v>43617</v>
      </c>
      <c r="M72" s="5" t="s">
        <v>21</v>
      </c>
      <c r="N72" s="5" t="s">
        <v>344</v>
      </c>
    </row>
    <row r="73" spans="1:14" ht="13.5">
      <c r="A73" s="3">
        <v>67</v>
      </c>
      <c r="B73" s="3" t="str">
        <f>"201900078830"</f>
        <v>201900078830</v>
      </c>
      <c r="C73" s="3" t="str">
        <f>"144030"</f>
        <v>144030</v>
      </c>
      <c r="D73" s="3" t="s">
        <v>345</v>
      </c>
      <c r="E73" s="3">
        <v>20483803797</v>
      </c>
      <c r="F73" s="3" t="s">
        <v>346</v>
      </c>
      <c r="G73" s="3" t="s">
        <v>347</v>
      </c>
      <c r="H73" s="3" t="s">
        <v>274</v>
      </c>
      <c r="I73" s="3" t="s">
        <v>348</v>
      </c>
      <c r="J73" s="3" t="s">
        <v>348</v>
      </c>
      <c r="K73" s="3" t="s">
        <v>51</v>
      </c>
      <c r="L73" s="4">
        <v>43617</v>
      </c>
      <c r="M73" s="3" t="s">
        <v>21</v>
      </c>
      <c r="N73" s="3" t="s">
        <v>349</v>
      </c>
    </row>
    <row r="74" spans="1:14" ht="97.5">
      <c r="A74" s="5">
        <v>68</v>
      </c>
      <c r="B74" s="5" t="str">
        <f>"202000044422"</f>
        <v>202000044422</v>
      </c>
      <c r="C74" s="5" t="str">
        <f>"149506"</f>
        <v>149506</v>
      </c>
      <c r="D74" s="5" t="s">
        <v>350</v>
      </c>
      <c r="E74" s="5">
        <v>20601482933</v>
      </c>
      <c r="F74" s="5" t="s">
        <v>351</v>
      </c>
      <c r="G74" s="5" t="s">
        <v>352</v>
      </c>
      <c r="H74" s="5" t="s">
        <v>333</v>
      </c>
      <c r="I74" s="5" t="s">
        <v>334</v>
      </c>
      <c r="J74" s="5" t="s">
        <v>334</v>
      </c>
      <c r="K74" s="5" t="s">
        <v>353</v>
      </c>
      <c r="L74" s="6">
        <v>43920</v>
      </c>
      <c r="M74" s="5" t="s">
        <v>21</v>
      </c>
      <c r="N74" s="5" t="s">
        <v>354</v>
      </c>
    </row>
    <row r="75" spans="1:14" ht="13.5">
      <c r="A75" s="3">
        <v>69</v>
      </c>
      <c r="B75" s="3" t="str">
        <f>"201900078830"</f>
        <v>201900078830</v>
      </c>
      <c r="C75" s="3" t="str">
        <f>"144029"</f>
        <v>144029</v>
      </c>
      <c r="D75" s="3" t="s">
        <v>355</v>
      </c>
      <c r="E75" s="3">
        <v>20440905383</v>
      </c>
      <c r="F75" s="3" t="s">
        <v>356</v>
      </c>
      <c r="G75" s="3" t="s">
        <v>357</v>
      </c>
      <c r="H75" s="3" t="s">
        <v>274</v>
      </c>
      <c r="I75" s="3" t="s">
        <v>348</v>
      </c>
      <c r="J75" s="3" t="s">
        <v>348</v>
      </c>
      <c r="K75" s="3" t="s">
        <v>97</v>
      </c>
      <c r="L75" s="4">
        <v>43617</v>
      </c>
      <c r="M75" s="3" t="s">
        <v>21</v>
      </c>
      <c r="N75" s="3" t="s">
        <v>358</v>
      </c>
    </row>
    <row r="76" spans="1:14" ht="13.5">
      <c r="A76" s="5">
        <v>70</v>
      </c>
      <c r="B76" s="5" t="str">
        <f>"201900078808"</f>
        <v>201900078808</v>
      </c>
      <c r="C76" s="5" t="str">
        <f>"143835"</f>
        <v>143835</v>
      </c>
      <c r="D76" s="5" t="s">
        <v>359</v>
      </c>
      <c r="E76" s="5">
        <v>20554278281</v>
      </c>
      <c r="F76" s="5" t="s">
        <v>360</v>
      </c>
      <c r="G76" s="5" t="s">
        <v>361</v>
      </c>
      <c r="H76" s="5" t="s">
        <v>18</v>
      </c>
      <c r="I76" s="5" t="s">
        <v>18</v>
      </c>
      <c r="J76" s="5" t="s">
        <v>303</v>
      </c>
      <c r="K76" s="5" t="s">
        <v>51</v>
      </c>
      <c r="L76" s="6">
        <v>43617</v>
      </c>
      <c r="M76" s="5" t="s">
        <v>21</v>
      </c>
      <c r="N76" s="5" t="s">
        <v>362</v>
      </c>
    </row>
    <row r="77" spans="1:14" ht="13.5">
      <c r="A77" s="3">
        <v>71</v>
      </c>
      <c r="B77" s="3" t="str">
        <f>"201900078808"</f>
        <v>201900078808</v>
      </c>
      <c r="C77" s="3" t="str">
        <f>"143836"</f>
        <v>143836</v>
      </c>
      <c r="D77" s="3" t="s">
        <v>363</v>
      </c>
      <c r="E77" s="3">
        <v>20556916811</v>
      </c>
      <c r="F77" s="3" t="s">
        <v>364</v>
      </c>
      <c r="G77" s="3" t="s">
        <v>365</v>
      </c>
      <c r="H77" s="3" t="s">
        <v>18</v>
      </c>
      <c r="I77" s="3" t="s">
        <v>18</v>
      </c>
      <c r="J77" s="3" t="s">
        <v>303</v>
      </c>
      <c r="K77" s="3" t="s">
        <v>51</v>
      </c>
      <c r="L77" s="4">
        <v>43617</v>
      </c>
      <c r="M77" s="3" t="s">
        <v>21</v>
      </c>
      <c r="N77" s="3" t="s">
        <v>366</v>
      </c>
    </row>
    <row r="78" spans="1:14" ht="69.75">
      <c r="A78" s="5">
        <v>72</v>
      </c>
      <c r="B78" s="5" t="str">
        <f>"202000147363"</f>
        <v>202000147363</v>
      </c>
      <c r="C78" s="5" t="str">
        <f>"144028"</f>
        <v>144028</v>
      </c>
      <c r="D78" s="5" t="s">
        <v>367</v>
      </c>
      <c r="E78" s="5">
        <v>20530141510</v>
      </c>
      <c r="F78" s="5" t="s">
        <v>368</v>
      </c>
      <c r="G78" s="5" t="s">
        <v>369</v>
      </c>
      <c r="H78" s="5" t="s">
        <v>274</v>
      </c>
      <c r="I78" s="5" t="s">
        <v>370</v>
      </c>
      <c r="J78" s="5" t="s">
        <v>371</v>
      </c>
      <c r="K78" s="5" t="s">
        <v>372</v>
      </c>
      <c r="L78" s="6">
        <v>44127</v>
      </c>
      <c r="M78" s="5" t="s">
        <v>21</v>
      </c>
      <c r="N78" s="5" t="s">
        <v>373</v>
      </c>
    </row>
    <row r="79" spans="1:14" ht="13.5">
      <c r="A79" s="3">
        <v>73</v>
      </c>
      <c r="B79" s="3" t="str">
        <f>"201900078830"</f>
        <v>201900078830</v>
      </c>
      <c r="C79" s="3" t="str">
        <f>"144027"</f>
        <v>144027</v>
      </c>
      <c r="D79" s="3" t="s">
        <v>374</v>
      </c>
      <c r="E79" s="3">
        <v>20492776018</v>
      </c>
      <c r="F79" s="3" t="s">
        <v>375</v>
      </c>
      <c r="G79" s="3" t="s">
        <v>376</v>
      </c>
      <c r="H79" s="3" t="s">
        <v>274</v>
      </c>
      <c r="I79" s="3" t="s">
        <v>370</v>
      </c>
      <c r="J79" s="3" t="s">
        <v>377</v>
      </c>
      <c r="K79" s="3" t="s">
        <v>36</v>
      </c>
      <c r="L79" s="4">
        <v>43617</v>
      </c>
      <c r="M79" s="3" t="s">
        <v>21</v>
      </c>
      <c r="N79" s="3" t="s">
        <v>378</v>
      </c>
    </row>
    <row r="80" spans="1:14" ht="13.5">
      <c r="A80" s="5">
        <v>74</v>
      </c>
      <c r="B80" s="5" t="str">
        <f>"201900078824"</f>
        <v>201900078824</v>
      </c>
      <c r="C80" s="5" t="str">
        <f>"144022"</f>
        <v>144022</v>
      </c>
      <c r="D80" s="5" t="s">
        <v>379</v>
      </c>
      <c r="E80" s="5">
        <v>20489266068</v>
      </c>
      <c r="F80" s="5" t="s">
        <v>380</v>
      </c>
      <c r="G80" s="5" t="s">
        <v>381</v>
      </c>
      <c r="H80" s="5" t="s">
        <v>215</v>
      </c>
      <c r="I80" s="5" t="s">
        <v>215</v>
      </c>
      <c r="J80" s="5" t="s">
        <v>382</v>
      </c>
      <c r="K80" s="5" t="s">
        <v>97</v>
      </c>
      <c r="L80" s="6">
        <v>43617</v>
      </c>
      <c r="M80" s="5" t="s">
        <v>21</v>
      </c>
      <c r="N80" s="5" t="s">
        <v>383</v>
      </c>
    </row>
    <row r="81" spans="1:14" ht="13.5">
      <c r="A81" s="3">
        <v>75</v>
      </c>
      <c r="B81" s="3" t="str">
        <f>"201900078824"</f>
        <v>201900078824</v>
      </c>
      <c r="C81" s="3" t="str">
        <f>"144023"</f>
        <v>144023</v>
      </c>
      <c r="D81" s="3" t="s">
        <v>384</v>
      </c>
      <c r="E81" s="3">
        <v>20489441757</v>
      </c>
      <c r="F81" s="3" t="s">
        <v>385</v>
      </c>
      <c r="G81" s="3" t="s">
        <v>386</v>
      </c>
      <c r="H81" s="3" t="s">
        <v>215</v>
      </c>
      <c r="I81" s="3" t="s">
        <v>215</v>
      </c>
      <c r="J81" s="3" t="s">
        <v>382</v>
      </c>
      <c r="K81" s="3" t="s">
        <v>97</v>
      </c>
      <c r="L81" s="4">
        <v>43617</v>
      </c>
      <c r="M81" s="3" t="s">
        <v>21</v>
      </c>
      <c r="N81" s="3" t="s">
        <v>387</v>
      </c>
    </row>
    <row r="82" spans="1:14" ht="13.5">
      <c r="A82" s="5">
        <v>76</v>
      </c>
      <c r="B82" s="5" t="str">
        <f>"201900078824"</f>
        <v>201900078824</v>
      </c>
      <c r="C82" s="5" t="str">
        <f>"144020"</f>
        <v>144020</v>
      </c>
      <c r="D82" s="5" t="s">
        <v>388</v>
      </c>
      <c r="E82" s="5">
        <v>20489466822</v>
      </c>
      <c r="F82" s="5" t="s">
        <v>389</v>
      </c>
      <c r="G82" s="5" t="s">
        <v>390</v>
      </c>
      <c r="H82" s="5" t="s">
        <v>215</v>
      </c>
      <c r="I82" s="5" t="s">
        <v>215</v>
      </c>
      <c r="J82" s="5" t="s">
        <v>391</v>
      </c>
      <c r="K82" s="5" t="s">
        <v>51</v>
      </c>
      <c r="L82" s="6">
        <v>43617</v>
      </c>
      <c r="M82" s="5" t="s">
        <v>21</v>
      </c>
      <c r="N82" s="5" t="s">
        <v>392</v>
      </c>
    </row>
    <row r="83" spans="1:14" ht="13.5">
      <c r="A83" s="3">
        <v>77</v>
      </c>
      <c r="B83" s="3" t="str">
        <f>"201900078824"</f>
        <v>201900078824</v>
      </c>
      <c r="C83" s="3" t="str">
        <f>"144021"</f>
        <v>144021</v>
      </c>
      <c r="D83" s="3" t="s">
        <v>393</v>
      </c>
      <c r="E83" s="3">
        <v>10040721172</v>
      </c>
      <c r="F83" s="3" t="s">
        <v>394</v>
      </c>
      <c r="G83" s="3" t="s">
        <v>395</v>
      </c>
      <c r="H83" s="3" t="s">
        <v>215</v>
      </c>
      <c r="I83" s="3" t="s">
        <v>215</v>
      </c>
      <c r="J83" s="3" t="s">
        <v>382</v>
      </c>
      <c r="K83" s="3" t="s">
        <v>97</v>
      </c>
      <c r="L83" s="4">
        <v>43617</v>
      </c>
      <c r="M83" s="3" t="s">
        <v>21</v>
      </c>
      <c r="N83" s="3" t="s">
        <v>396</v>
      </c>
    </row>
    <row r="84" spans="1:14" ht="27.75">
      <c r="A84" s="5">
        <v>78</v>
      </c>
      <c r="B84" s="5" t="str">
        <f>"201900078830"</f>
        <v>201900078830</v>
      </c>
      <c r="C84" s="5" t="str">
        <f>"144026"</f>
        <v>144026</v>
      </c>
      <c r="D84" s="5" t="s">
        <v>397</v>
      </c>
      <c r="E84" s="5">
        <v>10032379589</v>
      </c>
      <c r="F84" s="5" t="s">
        <v>398</v>
      </c>
      <c r="G84" s="5" t="s">
        <v>399</v>
      </c>
      <c r="H84" s="5" t="s">
        <v>274</v>
      </c>
      <c r="I84" s="5" t="s">
        <v>400</v>
      </c>
      <c r="J84" s="5" t="s">
        <v>401</v>
      </c>
      <c r="K84" s="5" t="s">
        <v>97</v>
      </c>
      <c r="L84" s="6">
        <v>43617</v>
      </c>
      <c r="M84" s="5" t="s">
        <v>21</v>
      </c>
      <c r="N84" s="5" t="s">
        <v>398</v>
      </c>
    </row>
    <row r="85" spans="1:14" ht="13.5">
      <c r="A85" s="3">
        <v>79</v>
      </c>
      <c r="B85" s="3" t="str">
        <f>"201900078824"</f>
        <v>201900078824</v>
      </c>
      <c r="C85" s="3" t="str">
        <f>"144024"</f>
        <v>144024</v>
      </c>
      <c r="D85" s="3" t="s">
        <v>402</v>
      </c>
      <c r="E85" s="3">
        <v>20600976592</v>
      </c>
      <c r="F85" s="3" t="s">
        <v>403</v>
      </c>
      <c r="G85" s="3" t="s">
        <v>404</v>
      </c>
      <c r="H85" s="3" t="s">
        <v>215</v>
      </c>
      <c r="I85" s="3" t="s">
        <v>215</v>
      </c>
      <c r="J85" s="3" t="s">
        <v>382</v>
      </c>
      <c r="K85" s="3" t="s">
        <v>36</v>
      </c>
      <c r="L85" s="4">
        <v>43617</v>
      </c>
      <c r="M85" s="3" t="s">
        <v>21</v>
      </c>
      <c r="N85" s="3" t="s">
        <v>405</v>
      </c>
    </row>
    <row r="86" spans="1:14" ht="13.5">
      <c r="A86" s="5">
        <v>80</v>
      </c>
      <c r="B86" s="5" t="str">
        <f>"202000058208"</f>
        <v>202000058208</v>
      </c>
      <c r="C86" s="5" t="str">
        <f>"144025"</f>
        <v>144025</v>
      </c>
      <c r="D86" s="5" t="s">
        <v>406</v>
      </c>
      <c r="E86" s="5">
        <v>10456817241</v>
      </c>
      <c r="F86" s="5" t="s">
        <v>407</v>
      </c>
      <c r="G86" s="5" t="s">
        <v>408</v>
      </c>
      <c r="H86" s="5" t="s">
        <v>274</v>
      </c>
      <c r="I86" s="5" t="s">
        <v>409</v>
      </c>
      <c r="J86" s="5" t="s">
        <v>410</v>
      </c>
      <c r="K86" s="5" t="s">
        <v>36</v>
      </c>
      <c r="L86" s="6">
        <v>43973</v>
      </c>
      <c r="M86" s="5" t="s">
        <v>21</v>
      </c>
      <c r="N86" s="5" t="s">
        <v>407</v>
      </c>
    </row>
    <row r="87" spans="1:14" ht="42">
      <c r="A87" s="3">
        <v>81</v>
      </c>
      <c r="B87" s="3" t="str">
        <f>"201900109068"</f>
        <v>201900109068</v>
      </c>
      <c r="C87" s="3" t="str">
        <f>"145140"</f>
        <v>145140</v>
      </c>
      <c r="D87" s="3" t="s">
        <v>411</v>
      </c>
      <c r="E87" s="3">
        <v>20525562795</v>
      </c>
      <c r="F87" s="3" t="s">
        <v>412</v>
      </c>
      <c r="G87" s="3" t="s">
        <v>413</v>
      </c>
      <c r="H87" s="3" t="s">
        <v>274</v>
      </c>
      <c r="I87" s="3" t="s">
        <v>414</v>
      </c>
      <c r="J87" s="3" t="s">
        <v>415</v>
      </c>
      <c r="K87" s="3" t="s">
        <v>416</v>
      </c>
      <c r="L87" s="4">
        <v>43662</v>
      </c>
      <c r="M87" s="3" t="s">
        <v>21</v>
      </c>
      <c r="N87" s="3" t="s">
        <v>417</v>
      </c>
    </row>
    <row r="88" spans="1:14" ht="42">
      <c r="A88" s="5">
        <v>82</v>
      </c>
      <c r="B88" s="5" t="str">
        <f>"202000044133"</f>
        <v>202000044133</v>
      </c>
      <c r="C88" s="5" t="str">
        <f>"149498"</f>
        <v>149498</v>
      </c>
      <c r="D88" s="5" t="s">
        <v>418</v>
      </c>
      <c r="E88" s="5">
        <v>20555145340</v>
      </c>
      <c r="F88" s="5" t="s">
        <v>419</v>
      </c>
      <c r="G88" s="5" t="s">
        <v>420</v>
      </c>
      <c r="H88" s="5" t="s">
        <v>18</v>
      </c>
      <c r="I88" s="5" t="s">
        <v>18</v>
      </c>
      <c r="J88" s="5" t="s">
        <v>18</v>
      </c>
      <c r="K88" s="5" t="s">
        <v>421</v>
      </c>
      <c r="L88" s="6">
        <v>43972</v>
      </c>
      <c r="M88" s="5" t="s">
        <v>21</v>
      </c>
      <c r="N88" s="5" t="s">
        <v>422</v>
      </c>
    </row>
    <row r="89" spans="1:14" ht="69.75">
      <c r="A89" s="3">
        <v>83</v>
      </c>
      <c r="B89" s="3" t="str">
        <f>"202000001502"</f>
        <v>202000001502</v>
      </c>
      <c r="C89" s="3" t="str">
        <f>"144031"</f>
        <v>144031</v>
      </c>
      <c r="D89" s="3" t="s">
        <v>423</v>
      </c>
      <c r="E89" s="3">
        <v>20484277401</v>
      </c>
      <c r="F89" s="3" t="s">
        <v>424</v>
      </c>
      <c r="G89" s="3" t="s">
        <v>425</v>
      </c>
      <c r="H89" s="3" t="s">
        <v>274</v>
      </c>
      <c r="I89" s="3" t="s">
        <v>348</v>
      </c>
      <c r="J89" s="3" t="s">
        <v>348</v>
      </c>
      <c r="K89" s="3" t="s">
        <v>426</v>
      </c>
      <c r="L89" s="4">
        <v>43844</v>
      </c>
      <c r="M89" s="3" t="s">
        <v>21</v>
      </c>
      <c r="N89" s="3" t="s">
        <v>427</v>
      </c>
    </row>
    <row r="90" spans="1:14" ht="13.5">
      <c r="A90" s="5">
        <v>84</v>
      </c>
      <c r="B90" s="5" t="str">
        <f>"201900078683"</f>
        <v>201900078683</v>
      </c>
      <c r="C90" s="5" t="str">
        <f>"143429"</f>
        <v>143429</v>
      </c>
      <c r="D90" s="5" t="s">
        <v>428</v>
      </c>
      <c r="E90" s="5">
        <v>10406383704</v>
      </c>
      <c r="F90" s="5" t="s">
        <v>429</v>
      </c>
      <c r="G90" s="5" t="s">
        <v>430</v>
      </c>
      <c r="H90" s="5" t="s">
        <v>160</v>
      </c>
      <c r="I90" s="5" t="s">
        <v>161</v>
      </c>
      <c r="J90" s="5" t="s">
        <v>162</v>
      </c>
      <c r="K90" s="5" t="s">
        <v>97</v>
      </c>
      <c r="L90" s="6">
        <v>43617</v>
      </c>
      <c r="M90" s="5" t="s">
        <v>21</v>
      </c>
      <c r="N90" s="5" t="s">
        <v>429</v>
      </c>
    </row>
    <row r="91" spans="1:14" ht="27.75">
      <c r="A91" s="3">
        <v>85</v>
      </c>
      <c r="B91" s="3" t="str">
        <f>"201900078683"</f>
        <v>201900078683</v>
      </c>
      <c r="C91" s="3" t="str">
        <f>"143428"</f>
        <v>143428</v>
      </c>
      <c r="D91" s="3" t="s">
        <v>431</v>
      </c>
      <c r="E91" s="3">
        <v>20602847889</v>
      </c>
      <c r="F91" s="3" t="s">
        <v>432</v>
      </c>
      <c r="G91" s="3" t="s">
        <v>433</v>
      </c>
      <c r="H91" s="3" t="s">
        <v>160</v>
      </c>
      <c r="I91" s="3" t="s">
        <v>161</v>
      </c>
      <c r="J91" s="3" t="s">
        <v>434</v>
      </c>
      <c r="K91" s="3" t="s">
        <v>51</v>
      </c>
      <c r="L91" s="4">
        <v>43617</v>
      </c>
      <c r="M91" s="3" t="s">
        <v>21</v>
      </c>
      <c r="N91" s="3" t="s">
        <v>435</v>
      </c>
    </row>
    <row r="92" spans="1:14" ht="13.5">
      <c r="A92" s="5">
        <v>86</v>
      </c>
      <c r="B92" s="5" t="str">
        <f>"201900110314"</f>
        <v>201900110314</v>
      </c>
      <c r="C92" s="5" t="str">
        <f>"145137"</f>
        <v>145137</v>
      </c>
      <c r="D92" s="5" t="s">
        <v>436</v>
      </c>
      <c r="E92" s="5">
        <v>20480682948</v>
      </c>
      <c r="F92" s="5" t="s">
        <v>437</v>
      </c>
      <c r="G92" s="5" t="s">
        <v>438</v>
      </c>
      <c r="H92" s="5" t="s">
        <v>333</v>
      </c>
      <c r="I92" s="5" t="s">
        <v>334</v>
      </c>
      <c r="J92" s="5" t="s">
        <v>334</v>
      </c>
      <c r="K92" s="5" t="s">
        <v>51</v>
      </c>
      <c r="L92" s="6">
        <v>43661</v>
      </c>
      <c r="M92" s="5" t="s">
        <v>21</v>
      </c>
      <c r="N92" s="5" t="s">
        <v>439</v>
      </c>
    </row>
    <row r="93" spans="1:14" ht="27.75">
      <c r="A93" s="3">
        <v>87</v>
      </c>
      <c r="B93" s="3" t="str">
        <f>"201900078830"</f>
        <v>201900078830</v>
      </c>
      <c r="C93" s="3" t="str">
        <f>"144032"</f>
        <v>144032</v>
      </c>
      <c r="D93" s="3" t="s">
        <v>440</v>
      </c>
      <c r="E93" s="3">
        <v>20525873367</v>
      </c>
      <c r="F93" s="3" t="s">
        <v>441</v>
      </c>
      <c r="G93" s="3" t="s">
        <v>442</v>
      </c>
      <c r="H93" s="3" t="s">
        <v>274</v>
      </c>
      <c r="I93" s="3" t="s">
        <v>348</v>
      </c>
      <c r="J93" s="3" t="s">
        <v>348</v>
      </c>
      <c r="K93" s="3" t="s">
        <v>443</v>
      </c>
      <c r="L93" s="4">
        <v>43617</v>
      </c>
      <c r="M93" s="3" t="s">
        <v>21</v>
      </c>
      <c r="N93" s="3" t="s">
        <v>358</v>
      </c>
    </row>
    <row r="94" spans="1:14" ht="27.75">
      <c r="A94" s="5">
        <v>88</v>
      </c>
      <c r="B94" s="5" t="str">
        <f>"201900078683"</f>
        <v>201900078683</v>
      </c>
      <c r="C94" s="5" t="str">
        <f>"143427"</f>
        <v>143427</v>
      </c>
      <c r="D94" s="5" t="s">
        <v>444</v>
      </c>
      <c r="E94" s="5">
        <v>10249915063</v>
      </c>
      <c r="F94" s="5" t="s">
        <v>445</v>
      </c>
      <c r="G94" s="5" t="s">
        <v>446</v>
      </c>
      <c r="H94" s="5" t="s">
        <v>160</v>
      </c>
      <c r="I94" s="5" t="s">
        <v>161</v>
      </c>
      <c r="J94" s="5" t="s">
        <v>447</v>
      </c>
      <c r="K94" s="5" t="s">
        <v>137</v>
      </c>
      <c r="L94" s="6">
        <v>43617</v>
      </c>
      <c r="M94" s="5" t="s">
        <v>21</v>
      </c>
      <c r="N94" s="5" t="s">
        <v>448</v>
      </c>
    </row>
    <row r="95" spans="1:14" ht="27.75">
      <c r="A95" s="3">
        <v>89</v>
      </c>
      <c r="B95" s="3" t="str">
        <f>"201900078830"</f>
        <v>201900078830</v>
      </c>
      <c r="C95" s="3" t="str">
        <f>"144033"</f>
        <v>144033</v>
      </c>
      <c r="D95" s="3" t="s">
        <v>449</v>
      </c>
      <c r="E95" s="3">
        <v>20526118490</v>
      </c>
      <c r="F95" s="3" t="s">
        <v>450</v>
      </c>
      <c r="G95" s="3" t="s">
        <v>451</v>
      </c>
      <c r="H95" s="3" t="s">
        <v>274</v>
      </c>
      <c r="I95" s="3" t="s">
        <v>348</v>
      </c>
      <c r="J95" s="3" t="s">
        <v>348</v>
      </c>
      <c r="K95" s="3" t="s">
        <v>137</v>
      </c>
      <c r="L95" s="4">
        <v>43617</v>
      </c>
      <c r="M95" s="3" t="s">
        <v>21</v>
      </c>
      <c r="N95" s="3" t="s">
        <v>452</v>
      </c>
    </row>
    <row r="96" spans="1:14" ht="13.5">
      <c r="A96" s="5">
        <v>90</v>
      </c>
      <c r="B96" s="5" t="str">
        <f>"202000098852"</f>
        <v>202000098852</v>
      </c>
      <c r="C96" s="5" t="str">
        <f>"144034"</f>
        <v>144034</v>
      </c>
      <c r="D96" s="5" t="s">
        <v>453</v>
      </c>
      <c r="E96" s="5">
        <v>20526125518</v>
      </c>
      <c r="F96" s="5" t="s">
        <v>454</v>
      </c>
      <c r="G96" s="5" t="s">
        <v>455</v>
      </c>
      <c r="H96" s="5" t="s">
        <v>274</v>
      </c>
      <c r="I96" s="5" t="s">
        <v>348</v>
      </c>
      <c r="J96" s="5" t="s">
        <v>348</v>
      </c>
      <c r="K96" s="5" t="s">
        <v>36</v>
      </c>
      <c r="L96" s="6">
        <v>44053</v>
      </c>
      <c r="M96" s="5" t="s">
        <v>21</v>
      </c>
      <c r="N96" s="5" t="s">
        <v>456</v>
      </c>
    </row>
    <row r="97" spans="1:14" ht="13.5">
      <c r="A97" s="3">
        <v>91</v>
      </c>
      <c r="B97" s="3" t="str">
        <f>"201900078830"</f>
        <v>201900078830</v>
      </c>
      <c r="C97" s="3" t="str">
        <f>"144035"</f>
        <v>144035</v>
      </c>
      <c r="D97" s="3" t="s">
        <v>457</v>
      </c>
      <c r="E97" s="3">
        <v>20526484674</v>
      </c>
      <c r="F97" s="3" t="s">
        <v>458</v>
      </c>
      <c r="G97" s="3" t="s">
        <v>459</v>
      </c>
      <c r="H97" s="3" t="s">
        <v>274</v>
      </c>
      <c r="I97" s="3" t="s">
        <v>348</v>
      </c>
      <c r="J97" s="3" t="s">
        <v>348</v>
      </c>
      <c r="K97" s="3" t="s">
        <v>97</v>
      </c>
      <c r="L97" s="4">
        <v>43617</v>
      </c>
      <c r="M97" s="3" t="s">
        <v>21</v>
      </c>
      <c r="N97" s="3" t="s">
        <v>460</v>
      </c>
    </row>
    <row r="98" spans="1:14" ht="27.75">
      <c r="A98" s="5">
        <v>92</v>
      </c>
      <c r="B98" s="5" t="str">
        <f>"201900078683"</f>
        <v>201900078683</v>
      </c>
      <c r="C98" s="5" t="str">
        <f>"143433"</f>
        <v>143433</v>
      </c>
      <c r="D98" s="5" t="s">
        <v>461</v>
      </c>
      <c r="E98" s="5">
        <v>10239951321</v>
      </c>
      <c r="F98" s="5" t="s">
        <v>462</v>
      </c>
      <c r="G98" s="5" t="s">
        <v>463</v>
      </c>
      <c r="H98" s="5" t="s">
        <v>160</v>
      </c>
      <c r="I98" s="5" t="s">
        <v>464</v>
      </c>
      <c r="J98" s="5" t="s">
        <v>465</v>
      </c>
      <c r="K98" s="5" t="s">
        <v>36</v>
      </c>
      <c r="L98" s="6">
        <v>43617</v>
      </c>
      <c r="M98" s="5" t="s">
        <v>21</v>
      </c>
      <c r="N98" s="5" t="s">
        <v>462</v>
      </c>
    </row>
    <row r="99" spans="1:14" ht="27.75">
      <c r="A99" s="3">
        <v>93</v>
      </c>
      <c r="B99" s="3" t="str">
        <f>"201900078683"</f>
        <v>201900078683</v>
      </c>
      <c r="C99" s="3" t="str">
        <f>"143432"</f>
        <v>143432</v>
      </c>
      <c r="D99" s="3" t="s">
        <v>466</v>
      </c>
      <c r="E99" s="3">
        <v>20603937512</v>
      </c>
      <c r="F99" s="3" t="s">
        <v>467</v>
      </c>
      <c r="G99" s="3" t="s">
        <v>468</v>
      </c>
      <c r="H99" s="3" t="s">
        <v>160</v>
      </c>
      <c r="I99" s="3" t="s">
        <v>464</v>
      </c>
      <c r="J99" s="3" t="s">
        <v>469</v>
      </c>
      <c r="K99" s="3" t="s">
        <v>36</v>
      </c>
      <c r="L99" s="4">
        <v>43617</v>
      </c>
      <c r="M99" s="3" t="s">
        <v>21</v>
      </c>
      <c r="N99" s="3" t="s">
        <v>470</v>
      </c>
    </row>
    <row r="100" spans="1:14" ht="13.5">
      <c r="A100" s="5">
        <v>94</v>
      </c>
      <c r="B100" s="5" t="str">
        <f>"201900078830"</f>
        <v>201900078830</v>
      </c>
      <c r="C100" s="5" t="str">
        <f>"144036"</f>
        <v>144036</v>
      </c>
      <c r="D100" s="5" t="s">
        <v>471</v>
      </c>
      <c r="E100" s="5">
        <v>20526693753</v>
      </c>
      <c r="F100" s="5" t="s">
        <v>472</v>
      </c>
      <c r="G100" s="5" t="s">
        <v>473</v>
      </c>
      <c r="H100" s="5" t="s">
        <v>274</v>
      </c>
      <c r="I100" s="5" t="s">
        <v>348</v>
      </c>
      <c r="J100" s="5" t="s">
        <v>348</v>
      </c>
      <c r="K100" s="5" t="s">
        <v>97</v>
      </c>
      <c r="L100" s="6">
        <v>43617</v>
      </c>
      <c r="M100" s="5" t="s">
        <v>21</v>
      </c>
      <c r="N100" s="5" t="s">
        <v>474</v>
      </c>
    </row>
    <row r="101" spans="1:14" ht="13.5">
      <c r="A101" s="3">
        <v>95</v>
      </c>
      <c r="B101" s="3" t="str">
        <f>"201900078683"</f>
        <v>201900078683</v>
      </c>
      <c r="C101" s="3" t="str">
        <f>"143431"</f>
        <v>143431</v>
      </c>
      <c r="D101" s="3" t="s">
        <v>475</v>
      </c>
      <c r="E101" s="3">
        <v>20527144869</v>
      </c>
      <c r="F101" s="3" t="s">
        <v>476</v>
      </c>
      <c r="G101" s="3" t="s">
        <v>477</v>
      </c>
      <c r="H101" s="3" t="s">
        <v>160</v>
      </c>
      <c r="I101" s="3" t="s">
        <v>161</v>
      </c>
      <c r="J101" s="3" t="s">
        <v>162</v>
      </c>
      <c r="K101" s="3" t="s">
        <v>97</v>
      </c>
      <c r="L101" s="4">
        <v>43617</v>
      </c>
      <c r="M101" s="3" t="s">
        <v>21</v>
      </c>
      <c r="N101" s="3" t="s">
        <v>478</v>
      </c>
    </row>
    <row r="102" spans="1:14" ht="13.5">
      <c r="A102" s="5">
        <v>96</v>
      </c>
      <c r="B102" s="5" t="str">
        <f>"201900078683"</f>
        <v>201900078683</v>
      </c>
      <c r="C102" s="5" t="str">
        <f>"143430"</f>
        <v>143430</v>
      </c>
      <c r="D102" s="5" t="s">
        <v>479</v>
      </c>
      <c r="E102" s="5">
        <v>20450505723</v>
      </c>
      <c r="F102" s="5" t="s">
        <v>480</v>
      </c>
      <c r="G102" s="5" t="s">
        <v>481</v>
      </c>
      <c r="H102" s="5" t="s">
        <v>160</v>
      </c>
      <c r="I102" s="5" t="s">
        <v>161</v>
      </c>
      <c r="J102" s="5" t="s">
        <v>162</v>
      </c>
      <c r="K102" s="5" t="s">
        <v>97</v>
      </c>
      <c r="L102" s="6">
        <v>43617</v>
      </c>
      <c r="M102" s="5" t="s">
        <v>21</v>
      </c>
      <c r="N102" s="5" t="s">
        <v>482</v>
      </c>
    </row>
    <row r="103" spans="1:14" ht="27.75">
      <c r="A103" s="3">
        <v>97</v>
      </c>
      <c r="B103" s="3" t="str">
        <f>"201900078683"</f>
        <v>201900078683</v>
      </c>
      <c r="C103" s="3" t="str">
        <f>"143436"</f>
        <v>143436</v>
      </c>
      <c r="D103" s="3" t="s">
        <v>483</v>
      </c>
      <c r="E103" s="3">
        <v>10441182444</v>
      </c>
      <c r="F103" s="3" t="s">
        <v>484</v>
      </c>
      <c r="G103" s="3" t="s">
        <v>485</v>
      </c>
      <c r="H103" s="3" t="s">
        <v>160</v>
      </c>
      <c r="I103" s="3" t="s">
        <v>486</v>
      </c>
      <c r="J103" s="3" t="s">
        <v>487</v>
      </c>
      <c r="K103" s="3" t="s">
        <v>36</v>
      </c>
      <c r="L103" s="4">
        <v>43617</v>
      </c>
      <c r="M103" s="3" t="s">
        <v>21</v>
      </c>
      <c r="N103" s="3" t="s">
        <v>484</v>
      </c>
    </row>
    <row r="104" spans="1:14" ht="13.5">
      <c r="A104" s="5">
        <v>98</v>
      </c>
      <c r="B104" s="5" t="str">
        <f>"201900078683"</f>
        <v>201900078683</v>
      </c>
      <c r="C104" s="5" t="str">
        <f>"143435"</f>
        <v>143435</v>
      </c>
      <c r="D104" s="5" t="s">
        <v>488</v>
      </c>
      <c r="E104" s="5">
        <v>10247185173</v>
      </c>
      <c r="F104" s="5" t="s">
        <v>489</v>
      </c>
      <c r="G104" s="5" t="s">
        <v>490</v>
      </c>
      <c r="H104" s="5" t="s">
        <v>160</v>
      </c>
      <c r="I104" s="5" t="s">
        <v>486</v>
      </c>
      <c r="J104" s="5" t="s">
        <v>487</v>
      </c>
      <c r="K104" s="5" t="s">
        <v>36</v>
      </c>
      <c r="L104" s="6">
        <v>43617</v>
      </c>
      <c r="M104" s="5" t="s">
        <v>21</v>
      </c>
      <c r="N104" s="5" t="s">
        <v>489</v>
      </c>
    </row>
    <row r="105" spans="1:14" ht="13.5">
      <c r="A105" s="3">
        <v>99</v>
      </c>
      <c r="B105" s="3" t="str">
        <f>"201900078683"</f>
        <v>201900078683</v>
      </c>
      <c r="C105" s="3" t="str">
        <f>"143434"</f>
        <v>143434</v>
      </c>
      <c r="D105" s="3" t="s">
        <v>491</v>
      </c>
      <c r="E105" s="3">
        <v>10420454631</v>
      </c>
      <c r="F105" s="3" t="s">
        <v>492</v>
      </c>
      <c r="G105" s="3" t="s">
        <v>493</v>
      </c>
      <c r="H105" s="3" t="s">
        <v>160</v>
      </c>
      <c r="I105" s="3" t="s">
        <v>494</v>
      </c>
      <c r="J105" s="3" t="s">
        <v>494</v>
      </c>
      <c r="K105" s="3" t="s">
        <v>36</v>
      </c>
      <c r="L105" s="4">
        <v>43617</v>
      </c>
      <c r="M105" s="3" t="s">
        <v>21</v>
      </c>
      <c r="N105" s="3" t="s">
        <v>492</v>
      </c>
    </row>
    <row r="106" spans="1:14" ht="13.5">
      <c r="A106" s="5">
        <v>100</v>
      </c>
      <c r="B106" s="5" t="str">
        <f>"201900110617"</f>
        <v>201900110617</v>
      </c>
      <c r="C106" s="5" t="str">
        <f>"145129"</f>
        <v>145129</v>
      </c>
      <c r="D106" s="5" t="s">
        <v>495</v>
      </c>
      <c r="E106" s="5">
        <v>20528356312</v>
      </c>
      <c r="F106" s="5" t="s">
        <v>496</v>
      </c>
      <c r="G106" s="5" t="s">
        <v>497</v>
      </c>
      <c r="H106" s="5" t="s">
        <v>85</v>
      </c>
      <c r="I106" s="5" t="s">
        <v>197</v>
      </c>
      <c r="J106" s="5" t="s">
        <v>498</v>
      </c>
      <c r="K106" s="5" t="s">
        <v>97</v>
      </c>
      <c r="L106" s="6">
        <v>43658</v>
      </c>
      <c r="M106" s="5" t="s">
        <v>21</v>
      </c>
      <c r="N106" s="5" t="s">
        <v>499</v>
      </c>
    </row>
    <row r="107" spans="1:14" ht="139.5">
      <c r="A107" s="3">
        <v>101</v>
      </c>
      <c r="B107" s="3" t="str">
        <f>"201900122406"</f>
        <v>201900122406</v>
      </c>
      <c r="C107" s="3" t="str">
        <f>"145514"</f>
        <v>145514</v>
      </c>
      <c r="D107" s="3" t="s">
        <v>500</v>
      </c>
      <c r="E107" s="3">
        <v>10746285561</v>
      </c>
      <c r="F107" s="3" t="s">
        <v>501</v>
      </c>
      <c r="G107" s="3" t="s">
        <v>502</v>
      </c>
      <c r="H107" s="3" t="s">
        <v>73</v>
      </c>
      <c r="I107" s="3" t="s">
        <v>503</v>
      </c>
      <c r="J107" s="3" t="s">
        <v>503</v>
      </c>
      <c r="K107" s="3" t="s">
        <v>504</v>
      </c>
      <c r="L107" s="4">
        <v>43690</v>
      </c>
      <c r="M107" s="3" t="s">
        <v>21</v>
      </c>
      <c r="N107" s="3" t="s">
        <v>501</v>
      </c>
    </row>
    <row r="108" spans="1:14" ht="69.75">
      <c r="A108" s="5">
        <v>102</v>
      </c>
      <c r="B108" s="5" t="str">
        <f>"201900120668"</f>
        <v>201900120668</v>
      </c>
      <c r="C108" s="5" t="str">
        <f>"145452"</f>
        <v>145452</v>
      </c>
      <c r="D108" s="5" t="s">
        <v>505</v>
      </c>
      <c r="E108" s="5">
        <v>20603306857</v>
      </c>
      <c r="F108" s="5" t="s">
        <v>506</v>
      </c>
      <c r="G108" s="5" t="s">
        <v>507</v>
      </c>
      <c r="H108" s="5" t="s">
        <v>274</v>
      </c>
      <c r="I108" s="5" t="s">
        <v>274</v>
      </c>
      <c r="J108" s="5" t="s">
        <v>274</v>
      </c>
      <c r="K108" s="5" t="s">
        <v>508</v>
      </c>
      <c r="L108" s="6">
        <v>43671</v>
      </c>
      <c r="M108" s="5" t="s">
        <v>21</v>
      </c>
      <c r="N108" s="5" t="s">
        <v>509</v>
      </c>
    </row>
    <row r="109" spans="1:14" ht="27.75">
      <c r="A109" s="3">
        <v>103</v>
      </c>
      <c r="B109" s="3" t="str">
        <f>"201900078803"</f>
        <v>201900078803</v>
      </c>
      <c r="C109" s="3" t="str">
        <f>"143807"</f>
        <v>143807</v>
      </c>
      <c r="D109" s="3" t="s">
        <v>510</v>
      </c>
      <c r="E109" s="3">
        <v>20514606774</v>
      </c>
      <c r="F109" s="3" t="s">
        <v>511</v>
      </c>
      <c r="G109" s="3" t="s">
        <v>512</v>
      </c>
      <c r="H109" s="3" t="s">
        <v>513</v>
      </c>
      <c r="I109" s="3" t="s">
        <v>513</v>
      </c>
      <c r="J109" s="3" t="s">
        <v>514</v>
      </c>
      <c r="K109" s="3" t="s">
        <v>51</v>
      </c>
      <c r="L109" s="4">
        <v>43617</v>
      </c>
      <c r="M109" s="3" t="s">
        <v>21</v>
      </c>
      <c r="N109" s="3" t="s">
        <v>515</v>
      </c>
    </row>
    <row r="110" spans="1:14" ht="13.5">
      <c r="A110" s="5">
        <v>104</v>
      </c>
      <c r="B110" s="5" t="str">
        <f>"201900078808"</f>
        <v>201900078808</v>
      </c>
      <c r="C110" s="5" t="str">
        <f>"143812"</f>
        <v>143812</v>
      </c>
      <c r="D110" s="5" t="s">
        <v>516</v>
      </c>
      <c r="E110" s="5">
        <v>10071116587</v>
      </c>
      <c r="F110" s="5" t="s">
        <v>517</v>
      </c>
      <c r="G110" s="5" t="s">
        <v>518</v>
      </c>
      <c r="H110" s="5" t="s">
        <v>18</v>
      </c>
      <c r="I110" s="5" t="s">
        <v>18</v>
      </c>
      <c r="J110" s="5" t="s">
        <v>303</v>
      </c>
      <c r="K110" s="5" t="s">
        <v>36</v>
      </c>
      <c r="L110" s="6">
        <v>43617</v>
      </c>
      <c r="M110" s="5" t="s">
        <v>21</v>
      </c>
      <c r="N110" s="5" t="s">
        <v>517</v>
      </c>
    </row>
    <row r="111" spans="1:14" ht="13.5">
      <c r="A111" s="3">
        <v>105</v>
      </c>
      <c r="B111" s="3" t="str">
        <f>"201900078808"</f>
        <v>201900078808</v>
      </c>
      <c r="C111" s="3" t="str">
        <f>"143813"</f>
        <v>143813</v>
      </c>
      <c r="D111" s="3" t="s">
        <v>519</v>
      </c>
      <c r="E111" s="3">
        <v>10090648336</v>
      </c>
      <c r="F111" s="3" t="s">
        <v>520</v>
      </c>
      <c r="G111" s="3" t="s">
        <v>521</v>
      </c>
      <c r="H111" s="3" t="s">
        <v>18</v>
      </c>
      <c r="I111" s="3" t="s">
        <v>18</v>
      </c>
      <c r="J111" s="3" t="s">
        <v>303</v>
      </c>
      <c r="K111" s="3" t="s">
        <v>51</v>
      </c>
      <c r="L111" s="4">
        <v>43617</v>
      </c>
      <c r="M111" s="3" t="s">
        <v>21</v>
      </c>
      <c r="N111" s="3" t="s">
        <v>520</v>
      </c>
    </row>
    <row r="112" spans="1:14" ht="13.5">
      <c r="A112" s="5">
        <v>106</v>
      </c>
      <c r="B112" s="5" t="str">
        <f>"201900078808"</f>
        <v>201900078808</v>
      </c>
      <c r="C112" s="5" t="str">
        <f>"143814"</f>
        <v>143814</v>
      </c>
      <c r="D112" s="5" t="s">
        <v>522</v>
      </c>
      <c r="E112" s="5">
        <v>10094224476</v>
      </c>
      <c r="F112" s="5" t="s">
        <v>523</v>
      </c>
      <c r="G112" s="5" t="s">
        <v>524</v>
      </c>
      <c r="H112" s="5" t="s">
        <v>18</v>
      </c>
      <c r="I112" s="5" t="s">
        <v>18</v>
      </c>
      <c r="J112" s="5" t="s">
        <v>303</v>
      </c>
      <c r="K112" s="5" t="s">
        <v>97</v>
      </c>
      <c r="L112" s="6">
        <v>43617</v>
      </c>
      <c r="M112" s="5" t="s">
        <v>21</v>
      </c>
      <c r="N112" s="5" t="s">
        <v>523</v>
      </c>
    </row>
    <row r="113" spans="1:14" ht="27.75">
      <c r="A113" s="3">
        <v>107</v>
      </c>
      <c r="B113" s="3" t="str">
        <f>"201900078808"</f>
        <v>201900078808</v>
      </c>
      <c r="C113" s="3" t="str">
        <f>"143815"</f>
        <v>143815</v>
      </c>
      <c r="D113" s="3" t="s">
        <v>525</v>
      </c>
      <c r="E113" s="3">
        <v>10101841524</v>
      </c>
      <c r="F113" s="3" t="s">
        <v>526</v>
      </c>
      <c r="G113" s="3" t="s">
        <v>527</v>
      </c>
      <c r="H113" s="3" t="s">
        <v>18</v>
      </c>
      <c r="I113" s="3" t="s">
        <v>18</v>
      </c>
      <c r="J113" s="3" t="s">
        <v>303</v>
      </c>
      <c r="K113" s="3" t="s">
        <v>225</v>
      </c>
      <c r="L113" s="4">
        <v>43617</v>
      </c>
      <c r="M113" s="3" t="s">
        <v>21</v>
      </c>
      <c r="N113" s="3" t="s">
        <v>526</v>
      </c>
    </row>
    <row r="114" spans="1:14" ht="27.75">
      <c r="A114" s="5">
        <v>108</v>
      </c>
      <c r="B114" s="5" t="str">
        <f>"202000120155"</f>
        <v>202000120155</v>
      </c>
      <c r="C114" s="5" t="str">
        <f>"151107"</f>
        <v>151107</v>
      </c>
      <c r="D114" s="5" t="s">
        <v>528</v>
      </c>
      <c r="E114" s="5">
        <v>20506797218</v>
      </c>
      <c r="F114" s="5" t="s">
        <v>529</v>
      </c>
      <c r="G114" s="5" t="s">
        <v>530</v>
      </c>
      <c r="H114" s="5" t="s">
        <v>322</v>
      </c>
      <c r="I114" s="5" t="s">
        <v>531</v>
      </c>
      <c r="J114" s="5" t="s">
        <v>532</v>
      </c>
      <c r="K114" s="5" t="s">
        <v>51</v>
      </c>
      <c r="L114" s="6">
        <v>44084</v>
      </c>
      <c r="M114" s="5" t="s">
        <v>21</v>
      </c>
      <c r="N114" s="5" t="s">
        <v>533</v>
      </c>
    </row>
    <row r="115" spans="1:14" ht="13.5">
      <c r="A115" s="3">
        <v>109</v>
      </c>
      <c r="B115" s="3" t="str">
        <f>"201900138119"</f>
        <v>201900138119</v>
      </c>
      <c r="C115" s="3" t="str">
        <f>"146155"</f>
        <v>146155</v>
      </c>
      <c r="D115" s="3" t="s">
        <v>534</v>
      </c>
      <c r="E115" s="3">
        <v>20601758637</v>
      </c>
      <c r="F115" s="3" t="s">
        <v>535</v>
      </c>
      <c r="G115" s="3" t="s">
        <v>536</v>
      </c>
      <c r="H115" s="3" t="s">
        <v>18</v>
      </c>
      <c r="I115" s="3" t="s">
        <v>18</v>
      </c>
      <c r="J115" s="3" t="s">
        <v>537</v>
      </c>
      <c r="K115" s="3" t="s">
        <v>36</v>
      </c>
      <c r="L115" s="4">
        <v>43710</v>
      </c>
      <c r="M115" s="3" t="s">
        <v>21</v>
      </c>
      <c r="N115" s="3" t="s">
        <v>538</v>
      </c>
    </row>
    <row r="116" spans="1:14" ht="27.75">
      <c r="A116" s="5">
        <v>110</v>
      </c>
      <c r="B116" s="5" t="str">
        <f>"201900078803"</f>
        <v>201900078803</v>
      </c>
      <c r="C116" s="5" t="str">
        <f>"143808"</f>
        <v>143808</v>
      </c>
      <c r="D116" s="5" t="s">
        <v>539</v>
      </c>
      <c r="E116" s="5">
        <v>20524812101</v>
      </c>
      <c r="F116" s="5" t="s">
        <v>540</v>
      </c>
      <c r="G116" s="5" t="s">
        <v>541</v>
      </c>
      <c r="H116" s="5" t="s">
        <v>513</v>
      </c>
      <c r="I116" s="5" t="s">
        <v>513</v>
      </c>
      <c r="J116" s="5" t="s">
        <v>514</v>
      </c>
      <c r="K116" s="5" t="s">
        <v>542</v>
      </c>
      <c r="L116" s="6">
        <v>43617</v>
      </c>
      <c r="M116" s="5" t="s">
        <v>21</v>
      </c>
      <c r="N116" s="5" t="s">
        <v>543</v>
      </c>
    </row>
    <row r="117" spans="1:14" ht="13.5">
      <c r="A117" s="3">
        <v>111</v>
      </c>
      <c r="B117" s="3" t="str">
        <f>"201900078803"</f>
        <v>201900078803</v>
      </c>
      <c r="C117" s="3" t="str">
        <f>"143809"</f>
        <v>143809</v>
      </c>
      <c r="D117" s="3" t="s">
        <v>544</v>
      </c>
      <c r="E117" s="3">
        <v>20556896799</v>
      </c>
      <c r="F117" s="3" t="s">
        <v>545</v>
      </c>
      <c r="G117" s="3" t="s">
        <v>546</v>
      </c>
      <c r="H117" s="3" t="s">
        <v>513</v>
      </c>
      <c r="I117" s="3" t="s">
        <v>513</v>
      </c>
      <c r="J117" s="3" t="s">
        <v>514</v>
      </c>
      <c r="K117" s="3" t="s">
        <v>51</v>
      </c>
      <c r="L117" s="4">
        <v>43617</v>
      </c>
      <c r="M117" s="3" t="s">
        <v>21</v>
      </c>
      <c r="N117" s="3" t="s">
        <v>547</v>
      </c>
    </row>
    <row r="118" spans="1:14" ht="27.75">
      <c r="A118" s="5">
        <v>112</v>
      </c>
      <c r="B118" s="5" t="str">
        <f>"201900078803"</f>
        <v>201900078803</v>
      </c>
      <c r="C118" s="5" t="str">
        <f>"143810"</f>
        <v>143810</v>
      </c>
      <c r="D118" s="5" t="s">
        <v>548</v>
      </c>
      <c r="E118" s="5">
        <v>20603045999</v>
      </c>
      <c r="F118" s="5" t="s">
        <v>549</v>
      </c>
      <c r="G118" s="5" t="s">
        <v>550</v>
      </c>
      <c r="H118" s="5" t="s">
        <v>513</v>
      </c>
      <c r="I118" s="5" t="s">
        <v>513</v>
      </c>
      <c r="J118" s="5" t="s">
        <v>514</v>
      </c>
      <c r="K118" s="5" t="s">
        <v>51</v>
      </c>
      <c r="L118" s="6">
        <v>43617</v>
      </c>
      <c r="M118" s="5" t="s">
        <v>21</v>
      </c>
      <c r="N118" s="5" t="s">
        <v>551</v>
      </c>
    </row>
    <row r="119" spans="1:14" ht="69.75">
      <c r="A119" s="3">
        <v>113</v>
      </c>
      <c r="B119" s="3" t="str">
        <f>"202000120149"</f>
        <v>202000120149</v>
      </c>
      <c r="C119" s="3" t="str">
        <f>"151110"</f>
        <v>151110</v>
      </c>
      <c r="D119" s="3" t="s">
        <v>552</v>
      </c>
      <c r="E119" s="3">
        <v>10455680731</v>
      </c>
      <c r="F119" s="3" t="s">
        <v>553</v>
      </c>
      <c r="G119" s="3" t="s">
        <v>554</v>
      </c>
      <c r="H119" s="3" t="s">
        <v>274</v>
      </c>
      <c r="I119" s="3" t="s">
        <v>400</v>
      </c>
      <c r="J119" s="3" t="s">
        <v>555</v>
      </c>
      <c r="K119" s="3" t="s">
        <v>556</v>
      </c>
      <c r="L119" s="4">
        <v>44085</v>
      </c>
      <c r="M119" s="3" t="s">
        <v>21</v>
      </c>
      <c r="N119" s="3" t="s">
        <v>553</v>
      </c>
    </row>
    <row r="120" spans="1:14" ht="42">
      <c r="A120" s="5">
        <v>114</v>
      </c>
      <c r="B120" s="5" t="str">
        <f>"201900078808"</f>
        <v>201900078808</v>
      </c>
      <c r="C120" s="5" t="str">
        <f>"143811"</f>
        <v>143811</v>
      </c>
      <c r="D120" s="5" t="s">
        <v>557</v>
      </c>
      <c r="E120" s="5">
        <v>10040685141</v>
      </c>
      <c r="F120" s="5" t="s">
        <v>558</v>
      </c>
      <c r="G120" s="5" t="s">
        <v>559</v>
      </c>
      <c r="H120" s="5" t="s">
        <v>18</v>
      </c>
      <c r="I120" s="5" t="s">
        <v>18</v>
      </c>
      <c r="J120" s="5" t="s">
        <v>303</v>
      </c>
      <c r="K120" s="5" t="s">
        <v>42</v>
      </c>
      <c r="L120" s="6">
        <v>43617</v>
      </c>
      <c r="M120" s="5" t="s">
        <v>21</v>
      </c>
      <c r="N120" s="5" t="s">
        <v>560</v>
      </c>
    </row>
    <row r="121" spans="1:14" ht="13.5">
      <c r="A121" s="3">
        <v>115</v>
      </c>
      <c r="B121" s="3" t="str">
        <f>"201900078683"</f>
        <v>201900078683</v>
      </c>
      <c r="C121" s="3" t="str">
        <f>"143420"</f>
        <v>143420</v>
      </c>
      <c r="D121" s="3" t="s">
        <v>561</v>
      </c>
      <c r="E121" s="3">
        <v>10248865232</v>
      </c>
      <c r="F121" s="3" t="s">
        <v>562</v>
      </c>
      <c r="G121" s="3" t="s">
        <v>563</v>
      </c>
      <c r="H121" s="3" t="s">
        <v>160</v>
      </c>
      <c r="I121" s="3" t="s">
        <v>564</v>
      </c>
      <c r="J121" s="3" t="s">
        <v>564</v>
      </c>
      <c r="K121" s="3" t="s">
        <v>36</v>
      </c>
      <c r="L121" s="4">
        <v>43617</v>
      </c>
      <c r="M121" s="3" t="s">
        <v>21</v>
      </c>
      <c r="N121" s="3" t="s">
        <v>562</v>
      </c>
    </row>
    <row r="122" spans="1:14" ht="13.5">
      <c r="A122" s="5">
        <v>116</v>
      </c>
      <c r="B122" s="5" t="str">
        <f>"201900078683"</f>
        <v>201900078683</v>
      </c>
      <c r="C122" s="5" t="str">
        <f>"143419"</f>
        <v>143419</v>
      </c>
      <c r="D122" s="5" t="s">
        <v>565</v>
      </c>
      <c r="E122" s="5">
        <v>20603061323</v>
      </c>
      <c r="F122" s="5" t="s">
        <v>566</v>
      </c>
      <c r="G122" s="5" t="s">
        <v>567</v>
      </c>
      <c r="H122" s="5" t="s">
        <v>160</v>
      </c>
      <c r="I122" s="5" t="s">
        <v>160</v>
      </c>
      <c r="J122" s="5" t="s">
        <v>568</v>
      </c>
      <c r="K122" s="5" t="s">
        <v>36</v>
      </c>
      <c r="L122" s="6">
        <v>43617</v>
      </c>
      <c r="M122" s="5" t="s">
        <v>21</v>
      </c>
      <c r="N122" s="5" t="s">
        <v>569</v>
      </c>
    </row>
    <row r="123" spans="1:14" ht="27.75">
      <c r="A123" s="3">
        <v>117</v>
      </c>
      <c r="B123" s="3" t="str">
        <f>"201900078683"</f>
        <v>201900078683</v>
      </c>
      <c r="C123" s="3" t="str">
        <f>"143422"</f>
        <v>143422</v>
      </c>
      <c r="D123" s="3" t="s">
        <v>570</v>
      </c>
      <c r="E123" s="3">
        <v>10474222221</v>
      </c>
      <c r="F123" s="3" t="s">
        <v>571</v>
      </c>
      <c r="G123" s="3" t="s">
        <v>572</v>
      </c>
      <c r="H123" s="3" t="s">
        <v>160</v>
      </c>
      <c r="I123" s="3" t="s">
        <v>564</v>
      </c>
      <c r="J123" s="3" t="s">
        <v>564</v>
      </c>
      <c r="K123" s="3" t="s">
        <v>36</v>
      </c>
      <c r="L123" s="4">
        <v>43617</v>
      </c>
      <c r="M123" s="3" t="s">
        <v>21</v>
      </c>
      <c r="N123" s="3" t="s">
        <v>571</v>
      </c>
    </row>
    <row r="124" spans="1:14" ht="13.5">
      <c r="A124" s="5">
        <v>118</v>
      </c>
      <c r="B124" s="5" t="str">
        <f>"201900078683"</f>
        <v>201900078683</v>
      </c>
      <c r="C124" s="5" t="str">
        <f>"143421"</f>
        <v>143421</v>
      </c>
      <c r="D124" s="5" t="s">
        <v>573</v>
      </c>
      <c r="E124" s="5">
        <v>10446263396</v>
      </c>
      <c r="F124" s="5" t="s">
        <v>574</v>
      </c>
      <c r="G124" s="5" t="s">
        <v>575</v>
      </c>
      <c r="H124" s="5" t="s">
        <v>160</v>
      </c>
      <c r="I124" s="5" t="s">
        <v>564</v>
      </c>
      <c r="J124" s="5" t="s">
        <v>564</v>
      </c>
      <c r="K124" s="5" t="s">
        <v>36</v>
      </c>
      <c r="L124" s="6">
        <v>43617</v>
      </c>
      <c r="M124" s="5" t="s">
        <v>21</v>
      </c>
      <c r="N124" s="5" t="s">
        <v>574</v>
      </c>
    </row>
    <row r="125" spans="1:14" ht="27.75">
      <c r="A125" s="3">
        <v>119</v>
      </c>
      <c r="B125" s="3" t="str">
        <f>"201900078808"</f>
        <v>201900078808</v>
      </c>
      <c r="C125" s="3" t="str">
        <f>"143816"</f>
        <v>143816</v>
      </c>
      <c r="D125" s="3" t="s">
        <v>576</v>
      </c>
      <c r="E125" s="3">
        <v>10105967034</v>
      </c>
      <c r="F125" s="3" t="s">
        <v>577</v>
      </c>
      <c r="G125" s="3" t="s">
        <v>578</v>
      </c>
      <c r="H125" s="3" t="s">
        <v>18</v>
      </c>
      <c r="I125" s="3" t="s">
        <v>18</v>
      </c>
      <c r="J125" s="3" t="s">
        <v>303</v>
      </c>
      <c r="K125" s="3" t="s">
        <v>137</v>
      </c>
      <c r="L125" s="4">
        <v>43617</v>
      </c>
      <c r="M125" s="3" t="s">
        <v>21</v>
      </c>
      <c r="N125" s="3" t="s">
        <v>577</v>
      </c>
    </row>
    <row r="126" spans="1:14" ht="13.5">
      <c r="A126" s="5">
        <v>120</v>
      </c>
      <c r="B126" s="5" t="str">
        <f>"201900078683"</f>
        <v>201900078683</v>
      </c>
      <c r="C126" s="5" t="str">
        <f>"143417"</f>
        <v>143417</v>
      </c>
      <c r="D126" s="5" t="s">
        <v>579</v>
      </c>
      <c r="E126" s="5">
        <v>20600705289</v>
      </c>
      <c r="F126" s="5" t="s">
        <v>580</v>
      </c>
      <c r="G126" s="5" t="s">
        <v>581</v>
      </c>
      <c r="H126" s="5" t="s">
        <v>160</v>
      </c>
      <c r="I126" s="5" t="s">
        <v>160</v>
      </c>
      <c r="J126" s="5" t="s">
        <v>568</v>
      </c>
      <c r="K126" s="5" t="s">
        <v>36</v>
      </c>
      <c r="L126" s="6">
        <v>43617</v>
      </c>
      <c r="M126" s="5" t="s">
        <v>21</v>
      </c>
      <c r="N126" s="5" t="s">
        <v>582</v>
      </c>
    </row>
    <row r="127" spans="1:14" ht="153.75">
      <c r="A127" s="3">
        <v>121</v>
      </c>
      <c r="B127" s="3" t="str">
        <f>"201900144349"</f>
        <v>201900144349</v>
      </c>
      <c r="C127" s="3" t="str">
        <f>"146375"</f>
        <v>146375</v>
      </c>
      <c r="D127" s="3" t="s">
        <v>583</v>
      </c>
      <c r="E127" s="3">
        <v>20481487944</v>
      </c>
      <c r="F127" s="3" t="s">
        <v>584</v>
      </c>
      <c r="G127" s="3" t="s">
        <v>585</v>
      </c>
      <c r="H127" s="3" t="s">
        <v>73</v>
      </c>
      <c r="I127" s="3" t="s">
        <v>74</v>
      </c>
      <c r="J127" s="3" t="s">
        <v>74</v>
      </c>
      <c r="K127" s="3" t="s">
        <v>75</v>
      </c>
      <c r="L127" s="4">
        <v>43713</v>
      </c>
      <c r="M127" s="3" t="s">
        <v>21</v>
      </c>
      <c r="N127" s="3" t="s">
        <v>586</v>
      </c>
    </row>
    <row r="128" spans="1:14" ht="27.75">
      <c r="A128" s="5">
        <v>122</v>
      </c>
      <c r="B128" s="5" t="str">
        <f>"201900078683"</f>
        <v>201900078683</v>
      </c>
      <c r="C128" s="5" t="str">
        <f>"143424"</f>
        <v>143424</v>
      </c>
      <c r="D128" s="5" t="s">
        <v>587</v>
      </c>
      <c r="E128" s="5">
        <v>20490209701</v>
      </c>
      <c r="F128" s="5" t="s">
        <v>588</v>
      </c>
      <c r="G128" s="5" t="s">
        <v>589</v>
      </c>
      <c r="H128" s="5" t="s">
        <v>160</v>
      </c>
      <c r="I128" s="5" t="s">
        <v>564</v>
      </c>
      <c r="J128" s="5" t="s">
        <v>564</v>
      </c>
      <c r="K128" s="5" t="s">
        <v>36</v>
      </c>
      <c r="L128" s="6">
        <v>43617</v>
      </c>
      <c r="M128" s="5" t="s">
        <v>21</v>
      </c>
      <c r="N128" s="5" t="s">
        <v>590</v>
      </c>
    </row>
    <row r="129" spans="1:14" ht="13.5">
      <c r="A129" s="3">
        <v>123</v>
      </c>
      <c r="B129" s="3" t="str">
        <f>"201900078683"</f>
        <v>201900078683</v>
      </c>
      <c r="C129" s="3" t="str">
        <f>"143423"</f>
        <v>143423</v>
      </c>
      <c r="D129" s="3" t="s">
        <v>591</v>
      </c>
      <c r="E129" s="3">
        <v>20489958962</v>
      </c>
      <c r="F129" s="3" t="s">
        <v>592</v>
      </c>
      <c r="G129" s="3" t="s">
        <v>593</v>
      </c>
      <c r="H129" s="3" t="s">
        <v>160</v>
      </c>
      <c r="I129" s="3" t="s">
        <v>564</v>
      </c>
      <c r="J129" s="3" t="s">
        <v>564</v>
      </c>
      <c r="K129" s="3" t="s">
        <v>36</v>
      </c>
      <c r="L129" s="4">
        <v>43617</v>
      </c>
      <c r="M129" s="3" t="s">
        <v>21</v>
      </c>
      <c r="N129" s="3" t="s">
        <v>594</v>
      </c>
    </row>
    <row r="130" spans="1:14" ht="13.5">
      <c r="A130" s="5">
        <v>124</v>
      </c>
      <c r="B130" s="5" t="str">
        <f>"201900078683"</f>
        <v>201900078683</v>
      </c>
      <c r="C130" s="5" t="str">
        <f>"143426"</f>
        <v>143426</v>
      </c>
      <c r="D130" s="5" t="s">
        <v>595</v>
      </c>
      <c r="E130" s="5">
        <v>20528029036</v>
      </c>
      <c r="F130" s="5" t="s">
        <v>596</v>
      </c>
      <c r="G130" s="5" t="s">
        <v>597</v>
      </c>
      <c r="H130" s="5" t="s">
        <v>160</v>
      </c>
      <c r="I130" s="5" t="s">
        <v>161</v>
      </c>
      <c r="J130" s="5" t="s">
        <v>598</v>
      </c>
      <c r="K130" s="5" t="s">
        <v>36</v>
      </c>
      <c r="L130" s="6">
        <v>43617</v>
      </c>
      <c r="M130" s="5" t="s">
        <v>21</v>
      </c>
      <c r="N130" s="5" t="s">
        <v>599</v>
      </c>
    </row>
    <row r="131" spans="1:14" ht="27.75">
      <c r="A131" s="3">
        <v>125</v>
      </c>
      <c r="B131" s="3" t="str">
        <f>"201900078683"</f>
        <v>201900078683</v>
      </c>
      <c r="C131" s="3" t="str">
        <f>"143425"</f>
        <v>143425</v>
      </c>
      <c r="D131" s="3" t="s">
        <v>600</v>
      </c>
      <c r="E131" s="3">
        <v>20527883742</v>
      </c>
      <c r="F131" s="3" t="s">
        <v>601</v>
      </c>
      <c r="G131" s="3" t="s">
        <v>602</v>
      </c>
      <c r="H131" s="3" t="s">
        <v>160</v>
      </c>
      <c r="I131" s="3" t="s">
        <v>564</v>
      </c>
      <c r="J131" s="3" t="s">
        <v>564</v>
      </c>
      <c r="K131" s="3" t="s">
        <v>51</v>
      </c>
      <c r="L131" s="4">
        <v>43617</v>
      </c>
      <c r="M131" s="3" t="s">
        <v>21</v>
      </c>
      <c r="N131" s="3" t="s">
        <v>603</v>
      </c>
    </row>
    <row r="132" spans="1:14" ht="13.5">
      <c r="A132" s="5">
        <v>126</v>
      </c>
      <c r="B132" s="5" t="str">
        <f>"201900078808"</f>
        <v>201900078808</v>
      </c>
      <c r="C132" s="5" t="str">
        <f>"143817"</f>
        <v>143817</v>
      </c>
      <c r="D132" s="5" t="s">
        <v>604</v>
      </c>
      <c r="E132" s="5">
        <v>10208884579</v>
      </c>
      <c r="F132" s="5" t="s">
        <v>605</v>
      </c>
      <c r="G132" s="5" t="s">
        <v>606</v>
      </c>
      <c r="H132" s="5" t="s">
        <v>18</v>
      </c>
      <c r="I132" s="5" t="s">
        <v>18</v>
      </c>
      <c r="J132" s="5" t="s">
        <v>303</v>
      </c>
      <c r="K132" s="5" t="s">
        <v>97</v>
      </c>
      <c r="L132" s="6">
        <v>43617</v>
      </c>
      <c r="M132" s="5" t="s">
        <v>21</v>
      </c>
      <c r="N132" s="5" t="s">
        <v>607</v>
      </c>
    </row>
    <row r="133" spans="1:14" ht="13.5">
      <c r="A133" s="3">
        <v>127</v>
      </c>
      <c r="B133" s="3" t="str">
        <f>"201900078808"</f>
        <v>201900078808</v>
      </c>
      <c r="C133" s="3" t="str">
        <f>"143818"</f>
        <v>143818</v>
      </c>
      <c r="D133" s="3" t="s">
        <v>608</v>
      </c>
      <c r="E133" s="3">
        <v>10228962274</v>
      </c>
      <c r="F133" s="3" t="s">
        <v>609</v>
      </c>
      <c r="G133" s="3" t="s">
        <v>610</v>
      </c>
      <c r="H133" s="3" t="s">
        <v>18</v>
      </c>
      <c r="I133" s="3" t="s">
        <v>18</v>
      </c>
      <c r="J133" s="3" t="s">
        <v>303</v>
      </c>
      <c r="K133" s="3" t="s">
        <v>36</v>
      </c>
      <c r="L133" s="4">
        <v>43617</v>
      </c>
      <c r="M133" s="3" t="s">
        <v>21</v>
      </c>
      <c r="N133" s="3" t="s">
        <v>611</v>
      </c>
    </row>
    <row r="134" spans="1:14" ht="13.5">
      <c r="A134" s="5">
        <v>128</v>
      </c>
      <c r="B134" s="5" t="str">
        <f>"202000118965"</f>
        <v>202000118965</v>
      </c>
      <c r="C134" s="5" t="str">
        <f>"151112"</f>
        <v>151112</v>
      </c>
      <c r="D134" s="5" t="s">
        <v>612</v>
      </c>
      <c r="E134" s="5">
        <v>20606409673</v>
      </c>
      <c r="F134" s="5" t="s">
        <v>613</v>
      </c>
      <c r="G134" s="5" t="s">
        <v>614</v>
      </c>
      <c r="H134" s="5" t="s">
        <v>615</v>
      </c>
      <c r="I134" s="5" t="s">
        <v>616</v>
      </c>
      <c r="J134" s="5" t="s">
        <v>617</v>
      </c>
      <c r="K134" s="5" t="s">
        <v>618</v>
      </c>
      <c r="L134" s="6">
        <v>44101</v>
      </c>
      <c r="M134" s="5" t="s">
        <v>21</v>
      </c>
      <c r="N134" s="5" t="s">
        <v>619</v>
      </c>
    </row>
    <row r="135" spans="1:14" ht="13.5">
      <c r="A135" s="3">
        <v>129</v>
      </c>
      <c r="B135" s="3" t="str">
        <f aca="true" t="shared" si="2" ref="B135:B142">"201900078808"</f>
        <v>201900078808</v>
      </c>
      <c r="C135" s="3" t="str">
        <f>"143825"</f>
        <v>143825</v>
      </c>
      <c r="D135" s="3" t="s">
        <v>620</v>
      </c>
      <c r="E135" s="3">
        <v>20387366475</v>
      </c>
      <c r="F135" s="3" t="s">
        <v>621</v>
      </c>
      <c r="G135" s="3" t="s">
        <v>622</v>
      </c>
      <c r="H135" s="3" t="s">
        <v>18</v>
      </c>
      <c r="I135" s="3" t="s">
        <v>18</v>
      </c>
      <c r="J135" s="3" t="s">
        <v>303</v>
      </c>
      <c r="K135" s="3" t="s">
        <v>51</v>
      </c>
      <c r="L135" s="4">
        <v>43617</v>
      </c>
      <c r="M135" s="3" t="s">
        <v>21</v>
      </c>
      <c r="N135" s="3" t="s">
        <v>344</v>
      </c>
    </row>
    <row r="136" spans="1:14" ht="13.5">
      <c r="A136" s="5">
        <v>130</v>
      </c>
      <c r="B136" s="5" t="str">
        <f t="shared" si="2"/>
        <v>201900078808</v>
      </c>
      <c r="C136" s="5" t="str">
        <f>"143826"</f>
        <v>143826</v>
      </c>
      <c r="D136" s="5" t="s">
        <v>623</v>
      </c>
      <c r="E136" s="5">
        <v>20458891142</v>
      </c>
      <c r="F136" s="5" t="s">
        <v>624</v>
      </c>
      <c r="G136" s="5" t="s">
        <v>625</v>
      </c>
      <c r="H136" s="5" t="s">
        <v>18</v>
      </c>
      <c r="I136" s="5" t="s">
        <v>18</v>
      </c>
      <c r="J136" s="5" t="s">
        <v>303</v>
      </c>
      <c r="K136" s="5" t="s">
        <v>51</v>
      </c>
      <c r="L136" s="6">
        <v>43617</v>
      </c>
      <c r="M136" s="5" t="s">
        <v>21</v>
      </c>
      <c r="N136" s="5" t="s">
        <v>626</v>
      </c>
    </row>
    <row r="137" spans="1:14" ht="13.5">
      <c r="A137" s="3">
        <v>131</v>
      </c>
      <c r="B137" s="3" t="str">
        <f t="shared" si="2"/>
        <v>201900078808</v>
      </c>
      <c r="C137" s="3" t="str">
        <f>"143823"</f>
        <v>143823</v>
      </c>
      <c r="D137" s="3" t="s">
        <v>627</v>
      </c>
      <c r="E137" s="3">
        <v>20177235297</v>
      </c>
      <c r="F137" s="3" t="s">
        <v>628</v>
      </c>
      <c r="G137" s="3" t="s">
        <v>629</v>
      </c>
      <c r="H137" s="3" t="s">
        <v>18</v>
      </c>
      <c r="I137" s="3" t="s">
        <v>18</v>
      </c>
      <c r="J137" s="3" t="s">
        <v>303</v>
      </c>
      <c r="K137" s="3" t="s">
        <v>630</v>
      </c>
      <c r="L137" s="4">
        <v>43617</v>
      </c>
      <c r="M137" s="3" t="s">
        <v>21</v>
      </c>
      <c r="N137" s="3" t="s">
        <v>631</v>
      </c>
    </row>
    <row r="138" spans="1:14" ht="27.75">
      <c r="A138" s="5">
        <v>132</v>
      </c>
      <c r="B138" s="5" t="str">
        <f t="shared" si="2"/>
        <v>201900078808</v>
      </c>
      <c r="C138" s="5" t="str">
        <f>"143824"</f>
        <v>143824</v>
      </c>
      <c r="D138" s="5" t="s">
        <v>632</v>
      </c>
      <c r="E138" s="5">
        <v>20385338865</v>
      </c>
      <c r="F138" s="5" t="s">
        <v>633</v>
      </c>
      <c r="G138" s="5" t="s">
        <v>634</v>
      </c>
      <c r="H138" s="5" t="s">
        <v>18</v>
      </c>
      <c r="I138" s="5" t="s">
        <v>18</v>
      </c>
      <c r="J138" s="5" t="s">
        <v>303</v>
      </c>
      <c r="K138" s="5" t="s">
        <v>31</v>
      </c>
      <c r="L138" s="6">
        <v>43617</v>
      </c>
      <c r="M138" s="5" t="s">
        <v>21</v>
      </c>
      <c r="N138" s="5" t="s">
        <v>635</v>
      </c>
    </row>
    <row r="139" spans="1:14" ht="13.5">
      <c r="A139" s="3">
        <v>133</v>
      </c>
      <c r="B139" s="3" t="str">
        <f t="shared" si="2"/>
        <v>201900078808</v>
      </c>
      <c r="C139" s="3" t="str">
        <f>"143821"</f>
        <v>143821</v>
      </c>
      <c r="D139" s="3" t="s">
        <v>636</v>
      </c>
      <c r="E139" s="3">
        <v>20100075858</v>
      </c>
      <c r="F139" s="3" t="s">
        <v>637</v>
      </c>
      <c r="G139" s="3" t="s">
        <v>638</v>
      </c>
      <c r="H139" s="3" t="s">
        <v>18</v>
      </c>
      <c r="I139" s="3" t="s">
        <v>18</v>
      </c>
      <c r="J139" s="3" t="s">
        <v>303</v>
      </c>
      <c r="K139" s="3" t="s">
        <v>51</v>
      </c>
      <c r="L139" s="4">
        <v>43617</v>
      </c>
      <c r="M139" s="3" t="s">
        <v>21</v>
      </c>
      <c r="N139" s="3" t="s">
        <v>639</v>
      </c>
    </row>
    <row r="140" spans="1:14" ht="27.75">
      <c r="A140" s="5">
        <v>134</v>
      </c>
      <c r="B140" s="5" t="str">
        <f t="shared" si="2"/>
        <v>201900078808</v>
      </c>
      <c r="C140" s="5" t="str">
        <f>"143822"</f>
        <v>143822</v>
      </c>
      <c r="D140" s="5" t="s">
        <v>640</v>
      </c>
      <c r="E140" s="5">
        <v>20107034413</v>
      </c>
      <c r="F140" s="5" t="s">
        <v>641</v>
      </c>
      <c r="G140" s="5" t="s">
        <v>642</v>
      </c>
      <c r="H140" s="5" t="s">
        <v>18</v>
      </c>
      <c r="I140" s="5" t="s">
        <v>18</v>
      </c>
      <c r="J140" s="5" t="s">
        <v>303</v>
      </c>
      <c r="K140" s="5" t="s">
        <v>51</v>
      </c>
      <c r="L140" s="6">
        <v>43617</v>
      </c>
      <c r="M140" s="5" t="s">
        <v>21</v>
      </c>
      <c r="N140" s="5" t="s">
        <v>643</v>
      </c>
    </row>
    <row r="141" spans="1:14" ht="13.5">
      <c r="A141" s="3">
        <v>135</v>
      </c>
      <c r="B141" s="3" t="str">
        <f t="shared" si="2"/>
        <v>201900078808</v>
      </c>
      <c r="C141" s="3" t="str">
        <f>"143819"</f>
        <v>143819</v>
      </c>
      <c r="D141" s="3" t="s">
        <v>644</v>
      </c>
      <c r="E141" s="3">
        <v>10407215864</v>
      </c>
      <c r="F141" s="3" t="s">
        <v>645</v>
      </c>
      <c r="G141" s="3" t="s">
        <v>646</v>
      </c>
      <c r="H141" s="3" t="s">
        <v>18</v>
      </c>
      <c r="I141" s="3" t="s">
        <v>18</v>
      </c>
      <c r="J141" s="3" t="s">
        <v>303</v>
      </c>
      <c r="K141" s="3" t="s">
        <v>51</v>
      </c>
      <c r="L141" s="4">
        <v>43617</v>
      </c>
      <c r="M141" s="3" t="s">
        <v>21</v>
      </c>
      <c r="N141" s="3" t="s">
        <v>645</v>
      </c>
    </row>
    <row r="142" spans="1:14" ht="27.75">
      <c r="A142" s="5">
        <v>136</v>
      </c>
      <c r="B142" s="5" t="str">
        <f t="shared" si="2"/>
        <v>201900078808</v>
      </c>
      <c r="C142" s="5" t="str">
        <f>"143820"</f>
        <v>143820</v>
      </c>
      <c r="D142" s="5" t="s">
        <v>647</v>
      </c>
      <c r="E142" s="5">
        <v>10421469828</v>
      </c>
      <c r="F142" s="5" t="s">
        <v>648</v>
      </c>
      <c r="G142" s="5" t="s">
        <v>649</v>
      </c>
      <c r="H142" s="5" t="s">
        <v>18</v>
      </c>
      <c r="I142" s="5" t="s">
        <v>18</v>
      </c>
      <c r="J142" s="5" t="s">
        <v>303</v>
      </c>
      <c r="K142" s="5" t="s">
        <v>36</v>
      </c>
      <c r="L142" s="6">
        <v>43617</v>
      </c>
      <c r="M142" s="5" t="s">
        <v>21</v>
      </c>
      <c r="N142" s="5" t="s">
        <v>648</v>
      </c>
    </row>
    <row r="143" spans="1:14" ht="13.5">
      <c r="A143" s="3">
        <v>137</v>
      </c>
      <c r="B143" s="3" t="str">
        <f>"201900078683"</f>
        <v>201900078683</v>
      </c>
      <c r="C143" s="3" t="str">
        <f>"143411"</f>
        <v>143411</v>
      </c>
      <c r="D143" s="3" t="s">
        <v>650</v>
      </c>
      <c r="E143" s="3">
        <v>20442847071</v>
      </c>
      <c r="F143" s="3" t="s">
        <v>651</v>
      </c>
      <c r="G143" s="3" t="s">
        <v>652</v>
      </c>
      <c r="H143" s="3" t="s">
        <v>160</v>
      </c>
      <c r="I143" s="3" t="s">
        <v>160</v>
      </c>
      <c r="J143" s="3" t="s">
        <v>568</v>
      </c>
      <c r="K143" s="3" t="s">
        <v>36</v>
      </c>
      <c r="L143" s="4">
        <v>43617</v>
      </c>
      <c r="M143" s="3" t="s">
        <v>21</v>
      </c>
      <c r="N143" s="3" t="s">
        <v>653</v>
      </c>
    </row>
    <row r="144" spans="1:14" ht="13.5">
      <c r="A144" s="5">
        <v>138</v>
      </c>
      <c r="B144" s="5" t="str">
        <f>"201900078683"</f>
        <v>201900078683</v>
      </c>
      <c r="C144" s="5" t="str">
        <f>"143410"</f>
        <v>143410</v>
      </c>
      <c r="D144" s="5" t="s">
        <v>654</v>
      </c>
      <c r="E144" s="5">
        <v>20400207489</v>
      </c>
      <c r="F144" s="5" t="s">
        <v>655</v>
      </c>
      <c r="G144" s="5" t="s">
        <v>656</v>
      </c>
      <c r="H144" s="5" t="s">
        <v>160</v>
      </c>
      <c r="I144" s="5" t="s">
        <v>160</v>
      </c>
      <c r="J144" s="5" t="s">
        <v>568</v>
      </c>
      <c r="K144" s="5" t="s">
        <v>51</v>
      </c>
      <c r="L144" s="6">
        <v>43617</v>
      </c>
      <c r="M144" s="5" t="s">
        <v>21</v>
      </c>
      <c r="N144" s="5" t="s">
        <v>657</v>
      </c>
    </row>
    <row r="145" spans="1:14" ht="13.5">
      <c r="A145" s="3">
        <v>139</v>
      </c>
      <c r="B145" s="3" t="str">
        <f>"201900078683"</f>
        <v>201900078683</v>
      </c>
      <c r="C145" s="3" t="str">
        <f>"143409"</f>
        <v>143409</v>
      </c>
      <c r="D145" s="3" t="s">
        <v>658</v>
      </c>
      <c r="E145" s="3">
        <v>10253021247</v>
      </c>
      <c r="F145" s="3" t="s">
        <v>659</v>
      </c>
      <c r="G145" s="3" t="s">
        <v>660</v>
      </c>
      <c r="H145" s="3" t="s">
        <v>160</v>
      </c>
      <c r="I145" s="3" t="s">
        <v>160</v>
      </c>
      <c r="J145" s="3" t="s">
        <v>568</v>
      </c>
      <c r="K145" s="3" t="s">
        <v>97</v>
      </c>
      <c r="L145" s="4">
        <v>43617</v>
      </c>
      <c r="M145" s="3" t="s">
        <v>21</v>
      </c>
      <c r="N145" s="3" t="s">
        <v>661</v>
      </c>
    </row>
    <row r="146" spans="1:14" ht="13.5">
      <c r="A146" s="5">
        <v>140</v>
      </c>
      <c r="B146" s="5" t="str">
        <f>"201900078683"</f>
        <v>201900078683</v>
      </c>
      <c r="C146" s="5" t="str">
        <f>"143408"</f>
        <v>143408</v>
      </c>
      <c r="D146" s="5" t="s">
        <v>662</v>
      </c>
      <c r="E146" s="5">
        <v>10238868187</v>
      </c>
      <c r="F146" s="5" t="s">
        <v>663</v>
      </c>
      <c r="G146" s="5" t="s">
        <v>664</v>
      </c>
      <c r="H146" s="5" t="s">
        <v>160</v>
      </c>
      <c r="I146" s="5" t="s">
        <v>160</v>
      </c>
      <c r="J146" s="5" t="s">
        <v>568</v>
      </c>
      <c r="K146" s="5" t="s">
        <v>97</v>
      </c>
      <c r="L146" s="6">
        <v>43617</v>
      </c>
      <c r="M146" s="5" t="s">
        <v>21</v>
      </c>
      <c r="N146" s="5" t="s">
        <v>665</v>
      </c>
    </row>
    <row r="147" spans="1:14" ht="13.5">
      <c r="A147" s="3">
        <v>141</v>
      </c>
      <c r="B147" s="3" t="str">
        <f>"201900078683"</f>
        <v>201900078683</v>
      </c>
      <c r="C147" s="3" t="str">
        <f>"143407"</f>
        <v>143407</v>
      </c>
      <c r="D147" s="3" t="s">
        <v>666</v>
      </c>
      <c r="E147" s="3">
        <v>10239194929</v>
      </c>
      <c r="F147" s="3" t="s">
        <v>667</v>
      </c>
      <c r="G147" s="3" t="s">
        <v>668</v>
      </c>
      <c r="H147" s="3" t="s">
        <v>160</v>
      </c>
      <c r="I147" s="3" t="s">
        <v>160</v>
      </c>
      <c r="J147" s="3" t="s">
        <v>669</v>
      </c>
      <c r="K147" s="3" t="s">
        <v>36</v>
      </c>
      <c r="L147" s="4">
        <v>43617</v>
      </c>
      <c r="M147" s="3" t="s">
        <v>21</v>
      </c>
      <c r="N147" s="3" t="s">
        <v>667</v>
      </c>
    </row>
    <row r="148" spans="1:14" ht="83.25">
      <c r="A148" s="5">
        <v>142</v>
      </c>
      <c r="B148" s="5" t="str">
        <f>"201900132248"</f>
        <v>201900132248</v>
      </c>
      <c r="C148" s="5" t="str">
        <f>"145693"</f>
        <v>145693</v>
      </c>
      <c r="D148" s="5" t="s">
        <v>670</v>
      </c>
      <c r="E148" s="5">
        <v>20603284748</v>
      </c>
      <c r="F148" s="5" t="s">
        <v>671</v>
      </c>
      <c r="G148" s="5" t="s">
        <v>672</v>
      </c>
      <c r="H148" s="5" t="s">
        <v>18</v>
      </c>
      <c r="I148" s="5" t="s">
        <v>18</v>
      </c>
      <c r="J148" s="5" t="s">
        <v>80</v>
      </c>
      <c r="K148" s="5" t="s">
        <v>673</v>
      </c>
      <c r="L148" s="6">
        <v>43696</v>
      </c>
      <c r="M148" s="5" t="s">
        <v>21</v>
      </c>
      <c r="N148" s="5" t="s">
        <v>674</v>
      </c>
    </row>
    <row r="149" spans="1:14" ht="42">
      <c r="A149" s="3">
        <v>143</v>
      </c>
      <c r="B149" s="3" t="str">
        <f>"201900078683"</f>
        <v>201900078683</v>
      </c>
      <c r="C149" s="3" t="str">
        <f>"143416"</f>
        <v>143416</v>
      </c>
      <c r="D149" s="3" t="s">
        <v>675</v>
      </c>
      <c r="E149" s="3">
        <v>20600616235</v>
      </c>
      <c r="F149" s="3" t="s">
        <v>676</v>
      </c>
      <c r="G149" s="3" t="s">
        <v>677</v>
      </c>
      <c r="H149" s="3" t="s">
        <v>160</v>
      </c>
      <c r="I149" s="3" t="s">
        <v>160</v>
      </c>
      <c r="J149" s="3" t="s">
        <v>568</v>
      </c>
      <c r="K149" s="3" t="s">
        <v>678</v>
      </c>
      <c r="L149" s="4">
        <v>43617</v>
      </c>
      <c r="M149" s="3" t="s">
        <v>21</v>
      </c>
      <c r="N149" s="3" t="s">
        <v>679</v>
      </c>
    </row>
    <row r="150" spans="1:14" ht="13.5">
      <c r="A150" s="5">
        <v>144</v>
      </c>
      <c r="B150" s="5" t="str">
        <f>"201900078683"</f>
        <v>201900078683</v>
      </c>
      <c r="C150" s="5" t="str">
        <f>"143415"</f>
        <v>143415</v>
      </c>
      <c r="D150" s="5" t="s">
        <v>680</v>
      </c>
      <c r="E150" s="5">
        <v>20527343802</v>
      </c>
      <c r="F150" s="5" t="s">
        <v>681</v>
      </c>
      <c r="G150" s="5" t="s">
        <v>682</v>
      </c>
      <c r="H150" s="5" t="s">
        <v>160</v>
      </c>
      <c r="I150" s="5" t="s">
        <v>160</v>
      </c>
      <c r="J150" s="5" t="s">
        <v>568</v>
      </c>
      <c r="K150" s="5" t="s">
        <v>36</v>
      </c>
      <c r="L150" s="6">
        <v>43617</v>
      </c>
      <c r="M150" s="5" t="s">
        <v>21</v>
      </c>
      <c r="N150" s="5" t="s">
        <v>657</v>
      </c>
    </row>
    <row r="151" spans="1:14" ht="13.5">
      <c r="A151" s="3">
        <v>145</v>
      </c>
      <c r="B151" s="3" t="str">
        <f>"201900078683"</f>
        <v>201900078683</v>
      </c>
      <c r="C151" s="3" t="str">
        <f>"143414"</f>
        <v>143414</v>
      </c>
      <c r="D151" s="3" t="s">
        <v>683</v>
      </c>
      <c r="E151" s="3">
        <v>20527055840</v>
      </c>
      <c r="F151" s="3" t="s">
        <v>684</v>
      </c>
      <c r="G151" s="3" t="s">
        <v>685</v>
      </c>
      <c r="H151" s="3" t="s">
        <v>160</v>
      </c>
      <c r="I151" s="3" t="s">
        <v>160</v>
      </c>
      <c r="J151" s="3" t="s">
        <v>568</v>
      </c>
      <c r="K151" s="3" t="s">
        <v>97</v>
      </c>
      <c r="L151" s="4">
        <v>43617</v>
      </c>
      <c r="M151" s="3" t="s">
        <v>21</v>
      </c>
      <c r="N151" s="3" t="s">
        <v>686</v>
      </c>
    </row>
    <row r="152" spans="1:14" ht="13.5">
      <c r="A152" s="5">
        <v>146</v>
      </c>
      <c r="B152" s="5" t="str">
        <f>"201900078683"</f>
        <v>201900078683</v>
      </c>
      <c r="C152" s="5" t="str">
        <f>"143413"</f>
        <v>143413</v>
      </c>
      <c r="D152" s="5" t="s">
        <v>687</v>
      </c>
      <c r="E152" s="5">
        <v>20490731190</v>
      </c>
      <c r="F152" s="5" t="s">
        <v>688</v>
      </c>
      <c r="G152" s="5" t="s">
        <v>689</v>
      </c>
      <c r="H152" s="5" t="s">
        <v>160</v>
      </c>
      <c r="I152" s="5" t="s">
        <v>160</v>
      </c>
      <c r="J152" s="5" t="s">
        <v>568</v>
      </c>
      <c r="K152" s="5" t="s">
        <v>97</v>
      </c>
      <c r="L152" s="6">
        <v>43617</v>
      </c>
      <c r="M152" s="5" t="s">
        <v>21</v>
      </c>
      <c r="N152" s="5" t="s">
        <v>690</v>
      </c>
    </row>
    <row r="153" spans="1:14" ht="13.5">
      <c r="A153" s="3">
        <v>147</v>
      </c>
      <c r="B153" s="3" t="str">
        <f>"201900078683"</f>
        <v>201900078683</v>
      </c>
      <c r="C153" s="3" t="str">
        <f>"143412"</f>
        <v>143412</v>
      </c>
      <c r="D153" s="3" t="s">
        <v>691</v>
      </c>
      <c r="E153" s="3">
        <v>20485438042</v>
      </c>
      <c r="F153" s="3" t="s">
        <v>692</v>
      </c>
      <c r="G153" s="3" t="s">
        <v>693</v>
      </c>
      <c r="H153" s="3" t="s">
        <v>160</v>
      </c>
      <c r="I153" s="3" t="s">
        <v>160</v>
      </c>
      <c r="J153" s="3" t="s">
        <v>568</v>
      </c>
      <c r="K153" s="3" t="s">
        <v>97</v>
      </c>
      <c r="L153" s="4">
        <v>43617</v>
      </c>
      <c r="M153" s="3" t="s">
        <v>21</v>
      </c>
      <c r="N153" s="3" t="s">
        <v>694</v>
      </c>
    </row>
    <row r="154" spans="1:14" ht="69.75">
      <c r="A154" s="5">
        <v>148</v>
      </c>
      <c r="B154" s="5" t="str">
        <f>"201900161744"</f>
        <v>201900161744</v>
      </c>
      <c r="C154" s="5" t="str">
        <f>"143404"</f>
        <v>143404</v>
      </c>
      <c r="D154" s="5" t="s">
        <v>695</v>
      </c>
      <c r="E154" s="5">
        <v>20527405760</v>
      </c>
      <c r="F154" s="5" t="s">
        <v>696</v>
      </c>
      <c r="G154" s="5" t="s">
        <v>697</v>
      </c>
      <c r="H154" s="5" t="s">
        <v>160</v>
      </c>
      <c r="I154" s="5" t="s">
        <v>160</v>
      </c>
      <c r="J154" s="5" t="s">
        <v>698</v>
      </c>
      <c r="K154" s="5" t="s">
        <v>699</v>
      </c>
      <c r="L154" s="6">
        <v>43753</v>
      </c>
      <c r="M154" s="5" t="s">
        <v>21</v>
      </c>
      <c r="N154" s="5" t="s">
        <v>700</v>
      </c>
    </row>
    <row r="155" spans="1:14" ht="27.75">
      <c r="A155" s="3">
        <v>149</v>
      </c>
      <c r="B155" s="3" t="str">
        <f>"201900144546"</f>
        <v>201900144546</v>
      </c>
      <c r="C155" s="3" t="str">
        <f>"146393"</f>
        <v>146393</v>
      </c>
      <c r="D155" s="3" t="s">
        <v>701</v>
      </c>
      <c r="E155" s="3">
        <v>20604450927</v>
      </c>
      <c r="F155" s="3" t="s">
        <v>702</v>
      </c>
      <c r="G155" s="3" t="s">
        <v>703</v>
      </c>
      <c r="H155" s="3" t="s">
        <v>253</v>
      </c>
      <c r="I155" s="3" t="s">
        <v>253</v>
      </c>
      <c r="J155" s="3" t="s">
        <v>704</v>
      </c>
      <c r="K155" s="3" t="s">
        <v>36</v>
      </c>
      <c r="L155" s="4">
        <v>43714</v>
      </c>
      <c r="M155" s="3" t="s">
        <v>21</v>
      </c>
      <c r="N155" s="3" t="s">
        <v>705</v>
      </c>
    </row>
    <row r="156" spans="1:14" ht="13.5">
      <c r="A156" s="5">
        <v>150</v>
      </c>
      <c r="B156" s="5" t="str">
        <f>"201900078683"</f>
        <v>201900078683</v>
      </c>
      <c r="C156" s="5" t="str">
        <f>"143401"</f>
        <v>143401</v>
      </c>
      <c r="D156" s="5" t="s">
        <v>706</v>
      </c>
      <c r="E156" s="5">
        <v>20350428225</v>
      </c>
      <c r="F156" s="5" t="s">
        <v>707</v>
      </c>
      <c r="G156" s="5" t="s">
        <v>708</v>
      </c>
      <c r="H156" s="5" t="s">
        <v>160</v>
      </c>
      <c r="I156" s="5" t="s">
        <v>160</v>
      </c>
      <c r="J156" s="5" t="s">
        <v>698</v>
      </c>
      <c r="K156" s="5" t="s">
        <v>97</v>
      </c>
      <c r="L156" s="6">
        <v>43617</v>
      </c>
      <c r="M156" s="5" t="s">
        <v>21</v>
      </c>
      <c r="N156" s="5" t="s">
        <v>709</v>
      </c>
    </row>
    <row r="157" spans="1:14" ht="13.5">
      <c r="A157" s="3">
        <v>151</v>
      </c>
      <c r="B157" s="3" t="str">
        <f>"201900216486"</f>
        <v>201900216486</v>
      </c>
      <c r="C157" s="3" t="str">
        <f>"148524"</f>
        <v>148524</v>
      </c>
      <c r="D157" s="3" t="s">
        <v>710</v>
      </c>
      <c r="E157" s="3">
        <v>20553732990</v>
      </c>
      <c r="F157" s="3" t="s">
        <v>711</v>
      </c>
      <c r="G157" s="3" t="s">
        <v>712</v>
      </c>
      <c r="H157" s="3" t="s">
        <v>18</v>
      </c>
      <c r="I157" s="3" t="s">
        <v>18</v>
      </c>
      <c r="J157" s="3" t="s">
        <v>713</v>
      </c>
      <c r="K157" s="3" t="s">
        <v>51</v>
      </c>
      <c r="L157" s="4">
        <v>43836</v>
      </c>
      <c r="M157" s="3" t="s">
        <v>21</v>
      </c>
      <c r="N157" s="3" t="s">
        <v>714</v>
      </c>
    </row>
    <row r="158" spans="1:14" ht="42">
      <c r="A158" s="5">
        <v>152</v>
      </c>
      <c r="B158" s="5" t="str">
        <f>"202000115147"</f>
        <v>202000115147</v>
      </c>
      <c r="C158" s="5" t="str">
        <f>"150965"</f>
        <v>150965</v>
      </c>
      <c r="D158" s="5" t="s">
        <v>715</v>
      </c>
      <c r="E158" s="5">
        <v>20602567398</v>
      </c>
      <c r="F158" s="5" t="s">
        <v>716</v>
      </c>
      <c r="G158" s="5" t="s">
        <v>717</v>
      </c>
      <c r="H158" s="5" t="s">
        <v>513</v>
      </c>
      <c r="I158" s="5" t="s">
        <v>513</v>
      </c>
      <c r="J158" s="5" t="s">
        <v>514</v>
      </c>
      <c r="K158" s="5" t="s">
        <v>718</v>
      </c>
      <c r="L158" s="6">
        <v>44082</v>
      </c>
      <c r="M158" s="5" t="s">
        <v>21</v>
      </c>
      <c r="N158" s="5" t="s">
        <v>719</v>
      </c>
    </row>
    <row r="159" spans="1:14" ht="13.5">
      <c r="A159" s="3">
        <v>153</v>
      </c>
      <c r="B159" s="3" t="str">
        <f>"201900078683"</f>
        <v>201900078683</v>
      </c>
      <c r="C159" s="3" t="str">
        <f>"143402"</f>
        <v>143402</v>
      </c>
      <c r="D159" s="3" t="s">
        <v>720</v>
      </c>
      <c r="E159" s="3">
        <v>20370508659</v>
      </c>
      <c r="F159" s="3" t="s">
        <v>721</v>
      </c>
      <c r="G159" s="3" t="s">
        <v>722</v>
      </c>
      <c r="H159" s="3" t="s">
        <v>160</v>
      </c>
      <c r="I159" s="3" t="s">
        <v>160</v>
      </c>
      <c r="J159" s="3" t="s">
        <v>698</v>
      </c>
      <c r="K159" s="3" t="s">
        <v>36</v>
      </c>
      <c r="L159" s="4">
        <v>43617</v>
      </c>
      <c r="M159" s="3" t="s">
        <v>21</v>
      </c>
      <c r="N159" s="3" t="s">
        <v>723</v>
      </c>
    </row>
    <row r="160" spans="1:14" ht="13.5">
      <c r="A160" s="5">
        <v>154</v>
      </c>
      <c r="B160" s="5" t="str">
        <f>"201900121457"</f>
        <v>201900121457</v>
      </c>
      <c r="C160" s="5" t="str">
        <f>"145476"</f>
        <v>145476</v>
      </c>
      <c r="D160" s="5" t="s">
        <v>724</v>
      </c>
      <c r="E160" s="5">
        <v>20483919159</v>
      </c>
      <c r="F160" s="5" t="s">
        <v>725</v>
      </c>
      <c r="G160" s="5" t="s">
        <v>726</v>
      </c>
      <c r="H160" s="5" t="s">
        <v>73</v>
      </c>
      <c r="I160" s="5" t="s">
        <v>74</v>
      </c>
      <c r="J160" s="5" t="s">
        <v>74</v>
      </c>
      <c r="K160" s="5" t="s">
        <v>727</v>
      </c>
      <c r="L160" s="6">
        <v>43692</v>
      </c>
      <c r="M160" s="5" t="s">
        <v>21</v>
      </c>
      <c r="N160" s="5" t="s">
        <v>728</v>
      </c>
    </row>
    <row r="161" spans="1:14" ht="13.5">
      <c r="A161" s="3">
        <v>155</v>
      </c>
      <c r="B161" s="3" t="str">
        <f>"201900078683"</f>
        <v>201900078683</v>
      </c>
      <c r="C161" s="3" t="str">
        <f>"143405"</f>
        <v>143405</v>
      </c>
      <c r="D161" s="3" t="s">
        <v>729</v>
      </c>
      <c r="E161" s="3">
        <v>20527810273</v>
      </c>
      <c r="F161" s="3" t="s">
        <v>730</v>
      </c>
      <c r="G161" s="3" t="s">
        <v>731</v>
      </c>
      <c r="H161" s="3" t="s">
        <v>160</v>
      </c>
      <c r="I161" s="3" t="s">
        <v>160</v>
      </c>
      <c r="J161" s="3" t="s">
        <v>698</v>
      </c>
      <c r="K161" s="3" t="s">
        <v>97</v>
      </c>
      <c r="L161" s="4">
        <v>43617</v>
      </c>
      <c r="M161" s="3" t="s">
        <v>21</v>
      </c>
      <c r="N161" s="3" t="s">
        <v>732</v>
      </c>
    </row>
    <row r="162" spans="1:14" ht="13.5">
      <c r="A162" s="5">
        <v>156</v>
      </c>
      <c r="B162" s="5" t="str">
        <f>"201900078683"</f>
        <v>201900078683</v>
      </c>
      <c r="C162" s="5" t="str">
        <f>"143406"</f>
        <v>143406</v>
      </c>
      <c r="D162" s="5" t="s">
        <v>733</v>
      </c>
      <c r="E162" s="5">
        <v>10016902271</v>
      </c>
      <c r="F162" s="5" t="s">
        <v>734</v>
      </c>
      <c r="G162" s="5" t="s">
        <v>735</v>
      </c>
      <c r="H162" s="5" t="s">
        <v>160</v>
      </c>
      <c r="I162" s="5" t="s">
        <v>160</v>
      </c>
      <c r="J162" s="5" t="s">
        <v>669</v>
      </c>
      <c r="K162" s="5" t="s">
        <v>36</v>
      </c>
      <c r="L162" s="6">
        <v>43617</v>
      </c>
      <c r="M162" s="5" t="s">
        <v>21</v>
      </c>
      <c r="N162" s="5" t="s">
        <v>734</v>
      </c>
    </row>
    <row r="163" spans="1:14" ht="42">
      <c r="A163" s="3">
        <v>157</v>
      </c>
      <c r="B163" s="3" t="str">
        <f>"202000131184"</f>
        <v>202000131184</v>
      </c>
      <c r="C163" s="3" t="str">
        <f>"151498"</f>
        <v>151498</v>
      </c>
      <c r="D163" s="3" t="s">
        <v>736</v>
      </c>
      <c r="E163" s="3">
        <v>10103898248</v>
      </c>
      <c r="F163" s="3" t="s">
        <v>737</v>
      </c>
      <c r="G163" s="3" t="s">
        <v>738</v>
      </c>
      <c r="H163" s="3" t="s">
        <v>18</v>
      </c>
      <c r="I163" s="3" t="s">
        <v>18</v>
      </c>
      <c r="J163" s="3" t="s">
        <v>739</v>
      </c>
      <c r="K163" s="3" t="s">
        <v>42</v>
      </c>
      <c r="L163" s="4">
        <v>44111</v>
      </c>
      <c r="M163" s="3" t="s">
        <v>21</v>
      </c>
      <c r="N163" s="3" t="s">
        <v>737</v>
      </c>
    </row>
    <row r="164" spans="1:14" ht="27.75">
      <c r="A164" s="5">
        <v>158</v>
      </c>
      <c r="B164" s="5" t="str">
        <f>"202000146873"</f>
        <v>202000146873</v>
      </c>
      <c r="C164" s="5" t="str">
        <f>"151983"</f>
        <v>151983</v>
      </c>
      <c r="D164" s="5" t="s">
        <v>740</v>
      </c>
      <c r="E164" s="5">
        <v>20605446231</v>
      </c>
      <c r="F164" s="5" t="s">
        <v>741</v>
      </c>
      <c r="G164" s="5" t="s">
        <v>742</v>
      </c>
      <c r="H164" s="5" t="s">
        <v>743</v>
      </c>
      <c r="I164" s="5" t="s">
        <v>743</v>
      </c>
      <c r="J164" s="5" t="s">
        <v>743</v>
      </c>
      <c r="K164" s="5" t="s">
        <v>36</v>
      </c>
      <c r="L164" s="6">
        <v>44130</v>
      </c>
      <c r="M164" s="5" t="s">
        <v>21</v>
      </c>
      <c r="N164" s="5" t="s">
        <v>744</v>
      </c>
    </row>
    <row r="165" spans="1:14" ht="13.5">
      <c r="A165" s="3">
        <v>159</v>
      </c>
      <c r="B165" s="3" t="str">
        <f>"201900078683"</f>
        <v>201900078683</v>
      </c>
      <c r="C165" s="3" t="str">
        <f>"143399"</f>
        <v>143399</v>
      </c>
      <c r="D165" s="3" t="s">
        <v>745</v>
      </c>
      <c r="E165" s="3">
        <v>10251852184</v>
      </c>
      <c r="F165" s="3" t="s">
        <v>746</v>
      </c>
      <c r="G165" s="3" t="s">
        <v>747</v>
      </c>
      <c r="H165" s="3" t="s">
        <v>160</v>
      </c>
      <c r="I165" s="3" t="s">
        <v>160</v>
      </c>
      <c r="J165" s="3" t="s">
        <v>698</v>
      </c>
      <c r="K165" s="3" t="s">
        <v>36</v>
      </c>
      <c r="L165" s="4">
        <v>43617</v>
      </c>
      <c r="M165" s="3" t="s">
        <v>21</v>
      </c>
      <c r="N165" s="3" t="s">
        <v>746</v>
      </c>
    </row>
    <row r="166" spans="1:14" ht="13.5">
      <c r="A166" s="5">
        <v>160</v>
      </c>
      <c r="B166" s="5" t="str">
        <f>"201900078683"</f>
        <v>201900078683</v>
      </c>
      <c r="C166" s="5" t="str">
        <f>"143400"</f>
        <v>143400</v>
      </c>
      <c r="D166" s="5" t="s">
        <v>748</v>
      </c>
      <c r="E166" s="5">
        <v>20277577314</v>
      </c>
      <c r="F166" s="5" t="s">
        <v>749</v>
      </c>
      <c r="G166" s="5" t="s">
        <v>750</v>
      </c>
      <c r="H166" s="5" t="s">
        <v>160</v>
      </c>
      <c r="I166" s="5" t="s">
        <v>160</v>
      </c>
      <c r="J166" s="5" t="s">
        <v>698</v>
      </c>
      <c r="K166" s="5" t="s">
        <v>36</v>
      </c>
      <c r="L166" s="6">
        <v>43617</v>
      </c>
      <c r="M166" s="5" t="s">
        <v>21</v>
      </c>
      <c r="N166" s="5" t="s">
        <v>751</v>
      </c>
    </row>
    <row r="167" spans="1:14" ht="42">
      <c r="A167" s="3">
        <v>161</v>
      </c>
      <c r="B167" s="3" t="str">
        <f>"202000115458"</f>
        <v>202000115458</v>
      </c>
      <c r="C167" s="3" t="str">
        <f>"150967"</f>
        <v>150967</v>
      </c>
      <c r="D167" s="3" t="s">
        <v>752</v>
      </c>
      <c r="E167" s="3">
        <v>20550812470</v>
      </c>
      <c r="F167" s="3" t="s">
        <v>753</v>
      </c>
      <c r="G167" s="3" t="s">
        <v>754</v>
      </c>
      <c r="H167" s="3" t="s">
        <v>18</v>
      </c>
      <c r="I167" s="3" t="s">
        <v>18</v>
      </c>
      <c r="J167" s="3" t="s">
        <v>41</v>
      </c>
      <c r="K167" s="3" t="s">
        <v>718</v>
      </c>
      <c r="L167" s="4">
        <v>44082</v>
      </c>
      <c r="M167" s="3" t="s">
        <v>21</v>
      </c>
      <c r="N167" s="3" t="s">
        <v>755</v>
      </c>
    </row>
    <row r="168" spans="1:14" ht="13.5">
      <c r="A168" s="5">
        <v>162</v>
      </c>
      <c r="B168" s="5" t="str">
        <f>"201900115526"</f>
        <v>201900115526</v>
      </c>
      <c r="C168" s="5" t="str">
        <f>"145310"</f>
        <v>145310</v>
      </c>
      <c r="D168" s="5" t="s">
        <v>756</v>
      </c>
      <c r="E168" s="5">
        <v>10175686938</v>
      </c>
      <c r="F168" s="5" t="s">
        <v>757</v>
      </c>
      <c r="G168" s="5" t="s">
        <v>758</v>
      </c>
      <c r="H168" s="5" t="s">
        <v>333</v>
      </c>
      <c r="I168" s="5" t="s">
        <v>333</v>
      </c>
      <c r="J168" s="5" t="s">
        <v>759</v>
      </c>
      <c r="K168" s="5" t="s">
        <v>51</v>
      </c>
      <c r="L168" s="6">
        <v>43664</v>
      </c>
      <c r="M168" s="5" t="s">
        <v>21</v>
      </c>
      <c r="N168" s="5" t="s">
        <v>760</v>
      </c>
    </row>
    <row r="169" spans="1:14" ht="13.5">
      <c r="A169" s="3">
        <v>163</v>
      </c>
      <c r="B169" s="3" t="str">
        <f>"201900078683"</f>
        <v>201900078683</v>
      </c>
      <c r="C169" s="3" t="str">
        <f>"143397"</f>
        <v>143397</v>
      </c>
      <c r="D169" s="3" t="s">
        <v>761</v>
      </c>
      <c r="E169" s="3">
        <v>20600209672</v>
      </c>
      <c r="F169" s="3" t="s">
        <v>762</v>
      </c>
      <c r="G169" s="3" t="s">
        <v>763</v>
      </c>
      <c r="H169" s="3" t="s">
        <v>160</v>
      </c>
      <c r="I169" s="3" t="s">
        <v>160</v>
      </c>
      <c r="J169" s="3" t="s">
        <v>764</v>
      </c>
      <c r="K169" s="3" t="s">
        <v>36</v>
      </c>
      <c r="L169" s="4">
        <v>43617</v>
      </c>
      <c r="M169" s="3" t="s">
        <v>21</v>
      </c>
      <c r="N169" s="3" t="s">
        <v>765</v>
      </c>
    </row>
    <row r="170" spans="1:14" ht="27.75">
      <c r="A170" s="5">
        <v>164</v>
      </c>
      <c r="B170" s="5" t="str">
        <f>"201900121603"</f>
        <v>201900121603</v>
      </c>
      <c r="C170" s="5" t="str">
        <f>"145481"</f>
        <v>145481</v>
      </c>
      <c r="D170" s="5" t="s">
        <v>766</v>
      </c>
      <c r="E170" s="5">
        <v>20553315027</v>
      </c>
      <c r="F170" s="5" t="s">
        <v>767</v>
      </c>
      <c r="G170" s="5" t="s">
        <v>25</v>
      </c>
      <c r="H170" s="5" t="s">
        <v>18</v>
      </c>
      <c r="I170" s="5" t="s">
        <v>18</v>
      </c>
      <c r="J170" s="5" t="s">
        <v>26</v>
      </c>
      <c r="K170" s="5" t="s">
        <v>20</v>
      </c>
      <c r="L170" s="6">
        <v>43677</v>
      </c>
      <c r="M170" s="5" t="s">
        <v>21</v>
      </c>
      <c r="N170" s="5" t="s">
        <v>27</v>
      </c>
    </row>
    <row r="171" spans="1:14" ht="13.5">
      <c r="A171" s="3">
        <v>165</v>
      </c>
      <c r="B171" s="3" t="str">
        <f>"201900078683"</f>
        <v>201900078683</v>
      </c>
      <c r="C171" s="3" t="str">
        <f>"143398"</f>
        <v>143398</v>
      </c>
      <c r="D171" s="3" t="s">
        <v>768</v>
      </c>
      <c r="E171" s="3">
        <v>10240033254</v>
      </c>
      <c r="F171" s="3" t="s">
        <v>769</v>
      </c>
      <c r="G171" s="3" t="s">
        <v>770</v>
      </c>
      <c r="H171" s="3" t="s">
        <v>160</v>
      </c>
      <c r="I171" s="3" t="s">
        <v>160</v>
      </c>
      <c r="J171" s="3" t="s">
        <v>698</v>
      </c>
      <c r="K171" s="3" t="s">
        <v>36</v>
      </c>
      <c r="L171" s="4">
        <v>43617</v>
      </c>
      <c r="M171" s="3" t="s">
        <v>21</v>
      </c>
      <c r="N171" s="3" t="s">
        <v>769</v>
      </c>
    </row>
    <row r="172" spans="1:14" ht="27.75">
      <c r="A172" s="5">
        <v>166</v>
      </c>
      <c r="B172" s="5" t="str">
        <f>"202000125237"</f>
        <v>202000125237</v>
      </c>
      <c r="C172" s="5" t="str">
        <f>"151298"</f>
        <v>151298</v>
      </c>
      <c r="D172" s="5" t="s">
        <v>771</v>
      </c>
      <c r="E172" s="5">
        <v>20553871256</v>
      </c>
      <c r="F172" s="5" t="s">
        <v>772</v>
      </c>
      <c r="G172" s="5" t="s">
        <v>773</v>
      </c>
      <c r="H172" s="5" t="s">
        <v>18</v>
      </c>
      <c r="I172" s="5" t="s">
        <v>18</v>
      </c>
      <c r="J172" s="5" t="s">
        <v>303</v>
      </c>
      <c r="K172" s="5" t="s">
        <v>774</v>
      </c>
      <c r="L172" s="6">
        <v>44109</v>
      </c>
      <c r="M172" s="5" t="s">
        <v>21</v>
      </c>
      <c r="N172" s="5" t="s">
        <v>775</v>
      </c>
    </row>
    <row r="173" spans="1:14" ht="27.75">
      <c r="A173" s="3">
        <v>167</v>
      </c>
      <c r="B173" s="3" t="str">
        <f>"202000005609"</f>
        <v>202000005609</v>
      </c>
      <c r="C173" s="3" t="str">
        <f>"148712"</f>
        <v>148712</v>
      </c>
      <c r="D173" s="3" t="s">
        <v>776</v>
      </c>
      <c r="E173" s="3">
        <v>20557376144</v>
      </c>
      <c r="F173" s="3" t="s">
        <v>777</v>
      </c>
      <c r="G173" s="3" t="s">
        <v>778</v>
      </c>
      <c r="H173" s="3" t="s">
        <v>18</v>
      </c>
      <c r="I173" s="3" t="s">
        <v>18</v>
      </c>
      <c r="J173" s="3" t="s">
        <v>779</v>
      </c>
      <c r="K173" s="3" t="s">
        <v>51</v>
      </c>
      <c r="L173" s="4">
        <v>43847</v>
      </c>
      <c r="M173" s="3" t="s">
        <v>21</v>
      </c>
      <c r="N173" s="3" t="s">
        <v>780</v>
      </c>
    </row>
    <row r="174" spans="1:14" ht="97.5">
      <c r="A174" s="5">
        <v>168</v>
      </c>
      <c r="B174" s="5" t="str">
        <f>"201900078797"</f>
        <v>201900078797</v>
      </c>
      <c r="C174" s="5" t="str">
        <f>"143598"</f>
        <v>143598</v>
      </c>
      <c r="D174" s="5" t="s">
        <v>781</v>
      </c>
      <c r="E174" s="5">
        <v>20541320424</v>
      </c>
      <c r="F174" s="5" t="s">
        <v>782</v>
      </c>
      <c r="G174" s="5" t="s">
        <v>783</v>
      </c>
      <c r="H174" s="5" t="s">
        <v>73</v>
      </c>
      <c r="I174" s="5" t="s">
        <v>74</v>
      </c>
      <c r="J174" s="5" t="s">
        <v>784</v>
      </c>
      <c r="K174" s="5" t="s">
        <v>313</v>
      </c>
      <c r="L174" s="6">
        <v>43617</v>
      </c>
      <c r="M174" s="5" t="s">
        <v>21</v>
      </c>
      <c r="N174" s="5" t="s">
        <v>785</v>
      </c>
    </row>
    <row r="175" spans="1:14" ht="13.5">
      <c r="A175" s="3">
        <v>169</v>
      </c>
      <c r="B175" s="3" t="str">
        <f>"201900078797"</f>
        <v>201900078797</v>
      </c>
      <c r="C175" s="3" t="str">
        <f>"143597"</f>
        <v>143597</v>
      </c>
      <c r="D175" s="3" t="s">
        <v>786</v>
      </c>
      <c r="E175" s="3">
        <v>20540013391</v>
      </c>
      <c r="F175" s="3" t="s">
        <v>787</v>
      </c>
      <c r="G175" s="3" t="s">
        <v>788</v>
      </c>
      <c r="H175" s="3" t="s">
        <v>73</v>
      </c>
      <c r="I175" s="3" t="s">
        <v>74</v>
      </c>
      <c r="J175" s="3" t="s">
        <v>784</v>
      </c>
      <c r="K175" s="3" t="s">
        <v>51</v>
      </c>
      <c r="L175" s="4">
        <v>43617</v>
      </c>
      <c r="M175" s="3" t="s">
        <v>21</v>
      </c>
      <c r="N175" s="3" t="s">
        <v>789</v>
      </c>
    </row>
    <row r="176" spans="1:14" ht="55.5">
      <c r="A176" s="5">
        <v>170</v>
      </c>
      <c r="B176" s="5" t="str">
        <f>"202000129935"</f>
        <v>202000129935</v>
      </c>
      <c r="C176" s="5" t="str">
        <f>"151501"</f>
        <v>151501</v>
      </c>
      <c r="D176" s="5" t="s">
        <v>790</v>
      </c>
      <c r="E176" s="5">
        <v>20574761418</v>
      </c>
      <c r="F176" s="5" t="s">
        <v>791</v>
      </c>
      <c r="G176" s="5" t="s">
        <v>792</v>
      </c>
      <c r="H176" s="5" t="s">
        <v>793</v>
      </c>
      <c r="I176" s="5" t="s">
        <v>794</v>
      </c>
      <c r="J176" s="5" t="s">
        <v>795</v>
      </c>
      <c r="K176" s="5" t="s">
        <v>796</v>
      </c>
      <c r="L176" s="6">
        <v>44124</v>
      </c>
      <c r="M176" s="5" t="s">
        <v>21</v>
      </c>
      <c r="N176" s="5" t="s">
        <v>797</v>
      </c>
    </row>
    <row r="177" spans="1:14" ht="13.5">
      <c r="A177" s="3">
        <v>171</v>
      </c>
      <c r="B177" s="3" t="str">
        <f>"202000031483"</f>
        <v>202000031483</v>
      </c>
      <c r="C177" s="3" t="str">
        <f>"149284"</f>
        <v>149284</v>
      </c>
      <c r="D177" s="3" t="s">
        <v>798</v>
      </c>
      <c r="E177" s="3">
        <v>20539029011</v>
      </c>
      <c r="F177" s="3" t="s">
        <v>799</v>
      </c>
      <c r="G177" s="3" t="s">
        <v>800</v>
      </c>
      <c r="H177" s="3" t="s">
        <v>230</v>
      </c>
      <c r="I177" s="3" t="s">
        <v>231</v>
      </c>
      <c r="J177" s="3" t="s">
        <v>232</v>
      </c>
      <c r="K177" s="3" t="s">
        <v>51</v>
      </c>
      <c r="L177" s="4">
        <v>43881</v>
      </c>
      <c r="M177" s="3" t="s">
        <v>21</v>
      </c>
      <c r="N177" s="3" t="s">
        <v>233</v>
      </c>
    </row>
    <row r="178" spans="1:14" ht="13.5">
      <c r="A178" s="5">
        <v>172</v>
      </c>
      <c r="B178" s="5" t="str">
        <f>"201900078799"</f>
        <v>201900078799</v>
      </c>
      <c r="C178" s="5" t="str">
        <f>"143602"</f>
        <v>143602</v>
      </c>
      <c r="D178" s="5" t="s">
        <v>801</v>
      </c>
      <c r="E178" s="5">
        <v>10167862263</v>
      </c>
      <c r="F178" s="5" t="s">
        <v>802</v>
      </c>
      <c r="G178" s="5" t="s">
        <v>803</v>
      </c>
      <c r="H178" s="5" t="s">
        <v>333</v>
      </c>
      <c r="I178" s="5" t="s">
        <v>334</v>
      </c>
      <c r="J178" s="5" t="s">
        <v>334</v>
      </c>
      <c r="K178" s="5" t="s">
        <v>97</v>
      </c>
      <c r="L178" s="6">
        <v>43617</v>
      </c>
      <c r="M178" s="5" t="s">
        <v>21</v>
      </c>
      <c r="N178" s="5" t="s">
        <v>802</v>
      </c>
    </row>
    <row r="179" spans="1:14" ht="13.5">
      <c r="A179" s="3">
        <v>173</v>
      </c>
      <c r="B179" s="3" t="str">
        <f>"201900078799"</f>
        <v>201900078799</v>
      </c>
      <c r="C179" s="3" t="str">
        <f>"143601"</f>
        <v>143601</v>
      </c>
      <c r="D179" s="3" t="s">
        <v>804</v>
      </c>
      <c r="E179" s="3">
        <v>10164755253</v>
      </c>
      <c r="F179" s="3" t="s">
        <v>805</v>
      </c>
      <c r="G179" s="3" t="s">
        <v>806</v>
      </c>
      <c r="H179" s="3" t="s">
        <v>333</v>
      </c>
      <c r="I179" s="3" t="s">
        <v>334</v>
      </c>
      <c r="J179" s="3" t="s">
        <v>334</v>
      </c>
      <c r="K179" s="3" t="s">
        <v>97</v>
      </c>
      <c r="L179" s="4">
        <v>43617</v>
      </c>
      <c r="M179" s="3" t="s">
        <v>21</v>
      </c>
      <c r="N179" s="3" t="s">
        <v>807</v>
      </c>
    </row>
    <row r="180" spans="1:14" ht="55.5">
      <c r="A180" s="5">
        <v>174</v>
      </c>
      <c r="B180" s="5" t="str">
        <f>"202000058833"</f>
        <v>202000058833</v>
      </c>
      <c r="C180" s="5" t="str">
        <f>"143600"</f>
        <v>143600</v>
      </c>
      <c r="D180" s="5" t="s">
        <v>808</v>
      </c>
      <c r="E180" s="5">
        <v>20602721451</v>
      </c>
      <c r="F180" s="5" t="s">
        <v>809</v>
      </c>
      <c r="G180" s="5" t="s">
        <v>810</v>
      </c>
      <c r="H180" s="5" t="s">
        <v>73</v>
      </c>
      <c r="I180" s="5" t="s">
        <v>74</v>
      </c>
      <c r="J180" s="5" t="s">
        <v>784</v>
      </c>
      <c r="K180" s="5" t="s">
        <v>811</v>
      </c>
      <c r="L180" s="6">
        <v>43978</v>
      </c>
      <c r="M180" s="5" t="s">
        <v>21</v>
      </c>
      <c r="N180" s="5" t="s">
        <v>812</v>
      </c>
    </row>
    <row r="181" spans="1:14" ht="27.75">
      <c r="A181" s="3">
        <v>175</v>
      </c>
      <c r="B181" s="3" t="str">
        <f>"201900078797"</f>
        <v>201900078797</v>
      </c>
      <c r="C181" s="3" t="str">
        <f>"143599"</f>
        <v>143599</v>
      </c>
      <c r="D181" s="3" t="s">
        <v>813</v>
      </c>
      <c r="E181" s="3">
        <v>20601927030</v>
      </c>
      <c r="F181" s="3" t="s">
        <v>814</v>
      </c>
      <c r="G181" s="3" t="s">
        <v>815</v>
      </c>
      <c r="H181" s="3" t="s">
        <v>73</v>
      </c>
      <c r="I181" s="3" t="s">
        <v>74</v>
      </c>
      <c r="J181" s="3" t="s">
        <v>784</v>
      </c>
      <c r="K181" s="3" t="s">
        <v>816</v>
      </c>
      <c r="L181" s="4">
        <v>43617</v>
      </c>
      <c r="M181" s="3" t="s">
        <v>21</v>
      </c>
      <c r="N181" s="3" t="s">
        <v>817</v>
      </c>
    </row>
    <row r="182" spans="1:14" ht="13.5">
      <c r="A182" s="5">
        <v>176</v>
      </c>
      <c r="B182" s="5" t="str">
        <f>"201900078799"</f>
        <v>201900078799</v>
      </c>
      <c r="C182" s="5" t="str">
        <f>"143606"</f>
        <v>143606</v>
      </c>
      <c r="D182" s="5" t="s">
        <v>818</v>
      </c>
      <c r="E182" s="5">
        <v>20368698360</v>
      </c>
      <c r="F182" s="5" t="s">
        <v>819</v>
      </c>
      <c r="G182" s="5" t="s">
        <v>820</v>
      </c>
      <c r="H182" s="5" t="s">
        <v>333</v>
      </c>
      <c r="I182" s="5" t="s">
        <v>334</v>
      </c>
      <c r="J182" s="5" t="s">
        <v>334</v>
      </c>
      <c r="K182" s="5" t="s">
        <v>36</v>
      </c>
      <c r="L182" s="6">
        <v>43617</v>
      </c>
      <c r="M182" s="5" t="s">
        <v>21</v>
      </c>
      <c r="N182" s="5" t="s">
        <v>821</v>
      </c>
    </row>
    <row r="183" spans="1:14" ht="13.5">
      <c r="A183" s="3">
        <v>177</v>
      </c>
      <c r="B183" s="3" t="str">
        <f>"201900078799"</f>
        <v>201900078799</v>
      </c>
      <c r="C183" s="3" t="str">
        <f>"143605"</f>
        <v>143605</v>
      </c>
      <c r="D183" s="3" t="s">
        <v>822</v>
      </c>
      <c r="E183" s="3">
        <v>20103626448</v>
      </c>
      <c r="F183" s="3" t="s">
        <v>823</v>
      </c>
      <c r="G183" s="3" t="s">
        <v>824</v>
      </c>
      <c r="H183" s="3" t="s">
        <v>333</v>
      </c>
      <c r="I183" s="3" t="s">
        <v>334</v>
      </c>
      <c r="J183" s="3" t="s">
        <v>334</v>
      </c>
      <c r="K183" s="3" t="s">
        <v>51</v>
      </c>
      <c r="L183" s="4">
        <v>43617</v>
      </c>
      <c r="M183" s="3" t="s">
        <v>21</v>
      </c>
      <c r="N183" s="3" t="s">
        <v>825</v>
      </c>
    </row>
    <row r="184" spans="1:14" ht="13.5">
      <c r="A184" s="5">
        <v>178</v>
      </c>
      <c r="B184" s="5" t="str">
        <f>"201900078799"</f>
        <v>201900078799</v>
      </c>
      <c r="C184" s="5" t="str">
        <f>"143604"</f>
        <v>143604</v>
      </c>
      <c r="D184" s="5" t="s">
        <v>826</v>
      </c>
      <c r="E184" s="5">
        <v>10459374685</v>
      </c>
      <c r="F184" s="5" t="s">
        <v>827</v>
      </c>
      <c r="G184" s="5" t="s">
        <v>828</v>
      </c>
      <c r="H184" s="5" t="s">
        <v>333</v>
      </c>
      <c r="I184" s="5" t="s">
        <v>334</v>
      </c>
      <c r="J184" s="5" t="s">
        <v>334</v>
      </c>
      <c r="K184" s="5" t="s">
        <v>51</v>
      </c>
      <c r="L184" s="6">
        <v>43617</v>
      </c>
      <c r="M184" s="5" t="s">
        <v>21</v>
      </c>
      <c r="N184" s="5" t="s">
        <v>827</v>
      </c>
    </row>
    <row r="185" spans="1:14" ht="27.75">
      <c r="A185" s="3">
        <v>179</v>
      </c>
      <c r="B185" s="3" t="str">
        <f>"201900078799"</f>
        <v>201900078799</v>
      </c>
      <c r="C185" s="3" t="str">
        <f>"143603"</f>
        <v>143603</v>
      </c>
      <c r="D185" s="3" t="s">
        <v>829</v>
      </c>
      <c r="E185" s="3">
        <v>10273742609</v>
      </c>
      <c r="F185" s="3" t="s">
        <v>830</v>
      </c>
      <c r="G185" s="3" t="s">
        <v>831</v>
      </c>
      <c r="H185" s="3" t="s">
        <v>333</v>
      </c>
      <c r="I185" s="3" t="s">
        <v>334</v>
      </c>
      <c r="J185" s="3" t="s">
        <v>334</v>
      </c>
      <c r="K185" s="3" t="s">
        <v>97</v>
      </c>
      <c r="L185" s="4">
        <v>43617</v>
      </c>
      <c r="M185" s="3" t="s">
        <v>21</v>
      </c>
      <c r="N185" s="3" t="s">
        <v>830</v>
      </c>
    </row>
    <row r="186" spans="1:14" ht="125.25">
      <c r="A186" s="5">
        <v>180</v>
      </c>
      <c r="B186" s="5" t="str">
        <f>"202000123622"</f>
        <v>202000123622</v>
      </c>
      <c r="C186" s="5" t="str">
        <f>"151300"</f>
        <v>151300</v>
      </c>
      <c r="D186" s="5" t="s">
        <v>832</v>
      </c>
      <c r="E186" s="5">
        <v>20606225777</v>
      </c>
      <c r="F186" s="5" t="s">
        <v>833</v>
      </c>
      <c r="G186" s="5" t="s">
        <v>834</v>
      </c>
      <c r="H186" s="5" t="s">
        <v>73</v>
      </c>
      <c r="I186" s="5" t="s">
        <v>835</v>
      </c>
      <c r="J186" s="5" t="s">
        <v>836</v>
      </c>
      <c r="K186" s="5" t="s">
        <v>837</v>
      </c>
      <c r="L186" s="6">
        <v>44109</v>
      </c>
      <c r="M186" s="5" t="s">
        <v>21</v>
      </c>
      <c r="N186" s="5" t="s">
        <v>838</v>
      </c>
    </row>
    <row r="187" spans="1:14" ht="27.75">
      <c r="A187" s="3">
        <v>181</v>
      </c>
      <c r="B187" s="3" t="str">
        <f>"201900148280"</f>
        <v>201900148280</v>
      </c>
      <c r="C187" s="3" t="str">
        <f>"145994"</f>
        <v>145994</v>
      </c>
      <c r="D187" s="3" t="s">
        <v>839</v>
      </c>
      <c r="E187" s="3">
        <v>20600080742</v>
      </c>
      <c r="F187" s="3" t="s">
        <v>840</v>
      </c>
      <c r="G187" s="3" t="s">
        <v>841</v>
      </c>
      <c r="H187" s="3" t="s">
        <v>18</v>
      </c>
      <c r="I187" s="3" t="s">
        <v>18</v>
      </c>
      <c r="J187" s="3" t="s">
        <v>18</v>
      </c>
      <c r="K187" s="3" t="s">
        <v>842</v>
      </c>
      <c r="L187" s="4">
        <v>43724</v>
      </c>
      <c r="M187" s="3" t="s">
        <v>21</v>
      </c>
      <c r="N187" s="3" t="s">
        <v>843</v>
      </c>
    </row>
    <row r="188" spans="1:14" ht="13.5">
      <c r="A188" s="5">
        <v>182</v>
      </c>
      <c r="B188" s="5" t="str">
        <f>"201900078797"</f>
        <v>201900078797</v>
      </c>
      <c r="C188" s="5" t="str">
        <f>"143596"</f>
        <v>143596</v>
      </c>
      <c r="D188" s="5" t="s">
        <v>844</v>
      </c>
      <c r="E188" s="5">
        <v>20481914796</v>
      </c>
      <c r="F188" s="5" t="s">
        <v>845</v>
      </c>
      <c r="G188" s="5" t="s">
        <v>846</v>
      </c>
      <c r="H188" s="5" t="s">
        <v>73</v>
      </c>
      <c r="I188" s="5" t="s">
        <v>74</v>
      </c>
      <c r="J188" s="5" t="s">
        <v>784</v>
      </c>
      <c r="K188" s="5" t="s">
        <v>847</v>
      </c>
      <c r="L188" s="6">
        <v>43617</v>
      </c>
      <c r="M188" s="5" t="s">
        <v>21</v>
      </c>
      <c r="N188" s="5" t="s">
        <v>848</v>
      </c>
    </row>
    <row r="189" spans="1:14" ht="13.5">
      <c r="A189" s="3">
        <v>183</v>
      </c>
      <c r="B189" s="3" t="str">
        <f>"201900078683"</f>
        <v>201900078683</v>
      </c>
      <c r="C189" s="3" t="str">
        <f>"143390"</f>
        <v>143390</v>
      </c>
      <c r="D189" s="3" t="s">
        <v>849</v>
      </c>
      <c r="E189" s="3">
        <v>10238531981</v>
      </c>
      <c r="F189" s="3" t="s">
        <v>850</v>
      </c>
      <c r="G189" s="3" t="s">
        <v>851</v>
      </c>
      <c r="H189" s="3" t="s">
        <v>160</v>
      </c>
      <c r="I189" s="3" t="s">
        <v>160</v>
      </c>
      <c r="J189" s="3" t="s">
        <v>764</v>
      </c>
      <c r="K189" s="3" t="s">
        <v>36</v>
      </c>
      <c r="L189" s="4">
        <v>43617</v>
      </c>
      <c r="M189" s="3" t="s">
        <v>21</v>
      </c>
      <c r="N189" s="3" t="s">
        <v>850</v>
      </c>
    </row>
    <row r="190" spans="1:14" ht="13.5">
      <c r="A190" s="5">
        <v>184</v>
      </c>
      <c r="B190" s="5" t="str">
        <f>"201900078683"</f>
        <v>201900078683</v>
      </c>
      <c r="C190" s="5" t="str">
        <f>"143391"</f>
        <v>143391</v>
      </c>
      <c r="D190" s="5" t="s">
        <v>852</v>
      </c>
      <c r="E190" s="5">
        <v>10416133901</v>
      </c>
      <c r="F190" s="5" t="s">
        <v>853</v>
      </c>
      <c r="G190" s="5" t="s">
        <v>854</v>
      </c>
      <c r="H190" s="5" t="s">
        <v>160</v>
      </c>
      <c r="I190" s="5" t="s">
        <v>160</v>
      </c>
      <c r="J190" s="5" t="s">
        <v>764</v>
      </c>
      <c r="K190" s="5" t="s">
        <v>36</v>
      </c>
      <c r="L190" s="6">
        <v>43617</v>
      </c>
      <c r="M190" s="5" t="s">
        <v>21</v>
      </c>
      <c r="N190" s="5" t="s">
        <v>853</v>
      </c>
    </row>
    <row r="191" spans="1:14" ht="13.5">
      <c r="A191" s="3">
        <v>185</v>
      </c>
      <c r="B191" s="3" t="str">
        <f>"201900078683"</f>
        <v>201900078683</v>
      </c>
      <c r="C191" s="3" t="str">
        <f>"143392"</f>
        <v>143392</v>
      </c>
      <c r="D191" s="3" t="s">
        <v>855</v>
      </c>
      <c r="E191" s="3">
        <v>10428913391</v>
      </c>
      <c r="F191" s="3" t="s">
        <v>856</v>
      </c>
      <c r="G191" s="3" t="s">
        <v>857</v>
      </c>
      <c r="H191" s="3" t="s">
        <v>160</v>
      </c>
      <c r="I191" s="3" t="s">
        <v>160</v>
      </c>
      <c r="J191" s="3" t="s">
        <v>764</v>
      </c>
      <c r="K191" s="3" t="s">
        <v>97</v>
      </c>
      <c r="L191" s="4">
        <v>43617</v>
      </c>
      <c r="M191" s="3" t="s">
        <v>21</v>
      </c>
      <c r="N191" s="3" t="s">
        <v>856</v>
      </c>
    </row>
    <row r="192" spans="1:14" ht="13.5">
      <c r="A192" s="5">
        <v>186</v>
      </c>
      <c r="B192" s="5" t="str">
        <f>"201900078683"</f>
        <v>201900078683</v>
      </c>
      <c r="C192" s="5" t="str">
        <f>"143393"</f>
        <v>143393</v>
      </c>
      <c r="D192" s="5" t="s">
        <v>858</v>
      </c>
      <c r="E192" s="5">
        <v>10483059715</v>
      </c>
      <c r="F192" s="5" t="s">
        <v>859</v>
      </c>
      <c r="G192" s="5" t="s">
        <v>860</v>
      </c>
      <c r="H192" s="5" t="s">
        <v>160</v>
      </c>
      <c r="I192" s="5" t="s">
        <v>160</v>
      </c>
      <c r="J192" s="5" t="s">
        <v>764</v>
      </c>
      <c r="K192" s="5" t="s">
        <v>36</v>
      </c>
      <c r="L192" s="6">
        <v>43617</v>
      </c>
      <c r="M192" s="5" t="s">
        <v>21</v>
      </c>
      <c r="N192" s="5" t="s">
        <v>859</v>
      </c>
    </row>
    <row r="193" spans="1:14" ht="42">
      <c r="A193" s="3">
        <v>187</v>
      </c>
      <c r="B193" s="3" t="str">
        <f>"202000115508"</f>
        <v>202000115508</v>
      </c>
      <c r="C193" s="3" t="str">
        <f>"150969"</f>
        <v>150969</v>
      </c>
      <c r="D193" s="3" t="s">
        <v>861</v>
      </c>
      <c r="E193" s="3">
        <v>20600004779</v>
      </c>
      <c r="F193" s="3" t="s">
        <v>862</v>
      </c>
      <c r="G193" s="3" t="s">
        <v>863</v>
      </c>
      <c r="H193" s="3" t="s">
        <v>18</v>
      </c>
      <c r="I193" s="3" t="s">
        <v>18</v>
      </c>
      <c r="J193" s="3" t="s">
        <v>41</v>
      </c>
      <c r="K193" s="3" t="s">
        <v>718</v>
      </c>
      <c r="L193" s="4">
        <v>44082</v>
      </c>
      <c r="M193" s="3" t="s">
        <v>21</v>
      </c>
      <c r="N193" s="3" t="s">
        <v>864</v>
      </c>
    </row>
    <row r="194" spans="1:14" ht="13.5">
      <c r="A194" s="5">
        <v>188</v>
      </c>
      <c r="B194" s="5" t="str">
        <f>"201900078683"</f>
        <v>201900078683</v>
      </c>
      <c r="C194" s="5" t="str">
        <f>"143394"</f>
        <v>143394</v>
      </c>
      <c r="D194" s="5" t="s">
        <v>865</v>
      </c>
      <c r="E194" s="5">
        <v>20450702804</v>
      </c>
      <c r="F194" s="5" t="s">
        <v>866</v>
      </c>
      <c r="G194" s="5" t="s">
        <v>867</v>
      </c>
      <c r="H194" s="5" t="s">
        <v>160</v>
      </c>
      <c r="I194" s="5" t="s">
        <v>160</v>
      </c>
      <c r="J194" s="5" t="s">
        <v>764</v>
      </c>
      <c r="K194" s="5" t="s">
        <v>97</v>
      </c>
      <c r="L194" s="6">
        <v>43617</v>
      </c>
      <c r="M194" s="5" t="s">
        <v>21</v>
      </c>
      <c r="N194" s="5" t="s">
        <v>868</v>
      </c>
    </row>
    <row r="195" spans="1:14" ht="27.75">
      <c r="A195" s="3">
        <v>189</v>
      </c>
      <c r="B195" s="3" t="str">
        <f>"201900078683"</f>
        <v>201900078683</v>
      </c>
      <c r="C195" s="3" t="str">
        <f>"143395"</f>
        <v>143395</v>
      </c>
      <c r="D195" s="3" t="s">
        <v>869</v>
      </c>
      <c r="E195" s="3">
        <v>20490907492</v>
      </c>
      <c r="F195" s="3" t="s">
        <v>870</v>
      </c>
      <c r="G195" s="3" t="s">
        <v>871</v>
      </c>
      <c r="H195" s="3" t="s">
        <v>160</v>
      </c>
      <c r="I195" s="3" t="s">
        <v>160</v>
      </c>
      <c r="J195" s="3" t="s">
        <v>764</v>
      </c>
      <c r="K195" s="3" t="s">
        <v>36</v>
      </c>
      <c r="L195" s="4">
        <v>43617</v>
      </c>
      <c r="M195" s="3" t="s">
        <v>21</v>
      </c>
      <c r="N195" s="3" t="s">
        <v>856</v>
      </c>
    </row>
    <row r="196" spans="1:14" ht="13.5">
      <c r="A196" s="5">
        <v>190</v>
      </c>
      <c r="B196" s="5" t="str">
        <f>"201900078683"</f>
        <v>201900078683</v>
      </c>
      <c r="C196" s="5" t="str">
        <f>"143396"</f>
        <v>143396</v>
      </c>
      <c r="D196" s="5" t="s">
        <v>872</v>
      </c>
      <c r="E196" s="5">
        <v>20527109877</v>
      </c>
      <c r="F196" s="5" t="s">
        <v>873</v>
      </c>
      <c r="G196" s="5" t="s">
        <v>874</v>
      </c>
      <c r="H196" s="5" t="s">
        <v>160</v>
      </c>
      <c r="I196" s="5" t="s">
        <v>160</v>
      </c>
      <c r="J196" s="5" t="s">
        <v>764</v>
      </c>
      <c r="K196" s="5" t="s">
        <v>51</v>
      </c>
      <c r="L196" s="6">
        <v>43617</v>
      </c>
      <c r="M196" s="5" t="s">
        <v>21</v>
      </c>
      <c r="N196" s="5" t="s">
        <v>875</v>
      </c>
    </row>
    <row r="197" spans="1:14" ht="153.75">
      <c r="A197" s="3">
        <v>191</v>
      </c>
      <c r="B197" s="3" t="str">
        <f>"202000004746"</f>
        <v>202000004746</v>
      </c>
      <c r="C197" s="3" t="str">
        <f>"148722"</f>
        <v>148722</v>
      </c>
      <c r="D197" s="3" t="s">
        <v>876</v>
      </c>
      <c r="E197" s="3">
        <v>20605479686</v>
      </c>
      <c r="F197" s="3" t="s">
        <v>877</v>
      </c>
      <c r="G197" s="3" t="s">
        <v>878</v>
      </c>
      <c r="H197" s="3" t="s">
        <v>73</v>
      </c>
      <c r="I197" s="3" t="s">
        <v>74</v>
      </c>
      <c r="J197" s="3" t="s">
        <v>879</v>
      </c>
      <c r="K197" s="3" t="s">
        <v>880</v>
      </c>
      <c r="L197" s="4">
        <v>43850</v>
      </c>
      <c r="M197" s="3" t="s">
        <v>21</v>
      </c>
      <c r="N197" s="3" t="s">
        <v>881</v>
      </c>
    </row>
    <row r="198" spans="1:14" ht="13.5">
      <c r="A198" s="5">
        <v>192</v>
      </c>
      <c r="B198" s="5" t="str">
        <f>"201900078683"</f>
        <v>201900078683</v>
      </c>
      <c r="C198" s="5" t="str">
        <f>"143387"</f>
        <v>143387</v>
      </c>
      <c r="D198" s="5" t="s">
        <v>882</v>
      </c>
      <c r="E198" s="5">
        <v>20527652694</v>
      </c>
      <c r="F198" s="5" t="s">
        <v>883</v>
      </c>
      <c r="G198" s="5" t="s">
        <v>884</v>
      </c>
      <c r="H198" s="5" t="s">
        <v>160</v>
      </c>
      <c r="I198" s="5" t="s">
        <v>160</v>
      </c>
      <c r="J198" s="5" t="s">
        <v>160</v>
      </c>
      <c r="K198" s="5" t="s">
        <v>97</v>
      </c>
      <c r="L198" s="6">
        <v>43617</v>
      </c>
      <c r="M198" s="5" t="s">
        <v>21</v>
      </c>
      <c r="N198" s="5" t="s">
        <v>885</v>
      </c>
    </row>
    <row r="199" spans="1:14" ht="55.5">
      <c r="A199" s="3">
        <v>193</v>
      </c>
      <c r="B199" s="3" t="str">
        <f>"201900170489"</f>
        <v>201900170489</v>
      </c>
      <c r="C199" s="3" t="str">
        <f>"145488"</f>
        <v>145488</v>
      </c>
      <c r="D199" s="3" t="s">
        <v>886</v>
      </c>
      <c r="E199" s="3">
        <v>20602822983</v>
      </c>
      <c r="F199" s="3" t="s">
        <v>887</v>
      </c>
      <c r="G199" s="3" t="s">
        <v>888</v>
      </c>
      <c r="H199" s="3" t="s">
        <v>322</v>
      </c>
      <c r="I199" s="3" t="s">
        <v>323</v>
      </c>
      <c r="J199" s="3" t="s">
        <v>889</v>
      </c>
      <c r="K199" s="3" t="s">
        <v>890</v>
      </c>
      <c r="L199" s="4">
        <v>43763</v>
      </c>
      <c r="M199" s="3" t="s">
        <v>21</v>
      </c>
      <c r="N199" s="3" t="s">
        <v>891</v>
      </c>
    </row>
    <row r="200" spans="1:14" ht="13.5">
      <c r="A200" s="5">
        <v>194</v>
      </c>
      <c r="B200" s="5" t="str">
        <f>"201900078683"</f>
        <v>201900078683</v>
      </c>
      <c r="C200" s="5" t="str">
        <f>"143388"</f>
        <v>143388</v>
      </c>
      <c r="D200" s="5" t="s">
        <v>892</v>
      </c>
      <c r="E200" s="5">
        <v>20600322304</v>
      </c>
      <c r="F200" s="5" t="s">
        <v>893</v>
      </c>
      <c r="G200" s="5" t="s">
        <v>894</v>
      </c>
      <c r="H200" s="5" t="s">
        <v>160</v>
      </c>
      <c r="I200" s="5" t="s">
        <v>160</v>
      </c>
      <c r="J200" s="5" t="s">
        <v>895</v>
      </c>
      <c r="K200" s="5" t="s">
        <v>36</v>
      </c>
      <c r="L200" s="6">
        <v>43617</v>
      </c>
      <c r="M200" s="5" t="s">
        <v>21</v>
      </c>
      <c r="N200" s="5" t="s">
        <v>896</v>
      </c>
    </row>
    <row r="201" spans="1:14" ht="13.5">
      <c r="A201" s="3">
        <v>195</v>
      </c>
      <c r="B201" s="3" t="str">
        <f>"201900078683"</f>
        <v>201900078683</v>
      </c>
      <c r="C201" s="3" t="str">
        <f>"143389"</f>
        <v>143389</v>
      </c>
      <c r="D201" s="3" t="s">
        <v>897</v>
      </c>
      <c r="E201" s="3">
        <v>10095718804</v>
      </c>
      <c r="F201" s="3" t="s">
        <v>898</v>
      </c>
      <c r="G201" s="3" t="s">
        <v>899</v>
      </c>
      <c r="H201" s="3" t="s">
        <v>160</v>
      </c>
      <c r="I201" s="3" t="s">
        <v>160</v>
      </c>
      <c r="J201" s="3" t="s">
        <v>764</v>
      </c>
      <c r="K201" s="3" t="s">
        <v>36</v>
      </c>
      <c r="L201" s="4">
        <v>43617</v>
      </c>
      <c r="M201" s="3" t="s">
        <v>21</v>
      </c>
      <c r="N201" s="3" t="s">
        <v>898</v>
      </c>
    </row>
    <row r="202" spans="1:14" ht="13.5">
      <c r="A202" s="5">
        <v>196</v>
      </c>
      <c r="B202" s="5" t="str">
        <f aca="true" t="shared" si="3" ref="B202:B208">"201900078797"</f>
        <v>201900078797</v>
      </c>
      <c r="C202" s="5" t="str">
        <f>"143587"</f>
        <v>143587</v>
      </c>
      <c r="D202" s="5" t="s">
        <v>900</v>
      </c>
      <c r="E202" s="5">
        <v>20602131425</v>
      </c>
      <c r="F202" s="5" t="s">
        <v>901</v>
      </c>
      <c r="G202" s="5" t="s">
        <v>902</v>
      </c>
      <c r="H202" s="5" t="s">
        <v>73</v>
      </c>
      <c r="I202" s="5" t="s">
        <v>74</v>
      </c>
      <c r="J202" s="5" t="s">
        <v>74</v>
      </c>
      <c r="K202" s="5" t="s">
        <v>903</v>
      </c>
      <c r="L202" s="6">
        <v>43617</v>
      </c>
      <c r="M202" s="5" t="s">
        <v>21</v>
      </c>
      <c r="N202" s="5" t="s">
        <v>904</v>
      </c>
    </row>
    <row r="203" spans="1:14" ht="13.5">
      <c r="A203" s="3">
        <v>197</v>
      </c>
      <c r="B203" s="3" t="str">
        <f t="shared" si="3"/>
        <v>201900078797</v>
      </c>
      <c r="C203" s="3" t="str">
        <f>"143589"</f>
        <v>143589</v>
      </c>
      <c r="D203" s="3" t="s">
        <v>905</v>
      </c>
      <c r="E203" s="3">
        <v>20602731457</v>
      </c>
      <c r="F203" s="3" t="s">
        <v>906</v>
      </c>
      <c r="G203" s="3" t="s">
        <v>907</v>
      </c>
      <c r="H203" s="3" t="s">
        <v>73</v>
      </c>
      <c r="I203" s="3" t="s">
        <v>74</v>
      </c>
      <c r="J203" s="3" t="s">
        <v>74</v>
      </c>
      <c r="K203" s="3" t="s">
        <v>51</v>
      </c>
      <c r="L203" s="4">
        <v>43617</v>
      </c>
      <c r="M203" s="3" t="s">
        <v>21</v>
      </c>
      <c r="N203" s="3" t="s">
        <v>908</v>
      </c>
    </row>
    <row r="204" spans="1:14" ht="13.5">
      <c r="A204" s="5">
        <v>198</v>
      </c>
      <c r="B204" s="5" t="str">
        <f t="shared" si="3"/>
        <v>201900078797</v>
      </c>
      <c r="C204" s="5" t="str">
        <f>"143588"</f>
        <v>143588</v>
      </c>
      <c r="D204" s="5" t="s">
        <v>909</v>
      </c>
      <c r="E204" s="5">
        <v>20602589570</v>
      </c>
      <c r="F204" s="5" t="s">
        <v>910</v>
      </c>
      <c r="G204" s="5" t="s">
        <v>911</v>
      </c>
      <c r="H204" s="5" t="s">
        <v>73</v>
      </c>
      <c r="I204" s="5" t="s">
        <v>74</v>
      </c>
      <c r="J204" s="5" t="s">
        <v>74</v>
      </c>
      <c r="K204" s="5" t="s">
        <v>51</v>
      </c>
      <c r="L204" s="6">
        <v>43617</v>
      </c>
      <c r="M204" s="5" t="s">
        <v>21</v>
      </c>
      <c r="N204" s="5" t="s">
        <v>912</v>
      </c>
    </row>
    <row r="205" spans="1:14" ht="27.75">
      <c r="A205" s="3">
        <v>199</v>
      </c>
      <c r="B205" s="3" t="str">
        <f t="shared" si="3"/>
        <v>201900078797</v>
      </c>
      <c r="C205" s="3" t="str">
        <f>"143591"</f>
        <v>143591</v>
      </c>
      <c r="D205" s="3" t="s">
        <v>913</v>
      </c>
      <c r="E205" s="3">
        <v>20603373856</v>
      </c>
      <c r="F205" s="3" t="s">
        <v>914</v>
      </c>
      <c r="G205" s="3" t="s">
        <v>915</v>
      </c>
      <c r="H205" s="3" t="s">
        <v>73</v>
      </c>
      <c r="I205" s="3" t="s">
        <v>74</v>
      </c>
      <c r="J205" s="3" t="s">
        <v>74</v>
      </c>
      <c r="K205" s="3" t="s">
        <v>51</v>
      </c>
      <c r="L205" s="4">
        <v>43617</v>
      </c>
      <c r="M205" s="3" t="s">
        <v>21</v>
      </c>
      <c r="N205" s="3" t="s">
        <v>916</v>
      </c>
    </row>
    <row r="206" spans="1:14" ht="13.5">
      <c r="A206" s="5">
        <v>200</v>
      </c>
      <c r="B206" s="5" t="str">
        <f t="shared" si="3"/>
        <v>201900078797</v>
      </c>
      <c r="C206" s="5" t="str">
        <f>"143590"</f>
        <v>143590</v>
      </c>
      <c r="D206" s="5" t="s">
        <v>917</v>
      </c>
      <c r="E206" s="5">
        <v>20602837832</v>
      </c>
      <c r="F206" s="5" t="s">
        <v>918</v>
      </c>
      <c r="G206" s="5" t="s">
        <v>919</v>
      </c>
      <c r="H206" s="5" t="s">
        <v>73</v>
      </c>
      <c r="I206" s="5" t="s">
        <v>74</v>
      </c>
      <c r="J206" s="5" t="s">
        <v>74</v>
      </c>
      <c r="K206" s="5" t="s">
        <v>51</v>
      </c>
      <c r="L206" s="6">
        <v>43617</v>
      </c>
      <c r="M206" s="5" t="s">
        <v>21</v>
      </c>
      <c r="N206" s="5" t="s">
        <v>920</v>
      </c>
    </row>
    <row r="207" spans="1:14" ht="13.5">
      <c r="A207" s="3">
        <v>201</v>
      </c>
      <c r="B207" s="3" t="str">
        <f t="shared" si="3"/>
        <v>201900078797</v>
      </c>
      <c r="C207" s="3" t="str">
        <f>"143593"</f>
        <v>143593</v>
      </c>
      <c r="D207" s="3" t="s">
        <v>921</v>
      </c>
      <c r="E207" s="3">
        <v>20603873042</v>
      </c>
      <c r="F207" s="3" t="s">
        <v>922</v>
      </c>
      <c r="G207" s="3" t="s">
        <v>923</v>
      </c>
      <c r="H207" s="3" t="s">
        <v>73</v>
      </c>
      <c r="I207" s="3" t="s">
        <v>74</v>
      </c>
      <c r="J207" s="3" t="s">
        <v>74</v>
      </c>
      <c r="K207" s="3" t="s">
        <v>51</v>
      </c>
      <c r="L207" s="4">
        <v>43617</v>
      </c>
      <c r="M207" s="3" t="s">
        <v>21</v>
      </c>
      <c r="N207" s="3" t="s">
        <v>924</v>
      </c>
    </row>
    <row r="208" spans="1:14" ht="27.75">
      <c r="A208" s="5">
        <v>202</v>
      </c>
      <c r="B208" s="5" t="str">
        <f t="shared" si="3"/>
        <v>201900078797</v>
      </c>
      <c r="C208" s="5" t="str">
        <f>"143592"</f>
        <v>143592</v>
      </c>
      <c r="D208" s="5" t="s">
        <v>925</v>
      </c>
      <c r="E208" s="5">
        <v>20603635141</v>
      </c>
      <c r="F208" s="5" t="s">
        <v>926</v>
      </c>
      <c r="G208" s="5" t="s">
        <v>927</v>
      </c>
      <c r="H208" s="5" t="s">
        <v>73</v>
      </c>
      <c r="I208" s="5" t="s">
        <v>74</v>
      </c>
      <c r="J208" s="5" t="s">
        <v>74</v>
      </c>
      <c r="K208" s="5" t="s">
        <v>51</v>
      </c>
      <c r="L208" s="6">
        <v>43617</v>
      </c>
      <c r="M208" s="5" t="s">
        <v>21</v>
      </c>
      <c r="N208" s="5" t="s">
        <v>928</v>
      </c>
    </row>
    <row r="209" spans="1:14" ht="42">
      <c r="A209" s="3">
        <v>203</v>
      </c>
      <c r="B209" s="3" t="str">
        <f>"202000135767"</f>
        <v>202000135767</v>
      </c>
      <c r="C209" s="3" t="str">
        <f>"143595"</f>
        <v>143595</v>
      </c>
      <c r="D209" s="3" t="s">
        <v>929</v>
      </c>
      <c r="E209" s="3">
        <v>20448594085</v>
      </c>
      <c r="F209" s="3" t="s">
        <v>930</v>
      </c>
      <c r="G209" s="3" t="s">
        <v>931</v>
      </c>
      <c r="H209" s="3" t="s">
        <v>932</v>
      </c>
      <c r="I209" s="3" t="s">
        <v>933</v>
      </c>
      <c r="J209" s="3" t="s">
        <v>934</v>
      </c>
      <c r="K209" s="3" t="s">
        <v>42</v>
      </c>
      <c r="L209" s="4">
        <v>44112</v>
      </c>
      <c r="M209" s="3" t="s">
        <v>21</v>
      </c>
      <c r="N209" s="3" t="s">
        <v>935</v>
      </c>
    </row>
    <row r="210" spans="1:14" ht="27.75">
      <c r="A210" s="5">
        <v>204</v>
      </c>
      <c r="B210" s="5" t="str">
        <f>"201900078797"</f>
        <v>201900078797</v>
      </c>
      <c r="C210" s="5" t="str">
        <f>"143594"</f>
        <v>143594</v>
      </c>
      <c r="D210" s="5" t="s">
        <v>936</v>
      </c>
      <c r="E210" s="5">
        <v>20604149682</v>
      </c>
      <c r="F210" s="5" t="s">
        <v>937</v>
      </c>
      <c r="G210" s="5" t="s">
        <v>938</v>
      </c>
      <c r="H210" s="5" t="s">
        <v>73</v>
      </c>
      <c r="I210" s="5" t="s">
        <v>74</v>
      </c>
      <c r="J210" s="5" t="s">
        <v>74</v>
      </c>
      <c r="K210" s="5" t="s">
        <v>847</v>
      </c>
      <c r="L210" s="6">
        <v>43617</v>
      </c>
      <c r="M210" s="5" t="s">
        <v>21</v>
      </c>
      <c r="N210" s="5" t="s">
        <v>939</v>
      </c>
    </row>
    <row r="211" spans="1:14" ht="13.5">
      <c r="A211" s="3">
        <v>205</v>
      </c>
      <c r="B211" s="3" t="str">
        <f>"201900078683"</f>
        <v>201900078683</v>
      </c>
      <c r="C211" s="3" t="str">
        <f>"143385"</f>
        <v>143385</v>
      </c>
      <c r="D211" s="3" t="s">
        <v>940</v>
      </c>
      <c r="E211" s="3">
        <v>20358024522</v>
      </c>
      <c r="F211" s="3" t="s">
        <v>941</v>
      </c>
      <c r="G211" s="3" t="s">
        <v>942</v>
      </c>
      <c r="H211" s="3" t="s">
        <v>160</v>
      </c>
      <c r="I211" s="3" t="s">
        <v>943</v>
      </c>
      <c r="J211" s="3" t="s">
        <v>944</v>
      </c>
      <c r="K211" s="3" t="s">
        <v>97</v>
      </c>
      <c r="L211" s="4">
        <v>43617</v>
      </c>
      <c r="M211" s="3" t="s">
        <v>21</v>
      </c>
      <c r="N211" s="3" t="s">
        <v>945</v>
      </c>
    </row>
    <row r="212" spans="1:14" ht="55.5">
      <c r="A212" s="5">
        <v>206</v>
      </c>
      <c r="B212" s="5" t="str">
        <f>"201900078683"</f>
        <v>201900078683</v>
      </c>
      <c r="C212" s="5" t="str">
        <f>"143386"</f>
        <v>143386</v>
      </c>
      <c r="D212" s="5" t="s">
        <v>946</v>
      </c>
      <c r="E212" s="5">
        <v>10400093917</v>
      </c>
      <c r="F212" s="5" t="s">
        <v>947</v>
      </c>
      <c r="G212" s="5" t="s">
        <v>948</v>
      </c>
      <c r="H212" s="5" t="s">
        <v>160</v>
      </c>
      <c r="I212" s="5" t="s">
        <v>160</v>
      </c>
      <c r="J212" s="5" t="s">
        <v>160</v>
      </c>
      <c r="K212" s="5" t="s">
        <v>949</v>
      </c>
      <c r="L212" s="6">
        <v>43617</v>
      </c>
      <c r="M212" s="5" t="s">
        <v>21</v>
      </c>
      <c r="N212" s="5" t="s">
        <v>950</v>
      </c>
    </row>
    <row r="213" spans="1:14" ht="13.5">
      <c r="A213" s="3">
        <v>207</v>
      </c>
      <c r="B213" s="3" t="str">
        <f>"201900078678"</f>
        <v>201900078678</v>
      </c>
      <c r="C213" s="3" t="str">
        <f>"143383"</f>
        <v>143383</v>
      </c>
      <c r="D213" s="3" t="s">
        <v>951</v>
      </c>
      <c r="E213" s="3">
        <v>10278584891</v>
      </c>
      <c r="F213" s="3" t="s">
        <v>952</v>
      </c>
      <c r="G213" s="3" t="s">
        <v>953</v>
      </c>
      <c r="H213" s="3" t="s">
        <v>92</v>
      </c>
      <c r="I213" s="3" t="s">
        <v>954</v>
      </c>
      <c r="J213" s="3" t="s">
        <v>954</v>
      </c>
      <c r="K213" s="3" t="s">
        <v>51</v>
      </c>
      <c r="L213" s="4">
        <v>43617</v>
      </c>
      <c r="M213" s="3" t="s">
        <v>21</v>
      </c>
      <c r="N213" s="3" t="s">
        <v>952</v>
      </c>
    </row>
    <row r="214" spans="1:14" ht="13.5">
      <c r="A214" s="5">
        <v>208</v>
      </c>
      <c r="B214" s="5" t="str">
        <f>"201900078683"</f>
        <v>201900078683</v>
      </c>
      <c r="C214" s="5" t="str">
        <f>"143384"</f>
        <v>143384</v>
      </c>
      <c r="D214" s="5" t="s">
        <v>955</v>
      </c>
      <c r="E214" s="5">
        <v>20489953065</v>
      </c>
      <c r="F214" s="5" t="s">
        <v>956</v>
      </c>
      <c r="G214" s="5" t="s">
        <v>957</v>
      </c>
      <c r="H214" s="5" t="s">
        <v>160</v>
      </c>
      <c r="I214" s="5" t="s">
        <v>958</v>
      </c>
      <c r="J214" s="5" t="s">
        <v>959</v>
      </c>
      <c r="K214" s="5" t="s">
        <v>36</v>
      </c>
      <c r="L214" s="6">
        <v>43617</v>
      </c>
      <c r="M214" s="5" t="s">
        <v>21</v>
      </c>
      <c r="N214" s="5" t="s">
        <v>960</v>
      </c>
    </row>
    <row r="215" spans="1:14" ht="13.5">
      <c r="A215" s="3">
        <v>209</v>
      </c>
      <c r="B215" s="3" t="str">
        <f>"201900078678"</f>
        <v>201900078678</v>
      </c>
      <c r="C215" s="3" t="str">
        <f>"143381"</f>
        <v>143381</v>
      </c>
      <c r="D215" s="3" t="s">
        <v>961</v>
      </c>
      <c r="E215" s="3">
        <v>20480003471</v>
      </c>
      <c r="F215" s="3" t="s">
        <v>962</v>
      </c>
      <c r="G215" s="3" t="s">
        <v>963</v>
      </c>
      <c r="H215" s="3" t="s">
        <v>92</v>
      </c>
      <c r="I215" s="3" t="s">
        <v>964</v>
      </c>
      <c r="J215" s="3" t="s">
        <v>964</v>
      </c>
      <c r="K215" s="3" t="s">
        <v>97</v>
      </c>
      <c r="L215" s="4">
        <v>43617</v>
      </c>
      <c r="M215" s="3" t="s">
        <v>21</v>
      </c>
      <c r="N215" s="3" t="s">
        <v>965</v>
      </c>
    </row>
    <row r="216" spans="1:14" ht="27.75">
      <c r="A216" s="5">
        <v>210</v>
      </c>
      <c r="B216" s="5" t="str">
        <f>"201900140628"</f>
        <v>201900140628</v>
      </c>
      <c r="C216" s="5" t="str">
        <f>"146028"</f>
        <v>146028</v>
      </c>
      <c r="D216" s="5" t="s">
        <v>966</v>
      </c>
      <c r="E216" s="5">
        <v>20558391741</v>
      </c>
      <c r="F216" s="5" t="s">
        <v>967</v>
      </c>
      <c r="G216" s="5" t="s">
        <v>968</v>
      </c>
      <c r="H216" s="5" t="s">
        <v>253</v>
      </c>
      <c r="I216" s="5" t="s">
        <v>253</v>
      </c>
      <c r="J216" s="5" t="s">
        <v>969</v>
      </c>
      <c r="K216" s="5" t="s">
        <v>36</v>
      </c>
      <c r="L216" s="6">
        <v>43713</v>
      </c>
      <c r="M216" s="5" t="s">
        <v>21</v>
      </c>
      <c r="N216" s="5" t="s">
        <v>970</v>
      </c>
    </row>
    <row r="217" spans="1:14" ht="13.5">
      <c r="A217" s="3">
        <v>211</v>
      </c>
      <c r="B217" s="3" t="str">
        <f>"201900078678"</f>
        <v>201900078678</v>
      </c>
      <c r="C217" s="3" t="str">
        <f>"143382"</f>
        <v>143382</v>
      </c>
      <c r="D217" s="3" t="s">
        <v>971</v>
      </c>
      <c r="E217" s="3">
        <v>10278514876</v>
      </c>
      <c r="F217" s="3" t="s">
        <v>972</v>
      </c>
      <c r="G217" s="3" t="s">
        <v>973</v>
      </c>
      <c r="H217" s="3" t="s">
        <v>92</v>
      </c>
      <c r="I217" s="3" t="s">
        <v>954</v>
      </c>
      <c r="J217" s="3" t="s">
        <v>954</v>
      </c>
      <c r="K217" s="3" t="s">
        <v>51</v>
      </c>
      <c r="L217" s="4">
        <v>43617</v>
      </c>
      <c r="M217" s="3" t="s">
        <v>21</v>
      </c>
      <c r="N217" s="3" t="s">
        <v>974</v>
      </c>
    </row>
    <row r="218" spans="1:14" ht="13.5">
      <c r="A218" s="5">
        <v>212</v>
      </c>
      <c r="B218" s="5" t="str">
        <f>"201900078797"</f>
        <v>201900078797</v>
      </c>
      <c r="C218" s="5" t="str">
        <f>"143585"</f>
        <v>143585</v>
      </c>
      <c r="D218" s="5" t="s">
        <v>975</v>
      </c>
      <c r="E218" s="5">
        <v>20601467039</v>
      </c>
      <c r="F218" s="5" t="s">
        <v>976</v>
      </c>
      <c r="G218" s="5" t="s">
        <v>977</v>
      </c>
      <c r="H218" s="5" t="s">
        <v>73</v>
      </c>
      <c r="I218" s="5" t="s">
        <v>74</v>
      </c>
      <c r="J218" s="5" t="s">
        <v>74</v>
      </c>
      <c r="K218" s="5" t="s">
        <v>847</v>
      </c>
      <c r="L218" s="6">
        <v>43617</v>
      </c>
      <c r="M218" s="5" t="s">
        <v>21</v>
      </c>
      <c r="N218" s="5" t="s">
        <v>978</v>
      </c>
    </row>
    <row r="219" spans="1:14" ht="13.5">
      <c r="A219" s="3">
        <v>213</v>
      </c>
      <c r="B219" s="3" t="str">
        <f>"201900078678"</f>
        <v>201900078678</v>
      </c>
      <c r="C219" s="3" t="str">
        <f>"143379"</f>
        <v>143379</v>
      </c>
      <c r="D219" s="3" t="s">
        <v>979</v>
      </c>
      <c r="E219" s="3">
        <v>20495669301</v>
      </c>
      <c r="F219" s="3" t="s">
        <v>980</v>
      </c>
      <c r="G219" s="3" t="s">
        <v>981</v>
      </c>
      <c r="H219" s="3" t="s">
        <v>92</v>
      </c>
      <c r="I219" s="3" t="s">
        <v>982</v>
      </c>
      <c r="J219" s="3" t="s">
        <v>982</v>
      </c>
      <c r="K219" s="3" t="s">
        <v>51</v>
      </c>
      <c r="L219" s="4">
        <v>43617</v>
      </c>
      <c r="M219" s="3" t="s">
        <v>21</v>
      </c>
      <c r="N219" s="3" t="s">
        <v>983</v>
      </c>
    </row>
    <row r="220" spans="1:14" ht="27.75">
      <c r="A220" s="5">
        <v>214</v>
      </c>
      <c r="B220" s="5" t="str">
        <f>"201900078797"</f>
        <v>201900078797</v>
      </c>
      <c r="C220" s="5" t="str">
        <f>"143586"</f>
        <v>143586</v>
      </c>
      <c r="D220" s="5" t="s">
        <v>984</v>
      </c>
      <c r="E220" s="5">
        <v>20601768730</v>
      </c>
      <c r="F220" s="5" t="s">
        <v>985</v>
      </c>
      <c r="G220" s="5" t="s">
        <v>986</v>
      </c>
      <c r="H220" s="5" t="s">
        <v>73</v>
      </c>
      <c r="I220" s="5" t="s">
        <v>74</v>
      </c>
      <c r="J220" s="5" t="s">
        <v>74</v>
      </c>
      <c r="K220" s="5" t="s">
        <v>903</v>
      </c>
      <c r="L220" s="6">
        <v>43617</v>
      </c>
      <c r="M220" s="5" t="s">
        <v>21</v>
      </c>
      <c r="N220" s="5" t="s">
        <v>987</v>
      </c>
    </row>
    <row r="221" spans="1:14" ht="13.5">
      <c r="A221" s="3">
        <v>215</v>
      </c>
      <c r="B221" s="3" t="str">
        <f>"201900078678"</f>
        <v>201900078678</v>
      </c>
      <c r="C221" s="3" t="str">
        <f>"143380"</f>
        <v>143380</v>
      </c>
      <c r="D221" s="3" t="s">
        <v>988</v>
      </c>
      <c r="E221" s="3">
        <v>20479832073</v>
      </c>
      <c r="F221" s="3" t="s">
        <v>989</v>
      </c>
      <c r="G221" s="3" t="s">
        <v>990</v>
      </c>
      <c r="H221" s="3" t="s">
        <v>92</v>
      </c>
      <c r="I221" s="3" t="s">
        <v>964</v>
      </c>
      <c r="J221" s="3" t="s">
        <v>964</v>
      </c>
      <c r="K221" s="3" t="s">
        <v>51</v>
      </c>
      <c r="L221" s="4">
        <v>43617</v>
      </c>
      <c r="M221" s="3" t="s">
        <v>21</v>
      </c>
      <c r="N221" s="3" t="s">
        <v>991</v>
      </c>
    </row>
    <row r="222" spans="1:14" ht="42">
      <c r="A222" s="5">
        <v>216</v>
      </c>
      <c r="B222" s="5" t="str">
        <f>"201900190495"</f>
        <v>201900190495</v>
      </c>
      <c r="C222" s="5" t="str">
        <f>"147842"</f>
        <v>147842</v>
      </c>
      <c r="D222" s="5" t="s">
        <v>992</v>
      </c>
      <c r="E222" s="5">
        <v>20601824311</v>
      </c>
      <c r="F222" s="5" t="s">
        <v>993</v>
      </c>
      <c r="G222" s="5" t="s">
        <v>994</v>
      </c>
      <c r="H222" s="5" t="s">
        <v>18</v>
      </c>
      <c r="I222" s="5" t="s">
        <v>18</v>
      </c>
      <c r="J222" s="5" t="s">
        <v>242</v>
      </c>
      <c r="K222" s="5" t="s">
        <v>42</v>
      </c>
      <c r="L222" s="6">
        <v>43791</v>
      </c>
      <c r="M222" s="5" t="s">
        <v>21</v>
      </c>
      <c r="N222" s="5" t="s">
        <v>995</v>
      </c>
    </row>
    <row r="223" spans="1:14" ht="27.75">
      <c r="A223" s="3">
        <v>217</v>
      </c>
      <c r="B223" s="3" t="str">
        <f>"201900078797"</f>
        <v>201900078797</v>
      </c>
      <c r="C223" s="3" t="str">
        <f>"143377"</f>
        <v>143377</v>
      </c>
      <c r="D223" s="3" t="s">
        <v>996</v>
      </c>
      <c r="E223" s="3">
        <v>20602619762</v>
      </c>
      <c r="F223" s="3" t="s">
        <v>997</v>
      </c>
      <c r="G223" s="3" t="s">
        <v>998</v>
      </c>
      <c r="H223" s="3" t="s">
        <v>92</v>
      </c>
      <c r="I223" s="3" t="s">
        <v>92</v>
      </c>
      <c r="J223" s="3" t="s">
        <v>92</v>
      </c>
      <c r="K223" s="3" t="s">
        <v>51</v>
      </c>
      <c r="L223" s="4">
        <v>43617</v>
      </c>
      <c r="M223" s="3" t="s">
        <v>21</v>
      </c>
      <c r="N223" s="3" t="s">
        <v>999</v>
      </c>
    </row>
    <row r="224" spans="1:14" ht="83.25">
      <c r="A224" s="5">
        <v>218</v>
      </c>
      <c r="B224" s="5" t="str">
        <f>"201900168592"</f>
        <v>201900168592</v>
      </c>
      <c r="C224" s="5" t="str">
        <f>"147175"</f>
        <v>147175</v>
      </c>
      <c r="D224" s="5" t="s">
        <v>1000</v>
      </c>
      <c r="E224" s="5">
        <v>10468182314</v>
      </c>
      <c r="F224" s="5" t="s">
        <v>1001</v>
      </c>
      <c r="G224" s="5" t="s">
        <v>1002</v>
      </c>
      <c r="H224" s="5" t="s">
        <v>274</v>
      </c>
      <c r="I224" s="5" t="s">
        <v>274</v>
      </c>
      <c r="J224" s="5" t="s">
        <v>1003</v>
      </c>
      <c r="K224" s="5" t="s">
        <v>1004</v>
      </c>
      <c r="L224" s="6">
        <v>43766</v>
      </c>
      <c r="M224" s="5" t="s">
        <v>21</v>
      </c>
      <c r="N224" s="5" t="s">
        <v>1001</v>
      </c>
    </row>
    <row r="225" spans="1:14" ht="13.5">
      <c r="A225" s="3">
        <v>219</v>
      </c>
      <c r="B225" s="3" t="str">
        <f>"201900078678"</f>
        <v>201900078678</v>
      </c>
      <c r="C225" s="3" t="str">
        <f>"143378"</f>
        <v>143378</v>
      </c>
      <c r="D225" s="3" t="s">
        <v>1005</v>
      </c>
      <c r="E225" s="3">
        <v>20529447753</v>
      </c>
      <c r="F225" s="3" t="s">
        <v>1006</v>
      </c>
      <c r="G225" s="3" t="s">
        <v>1007</v>
      </c>
      <c r="H225" s="3" t="s">
        <v>92</v>
      </c>
      <c r="I225" s="3" t="s">
        <v>92</v>
      </c>
      <c r="J225" s="3" t="s">
        <v>1008</v>
      </c>
      <c r="K225" s="3" t="s">
        <v>51</v>
      </c>
      <c r="L225" s="4">
        <v>43617</v>
      </c>
      <c r="M225" s="3" t="s">
        <v>21</v>
      </c>
      <c r="N225" s="3" t="s">
        <v>1009</v>
      </c>
    </row>
    <row r="226" spans="1:14" ht="27.75">
      <c r="A226" s="5">
        <v>220</v>
      </c>
      <c r="B226" s="5" t="str">
        <f>"201900135330"</f>
        <v>201900135330</v>
      </c>
      <c r="C226" s="5" t="str">
        <f>"146031"</f>
        <v>146031</v>
      </c>
      <c r="D226" s="5" t="s">
        <v>1010</v>
      </c>
      <c r="E226" s="5">
        <v>10205668921</v>
      </c>
      <c r="F226" s="5" t="s">
        <v>1011</v>
      </c>
      <c r="G226" s="5" t="s">
        <v>1012</v>
      </c>
      <c r="H226" s="5" t="s">
        <v>215</v>
      </c>
      <c r="I226" s="5" t="s">
        <v>282</v>
      </c>
      <c r="J226" s="5" t="s">
        <v>1013</v>
      </c>
      <c r="K226" s="5" t="s">
        <v>51</v>
      </c>
      <c r="L226" s="6">
        <v>43700</v>
      </c>
      <c r="M226" s="5" t="s">
        <v>21</v>
      </c>
      <c r="N226" s="5" t="s">
        <v>1011</v>
      </c>
    </row>
    <row r="227" spans="1:14" ht="42">
      <c r="A227" s="3">
        <v>221</v>
      </c>
      <c r="B227" s="3" t="str">
        <f>"202000131754"</f>
        <v>202000131754</v>
      </c>
      <c r="C227" s="3" t="str">
        <f>"151516"</f>
        <v>151516</v>
      </c>
      <c r="D227" s="3" t="s">
        <v>1014</v>
      </c>
      <c r="E227" s="3">
        <v>10222920634</v>
      </c>
      <c r="F227" s="3" t="s">
        <v>1015</v>
      </c>
      <c r="G227" s="3" t="s">
        <v>1016</v>
      </c>
      <c r="H227" s="3" t="s">
        <v>1017</v>
      </c>
      <c r="I227" s="3" t="s">
        <v>1018</v>
      </c>
      <c r="J227" s="3" t="s">
        <v>1019</v>
      </c>
      <c r="K227" s="3" t="s">
        <v>42</v>
      </c>
      <c r="L227" s="4">
        <v>44103</v>
      </c>
      <c r="M227" s="3" t="s">
        <v>21</v>
      </c>
      <c r="N227" s="3" t="s">
        <v>1020</v>
      </c>
    </row>
    <row r="228" spans="1:14" ht="69.75">
      <c r="A228" s="5">
        <v>222</v>
      </c>
      <c r="B228" s="5" t="str">
        <f>"202000127778"</f>
        <v>202000127778</v>
      </c>
      <c r="C228" s="5" t="str">
        <f>"151484"</f>
        <v>151484</v>
      </c>
      <c r="D228" s="5" t="s">
        <v>1021</v>
      </c>
      <c r="E228" s="5">
        <v>20601454395</v>
      </c>
      <c r="F228" s="5" t="s">
        <v>1022</v>
      </c>
      <c r="G228" s="5" t="s">
        <v>1023</v>
      </c>
      <c r="H228" s="5" t="s">
        <v>215</v>
      </c>
      <c r="I228" s="5" t="s">
        <v>215</v>
      </c>
      <c r="J228" s="5" t="s">
        <v>1024</v>
      </c>
      <c r="K228" s="5" t="s">
        <v>1025</v>
      </c>
      <c r="L228" s="6">
        <v>44103</v>
      </c>
      <c r="M228" s="5" t="s">
        <v>21</v>
      </c>
      <c r="N228" s="5" t="s">
        <v>1026</v>
      </c>
    </row>
    <row r="229" spans="1:14" ht="83.25">
      <c r="A229" s="3">
        <v>223</v>
      </c>
      <c r="B229" s="3" t="str">
        <f>"202000032299"</f>
        <v>202000032299</v>
      </c>
      <c r="C229" s="3" t="str">
        <f>"149296"</f>
        <v>149296</v>
      </c>
      <c r="D229" s="3" t="s">
        <v>1027</v>
      </c>
      <c r="E229" s="3">
        <v>20277185076</v>
      </c>
      <c r="F229" s="3" t="s">
        <v>1028</v>
      </c>
      <c r="G229" s="3" t="s">
        <v>1029</v>
      </c>
      <c r="H229" s="3" t="s">
        <v>274</v>
      </c>
      <c r="I229" s="3" t="s">
        <v>414</v>
      </c>
      <c r="J229" s="3" t="s">
        <v>1030</v>
      </c>
      <c r="K229" s="3" t="s">
        <v>1004</v>
      </c>
      <c r="L229" s="4">
        <v>43888</v>
      </c>
      <c r="M229" s="3" t="s">
        <v>21</v>
      </c>
      <c r="N229" s="3" t="s">
        <v>1031</v>
      </c>
    </row>
    <row r="230" spans="1:14" ht="27.75">
      <c r="A230" s="5">
        <v>224</v>
      </c>
      <c r="B230" s="5" t="str">
        <f>"202000124344"</f>
        <v>202000124344</v>
      </c>
      <c r="C230" s="5" t="str">
        <f>"151312"</f>
        <v>151312</v>
      </c>
      <c r="D230" s="5" t="s">
        <v>1032</v>
      </c>
      <c r="E230" s="5">
        <v>20605429492</v>
      </c>
      <c r="F230" s="5" t="s">
        <v>1033</v>
      </c>
      <c r="G230" s="5" t="s">
        <v>1034</v>
      </c>
      <c r="H230" s="5" t="s">
        <v>92</v>
      </c>
      <c r="I230" s="5" t="s">
        <v>1035</v>
      </c>
      <c r="J230" s="5" t="s">
        <v>1036</v>
      </c>
      <c r="K230" s="5" t="s">
        <v>774</v>
      </c>
      <c r="L230" s="6">
        <v>44093</v>
      </c>
      <c r="M230" s="5" t="s">
        <v>21</v>
      </c>
      <c r="N230" s="5" t="s">
        <v>1037</v>
      </c>
    </row>
    <row r="231" spans="1:14" ht="153.75">
      <c r="A231" s="3">
        <v>225</v>
      </c>
      <c r="B231" s="3" t="str">
        <f>"202000131807"</f>
        <v>202000131807</v>
      </c>
      <c r="C231" s="3" t="str">
        <f>"151517"</f>
        <v>151517</v>
      </c>
      <c r="D231" s="3" t="s">
        <v>1038</v>
      </c>
      <c r="E231" s="3">
        <v>20534959151</v>
      </c>
      <c r="F231" s="3" t="s">
        <v>1039</v>
      </c>
      <c r="G231" s="3" t="s">
        <v>1040</v>
      </c>
      <c r="H231" s="3" t="s">
        <v>1017</v>
      </c>
      <c r="I231" s="3" t="s">
        <v>1017</v>
      </c>
      <c r="J231" s="3" t="s">
        <v>1041</v>
      </c>
      <c r="K231" s="3" t="s">
        <v>75</v>
      </c>
      <c r="L231" s="4">
        <v>44106</v>
      </c>
      <c r="M231" s="3" t="s">
        <v>21</v>
      </c>
      <c r="N231" s="3" t="s">
        <v>1042</v>
      </c>
    </row>
    <row r="232" spans="1:14" ht="83.25">
      <c r="A232" s="5">
        <v>226</v>
      </c>
      <c r="B232" s="5" t="str">
        <f>"202000032323"</f>
        <v>202000032323</v>
      </c>
      <c r="C232" s="5" t="str">
        <f>"149297"</f>
        <v>149297</v>
      </c>
      <c r="D232" s="5" t="s">
        <v>1043</v>
      </c>
      <c r="E232" s="5">
        <v>20525798217</v>
      </c>
      <c r="F232" s="5" t="s">
        <v>1044</v>
      </c>
      <c r="G232" s="5" t="s">
        <v>1045</v>
      </c>
      <c r="H232" s="5" t="s">
        <v>274</v>
      </c>
      <c r="I232" s="5" t="s">
        <v>348</v>
      </c>
      <c r="J232" s="5" t="s">
        <v>348</v>
      </c>
      <c r="K232" s="5" t="s">
        <v>1004</v>
      </c>
      <c r="L232" s="6">
        <v>43888</v>
      </c>
      <c r="M232" s="5" t="s">
        <v>21</v>
      </c>
      <c r="N232" s="5" t="s">
        <v>1046</v>
      </c>
    </row>
    <row r="233" spans="1:14" ht="125.25">
      <c r="A233" s="3">
        <v>227</v>
      </c>
      <c r="B233" s="3" t="str">
        <f>"202000125771"</f>
        <v>202000125771</v>
      </c>
      <c r="C233" s="3" t="str">
        <f>"151315"</f>
        <v>151315</v>
      </c>
      <c r="D233" s="3" t="s">
        <v>1047</v>
      </c>
      <c r="E233" s="3">
        <v>20606396415</v>
      </c>
      <c r="F233" s="3" t="s">
        <v>1048</v>
      </c>
      <c r="G233" s="3" t="s">
        <v>1049</v>
      </c>
      <c r="H233" s="3" t="s">
        <v>73</v>
      </c>
      <c r="I233" s="3" t="s">
        <v>74</v>
      </c>
      <c r="J233" s="3" t="s">
        <v>74</v>
      </c>
      <c r="K233" s="3" t="s">
        <v>837</v>
      </c>
      <c r="L233" s="4">
        <v>44109</v>
      </c>
      <c r="M233" s="3" t="s">
        <v>21</v>
      </c>
      <c r="N233" s="3" t="s">
        <v>1050</v>
      </c>
    </row>
    <row r="234" spans="1:14" ht="13.5">
      <c r="A234" s="5">
        <v>228</v>
      </c>
      <c r="B234" s="5" t="str">
        <f>"201900078797"</f>
        <v>201900078797</v>
      </c>
      <c r="C234" s="5" t="str">
        <f>"143584"</f>
        <v>143584</v>
      </c>
      <c r="D234" s="5" t="s">
        <v>1051</v>
      </c>
      <c r="E234" s="5">
        <v>20601133475</v>
      </c>
      <c r="F234" s="5" t="s">
        <v>1052</v>
      </c>
      <c r="G234" s="5" t="s">
        <v>1053</v>
      </c>
      <c r="H234" s="5" t="s">
        <v>73</v>
      </c>
      <c r="I234" s="5" t="s">
        <v>74</v>
      </c>
      <c r="J234" s="5" t="s">
        <v>74</v>
      </c>
      <c r="K234" s="5" t="s">
        <v>51</v>
      </c>
      <c r="L234" s="6">
        <v>43617</v>
      </c>
      <c r="M234" s="5" t="s">
        <v>21</v>
      </c>
      <c r="N234" s="5" t="s">
        <v>1054</v>
      </c>
    </row>
    <row r="235" spans="1:14" ht="13.5">
      <c r="A235" s="3">
        <v>229</v>
      </c>
      <c r="B235" s="3" t="str">
        <f>"201900078797"</f>
        <v>201900078797</v>
      </c>
      <c r="C235" s="3" t="str">
        <f>"143583"</f>
        <v>143583</v>
      </c>
      <c r="D235" s="3" t="s">
        <v>1055</v>
      </c>
      <c r="E235" s="3">
        <v>20600945999</v>
      </c>
      <c r="F235" s="3" t="s">
        <v>1056</v>
      </c>
      <c r="G235" s="3" t="s">
        <v>1057</v>
      </c>
      <c r="H235" s="3" t="s">
        <v>73</v>
      </c>
      <c r="I235" s="3" t="s">
        <v>74</v>
      </c>
      <c r="J235" s="3" t="s">
        <v>74</v>
      </c>
      <c r="K235" s="3" t="s">
        <v>51</v>
      </c>
      <c r="L235" s="4">
        <v>43617</v>
      </c>
      <c r="M235" s="3" t="s">
        <v>21</v>
      </c>
      <c r="N235" s="3" t="s">
        <v>1058</v>
      </c>
    </row>
    <row r="236" spans="1:14" ht="27.75">
      <c r="A236" s="5">
        <v>230</v>
      </c>
      <c r="B236" s="5" t="str">
        <f>"201900078797"</f>
        <v>201900078797</v>
      </c>
      <c r="C236" s="5" t="str">
        <f>"143582"</f>
        <v>143582</v>
      </c>
      <c r="D236" s="5" t="s">
        <v>1059</v>
      </c>
      <c r="E236" s="5">
        <v>20600895894</v>
      </c>
      <c r="F236" s="5" t="s">
        <v>1060</v>
      </c>
      <c r="G236" s="5" t="s">
        <v>1061</v>
      </c>
      <c r="H236" s="5" t="s">
        <v>73</v>
      </c>
      <c r="I236" s="5" t="s">
        <v>74</v>
      </c>
      <c r="J236" s="5" t="s">
        <v>74</v>
      </c>
      <c r="K236" s="5" t="s">
        <v>774</v>
      </c>
      <c r="L236" s="6">
        <v>43617</v>
      </c>
      <c r="M236" s="5" t="s">
        <v>21</v>
      </c>
      <c r="N236" s="5" t="s">
        <v>1062</v>
      </c>
    </row>
    <row r="237" spans="1:14" ht="13.5">
      <c r="A237" s="3">
        <v>231</v>
      </c>
      <c r="B237" s="3" t="str">
        <f>"201900078797"</f>
        <v>201900078797</v>
      </c>
      <c r="C237" s="3" t="str">
        <f>"143581"</f>
        <v>143581</v>
      </c>
      <c r="D237" s="3" t="s">
        <v>1063</v>
      </c>
      <c r="E237" s="3">
        <v>20600895495</v>
      </c>
      <c r="F237" s="3" t="s">
        <v>1064</v>
      </c>
      <c r="G237" s="3" t="s">
        <v>1065</v>
      </c>
      <c r="H237" s="3" t="s">
        <v>73</v>
      </c>
      <c r="I237" s="3" t="s">
        <v>74</v>
      </c>
      <c r="J237" s="3" t="s">
        <v>74</v>
      </c>
      <c r="K237" s="3" t="s">
        <v>97</v>
      </c>
      <c r="L237" s="4">
        <v>43617</v>
      </c>
      <c r="M237" s="3" t="s">
        <v>21</v>
      </c>
      <c r="N237" s="3" t="s">
        <v>1066</v>
      </c>
    </row>
    <row r="238" spans="1:14" ht="27.75">
      <c r="A238" s="5">
        <v>232</v>
      </c>
      <c r="B238" s="5" t="str">
        <f>"201900078797"</f>
        <v>201900078797</v>
      </c>
      <c r="C238" s="5" t="str">
        <f>"143580"</f>
        <v>143580</v>
      </c>
      <c r="D238" s="5" t="s">
        <v>1067</v>
      </c>
      <c r="E238" s="5">
        <v>20600879121</v>
      </c>
      <c r="F238" s="5" t="s">
        <v>1068</v>
      </c>
      <c r="G238" s="5" t="s">
        <v>1069</v>
      </c>
      <c r="H238" s="5" t="s">
        <v>73</v>
      </c>
      <c r="I238" s="5" t="s">
        <v>74</v>
      </c>
      <c r="J238" s="5" t="s">
        <v>74</v>
      </c>
      <c r="K238" s="5" t="s">
        <v>847</v>
      </c>
      <c r="L238" s="6">
        <v>43617</v>
      </c>
      <c r="M238" s="5" t="s">
        <v>21</v>
      </c>
      <c r="N238" s="5" t="s">
        <v>1070</v>
      </c>
    </row>
    <row r="239" spans="1:14" ht="153.75">
      <c r="A239" s="3">
        <v>233</v>
      </c>
      <c r="B239" s="3" t="str">
        <f>"201900145319"</f>
        <v>201900145319</v>
      </c>
      <c r="C239" s="3" t="str">
        <f>"146414"</f>
        <v>146414</v>
      </c>
      <c r="D239" s="3" t="s">
        <v>1071</v>
      </c>
      <c r="E239" s="3">
        <v>20601203732</v>
      </c>
      <c r="F239" s="3" t="s">
        <v>1072</v>
      </c>
      <c r="G239" s="3" t="s">
        <v>1073</v>
      </c>
      <c r="H239" s="3" t="s">
        <v>73</v>
      </c>
      <c r="I239" s="3" t="s">
        <v>74</v>
      </c>
      <c r="J239" s="3" t="s">
        <v>74</v>
      </c>
      <c r="K239" s="3" t="s">
        <v>75</v>
      </c>
      <c r="L239" s="4">
        <v>43717</v>
      </c>
      <c r="M239" s="3" t="s">
        <v>21</v>
      </c>
      <c r="N239" s="3" t="s">
        <v>1074</v>
      </c>
    </row>
    <row r="240" spans="1:14" ht="153.75">
      <c r="A240" s="5">
        <v>234</v>
      </c>
      <c r="B240" s="5" t="str">
        <f>"202000132455"</f>
        <v>202000132455</v>
      </c>
      <c r="C240" s="5" t="str">
        <f>"151143"</f>
        <v>151143</v>
      </c>
      <c r="D240" s="5" t="s">
        <v>1075</v>
      </c>
      <c r="E240" s="5">
        <v>10339408021</v>
      </c>
      <c r="F240" s="5" t="s">
        <v>1076</v>
      </c>
      <c r="G240" s="5" t="s">
        <v>1077</v>
      </c>
      <c r="H240" s="5" t="s">
        <v>230</v>
      </c>
      <c r="I240" s="5" t="s">
        <v>1078</v>
      </c>
      <c r="J240" s="5" t="s">
        <v>1079</v>
      </c>
      <c r="K240" s="5" t="s">
        <v>75</v>
      </c>
      <c r="L240" s="6">
        <v>44118</v>
      </c>
      <c r="M240" s="5" t="s">
        <v>21</v>
      </c>
      <c r="N240" s="5" t="s">
        <v>1076</v>
      </c>
    </row>
    <row r="241" spans="1:14" ht="13.5">
      <c r="A241" s="3">
        <v>235</v>
      </c>
      <c r="B241" s="3" t="str">
        <f>"201900078797"</f>
        <v>201900078797</v>
      </c>
      <c r="C241" s="3" t="str">
        <f>"143579"</f>
        <v>143579</v>
      </c>
      <c r="D241" s="3" t="s">
        <v>1080</v>
      </c>
      <c r="E241" s="3">
        <v>20600366085</v>
      </c>
      <c r="F241" s="3" t="s">
        <v>1081</v>
      </c>
      <c r="G241" s="3" t="s">
        <v>1082</v>
      </c>
      <c r="H241" s="3" t="s">
        <v>73</v>
      </c>
      <c r="I241" s="3" t="s">
        <v>74</v>
      </c>
      <c r="J241" s="3" t="s">
        <v>74</v>
      </c>
      <c r="K241" s="3" t="s">
        <v>51</v>
      </c>
      <c r="L241" s="4">
        <v>43617</v>
      </c>
      <c r="M241" s="3" t="s">
        <v>21</v>
      </c>
      <c r="N241" s="3" t="s">
        <v>1083</v>
      </c>
    </row>
    <row r="242" spans="1:14" ht="97.5">
      <c r="A242" s="5">
        <v>236</v>
      </c>
      <c r="B242" s="5" t="str">
        <f>"201900078797"</f>
        <v>201900078797</v>
      </c>
      <c r="C242" s="5" t="str">
        <f>"143578"</f>
        <v>143578</v>
      </c>
      <c r="D242" s="5" t="s">
        <v>1084</v>
      </c>
      <c r="E242" s="5">
        <v>20566570298</v>
      </c>
      <c r="F242" s="5" t="s">
        <v>1085</v>
      </c>
      <c r="G242" s="5" t="s">
        <v>1086</v>
      </c>
      <c r="H242" s="5" t="s">
        <v>73</v>
      </c>
      <c r="I242" s="5" t="s">
        <v>74</v>
      </c>
      <c r="J242" s="5" t="s">
        <v>74</v>
      </c>
      <c r="K242" s="5" t="s">
        <v>1087</v>
      </c>
      <c r="L242" s="6">
        <v>43617</v>
      </c>
      <c r="M242" s="5" t="s">
        <v>21</v>
      </c>
      <c r="N242" s="5" t="s">
        <v>1088</v>
      </c>
    </row>
    <row r="243" spans="1:14" ht="27.75">
      <c r="A243" s="3">
        <v>237</v>
      </c>
      <c r="B243" s="3" t="str">
        <f>"201900078797"</f>
        <v>201900078797</v>
      </c>
      <c r="C243" s="3" t="str">
        <f>"143577"</f>
        <v>143577</v>
      </c>
      <c r="D243" s="3" t="s">
        <v>1089</v>
      </c>
      <c r="E243" s="3">
        <v>20546493122</v>
      </c>
      <c r="F243" s="3" t="s">
        <v>1090</v>
      </c>
      <c r="G243" s="3" t="s">
        <v>1091</v>
      </c>
      <c r="H243" s="3" t="s">
        <v>73</v>
      </c>
      <c r="I243" s="3" t="s">
        <v>74</v>
      </c>
      <c r="J243" s="3" t="s">
        <v>74</v>
      </c>
      <c r="K243" s="3" t="s">
        <v>51</v>
      </c>
      <c r="L243" s="4">
        <v>43617</v>
      </c>
      <c r="M243" s="3" t="s">
        <v>21</v>
      </c>
      <c r="N243" s="3" t="s">
        <v>1092</v>
      </c>
    </row>
    <row r="244" spans="1:14" ht="27.75">
      <c r="A244" s="5">
        <v>238</v>
      </c>
      <c r="B244" s="5" t="str">
        <f>"201900078678"</f>
        <v>201900078678</v>
      </c>
      <c r="C244" s="5" t="str">
        <f>"143372"</f>
        <v>143372</v>
      </c>
      <c r="D244" s="5" t="s">
        <v>1093</v>
      </c>
      <c r="E244" s="5">
        <v>20529352884</v>
      </c>
      <c r="F244" s="5" t="s">
        <v>1094</v>
      </c>
      <c r="G244" s="5" t="s">
        <v>1095</v>
      </c>
      <c r="H244" s="5" t="s">
        <v>92</v>
      </c>
      <c r="I244" s="5" t="s">
        <v>92</v>
      </c>
      <c r="J244" s="5" t="s">
        <v>92</v>
      </c>
      <c r="K244" s="5" t="s">
        <v>97</v>
      </c>
      <c r="L244" s="6">
        <v>43617</v>
      </c>
      <c r="M244" s="5" t="s">
        <v>21</v>
      </c>
      <c r="N244" s="5" t="s">
        <v>1096</v>
      </c>
    </row>
    <row r="245" spans="1:14" ht="42">
      <c r="A245" s="3">
        <v>239</v>
      </c>
      <c r="B245" s="3" t="str">
        <f>"202000130308"</f>
        <v>202000130308</v>
      </c>
      <c r="C245" s="3" t="str">
        <f>"151477"</f>
        <v>151477</v>
      </c>
      <c r="D245" s="3" t="s">
        <v>1097</v>
      </c>
      <c r="E245" s="3">
        <v>20606466197</v>
      </c>
      <c r="F245" s="3" t="s">
        <v>1098</v>
      </c>
      <c r="G245" s="3" t="s">
        <v>1099</v>
      </c>
      <c r="H245" s="3" t="s">
        <v>253</v>
      </c>
      <c r="I245" s="3" t="s">
        <v>253</v>
      </c>
      <c r="J245" s="3" t="s">
        <v>253</v>
      </c>
      <c r="K245" s="3" t="s">
        <v>1100</v>
      </c>
      <c r="L245" s="4">
        <v>44119</v>
      </c>
      <c r="M245" s="3" t="s">
        <v>21</v>
      </c>
      <c r="N245" s="3" t="s">
        <v>1101</v>
      </c>
    </row>
    <row r="246" spans="1:14" ht="13.5">
      <c r="A246" s="5">
        <v>240</v>
      </c>
      <c r="B246" s="5" t="str">
        <f>"201900078678"</f>
        <v>201900078678</v>
      </c>
      <c r="C246" s="5" t="str">
        <f>"143373"</f>
        <v>143373</v>
      </c>
      <c r="D246" s="5" t="s">
        <v>1102</v>
      </c>
      <c r="E246" s="5">
        <v>20600039793</v>
      </c>
      <c r="F246" s="5" t="s">
        <v>1103</v>
      </c>
      <c r="G246" s="5" t="s">
        <v>1104</v>
      </c>
      <c r="H246" s="5" t="s">
        <v>92</v>
      </c>
      <c r="I246" s="5" t="s">
        <v>92</v>
      </c>
      <c r="J246" s="5" t="s">
        <v>92</v>
      </c>
      <c r="K246" s="5" t="s">
        <v>51</v>
      </c>
      <c r="L246" s="6">
        <v>43617</v>
      </c>
      <c r="M246" s="5" t="s">
        <v>21</v>
      </c>
      <c r="N246" s="5" t="s">
        <v>1105</v>
      </c>
    </row>
    <row r="247" spans="1:14" ht="13.5">
      <c r="A247" s="3">
        <v>241</v>
      </c>
      <c r="B247" s="3" t="str">
        <f>"201900078678"</f>
        <v>201900078678</v>
      </c>
      <c r="C247" s="3" t="str">
        <f>"143374"</f>
        <v>143374</v>
      </c>
      <c r="D247" s="3" t="s">
        <v>1106</v>
      </c>
      <c r="E247" s="3">
        <v>20600055462</v>
      </c>
      <c r="F247" s="3" t="s">
        <v>1107</v>
      </c>
      <c r="G247" s="3" t="s">
        <v>1108</v>
      </c>
      <c r="H247" s="3" t="s">
        <v>92</v>
      </c>
      <c r="I247" s="3" t="s">
        <v>92</v>
      </c>
      <c r="J247" s="3" t="s">
        <v>92</v>
      </c>
      <c r="K247" s="3" t="s">
        <v>97</v>
      </c>
      <c r="L247" s="4">
        <v>43617</v>
      </c>
      <c r="M247" s="3" t="s">
        <v>21</v>
      </c>
      <c r="N247" s="3" t="s">
        <v>1096</v>
      </c>
    </row>
    <row r="248" spans="1:14" ht="27.75">
      <c r="A248" s="5">
        <v>242</v>
      </c>
      <c r="B248" s="5" t="str">
        <f>"201900078678"</f>
        <v>201900078678</v>
      </c>
      <c r="C248" s="5" t="str">
        <f>"143375"</f>
        <v>143375</v>
      </c>
      <c r="D248" s="5" t="s">
        <v>1109</v>
      </c>
      <c r="E248" s="5">
        <v>20600310551</v>
      </c>
      <c r="F248" s="5" t="s">
        <v>1110</v>
      </c>
      <c r="G248" s="5" t="s">
        <v>1111</v>
      </c>
      <c r="H248" s="5" t="s">
        <v>92</v>
      </c>
      <c r="I248" s="5" t="s">
        <v>92</v>
      </c>
      <c r="J248" s="5" t="s">
        <v>92</v>
      </c>
      <c r="K248" s="5" t="s">
        <v>51</v>
      </c>
      <c r="L248" s="6">
        <v>43617</v>
      </c>
      <c r="M248" s="5" t="s">
        <v>21</v>
      </c>
      <c r="N248" s="5" t="s">
        <v>1112</v>
      </c>
    </row>
    <row r="249" spans="1:14" ht="13.5">
      <c r="A249" s="3">
        <v>243</v>
      </c>
      <c r="B249" s="3" t="str">
        <f>"201900078797"</f>
        <v>201900078797</v>
      </c>
      <c r="C249" s="3" t="str">
        <f>"143574"</f>
        <v>143574</v>
      </c>
      <c r="D249" s="3" t="s">
        <v>1113</v>
      </c>
      <c r="E249" s="3">
        <v>20539950551</v>
      </c>
      <c r="F249" s="3" t="s">
        <v>1114</v>
      </c>
      <c r="G249" s="3" t="s">
        <v>1115</v>
      </c>
      <c r="H249" s="3" t="s">
        <v>73</v>
      </c>
      <c r="I249" s="3" t="s">
        <v>74</v>
      </c>
      <c r="J249" s="3" t="s">
        <v>74</v>
      </c>
      <c r="K249" s="3" t="s">
        <v>51</v>
      </c>
      <c r="L249" s="4">
        <v>43617</v>
      </c>
      <c r="M249" s="3" t="s">
        <v>21</v>
      </c>
      <c r="N249" s="3" t="s">
        <v>1116</v>
      </c>
    </row>
    <row r="250" spans="1:14" ht="13.5">
      <c r="A250" s="5">
        <v>244</v>
      </c>
      <c r="B250" s="5" t="str">
        <f>"201900078678"</f>
        <v>201900078678</v>
      </c>
      <c r="C250" s="5" t="str">
        <f>"143368"</f>
        <v>143368</v>
      </c>
      <c r="D250" s="5" t="s">
        <v>1117</v>
      </c>
      <c r="E250" s="5">
        <v>20495965024</v>
      </c>
      <c r="F250" s="5" t="s">
        <v>1118</v>
      </c>
      <c r="G250" s="5" t="s">
        <v>1119</v>
      </c>
      <c r="H250" s="5" t="s">
        <v>92</v>
      </c>
      <c r="I250" s="5" t="s">
        <v>92</v>
      </c>
      <c r="J250" s="5" t="s">
        <v>92</v>
      </c>
      <c r="K250" s="5" t="s">
        <v>97</v>
      </c>
      <c r="L250" s="6">
        <v>43617</v>
      </c>
      <c r="M250" s="5" t="s">
        <v>21</v>
      </c>
      <c r="N250" s="5" t="s">
        <v>1120</v>
      </c>
    </row>
    <row r="251" spans="1:14" ht="153.75">
      <c r="A251" s="3">
        <v>245</v>
      </c>
      <c r="B251" s="3" t="str">
        <f>"202000021496"</f>
        <v>202000021496</v>
      </c>
      <c r="C251" s="3" t="str">
        <f>"143575"</f>
        <v>143575</v>
      </c>
      <c r="D251" s="3" t="s">
        <v>1121</v>
      </c>
      <c r="E251" s="3">
        <v>20540059463</v>
      </c>
      <c r="F251" s="3" t="s">
        <v>1122</v>
      </c>
      <c r="G251" s="3" t="s">
        <v>1123</v>
      </c>
      <c r="H251" s="3" t="s">
        <v>73</v>
      </c>
      <c r="I251" s="3" t="s">
        <v>74</v>
      </c>
      <c r="J251" s="3" t="s">
        <v>74</v>
      </c>
      <c r="K251" s="3" t="s">
        <v>75</v>
      </c>
      <c r="L251" s="4">
        <v>43881</v>
      </c>
      <c r="M251" s="3" t="s">
        <v>21</v>
      </c>
      <c r="N251" s="3" t="s">
        <v>1124</v>
      </c>
    </row>
    <row r="252" spans="1:14" ht="13.5">
      <c r="A252" s="5">
        <v>246</v>
      </c>
      <c r="B252" s="5" t="str">
        <f>"201900078678"</f>
        <v>201900078678</v>
      </c>
      <c r="C252" s="5" t="str">
        <f>"143369"</f>
        <v>143369</v>
      </c>
      <c r="D252" s="5" t="s">
        <v>1125</v>
      </c>
      <c r="E252" s="5">
        <v>20495993231</v>
      </c>
      <c r="F252" s="5" t="s">
        <v>1126</v>
      </c>
      <c r="G252" s="5" t="s">
        <v>1127</v>
      </c>
      <c r="H252" s="5" t="s">
        <v>92</v>
      </c>
      <c r="I252" s="5" t="s">
        <v>92</v>
      </c>
      <c r="J252" s="5" t="s">
        <v>92</v>
      </c>
      <c r="K252" s="5" t="s">
        <v>51</v>
      </c>
      <c r="L252" s="6">
        <v>43617</v>
      </c>
      <c r="M252" s="5" t="s">
        <v>21</v>
      </c>
      <c r="N252" s="5" t="s">
        <v>1128</v>
      </c>
    </row>
    <row r="253" spans="1:14" ht="13.5">
      <c r="A253" s="3">
        <v>247</v>
      </c>
      <c r="B253" s="3" t="str">
        <f>"201900078678"</f>
        <v>201900078678</v>
      </c>
      <c r="C253" s="3" t="str">
        <f>"143370"</f>
        <v>143370</v>
      </c>
      <c r="D253" s="3" t="s">
        <v>1129</v>
      </c>
      <c r="E253" s="3">
        <v>20496170386</v>
      </c>
      <c r="F253" s="3" t="s">
        <v>1130</v>
      </c>
      <c r="G253" s="3" t="s">
        <v>1131</v>
      </c>
      <c r="H253" s="3" t="s">
        <v>92</v>
      </c>
      <c r="I253" s="3" t="s">
        <v>92</v>
      </c>
      <c r="J253" s="3" t="s">
        <v>92</v>
      </c>
      <c r="K253" s="3" t="s">
        <v>51</v>
      </c>
      <c r="L253" s="4">
        <v>43617</v>
      </c>
      <c r="M253" s="3" t="s">
        <v>21</v>
      </c>
      <c r="N253" s="3" t="s">
        <v>1132</v>
      </c>
    </row>
    <row r="254" spans="1:14" ht="153.75">
      <c r="A254" s="5">
        <v>248</v>
      </c>
      <c r="B254" s="5" t="str">
        <f>"201900217789"</f>
        <v>201900217789</v>
      </c>
      <c r="C254" s="5" t="str">
        <f>"148553"</f>
        <v>148553</v>
      </c>
      <c r="D254" s="5" t="s">
        <v>1133</v>
      </c>
      <c r="E254" s="5">
        <v>20603956924</v>
      </c>
      <c r="F254" s="5" t="s">
        <v>1134</v>
      </c>
      <c r="G254" s="5" t="s">
        <v>1135</v>
      </c>
      <c r="H254" s="5" t="s">
        <v>513</v>
      </c>
      <c r="I254" s="5" t="s">
        <v>513</v>
      </c>
      <c r="J254" s="5" t="s">
        <v>514</v>
      </c>
      <c r="K254" s="5" t="s">
        <v>1136</v>
      </c>
      <c r="L254" s="6">
        <v>43880</v>
      </c>
      <c r="M254" s="5" t="s">
        <v>21</v>
      </c>
      <c r="N254" s="5" t="s">
        <v>1137</v>
      </c>
    </row>
    <row r="255" spans="1:14" ht="153.75">
      <c r="A255" s="3">
        <v>249</v>
      </c>
      <c r="B255" s="3" t="str">
        <f>"202000107222"</f>
        <v>202000107222</v>
      </c>
      <c r="C255" s="3" t="str">
        <f>"143576"</f>
        <v>143576</v>
      </c>
      <c r="D255" s="3" t="s">
        <v>1138</v>
      </c>
      <c r="E255" s="3">
        <v>20542274183</v>
      </c>
      <c r="F255" s="3" t="s">
        <v>1139</v>
      </c>
      <c r="G255" s="3" t="s">
        <v>907</v>
      </c>
      <c r="H255" s="3" t="s">
        <v>73</v>
      </c>
      <c r="I255" s="3" t="s">
        <v>74</v>
      </c>
      <c r="J255" s="3" t="s">
        <v>74</v>
      </c>
      <c r="K255" s="3" t="s">
        <v>75</v>
      </c>
      <c r="L255" s="4">
        <v>44063</v>
      </c>
      <c r="M255" s="3" t="s">
        <v>21</v>
      </c>
      <c r="N255" s="3" t="s">
        <v>1140</v>
      </c>
    </row>
    <row r="256" spans="1:14" ht="27.75">
      <c r="A256" s="5">
        <v>250</v>
      </c>
      <c r="B256" s="5" t="str">
        <f>"201900078678"</f>
        <v>201900078678</v>
      </c>
      <c r="C256" s="5" t="str">
        <f>"143371"</f>
        <v>143371</v>
      </c>
      <c r="D256" s="5" t="s">
        <v>1141</v>
      </c>
      <c r="E256" s="5">
        <v>20511444731</v>
      </c>
      <c r="F256" s="5" t="s">
        <v>1142</v>
      </c>
      <c r="G256" s="5" t="s">
        <v>1143</v>
      </c>
      <c r="H256" s="5" t="s">
        <v>92</v>
      </c>
      <c r="I256" s="5" t="s">
        <v>92</v>
      </c>
      <c r="J256" s="5" t="s">
        <v>92</v>
      </c>
      <c r="K256" s="5" t="s">
        <v>97</v>
      </c>
      <c r="L256" s="6">
        <v>43617</v>
      </c>
      <c r="M256" s="5" t="s">
        <v>21</v>
      </c>
      <c r="N256" s="5" t="s">
        <v>1144</v>
      </c>
    </row>
    <row r="257" spans="1:14" ht="13.5">
      <c r="A257" s="3">
        <v>251</v>
      </c>
      <c r="B257" s="3" t="str">
        <f>"201900134310"</f>
        <v>201900134310</v>
      </c>
      <c r="C257" s="3" t="str">
        <f>"146023"</f>
        <v>146023</v>
      </c>
      <c r="D257" s="3" t="s">
        <v>1145</v>
      </c>
      <c r="E257" s="3">
        <v>20482840516</v>
      </c>
      <c r="F257" s="3" t="s">
        <v>1146</v>
      </c>
      <c r="G257" s="3" t="s">
        <v>1147</v>
      </c>
      <c r="H257" s="3" t="s">
        <v>73</v>
      </c>
      <c r="I257" s="3" t="s">
        <v>74</v>
      </c>
      <c r="J257" s="3" t="s">
        <v>74</v>
      </c>
      <c r="K257" s="3" t="s">
        <v>36</v>
      </c>
      <c r="L257" s="4">
        <v>43717</v>
      </c>
      <c r="M257" s="3" t="s">
        <v>21</v>
      </c>
      <c r="N257" s="3" t="s">
        <v>1148</v>
      </c>
    </row>
    <row r="258" spans="1:14" ht="13.5">
      <c r="A258" s="5">
        <v>252</v>
      </c>
      <c r="B258" s="5" t="str">
        <f>"201900078678"</f>
        <v>201900078678</v>
      </c>
      <c r="C258" s="5" t="str">
        <f>"143367"</f>
        <v>143367</v>
      </c>
      <c r="D258" s="5" t="s">
        <v>1149</v>
      </c>
      <c r="E258" s="5">
        <v>20495947557</v>
      </c>
      <c r="F258" s="5" t="s">
        <v>1150</v>
      </c>
      <c r="G258" s="5" t="s">
        <v>1151</v>
      </c>
      <c r="H258" s="5" t="s">
        <v>92</v>
      </c>
      <c r="I258" s="5" t="s">
        <v>92</v>
      </c>
      <c r="J258" s="5" t="s">
        <v>92</v>
      </c>
      <c r="K258" s="5" t="s">
        <v>51</v>
      </c>
      <c r="L258" s="6">
        <v>43617</v>
      </c>
      <c r="M258" s="5" t="s">
        <v>21</v>
      </c>
      <c r="N258" s="5" t="s">
        <v>1152</v>
      </c>
    </row>
    <row r="259" spans="1:14" ht="42">
      <c r="A259" s="3">
        <v>253</v>
      </c>
      <c r="B259" s="3" t="str">
        <f>"202000130401"</f>
        <v>202000130401</v>
      </c>
      <c r="C259" s="3" t="str">
        <f>"151475"</f>
        <v>151475</v>
      </c>
      <c r="D259" s="3" t="s">
        <v>1153</v>
      </c>
      <c r="E259" s="3">
        <v>20505675160</v>
      </c>
      <c r="F259" s="3" t="s">
        <v>1154</v>
      </c>
      <c r="G259" s="3" t="s">
        <v>1155</v>
      </c>
      <c r="H259" s="3" t="s">
        <v>18</v>
      </c>
      <c r="I259" s="3" t="s">
        <v>18</v>
      </c>
      <c r="J259" s="3" t="s">
        <v>41</v>
      </c>
      <c r="K259" s="3" t="s">
        <v>42</v>
      </c>
      <c r="L259" s="4">
        <v>44111</v>
      </c>
      <c r="M259" s="3" t="s">
        <v>21</v>
      </c>
      <c r="N259" s="3" t="s">
        <v>1156</v>
      </c>
    </row>
    <row r="260" spans="1:14" ht="83.25">
      <c r="A260" s="5">
        <v>254</v>
      </c>
      <c r="B260" s="5" t="str">
        <f>"201900138757"</f>
        <v>201900138757</v>
      </c>
      <c r="C260" s="5" t="str">
        <f>"146178"</f>
        <v>146178</v>
      </c>
      <c r="D260" s="5" t="s">
        <v>1157</v>
      </c>
      <c r="E260" s="5">
        <v>20526625081</v>
      </c>
      <c r="F260" s="5" t="s">
        <v>1158</v>
      </c>
      <c r="G260" s="5" t="s">
        <v>1159</v>
      </c>
      <c r="H260" s="5" t="s">
        <v>274</v>
      </c>
      <c r="I260" s="5" t="s">
        <v>274</v>
      </c>
      <c r="J260" s="5" t="s">
        <v>1003</v>
      </c>
      <c r="K260" s="5" t="s">
        <v>1004</v>
      </c>
      <c r="L260" s="6">
        <v>43711</v>
      </c>
      <c r="M260" s="5" t="s">
        <v>21</v>
      </c>
      <c r="N260" s="5" t="s">
        <v>1160</v>
      </c>
    </row>
    <row r="261" spans="1:14" ht="13.5">
      <c r="A261" s="3">
        <v>255</v>
      </c>
      <c r="B261" s="3" t="str">
        <f>"202000005286"</f>
        <v>202000005286</v>
      </c>
      <c r="C261" s="3" t="str">
        <f>"148707"</f>
        <v>148707</v>
      </c>
      <c r="D261" s="3" t="s">
        <v>1161</v>
      </c>
      <c r="E261" s="3">
        <v>20565213131</v>
      </c>
      <c r="F261" s="3" t="s">
        <v>1162</v>
      </c>
      <c r="G261" s="3" t="s">
        <v>1163</v>
      </c>
      <c r="H261" s="3" t="s">
        <v>18</v>
      </c>
      <c r="I261" s="3" t="s">
        <v>18</v>
      </c>
      <c r="J261" s="3" t="s">
        <v>41</v>
      </c>
      <c r="K261" s="3" t="s">
        <v>36</v>
      </c>
      <c r="L261" s="4">
        <v>43882</v>
      </c>
      <c r="M261" s="3" t="s">
        <v>21</v>
      </c>
      <c r="N261" s="3" t="s">
        <v>1164</v>
      </c>
    </row>
    <row r="262" spans="1:14" ht="27.75">
      <c r="A262" s="5">
        <v>256</v>
      </c>
      <c r="B262" s="5" t="str">
        <f>"202000005273"</f>
        <v>202000005273</v>
      </c>
      <c r="C262" s="5" t="str">
        <f>"148705"</f>
        <v>148705</v>
      </c>
      <c r="D262" s="5" t="s">
        <v>1165</v>
      </c>
      <c r="E262" s="5">
        <v>20600120361</v>
      </c>
      <c r="F262" s="5" t="s">
        <v>1166</v>
      </c>
      <c r="G262" s="5" t="s">
        <v>1167</v>
      </c>
      <c r="H262" s="5" t="s">
        <v>18</v>
      </c>
      <c r="I262" s="5" t="s">
        <v>18</v>
      </c>
      <c r="J262" s="5" t="s">
        <v>242</v>
      </c>
      <c r="K262" s="5" t="s">
        <v>51</v>
      </c>
      <c r="L262" s="6">
        <v>43850</v>
      </c>
      <c r="M262" s="5" t="s">
        <v>21</v>
      </c>
      <c r="N262" s="5" t="s">
        <v>1168</v>
      </c>
    </row>
    <row r="263" spans="1:14" ht="27.75">
      <c r="A263" s="3">
        <v>257</v>
      </c>
      <c r="B263" s="3" t="str">
        <f>"202000005281"</f>
        <v>202000005281</v>
      </c>
      <c r="C263" s="3" t="str">
        <f>"148706"</f>
        <v>148706</v>
      </c>
      <c r="D263" s="3" t="s">
        <v>1169</v>
      </c>
      <c r="E263" s="3">
        <v>20538611132</v>
      </c>
      <c r="F263" s="3" t="s">
        <v>1170</v>
      </c>
      <c r="G263" s="3" t="s">
        <v>1171</v>
      </c>
      <c r="H263" s="3" t="s">
        <v>513</v>
      </c>
      <c r="I263" s="3" t="s">
        <v>513</v>
      </c>
      <c r="J263" s="3" t="s">
        <v>1172</v>
      </c>
      <c r="K263" s="3" t="s">
        <v>36</v>
      </c>
      <c r="L263" s="4">
        <v>43882</v>
      </c>
      <c r="M263" s="3" t="s">
        <v>21</v>
      </c>
      <c r="N263" s="3" t="s">
        <v>1164</v>
      </c>
    </row>
    <row r="264" spans="1:14" ht="13.5">
      <c r="A264" s="5">
        <v>258</v>
      </c>
      <c r="B264" s="5" t="str">
        <f>"201900078797"</f>
        <v>201900078797</v>
      </c>
      <c r="C264" s="5" t="str">
        <f>"143571"</f>
        <v>143571</v>
      </c>
      <c r="D264" s="5" t="s">
        <v>1173</v>
      </c>
      <c r="E264" s="5">
        <v>20529310456</v>
      </c>
      <c r="F264" s="5" t="s">
        <v>1174</v>
      </c>
      <c r="G264" s="5" t="s">
        <v>1082</v>
      </c>
      <c r="H264" s="5" t="s">
        <v>73</v>
      </c>
      <c r="I264" s="5" t="s">
        <v>74</v>
      </c>
      <c r="J264" s="5" t="s">
        <v>74</v>
      </c>
      <c r="K264" s="5" t="s">
        <v>51</v>
      </c>
      <c r="L264" s="6">
        <v>43617</v>
      </c>
      <c r="M264" s="5" t="s">
        <v>21</v>
      </c>
      <c r="N264" s="5" t="s">
        <v>1175</v>
      </c>
    </row>
    <row r="265" spans="1:14" ht="27.75">
      <c r="A265" s="3">
        <v>259</v>
      </c>
      <c r="B265" s="3" t="str">
        <f>"201900078797"</f>
        <v>201900078797</v>
      </c>
      <c r="C265" s="3" t="str">
        <f>"143570"</f>
        <v>143570</v>
      </c>
      <c r="D265" s="3" t="s">
        <v>1176</v>
      </c>
      <c r="E265" s="3">
        <v>20525411401</v>
      </c>
      <c r="F265" s="3" t="s">
        <v>1177</v>
      </c>
      <c r="G265" s="3" t="s">
        <v>1178</v>
      </c>
      <c r="H265" s="3" t="s">
        <v>73</v>
      </c>
      <c r="I265" s="3" t="s">
        <v>74</v>
      </c>
      <c r="J265" s="3" t="s">
        <v>74</v>
      </c>
      <c r="K265" s="3" t="s">
        <v>51</v>
      </c>
      <c r="L265" s="4">
        <v>43617</v>
      </c>
      <c r="M265" s="3" t="s">
        <v>21</v>
      </c>
      <c r="N265" s="3" t="s">
        <v>1179</v>
      </c>
    </row>
    <row r="266" spans="1:14" ht="27.75">
      <c r="A266" s="5">
        <v>260</v>
      </c>
      <c r="B266" s="5" t="str">
        <f>"201900078797"</f>
        <v>201900078797</v>
      </c>
      <c r="C266" s="5" t="str">
        <f>"143573"</f>
        <v>143573</v>
      </c>
      <c r="D266" s="5" t="s">
        <v>1180</v>
      </c>
      <c r="E266" s="5">
        <v>20539724976</v>
      </c>
      <c r="F266" s="5" t="s">
        <v>1181</v>
      </c>
      <c r="G266" s="5" t="s">
        <v>1182</v>
      </c>
      <c r="H266" s="5" t="s">
        <v>73</v>
      </c>
      <c r="I266" s="5" t="s">
        <v>74</v>
      </c>
      <c r="J266" s="5" t="s">
        <v>74</v>
      </c>
      <c r="K266" s="5" t="s">
        <v>97</v>
      </c>
      <c r="L266" s="6">
        <v>43617</v>
      </c>
      <c r="M266" s="5" t="s">
        <v>21</v>
      </c>
      <c r="N266" s="5" t="s">
        <v>1183</v>
      </c>
    </row>
    <row r="267" spans="1:14" ht="13.5">
      <c r="A267" s="3">
        <v>261</v>
      </c>
      <c r="B267" s="3" t="str">
        <f>"201900078797"</f>
        <v>201900078797</v>
      </c>
      <c r="C267" s="3" t="str">
        <f>"143572"</f>
        <v>143572</v>
      </c>
      <c r="D267" s="3" t="s">
        <v>1184</v>
      </c>
      <c r="E267" s="3">
        <v>20531957769</v>
      </c>
      <c r="F267" s="3" t="s">
        <v>1185</v>
      </c>
      <c r="G267" s="3" t="s">
        <v>1186</v>
      </c>
      <c r="H267" s="3" t="s">
        <v>73</v>
      </c>
      <c r="I267" s="3" t="s">
        <v>74</v>
      </c>
      <c r="J267" s="3" t="s">
        <v>74</v>
      </c>
      <c r="K267" s="3" t="s">
        <v>97</v>
      </c>
      <c r="L267" s="4">
        <v>43617</v>
      </c>
      <c r="M267" s="3" t="s">
        <v>21</v>
      </c>
      <c r="N267" s="3" t="s">
        <v>1187</v>
      </c>
    </row>
    <row r="268" spans="1:14" ht="42">
      <c r="A268" s="5">
        <v>262</v>
      </c>
      <c r="B268" s="5" t="str">
        <f>"201900078797"</f>
        <v>201900078797</v>
      </c>
      <c r="C268" s="5" t="str">
        <f>"143567"</f>
        <v>143567</v>
      </c>
      <c r="D268" s="5" t="s">
        <v>1188</v>
      </c>
      <c r="E268" s="5">
        <v>20511030685</v>
      </c>
      <c r="F268" s="5" t="s">
        <v>1189</v>
      </c>
      <c r="G268" s="5" t="s">
        <v>1190</v>
      </c>
      <c r="H268" s="5" t="s">
        <v>73</v>
      </c>
      <c r="I268" s="5" t="s">
        <v>74</v>
      </c>
      <c r="J268" s="5" t="s">
        <v>74</v>
      </c>
      <c r="K268" s="5" t="s">
        <v>1191</v>
      </c>
      <c r="L268" s="6">
        <v>43617</v>
      </c>
      <c r="M268" s="5" t="s">
        <v>21</v>
      </c>
      <c r="N268" s="5" t="s">
        <v>1192</v>
      </c>
    </row>
    <row r="269" spans="1:14" ht="153.75">
      <c r="A269" s="3">
        <v>263</v>
      </c>
      <c r="B269" s="3" t="str">
        <f>"202000031140"</f>
        <v>202000031140</v>
      </c>
      <c r="C269" s="3" t="str">
        <f>"149293"</f>
        <v>149293</v>
      </c>
      <c r="D269" s="3" t="s">
        <v>1193</v>
      </c>
      <c r="E269" s="3">
        <v>20477261826</v>
      </c>
      <c r="F269" s="3" t="s">
        <v>1194</v>
      </c>
      <c r="G269" s="3" t="s">
        <v>1195</v>
      </c>
      <c r="H269" s="3" t="s">
        <v>73</v>
      </c>
      <c r="I269" s="3" t="s">
        <v>74</v>
      </c>
      <c r="J269" s="3" t="s">
        <v>74</v>
      </c>
      <c r="K269" s="3" t="s">
        <v>75</v>
      </c>
      <c r="L269" s="4">
        <v>43895</v>
      </c>
      <c r="M269" s="3" t="s">
        <v>21</v>
      </c>
      <c r="N269" s="3" t="s">
        <v>1196</v>
      </c>
    </row>
    <row r="270" spans="1:14" ht="27.75">
      <c r="A270" s="5">
        <v>264</v>
      </c>
      <c r="B270" s="5" t="str">
        <f>"201900078678"</f>
        <v>201900078678</v>
      </c>
      <c r="C270" s="5" t="str">
        <f>"143376"</f>
        <v>143376</v>
      </c>
      <c r="D270" s="5" t="s">
        <v>1197</v>
      </c>
      <c r="E270" s="5">
        <v>20600850211</v>
      </c>
      <c r="F270" s="5" t="s">
        <v>1198</v>
      </c>
      <c r="G270" s="5" t="s">
        <v>1199</v>
      </c>
      <c r="H270" s="5" t="s">
        <v>92</v>
      </c>
      <c r="I270" s="5" t="s">
        <v>92</v>
      </c>
      <c r="J270" s="5" t="s">
        <v>92</v>
      </c>
      <c r="K270" s="5" t="s">
        <v>51</v>
      </c>
      <c r="L270" s="6">
        <v>43617</v>
      </c>
      <c r="M270" s="5" t="s">
        <v>21</v>
      </c>
      <c r="N270" s="5" t="s">
        <v>1200</v>
      </c>
    </row>
    <row r="271" spans="1:14" ht="27.75">
      <c r="A271" s="3">
        <v>265</v>
      </c>
      <c r="B271" s="3" t="str">
        <f>"201900078797"</f>
        <v>201900078797</v>
      </c>
      <c r="C271" s="3" t="str">
        <f>"143569"</f>
        <v>143569</v>
      </c>
      <c r="D271" s="3" t="s">
        <v>1201</v>
      </c>
      <c r="E271" s="3">
        <v>20518864883</v>
      </c>
      <c r="F271" s="3" t="s">
        <v>1202</v>
      </c>
      <c r="G271" s="3" t="s">
        <v>1203</v>
      </c>
      <c r="H271" s="3" t="s">
        <v>73</v>
      </c>
      <c r="I271" s="3" t="s">
        <v>74</v>
      </c>
      <c r="J271" s="3" t="s">
        <v>74</v>
      </c>
      <c r="K271" s="3" t="s">
        <v>1204</v>
      </c>
      <c r="L271" s="4">
        <v>43617</v>
      </c>
      <c r="M271" s="3" t="s">
        <v>21</v>
      </c>
      <c r="N271" s="3" t="s">
        <v>1205</v>
      </c>
    </row>
    <row r="272" spans="1:14" ht="27.75">
      <c r="A272" s="5">
        <v>266</v>
      </c>
      <c r="B272" s="5" t="str">
        <f>"201900078797"</f>
        <v>201900078797</v>
      </c>
      <c r="C272" s="5" t="str">
        <f>"143568"</f>
        <v>143568</v>
      </c>
      <c r="D272" s="5" t="s">
        <v>1206</v>
      </c>
      <c r="E272" s="5">
        <v>20517390861</v>
      </c>
      <c r="F272" s="5" t="s">
        <v>1207</v>
      </c>
      <c r="G272" s="5" t="s">
        <v>1208</v>
      </c>
      <c r="H272" s="5" t="s">
        <v>73</v>
      </c>
      <c r="I272" s="5" t="s">
        <v>74</v>
      </c>
      <c r="J272" s="5" t="s">
        <v>74</v>
      </c>
      <c r="K272" s="5" t="s">
        <v>97</v>
      </c>
      <c r="L272" s="6">
        <v>43617</v>
      </c>
      <c r="M272" s="5" t="s">
        <v>21</v>
      </c>
      <c r="N272" s="5" t="s">
        <v>1209</v>
      </c>
    </row>
    <row r="273" spans="1:14" ht="125.25">
      <c r="A273" s="3">
        <v>267</v>
      </c>
      <c r="B273" s="3" t="str">
        <f>"202000137337"</f>
        <v>202000137337</v>
      </c>
      <c r="C273" s="3" t="str">
        <f>"151690"</f>
        <v>151690</v>
      </c>
      <c r="D273" s="3" t="s">
        <v>1210</v>
      </c>
      <c r="E273" s="3">
        <v>20275751619</v>
      </c>
      <c r="F273" s="3" t="s">
        <v>1211</v>
      </c>
      <c r="G273" s="3" t="s">
        <v>1212</v>
      </c>
      <c r="H273" s="3" t="s">
        <v>73</v>
      </c>
      <c r="I273" s="3" t="s">
        <v>74</v>
      </c>
      <c r="J273" s="3" t="s">
        <v>74</v>
      </c>
      <c r="K273" s="3" t="s">
        <v>837</v>
      </c>
      <c r="L273" s="4">
        <v>44124</v>
      </c>
      <c r="M273" s="3" t="s">
        <v>21</v>
      </c>
      <c r="N273" s="3" t="s">
        <v>1088</v>
      </c>
    </row>
    <row r="274" spans="1:14" ht="27.75">
      <c r="A274" s="5">
        <v>268</v>
      </c>
      <c r="B274" s="5" t="str">
        <f>"202000031456"</f>
        <v>202000031456</v>
      </c>
      <c r="C274" s="5" t="str">
        <f>"149318"</f>
        <v>149318</v>
      </c>
      <c r="D274" s="5" t="s">
        <v>1213</v>
      </c>
      <c r="E274" s="5">
        <v>20601135141</v>
      </c>
      <c r="F274" s="5" t="s">
        <v>1214</v>
      </c>
      <c r="G274" s="5" t="s">
        <v>1215</v>
      </c>
      <c r="H274" s="5" t="s">
        <v>253</v>
      </c>
      <c r="I274" s="5" t="s">
        <v>1216</v>
      </c>
      <c r="J274" s="5" t="s">
        <v>1217</v>
      </c>
      <c r="K274" s="5" t="s">
        <v>36</v>
      </c>
      <c r="L274" s="6">
        <v>43892</v>
      </c>
      <c r="M274" s="5" t="s">
        <v>21</v>
      </c>
      <c r="N274" s="5" t="s">
        <v>1218</v>
      </c>
    </row>
    <row r="275" spans="1:14" ht="27.75">
      <c r="A275" s="3">
        <v>269</v>
      </c>
      <c r="B275" s="3" t="str">
        <f>"201900078678"</f>
        <v>201900078678</v>
      </c>
      <c r="C275" s="3" t="str">
        <f>"143360"</f>
        <v>143360</v>
      </c>
      <c r="D275" s="3" t="s">
        <v>1219</v>
      </c>
      <c r="E275" s="3">
        <v>20453825591</v>
      </c>
      <c r="F275" s="3" t="s">
        <v>1220</v>
      </c>
      <c r="G275" s="3" t="s">
        <v>1221</v>
      </c>
      <c r="H275" s="3" t="s">
        <v>92</v>
      </c>
      <c r="I275" s="3" t="s">
        <v>92</v>
      </c>
      <c r="J275" s="3" t="s">
        <v>92</v>
      </c>
      <c r="K275" s="3" t="s">
        <v>97</v>
      </c>
      <c r="L275" s="4">
        <v>43617</v>
      </c>
      <c r="M275" s="3" t="s">
        <v>21</v>
      </c>
      <c r="N275" s="3" t="s">
        <v>1222</v>
      </c>
    </row>
    <row r="276" spans="1:14" ht="27.75">
      <c r="A276" s="5">
        <v>270</v>
      </c>
      <c r="B276" s="5" t="str">
        <f>"201900078678"</f>
        <v>201900078678</v>
      </c>
      <c r="C276" s="5" t="str">
        <f>"143359"</f>
        <v>143359</v>
      </c>
      <c r="D276" s="5" t="s">
        <v>1223</v>
      </c>
      <c r="E276" s="5">
        <v>20453713441</v>
      </c>
      <c r="F276" s="5" t="s">
        <v>1224</v>
      </c>
      <c r="G276" s="5" t="s">
        <v>1225</v>
      </c>
      <c r="H276" s="5" t="s">
        <v>92</v>
      </c>
      <c r="I276" s="5" t="s">
        <v>92</v>
      </c>
      <c r="J276" s="5" t="s">
        <v>92</v>
      </c>
      <c r="K276" s="5" t="s">
        <v>97</v>
      </c>
      <c r="L276" s="6">
        <v>43617</v>
      </c>
      <c r="M276" s="5" t="s">
        <v>21</v>
      </c>
      <c r="N276" s="5" t="s">
        <v>1226</v>
      </c>
    </row>
    <row r="277" spans="1:14" ht="13.5">
      <c r="A277" s="3">
        <v>271</v>
      </c>
      <c r="B277" s="3" t="str">
        <f>"202000104281"</f>
        <v>202000104281</v>
      </c>
      <c r="C277" s="3" t="str">
        <f>"150588"</f>
        <v>150588</v>
      </c>
      <c r="D277" s="3" t="s">
        <v>1227</v>
      </c>
      <c r="E277" s="3">
        <v>20600427734</v>
      </c>
      <c r="F277" s="3" t="s">
        <v>1228</v>
      </c>
      <c r="G277" s="3" t="s">
        <v>1229</v>
      </c>
      <c r="H277" s="3" t="s">
        <v>18</v>
      </c>
      <c r="I277" s="3" t="s">
        <v>18</v>
      </c>
      <c r="J277" s="3" t="s">
        <v>248</v>
      </c>
      <c r="K277" s="3" t="s">
        <v>36</v>
      </c>
      <c r="L277" s="4">
        <v>44075</v>
      </c>
      <c r="M277" s="3" t="s">
        <v>21</v>
      </c>
      <c r="N277" s="3" t="s">
        <v>1230</v>
      </c>
    </row>
    <row r="278" spans="1:14" ht="13.5">
      <c r="A278" s="5">
        <v>272</v>
      </c>
      <c r="B278" s="5" t="str">
        <f>"201900078678"</f>
        <v>201900078678</v>
      </c>
      <c r="C278" s="5" t="str">
        <f>"143358"</f>
        <v>143358</v>
      </c>
      <c r="D278" s="5" t="s">
        <v>1231</v>
      </c>
      <c r="E278" s="5">
        <v>20453701353</v>
      </c>
      <c r="F278" s="5" t="s">
        <v>1232</v>
      </c>
      <c r="G278" s="5" t="s">
        <v>1233</v>
      </c>
      <c r="H278" s="5" t="s">
        <v>92</v>
      </c>
      <c r="I278" s="5" t="s">
        <v>92</v>
      </c>
      <c r="J278" s="5" t="s">
        <v>92</v>
      </c>
      <c r="K278" s="5" t="s">
        <v>51</v>
      </c>
      <c r="L278" s="6">
        <v>43617</v>
      </c>
      <c r="M278" s="5" t="s">
        <v>21</v>
      </c>
      <c r="N278" s="5" t="s">
        <v>1234</v>
      </c>
    </row>
    <row r="279" spans="1:14" ht="27.75">
      <c r="A279" s="3">
        <v>273</v>
      </c>
      <c r="B279" s="3" t="str">
        <f>"201900078678"</f>
        <v>201900078678</v>
      </c>
      <c r="C279" s="3" t="str">
        <f>"143357"</f>
        <v>143357</v>
      </c>
      <c r="D279" s="3" t="s">
        <v>1235</v>
      </c>
      <c r="E279" s="3">
        <v>20453644023</v>
      </c>
      <c r="F279" s="3" t="s">
        <v>1236</v>
      </c>
      <c r="G279" s="3" t="s">
        <v>1237</v>
      </c>
      <c r="H279" s="3" t="s">
        <v>92</v>
      </c>
      <c r="I279" s="3" t="s">
        <v>92</v>
      </c>
      <c r="J279" s="3" t="s">
        <v>92</v>
      </c>
      <c r="K279" s="3" t="s">
        <v>97</v>
      </c>
      <c r="L279" s="4">
        <v>43617</v>
      </c>
      <c r="M279" s="3" t="s">
        <v>21</v>
      </c>
      <c r="N279" s="3" t="s">
        <v>1238</v>
      </c>
    </row>
    <row r="280" spans="1:14" ht="13.5">
      <c r="A280" s="5">
        <v>274</v>
      </c>
      <c r="B280" s="5" t="str">
        <f>"201900146251"</f>
        <v>201900146251</v>
      </c>
      <c r="C280" s="5" t="str">
        <f>"146423"</f>
        <v>146423</v>
      </c>
      <c r="D280" s="5" t="s">
        <v>1239</v>
      </c>
      <c r="E280" s="5">
        <v>20448670521</v>
      </c>
      <c r="F280" s="5" t="s">
        <v>1240</v>
      </c>
      <c r="G280" s="5" t="s">
        <v>1241</v>
      </c>
      <c r="H280" s="5" t="s">
        <v>932</v>
      </c>
      <c r="I280" s="5" t="s">
        <v>1242</v>
      </c>
      <c r="J280" s="5" t="s">
        <v>1243</v>
      </c>
      <c r="K280" s="5" t="s">
        <v>36</v>
      </c>
      <c r="L280" s="6">
        <v>43723</v>
      </c>
      <c r="M280" s="5" t="s">
        <v>21</v>
      </c>
      <c r="N280" s="5" t="s">
        <v>1244</v>
      </c>
    </row>
    <row r="281" spans="1:14" ht="13.5">
      <c r="A281" s="3">
        <v>275</v>
      </c>
      <c r="B281" s="3" t="str">
        <f aca="true" t="shared" si="4" ref="B281:B286">"201900078678"</f>
        <v>201900078678</v>
      </c>
      <c r="C281" s="3" t="str">
        <f>"143364"</f>
        <v>143364</v>
      </c>
      <c r="D281" s="3" t="s">
        <v>1245</v>
      </c>
      <c r="E281" s="3">
        <v>20495807208</v>
      </c>
      <c r="F281" s="3" t="s">
        <v>1246</v>
      </c>
      <c r="G281" s="3" t="s">
        <v>1247</v>
      </c>
      <c r="H281" s="3" t="s">
        <v>92</v>
      </c>
      <c r="I281" s="3" t="s">
        <v>92</v>
      </c>
      <c r="J281" s="3" t="s">
        <v>92</v>
      </c>
      <c r="K281" s="3" t="s">
        <v>97</v>
      </c>
      <c r="L281" s="4">
        <v>43617</v>
      </c>
      <c r="M281" s="3" t="s">
        <v>21</v>
      </c>
      <c r="N281" s="3" t="s">
        <v>1248</v>
      </c>
    </row>
    <row r="282" spans="1:14" ht="13.5">
      <c r="A282" s="5">
        <v>276</v>
      </c>
      <c r="B282" s="5" t="str">
        <f t="shared" si="4"/>
        <v>201900078678</v>
      </c>
      <c r="C282" s="5" t="str">
        <f>"143363"</f>
        <v>143363</v>
      </c>
      <c r="D282" s="5" t="s">
        <v>1249</v>
      </c>
      <c r="E282" s="5">
        <v>20495606644</v>
      </c>
      <c r="F282" s="5" t="s">
        <v>1250</v>
      </c>
      <c r="G282" s="5" t="s">
        <v>1251</v>
      </c>
      <c r="H282" s="5" t="s">
        <v>92</v>
      </c>
      <c r="I282" s="5" t="s">
        <v>92</v>
      </c>
      <c r="J282" s="5" t="s">
        <v>92</v>
      </c>
      <c r="K282" s="5" t="s">
        <v>97</v>
      </c>
      <c r="L282" s="6">
        <v>43617</v>
      </c>
      <c r="M282" s="5" t="s">
        <v>21</v>
      </c>
      <c r="N282" s="5" t="s">
        <v>1252</v>
      </c>
    </row>
    <row r="283" spans="1:14" ht="13.5">
      <c r="A283" s="3">
        <v>277</v>
      </c>
      <c r="B283" s="3" t="str">
        <f t="shared" si="4"/>
        <v>201900078678</v>
      </c>
      <c r="C283" s="3" t="str">
        <f>"143362"</f>
        <v>143362</v>
      </c>
      <c r="D283" s="3" t="s">
        <v>1253</v>
      </c>
      <c r="E283" s="3">
        <v>20491588668</v>
      </c>
      <c r="F283" s="3" t="s">
        <v>1254</v>
      </c>
      <c r="G283" s="3" t="s">
        <v>1255</v>
      </c>
      <c r="H283" s="3" t="s">
        <v>92</v>
      </c>
      <c r="I283" s="3" t="s">
        <v>92</v>
      </c>
      <c r="J283" s="3" t="s">
        <v>92</v>
      </c>
      <c r="K283" s="3" t="s">
        <v>97</v>
      </c>
      <c r="L283" s="4">
        <v>43617</v>
      </c>
      <c r="M283" s="3" t="s">
        <v>21</v>
      </c>
      <c r="N283" s="3" t="s">
        <v>1256</v>
      </c>
    </row>
    <row r="284" spans="1:14" ht="13.5">
      <c r="A284" s="5">
        <v>278</v>
      </c>
      <c r="B284" s="5" t="str">
        <f t="shared" si="4"/>
        <v>201900078678</v>
      </c>
      <c r="C284" s="5" t="str">
        <f>"143361"</f>
        <v>143361</v>
      </c>
      <c r="D284" s="5" t="s">
        <v>1257</v>
      </c>
      <c r="E284" s="5">
        <v>20491573717</v>
      </c>
      <c r="F284" s="5" t="s">
        <v>1258</v>
      </c>
      <c r="G284" s="5" t="s">
        <v>1259</v>
      </c>
      <c r="H284" s="5" t="s">
        <v>92</v>
      </c>
      <c r="I284" s="5" t="s">
        <v>92</v>
      </c>
      <c r="J284" s="5" t="s">
        <v>92</v>
      </c>
      <c r="K284" s="5" t="s">
        <v>97</v>
      </c>
      <c r="L284" s="6">
        <v>43617</v>
      </c>
      <c r="M284" s="5" t="s">
        <v>21</v>
      </c>
      <c r="N284" s="5" t="s">
        <v>1252</v>
      </c>
    </row>
    <row r="285" spans="1:14" ht="13.5">
      <c r="A285" s="3">
        <v>279</v>
      </c>
      <c r="B285" s="3" t="str">
        <f t="shared" si="4"/>
        <v>201900078678</v>
      </c>
      <c r="C285" s="3" t="str">
        <f>"143365"</f>
        <v>143365</v>
      </c>
      <c r="D285" s="3" t="s">
        <v>1260</v>
      </c>
      <c r="E285" s="3">
        <v>20495843182</v>
      </c>
      <c r="F285" s="3" t="s">
        <v>1261</v>
      </c>
      <c r="G285" s="3" t="s">
        <v>1262</v>
      </c>
      <c r="H285" s="3" t="s">
        <v>92</v>
      </c>
      <c r="I285" s="3" t="s">
        <v>92</v>
      </c>
      <c r="J285" s="3" t="s">
        <v>92</v>
      </c>
      <c r="K285" s="3" t="s">
        <v>51</v>
      </c>
      <c r="L285" s="4">
        <v>43617</v>
      </c>
      <c r="M285" s="3" t="s">
        <v>21</v>
      </c>
      <c r="N285" s="3" t="s">
        <v>1263</v>
      </c>
    </row>
    <row r="286" spans="1:14" ht="27.75">
      <c r="A286" s="5">
        <v>280</v>
      </c>
      <c r="B286" s="5" t="str">
        <f t="shared" si="4"/>
        <v>201900078678</v>
      </c>
      <c r="C286" s="5" t="str">
        <f>"143366"</f>
        <v>143366</v>
      </c>
      <c r="D286" s="5" t="s">
        <v>1264</v>
      </c>
      <c r="E286" s="5">
        <v>20495873090</v>
      </c>
      <c r="F286" s="5" t="s">
        <v>1265</v>
      </c>
      <c r="G286" s="5" t="s">
        <v>1266</v>
      </c>
      <c r="H286" s="5" t="s">
        <v>92</v>
      </c>
      <c r="I286" s="5" t="s">
        <v>92</v>
      </c>
      <c r="J286" s="5" t="s">
        <v>92</v>
      </c>
      <c r="K286" s="5" t="s">
        <v>97</v>
      </c>
      <c r="L286" s="6">
        <v>43617</v>
      </c>
      <c r="M286" s="5" t="s">
        <v>21</v>
      </c>
      <c r="N286" s="5" t="s">
        <v>1267</v>
      </c>
    </row>
    <row r="287" spans="1:14" ht="42">
      <c r="A287" s="3">
        <v>281</v>
      </c>
      <c r="B287" s="3" t="str">
        <f>"202000032746"</f>
        <v>202000032746</v>
      </c>
      <c r="C287" s="3" t="str">
        <f>"149308"</f>
        <v>149308</v>
      </c>
      <c r="D287" s="3" t="s">
        <v>1268</v>
      </c>
      <c r="E287" s="3">
        <v>20602538886</v>
      </c>
      <c r="F287" s="3" t="s">
        <v>1269</v>
      </c>
      <c r="G287" s="3" t="s">
        <v>1270</v>
      </c>
      <c r="H287" s="3" t="s">
        <v>18</v>
      </c>
      <c r="I287" s="3" t="s">
        <v>18</v>
      </c>
      <c r="J287" s="3" t="s">
        <v>80</v>
      </c>
      <c r="K287" s="3" t="s">
        <v>42</v>
      </c>
      <c r="L287" s="4">
        <v>43892</v>
      </c>
      <c r="M287" s="3" t="s">
        <v>21</v>
      </c>
      <c r="N287" s="3" t="s">
        <v>1271</v>
      </c>
    </row>
    <row r="288" spans="1:14" ht="42">
      <c r="A288" s="5">
        <v>282</v>
      </c>
      <c r="B288" s="5" t="str">
        <f>"202000032762"</f>
        <v>202000032762</v>
      </c>
      <c r="C288" s="5" t="str">
        <f>"149307"</f>
        <v>149307</v>
      </c>
      <c r="D288" s="5" t="s">
        <v>1272</v>
      </c>
      <c r="E288" s="5">
        <v>20602727808</v>
      </c>
      <c r="F288" s="5" t="s">
        <v>1273</v>
      </c>
      <c r="G288" s="5" t="s">
        <v>1274</v>
      </c>
      <c r="H288" s="5" t="s">
        <v>18</v>
      </c>
      <c r="I288" s="5" t="s">
        <v>18</v>
      </c>
      <c r="J288" s="5" t="s">
        <v>537</v>
      </c>
      <c r="K288" s="5" t="s">
        <v>42</v>
      </c>
      <c r="L288" s="6">
        <v>43887</v>
      </c>
      <c r="M288" s="5" t="s">
        <v>21</v>
      </c>
      <c r="N288" s="5" t="s">
        <v>1275</v>
      </c>
    </row>
    <row r="289" spans="1:14" ht="153.75">
      <c r="A289" s="3">
        <v>283</v>
      </c>
      <c r="B289" s="3" t="str">
        <f>"202000032174"</f>
        <v>202000032174</v>
      </c>
      <c r="C289" s="3" t="str">
        <f>"149312"</f>
        <v>149312</v>
      </c>
      <c r="D289" s="3" t="s">
        <v>1276</v>
      </c>
      <c r="E289" s="3">
        <v>20534178418</v>
      </c>
      <c r="F289" s="3" t="s">
        <v>1277</v>
      </c>
      <c r="G289" s="3" t="s">
        <v>1278</v>
      </c>
      <c r="H289" s="3" t="s">
        <v>18</v>
      </c>
      <c r="I289" s="3" t="s">
        <v>18</v>
      </c>
      <c r="J289" s="3" t="s">
        <v>779</v>
      </c>
      <c r="K289" s="3" t="s">
        <v>75</v>
      </c>
      <c r="L289" s="4">
        <v>43892</v>
      </c>
      <c r="M289" s="3" t="s">
        <v>21</v>
      </c>
      <c r="N289" s="3" t="s">
        <v>1279</v>
      </c>
    </row>
    <row r="290" spans="1:14" ht="153.75">
      <c r="A290" s="5">
        <v>284</v>
      </c>
      <c r="B290" s="5" t="str">
        <f>"202000032165"</f>
        <v>202000032165</v>
      </c>
      <c r="C290" s="5" t="str">
        <f>"149311"</f>
        <v>149311</v>
      </c>
      <c r="D290" s="5" t="s">
        <v>1280</v>
      </c>
      <c r="E290" s="5">
        <v>20473935407</v>
      </c>
      <c r="F290" s="5" t="s">
        <v>1281</v>
      </c>
      <c r="G290" s="5" t="s">
        <v>1282</v>
      </c>
      <c r="H290" s="5" t="s">
        <v>18</v>
      </c>
      <c r="I290" s="5" t="s">
        <v>18</v>
      </c>
      <c r="J290" s="5" t="s">
        <v>779</v>
      </c>
      <c r="K290" s="5" t="s">
        <v>75</v>
      </c>
      <c r="L290" s="6">
        <v>43893</v>
      </c>
      <c r="M290" s="5" t="s">
        <v>21</v>
      </c>
      <c r="N290" s="5" t="s">
        <v>1279</v>
      </c>
    </row>
    <row r="291" spans="1:14" ht="27.75">
      <c r="A291" s="3">
        <v>285</v>
      </c>
      <c r="B291" s="3" t="str">
        <f>"202000032869"</f>
        <v>202000032869</v>
      </c>
      <c r="C291" s="3" t="str">
        <f>"149314"</f>
        <v>149314</v>
      </c>
      <c r="D291" s="3" t="s">
        <v>1283</v>
      </c>
      <c r="E291" s="3">
        <v>20605893181</v>
      </c>
      <c r="F291" s="3" t="s">
        <v>1284</v>
      </c>
      <c r="G291" s="3" t="s">
        <v>1285</v>
      </c>
      <c r="H291" s="3" t="s">
        <v>18</v>
      </c>
      <c r="I291" s="3" t="s">
        <v>18</v>
      </c>
      <c r="J291" s="3" t="s">
        <v>1286</v>
      </c>
      <c r="K291" s="3" t="s">
        <v>51</v>
      </c>
      <c r="L291" s="4">
        <v>43903</v>
      </c>
      <c r="M291" s="3" t="s">
        <v>21</v>
      </c>
      <c r="N291" s="3" t="s">
        <v>1287</v>
      </c>
    </row>
    <row r="292" spans="1:14" ht="153.75">
      <c r="A292" s="5">
        <v>286</v>
      </c>
      <c r="B292" s="5" t="str">
        <f>"202000032171"</f>
        <v>202000032171</v>
      </c>
      <c r="C292" s="5" t="str">
        <f>"149313"</f>
        <v>149313</v>
      </c>
      <c r="D292" s="5" t="s">
        <v>1288</v>
      </c>
      <c r="E292" s="5">
        <v>20556597376</v>
      </c>
      <c r="F292" s="5" t="s">
        <v>1289</v>
      </c>
      <c r="G292" s="5" t="s">
        <v>1290</v>
      </c>
      <c r="H292" s="5" t="s">
        <v>18</v>
      </c>
      <c r="I292" s="5" t="s">
        <v>18</v>
      </c>
      <c r="J292" s="5" t="s">
        <v>779</v>
      </c>
      <c r="K292" s="5" t="s">
        <v>75</v>
      </c>
      <c r="L292" s="6">
        <v>43892</v>
      </c>
      <c r="M292" s="5" t="s">
        <v>21</v>
      </c>
      <c r="N292" s="5" t="s">
        <v>1279</v>
      </c>
    </row>
    <row r="293" spans="1:14" ht="69.75">
      <c r="A293" s="3">
        <v>287</v>
      </c>
      <c r="B293" s="3" t="str">
        <f>"201900133930"</f>
        <v>201900133930</v>
      </c>
      <c r="C293" s="3" t="str">
        <f>"145967"</f>
        <v>145967</v>
      </c>
      <c r="D293" s="3" t="s">
        <v>1291</v>
      </c>
      <c r="E293" s="3">
        <v>20481728062</v>
      </c>
      <c r="F293" s="3" t="s">
        <v>1292</v>
      </c>
      <c r="G293" s="3" t="s">
        <v>1293</v>
      </c>
      <c r="H293" s="3" t="s">
        <v>73</v>
      </c>
      <c r="I293" s="3" t="s">
        <v>74</v>
      </c>
      <c r="J293" s="3" t="s">
        <v>1294</v>
      </c>
      <c r="K293" s="3" t="s">
        <v>1295</v>
      </c>
      <c r="L293" s="4">
        <v>43733</v>
      </c>
      <c r="M293" s="3" t="s">
        <v>21</v>
      </c>
      <c r="N293" s="3" t="s">
        <v>1296</v>
      </c>
    </row>
    <row r="294" spans="1:14" ht="13.5">
      <c r="A294" s="5">
        <v>288</v>
      </c>
      <c r="B294" s="5" t="str">
        <f>"201900078678"</f>
        <v>201900078678</v>
      </c>
      <c r="C294" s="5" t="str">
        <f>"143347"</f>
        <v>143347</v>
      </c>
      <c r="D294" s="5" t="s">
        <v>1297</v>
      </c>
      <c r="E294" s="5">
        <v>10266193969</v>
      </c>
      <c r="F294" s="5" t="s">
        <v>1298</v>
      </c>
      <c r="G294" s="5" t="s">
        <v>1299</v>
      </c>
      <c r="H294" s="5" t="s">
        <v>92</v>
      </c>
      <c r="I294" s="5" t="s">
        <v>92</v>
      </c>
      <c r="J294" s="5" t="s">
        <v>92</v>
      </c>
      <c r="K294" s="5" t="s">
        <v>97</v>
      </c>
      <c r="L294" s="6">
        <v>43617</v>
      </c>
      <c r="M294" s="5" t="s">
        <v>21</v>
      </c>
      <c r="N294" s="5" t="s">
        <v>1298</v>
      </c>
    </row>
    <row r="295" spans="1:14" ht="13.5">
      <c r="A295" s="3">
        <v>289</v>
      </c>
      <c r="B295" s="3" t="str">
        <f>"201900078678"</f>
        <v>201900078678</v>
      </c>
      <c r="C295" s="3" t="str">
        <f>"143349"</f>
        <v>143349</v>
      </c>
      <c r="D295" s="3" t="s">
        <v>1300</v>
      </c>
      <c r="E295" s="3">
        <v>10267336526</v>
      </c>
      <c r="F295" s="3" t="s">
        <v>1301</v>
      </c>
      <c r="G295" s="3" t="s">
        <v>1302</v>
      </c>
      <c r="H295" s="3" t="s">
        <v>92</v>
      </c>
      <c r="I295" s="3" t="s">
        <v>92</v>
      </c>
      <c r="J295" s="3" t="s">
        <v>92</v>
      </c>
      <c r="K295" s="3" t="s">
        <v>97</v>
      </c>
      <c r="L295" s="4">
        <v>43617</v>
      </c>
      <c r="M295" s="3" t="s">
        <v>21</v>
      </c>
      <c r="N295" s="3" t="s">
        <v>1301</v>
      </c>
    </row>
    <row r="296" spans="1:14" ht="13.5">
      <c r="A296" s="5">
        <v>290</v>
      </c>
      <c r="B296" s="5" t="str">
        <f>"201900078678"</f>
        <v>201900078678</v>
      </c>
      <c r="C296" s="5" t="str">
        <f>"143348"</f>
        <v>143348</v>
      </c>
      <c r="D296" s="5" t="s">
        <v>1303</v>
      </c>
      <c r="E296" s="5">
        <v>10266863069</v>
      </c>
      <c r="F296" s="5" t="s">
        <v>1304</v>
      </c>
      <c r="G296" s="5" t="s">
        <v>1305</v>
      </c>
      <c r="H296" s="5" t="s">
        <v>92</v>
      </c>
      <c r="I296" s="5" t="s">
        <v>92</v>
      </c>
      <c r="J296" s="5" t="s">
        <v>92</v>
      </c>
      <c r="K296" s="5" t="s">
        <v>51</v>
      </c>
      <c r="L296" s="6">
        <v>43617</v>
      </c>
      <c r="M296" s="5" t="s">
        <v>21</v>
      </c>
      <c r="N296" s="5" t="s">
        <v>1306</v>
      </c>
    </row>
    <row r="297" spans="1:14" ht="13.5">
      <c r="A297" s="3">
        <v>291</v>
      </c>
      <c r="B297" s="3" t="str">
        <f>"201900078678"</f>
        <v>201900078678</v>
      </c>
      <c r="C297" s="3" t="str">
        <f>"143351"</f>
        <v>143351</v>
      </c>
      <c r="D297" s="3" t="s">
        <v>1307</v>
      </c>
      <c r="E297" s="3">
        <v>10418229816</v>
      </c>
      <c r="F297" s="3" t="s">
        <v>1306</v>
      </c>
      <c r="G297" s="3" t="s">
        <v>1308</v>
      </c>
      <c r="H297" s="3" t="s">
        <v>92</v>
      </c>
      <c r="I297" s="3" t="s">
        <v>92</v>
      </c>
      <c r="J297" s="3" t="s">
        <v>92</v>
      </c>
      <c r="K297" s="3" t="s">
        <v>97</v>
      </c>
      <c r="L297" s="4">
        <v>43617</v>
      </c>
      <c r="M297" s="3" t="s">
        <v>21</v>
      </c>
      <c r="N297" s="3" t="s">
        <v>1309</v>
      </c>
    </row>
    <row r="298" spans="1:14" ht="27.75">
      <c r="A298" s="5">
        <v>292</v>
      </c>
      <c r="B298" s="5" t="str">
        <f>"201900078678"</f>
        <v>201900078678</v>
      </c>
      <c r="C298" s="5" t="str">
        <f>"143350"</f>
        <v>143350</v>
      </c>
      <c r="D298" s="5" t="s">
        <v>1310</v>
      </c>
      <c r="E298" s="5">
        <v>10412062871</v>
      </c>
      <c r="F298" s="5" t="s">
        <v>1311</v>
      </c>
      <c r="G298" s="5" t="s">
        <v>1312</v>
      </c>
      <c r="H298" s="5" t="s">
        <v>92</v>
      </c>
      <c r="I298" s="5" t="s">
        <v>92</v>
      </c>
      <c r="J298" s="5" t="s">
        <v>92</v>
      </c>
      <c r="K298" s="5" t="s">
        <v>97</v>
      </c>
      <c r="L298" s="6">
        <v>43617</v>
      </c>
      <c r="M298" s="5" t="s">
        <v>21</v>
      </c>
      <c r="N298" s="5" t="s">
        <v>1311</v>
      </c>
    </row>
    <row r="299" spans="1:14" ht="69.75">
      <c r="A299" s="3">
        <v>293</v>
      </c>
      <c r="B299" s="3" t="str">
        <f>"202000124017"</f>
        <v>202000124017</v>
      </c>
      <c r="C299" s="3" t="str">
        <f>"151258"</f>
        <v>151258</v>
      </c>
      <c r="D299" s="3" t="s">
        <v>1313</v>
      </c>
      <c r="E299" s="3">
        <v>10426812725</v>
      </c>
      <c r="F299" s="3" t="s">
        <v>1314</v>
      </c>
      <c r="G299" s="3" t="s">
        <v>1315</v>
      </c>
      <c r="H299" s="3" t="s">
        <v>274</v>
      </c>
      <c r="I299" s="3" t="s">
        <v>274</v>
      </c>
      <c r="J299" s="3" t="s">
        <v>1316</v>
      </c>
      <c r="K299" s="3" t="s">
        <v>1317</v>
      </c>
      <c r="L299" s="4">
        <v>44095</v>
      </c>
      <c r="M299" s="3" t="s">
        <v>21</v>
      </c>
      <c r="N299" s="3" t="s">
        <v>1314</v>
      </c>
    </row>
    <row r="300" spans="1:14" ht="27.75">
      <c r="A300" s="5">
        <v>294</v>
      </c>
      <c r="B300" s="5" t="str">
        <f>"201900078678"</f>
        <v>201900078678</v>
      </c>
      <c r="C300" s="5" t="str">
        <f>"143353"</f>
        <v>143353</v>
      </c>
      <c r="D300" s="5" t="s">
        <v>1318</v>
      </c>
      <c r="E300" s="5">
        <v>20411423833</v>
      </c>
      <c r="F300" s="5" t="s">
        <v>1319</v>
      </c>
      <c r="G300" s="5" t="s">
        <v>1320</v>
      </c>
      <c r="H300" s="5" t="s">
        <v>92</v>
      </c>
      <c r="I300" s="5" t="s">
        <v>92</v>
      </c>
      <c r="J300" s="5" t="s">
        <v>92</v>
      </c>
      <c r="K300" s="5" t="s">
        <v>51</v>
      </c>
      <c r="L300" s="6">
        <v>43617</v>
      </c>
      <c r="M300" s="5" t="s">
        <v>21</v>
      </c>
      <c r="N300" s="5" t="s">
        <v>1321</v>
      </c>
    </row>
    <row r="301" spans="1:14" ht="42">
      <c r="A301" s="3">
        <v>295</v>
      </c>
      <c r="B301" s="3" t="str">
        <f>"201900078678"</f>
        <v>201900078678</v>
      </c>
      <c r="C301" s="3" t="str">
        <f>"143352"</f>
        <v>143352</v>
      </c>
      <c r="D301" s="3" t="s">
        <v>1322</v>
      </c>
      <c r="E301" s="3">
        <v>20100968470</v>
      </c>
      <c r="F301" s="3" t="s">
        <v>1323</v>
      </c>
      <c r="G301" s="3" t="s">
        <v>1324</v>
      </c>
      <c r="H301" s="3" t="s">
        <v>92</v>
      </c>
      <c r="I301" s="3" t="s">
        <v>92</v>
      </c>
      <c r="J301" s="3" t="s">
        <v>92</v>
      </c>
      <c r="K301" s="3" t="s">
        <v>97</v>
      </c>
      <c r="L301" s="4">
        <v>43617</v>
      </c>
      <c r="M301" s="3" t="s">
        <v>21</v>
      </c>
      <c r="N301" s="3" t="s">
        <v>1325</v>
      </c>
    </row>
    <row r="302" spans="1:14" ht="13.5">
      <c r="A302" s="5">
        <v>296</v>
      </c>
      <c r="B302" s="5" t="str">
        <f>"201900078678"</f>
        <v>201900078678</v>
      </c>
      <c r="C302" s="5" t="str">
        <f>"143354"</f>
        <v>143354</v>
      </c>
      <c r="D302" s="5" t="s">
        <v>1326</v>
      </c>
      <c r="E302" s="5">
        <v>20453413641</v>
      </c>
      <c r="F302" s="5" t="s">
        <v>1327</v>
      </c>
      <c r="G302" s="5" t="s">
        <v>1328</v>
      </c>
      <c r="H302" s="5" t="s">
        <v>92</v>
      </c>
      <c r="I302" s="5" t="s">
        <v>92</v>
      </c>
      <c r="J302" s="5" t="s">
        <v>92</v>
      </c>
      <c r="K302" s="5" t="s">
        <v>97</v>
      </c>
      <c r="L302" s="6">
        <v>43617</v>
      </c>
      <c r="M302" s="5" t="s">
        <v>21</v>
      </c>
      <c r="N302" s="5" t="s">
        <v>1329</v>
      </c>
    </row>
    <row r="303" spans="1:14" ht="13.5">
      <c r="A303" s="3">
        <v>297</v>
      </c>
      <c r="B303" s="3" t="str">
        <f>"201900078799"</f>
        <v>201900078799</v>
      </c>
      <c r="C303" s="3" t="str">
        <f>"143632"</f>
        <v>143632</v>
      </c>
      <c r="D303" s="3" t="s">
        <v>1330</v>
      </c>
      <c r="E303" s="3">
        <v>20604061106</v>
      </c>
      <c r="F303" s="3" t="s">
        <v>1331</v>
      </c>
      <c r="G303" s="3" t="s">
        <v>1332</v>
      </c>
      <c r="H303" s="3" t="s">
        <v>333</v>
      </c>
      <c r="I303" s="3" t="s">
        <v>333</v>
      </c>
      <c r="J303" s="3" t="s">
        <v>1333</v>
      </c>
      <c r="K303" s="3" t="s">
        <v>51</v>
      </c>
      <c r="L303" s="4">
        <v>43617</v>
      </c>
      <c r="M303" s="3" t="s">
        <v>21</v>
      </c>
      <c r="N303" s="3" t="s">
        <v>1334</v>
      </c>
    </row>
    <row r="304" spans="1:14" ht="13.5">
      <c r="A304" s="5">
        <v>298</v>
      </c>
      <c r="B304" s="5" t="str">
        <f>"201900078803"</f>
        <v>201900078803</v>
      </c>
      <c r="C304" s="5" t="str">
        <f>"143633"</f>
        <v>143633</v>
      </c>
      <c r="D304" s="5" t="s">
        <v>1335</v>
      </c>
      <c r="E304" s="5">
        <v>10156353863</v>
      </c>
      <c r="F304" s="5" t="s">
        <v>1336</v>
      </c>
      <c r="G304" s="5" t="s">
        <v>1337</v>
      </c>
      <c r="H304" s="5" t="s">
        <v>18</v>
      </c>
      <c r="I304" s="5" t="s">
        <v>1338</v>
      </c>
      <c r="J304" s="5" t="s">
        <v>1338</v>
      </c>
      <c r="K304" s="5" t="s">
        <v>97</v>
      </c>
      <c r="L304" s="6">
        <v>43617</v>
      </c>
      <c r="M304" s="5" t="s">
        <v>21</v>
      </c>
      <c r="N304" s="5" t="s">
        <v>1336</v>
      </c>
    </row>
    <row r="305" spans="1:14" ht="13.5">
      <c r="A305" s="3">
        <v>299</v>
      </c>
      <c r="B305" s="3" t="str">
        <f>"201900078678"</f>
        <v>201900078678</v>
      </c>
      <c r="C305" s="3" t="str">
        <f>"143355"</f>
        <v>143355</v>
      </c>
      <c r="D305" s="3" t="s">
        <v>1339</v>
      </c>
      <c r="E305" s="3">
        <v>20453537537</v>
      </c>
      <c r="F305" s="3" t="s">
        <v>1340</v>
      </c>
      <c r="G305" s="3" t="s">
        <v>1341</v>
      </c>
      <c r="H305" s="3" t="s">
        <v>92</v>
      </c>
      <c r="I305" s="3" t="s">
        <v>92</v>
      </c>
      <c r="J305" s="3" t="s">
        <v>92</v>
      </c>
      <c r="K305" s="3" t="s">
        <v>97</v>
      </c>
      <c r="L305" s="4">
        <v>43617</v>
      </c>
      <c r="M305" s="3" t="s">
        <v>21</v>
      </c>
      <c r="N305" s="3" t="s">
        <v>821</v>
      </c>
    </row>
    <row r="306" spans="1:14" ht="13.5">
      <c r="A306" s="5">
        <v>300</v>
      </c>
      <c r="B306" s="5" t="str">
        <f>"201900078678"</f>
        <v>201900078678</v>
      </c>
      <c r="C306" s="5" t="str">
        <f>"143356"</f>
        <v>143356</v>
      </c>
      <c r="D306" s="5" t="s">
        <v>1342</v>
      </c>
      <c r="E306" s="5">
        <v>20453556086</v>
      </c>
      <c r="F306" s="5" t="s">
        <v>1343</v>
      </c>
      <c r="G306" s="5" t="s">
        <v>1344</v>
      </c>
      <c r="H306" s="5" t="s">
        <v>92</v>
      </c>
      <c r="I306" s="5" t="s">
        <v>92</v>
      </c>
      <c r="J306" s="5" t="s">
        <v>92</v>
      </c>
      <c r="K306" s="5" t="s">
        <v>51</v>
      </c>
      <c r="L306" s="6">
        <v>43617</v>
      </c>
      <c r="M306" s="5" t="s">
        <v>21</v>
      </c>
      <c r="N306" s="5" t="s">
        <v>1345</v>
      </c>
    </row>
    <row r="307" spans="1:14" ht="27.75">
      <c r="A307" s="3">
        <v>301</v>
      </c>
      <c r="B307" s="3" t="str">
        <f>"201900078803"</f>
        <v>201900078803</v>
      </c>
      <c r="C307" s="3" t="str">
        <f>"143634"</f>
        <v>143634</v>
      </c>
      <c r="D307" s="3" t="s">
        <v>1346</v>
      </c>
      <c r="E307" s="3">
        <v>20530890202</v>
      </c>
      <c r="F307" s="3" t="s">
        <v>1347</v>
      </c>
      <c r="G307" s="3" t="s">
        <v>1348</v>
      </c>
      <c r="H307" s="3" t="s">
        <v>18</v>
      </c>
      <c r="I307" s="3" t="s">
        <v>1338</v>
      </c>
      <c r="J307" s="3" t="s">
        <v>1338</v>
      </c>
      <c r="K307" s="3" t="s">
        <v>51</v>
      </c>
      <c r="L307" s="4">
        <v>43617</v>
      </c>
      <c r="M307" s="3" t="s">
        <v>21</v>
      </c>
      <c r="N307" s="3" t="s">
        <v>1349</v>
      </c>
    </row>
    <row r="308" spans="1:14" ht="13.5">
      <c r="A308" s="5">
        <v>302</v>
      </c>
      <c r="B308" s="5" t="str">
        <f>"201900078803"</f>
        <v>201900078803</v>
      </c>
      <c r="C308" s="5" t="str">
        <f>"143635"</f>
        <v>143635</v>
      </c>
      <c r="D308" s="5" t="s">
        <v>1350</v>
      </c>
      <c r="E308" s="5">
        <v>10156641222</v>
      </c>
      <c r="F308" s="5" t="s">
        <v>1351</v>
      </c>
      <c r="G308" s="5" t="s">
        <v>1352</v>
      </c>
      <c r="H308" s="5" t="s">
        <v>18</v>
      </c>
      <c r="I308" s="5" t="s">
        <v>1338</v>
      </c>
      <c r="J308" s="5" t="s">
        <v>1353</v>
      </c>
      <c r="K308" s="5" t="s">
        <v>97</v>
      </c>
      <c r="L308" s="6">
        <v>43617</v>
      </c>
      <c r="M308" s="5" t="s">
        <v>21</v>
      </c>
      <c r="N308" s="5" t="s">
        <v>1354</v>
      </c>
    </row>
    <row r="309" spans="1:14" ht="13.5">
      <c r="A309" s="3">
        <v>303</v>
      </c>
      <c r="B309" s="3" t="str">
        <f>"201900108125"</f>
        <v>201900108125</v>
      </c>
      <c r="C309" s="3" t="str">
        <f>"143636"</f>
        <v>143636</v>
      </c>
      <c r="D309" s="3" t="s">
        <v>1355</v>
      </c>
      <c r="E309" s="3">
        <v>20175642341</v>
      </c>
      <c r="F309" s="3" t="s">
        <v>1356</v>
      </c>
      <c r="G309" s="3" t="s">
        <v>1357</v>
      </c>
      <c r="H309" s="3" t="s">
        <v>274</v>
      </c>
      <c r="I309" s="3" t="s">
        <v>274</v>
      </c>
      <c r="J309" s="3" t="s">
        <v>274</v>
      </c>
      <c r="K309" s="3" t="s">
        <v>225</v>
      </c>
      <c r="L309" s="4">
        <v>43656</v>
      </c>
      <c r="M309" s="3" t="s">
        <v>21</v>
      </c>
      <c r="N309" s="3" t="s">
        <v>1358</v>
      </c>
    </row>
    <row r="310" spans="1:14" ht="13.5">
      <c r="A310" s="5">
        <v>304</v>
      </c>
      <c r="B310" s="5" t="str">
        <f>"201900078799"</f>
        <v>201900078799</v>
      </c>
      <c r="C310" s="5" t="str">
        <f>"143627"</f>
        <v>143627</v>
      </c>
      <c r="D310" s="5" t="s">
        <v>1359</v>
      </c>
      <c r="E310" s="5">
        <v>20479744964</v>
      </c>
      <c r="F310" s="5" t="s">
        <v>1360</v>
      </c>
      <c r="G310" s="5" t="s">
        <v>1361</v>
      </c>
      <c r="H310" s="5" t="s">
        <v>333</v>
      </c>
      <c r="I310" s="5" t="s">
        <v>334</v>
      </c>
      <c r="J310" s="5" t="s">
        <v>1362</v>
      </c>
      <c r="K310" s="5" t="s">
        <v>51</v>
      </c>
      <c r="L310" s="6">
        <v>43617</v>
      </c>
      <c r="M310" s="5" t="s">
        <v>21</v>
      </c>
      <c r="N310" s="5" t="s">
        <v>1363</v>
      </c>
    </row>
    <row r="311" spans="1:14" ht="13.5">
      <c r="A311" s="3">
        <v>305</v>
      </c>
      <c r="B311" s="3" t="str">
        <f>"201900078799"</f>
        <v>201900078799</v>
      </c>
      <c r="C311" s="3" t="str">
        <f>"143628"</f>
        <v>143628</v>
      </c>
      <c r="D311" s="3" t="s">
        <v>1364</v>
      </c>
      <c r="E311" s="3">
        <v>20603787405</v>
      </c>
      <c r="F311" s="3" t="s">
        <v>1365</v>
      </c>
      <c r="G311" s="3" t="s">
        <v>1366</v>
      </c>
      <c r="H311" s="3" t="s">
        <v>333</v>
      </c>
      <c r="I311" s="3" t="s">
        <v>334</v>
      </c>
      <c r="J311" s="3" t="s">
        <v>1362</v>
      </c>
      <c r="K311" s="3" t="s">
        <v>51</v>
      </c>
      <c r="L311" s="4">
        <v>43617</v>
      </c>
      <c r="M311" s="3" t="s">
        <v>21</v>
      </c>
      <c r="N311" s="3" t="s">
        <v>1367</v>
      </c>
    </row>
    <row r="312" spans="1:14" ht="13.5">
      <c r="A312" s="5">
        <v>306</v>
      </c>
      <c r="B312" s="5" t="str">
        <f>"201900078799"</f>
        <v>201900078799</v>
      </c>
      <c r="C312" s="5" t="str">
        <f>"143629"</f>
        <v>143629</v>
      </c>
      <c r="D312" s="5" t="s">
        <v>1368</v>
      </c>
      <c r="E312" s="5">
        <v>20369120817</v>
      </c>
      <c r="F312" s="5" t="s">
        <v>1369</v>
      </c>
      <c r="G312" s="5" t="s">
        <v>1370</v>
      </c>
      <c r="H312" s="5" t="s">
        <v>333</v>
      </c>
      <c r="I312" s="5" t="s">
        <v>334</v>
      </c>
      <c r="J312" s="5" t="s">
        <v>1371</v>
      </c>
      <c r="K312" s="5" t="s">
        <v>51</v>
      </c>
      <c r="L312" s="6">
        <v>43617</v>
      </c>
      <c r="M312" s="5" t="s">
        <v>21</v>
      </c>
      <c r="N312" s="5" t="s">
        <v>1372</v>
      </c>
    </row>
    <row r="313" spans="1:14" ht="13.5">
      <c r="A313" s="3">
        <v>307</v>
      </c>
      <c r="B313" s="3" t="str">
        <f>"201900078799"</f>
        <v>201900078799</v>
      </c>
      <c r="C313" s="3" t="str">
        <f>"143630"</f>
        <v>143630</v>
      </c>
      <c r="D313" s="3" t="s">
        <v>1373</v>
      </c>
      <c r="E313" s="3">
        <v>20395953541</v>
      </c>
      <c r="F313" s="3" t="s">
        <v>1374</v>
      </c>
      <c r="G313" s="3" t="s">
        <v>1375</v>
      </c>
      <c r="H313" s="3" t="s">
        <v>333</v>
      </c>
      <c r="I313" s="3" t="s">
        <v>1376</v>
      </c>
      <c r="J313" s="3" t="s">
        <v>1376</v>
      </c>
      <c r="K313" s="3" t="s">
        <v>97</v>
      </c>
      <c r="L313" s="4">
        <v>43617</v>
      </c>
      <c r="M313" s="3" t="s">
        <v>21</v>
      </c>
      <c r="N313" s="3" t="s">
        <v>1377</v>
      </c>
    </row>
    <row r="314" spans="1:14" ht="13.5">
      <c r="A314" s="5">
        <v>308</v>
      </c>
      <c r="B314" s="5" t="str">
        <f>"201900078799"</f>
        <v>201900078799</v>
      </c>
      <c r="C314" s="5" t="str">
        <f>"143631"</f>
        <v>143631</v>
      </c>
      <c r="D314" s="5" t="s">
        <v>1378</v>
      </c>
      <c r="E314" s="5">
        <v>10442689046</v>
      </c>
      <c r="F314" s="5" t="s">
        <v>1379</v>
      </c>
      <c r="G314" s="5" t="s">
        <v>1380</v>
      </c>
      <c r="H314" s="5" t="s">
        <v>333</v>
      </c>
      <c r="I314" s="5" t="s">
        <v>333</v>
      </c>
      <c r="J314" s="5" t="s">
        <v>759</v>
      </c>
      <c r="K314" s="5" t="s">
        <v>51</v>
      </c>
      <c r="L314" s="6">
        <v>43617</v>
      </c>
      <c r="M314" s="5" t="s">
        <v>21</v>
      </c>
      <c r="N314" s="5" t="s">
        <v>1379</v>
      </c>
    </row>
    <row r="315" spans="1:14" ht="111.75">
      <c r="A315" s="3">
        <v>309</v>
      </c>
      <c r="B315" s="3" t="str">
        <f>"202000131840"</f>
        <v>202000131840</v>
      </c>
      <c r="C315" s="3" t="str">
        <f>"151553"</f>
        <v>151553</v>
      </c>
      <c r="D315" s="3" t="s">
        <v>1381</v>
      </c>
      <c r="E315" s="3">
        <v>10412864633</v>
      </c>
      <c r="F315" s="3" t="s">
        <v>1382</v>
      </c>
      <c r="G315" s="3" t="s">
        <v>1383</v>
      </c>
      <c r="H315" s="3" t="s">
        <v>1017</v>
      </c>
      <c r="I315" s="3" t="s">
        <v>1017</v>
      </c>
      <c r="J315" s="3" t="s">
        <v>1017</v>
      </c>
      <c r="K315" s="3" t="s">
        <v>1384</v>
      </c>
      <c r="L315" s="4">
        <v>44103</v>
      </c>
      <c r="M315" s="3" t="s">
        <v>21</v>
      </c>
      <c r="N315" s="3" t="s">
        <v>1385</v>
      </c>
    </row>
    <row r="316" spans="1:14" ht="55.5">
      <c r="A316" s="5">
        <v>310</v>
      </c>
      <c r="B316" s="5" t="str">
        <f>"201900124542"</f>
        <v>201900124542</v>
      </c>
      <c r="C316" s="5" t="str">
        <f>"145087"</f>
        <v>145087</v>
      </c>
      <c r="D316" s="5" t="s">
        <v>1386</v>
      </c>
      <c r="E316" s="5">
        <v>20601087953</v>
      </c>
      <c r="F316" s="5" t="s">
        <v>1387</v>
      </c>
      <c r="G316" s="5" t="s">
        <v>1388</v>
      </c>
      <c r="H316" s="5" t="s">
        <v>18</v>
      </c>
      <c r="I316" s="5" t="s">
        <v>18</v>
      </c>
      <c r="J316" s="5" t="s">
        <v>41</v>
      </c>
      <c r="K316" s="5" t="s">
        <v>1389</v>
      </c>
      <c r="L316" s="6">
        <v>43690</v>
      </c>
      <c r="M316" s="5" t="s">
        <v>21</v>
      </c>
      <c r="N316" s="5" t="s">
        <v>1390</v>
      </c>
    </row>
    <row r="317" spans="1:14" ht="13.5">
      <c r="A317" s="3">
        <v>311</v>
      </c>
      <c r="B317" s="3" t="str">
        <f>"201900115896"</f>
        <v>201900115896</v>
      </c>
      <c r="C317" s="3" t="str">
        <f>"145298"</f>
        <v>145298</v>
      </c>
      <c r="D317" s="3" t="s">
        <v>1391</v>
      </c>
      <c r="E317" s="3">
        <v>20454722567</v>
      </c>
      <c r="F317" s="3" t="s">
        <v>1392</v>
      </c>
      <c r="G317" s="3" t="s">
        <v>1393</v>
      </c>
      <c r="H317" s="3" t="s">
        <v>253</v>
      </c>
      <c r="I317" s="3" t="s">
        <v>253</v>
      </c>
      <c r="J317" s="3" t="s">
        <v>253</v>
      </c>
      <c r="K317" s="3" t="s">
        <v>51</v>
      </c>
      <c r="L317" s="4">
        <v>43670</v>
      </c>
      <c r="M317" s="3" t="s">
        <v>21</v>
      </c>
      <c r="N317" s="3" t="s">
        <v>1394</v>
      </c>
    </row>
    <row r="318" spans="1:14" ht="125.25">
      <c r="A318" s="5">
        <v>312</v>
      </c>
      <c r="B318" s="5" t="str">
        <f>"202000132623"</f>
        <v>202000132623</v>
      </c>
      <c r="C318" s="5" t="str">
        <f>"151554"</f>
        <v>151554</v>
      </c>
      <c r="D318" s="5" t="s">
        <v>1395</v>
      </c>
      <c r="E318" s="5">
        <v>20603103182</v>
      </c>
      <c r="F318" s="5" t="s">
        <v>1396</v>
      </c>
      <c r="G318" s="5" t="s">
        <v>1397</v>
      </c>
      <c r="H318" s="5" t="s">
        <v>1017</v>
      </c>
      <c r="I318" s="5" t="s">
        <v>1017</v>
      </c>
      <c r="J318" s="5" t="s">
        <v>1017</v>
      </c>
      <c r="K318" s="5" t="s">
        <v>1398</v>
      </c>
      <c r="L318" s="6">
        <v>44103</v>
      </c>
      <c r="M318" s="5" t="s">
        <v>21</v>
      </c>
      <c r="N318" s="5" t="s">
        <v>1399</v>
      </c>
    </row>
    <row r="319" spans="1:14" ht="27.75">
      <c r="A319" s="3">
        <v>313</v>
      </c>
      <c r="B319" s="3" t="str">
        <f aca="true" t="shared" si="5" ref="B319:B324">"201900078665"</f>
        <v>201900078665</v>
      </c>
      <c r="C319" s="3" t="str">
        <f>"143342"</f>
        <v>143342</v>
      </c>
      <c r="D319" s="3" t="s">
        <v>1400</v>
      </c>
      <c r="E319" s="3">
        <v>20600748247</v>
      </c>
      <c r="F319" s="3" t="s">
        <v>1401</v>
      </c>
      <c r="G319" s="3" t="s">
        <v>1402</v>
      </c>
      <c r="H319" s="3" t="s">
        <v>253</v>
      </c>
      <c r="I319" s="3" t="s">
        <v>1216</v>
      </c>
      <c r="J319" s="3" t="s">
        <v>1217</v>
      </c>
      <c r="K319" s="3" t="s">
        <v>36</v>
      </c>
      <c r="L319" s="4">
        <v>43617</v>
      </c>
      <c r="M319" s="3" t="s">
        <v>21</v>
      </c>
      <c r="N319" s="3" t="s">
        <v>1403</v>
      </c>
    </row>
    <row r="320" spans="1:14" ht="13.5">
      <c r="A320" s="5">
        <v>314</v>
      </c>
      <c r="B320" s="5" t="str">
        <f t="shared" si="5"/>
        <v>201900078665</v>
      </c>
      <c r="C320" s="5" t="str">
        <f>"143341"</f>
        <v>143341</v>
      </c>
      <c r="D320" s="5" t="s">
        <v>1404</v>
      </c>
      <c r="E320" s="5">
        <v>20456161775</v>
      </c>
      <c r="F320" s="5" t="s">
        <v>1405</v>
      </c>
      <c r="G320" s="5" t="s">
        <v>1406</v>
      </c>
      <c r="H320" s="5" t="s">
        <v>253</v>
      </c>
      <c r="I320" s="5" t="s">
        <v>1316</v>
      </c>
      <c r="J320" s="5" t="s">
        <v>1407</v>
      </c>
      <c r="K320" s="5" t="s">
        <v>51</v>
      </c>
      <c r="L320" s="6">
        <v>43617</v>
      </c>
      <c r="M320" s="5" t="s">
        <v>21</v>
      </c>
      <c r="N320" s="5" t="s">
        <v>1408</v>
      </c>
    </row>
    <row r="321" spans="1:14" ht="27.75">
      <c r="A321" s="3">
        <v>315</v>
      </c>
      <c r="B321" s="3" t="str">
        <f t="shared" si="5"/>
        <v>201900078665</v>
      </c>
      <c r="C321" s="3" t="str">
        <f>"143340"</f>
        <v>143340</v>
      </c>
      <c r="D321" s="3" t="s">
        <v>1409</v>
      </c>
      <c r="E321" s="3">
        <v>20454442793</v>
      </c>
      <c r="F321" s="3" t="s">
        <v>1410</v>
      </c>
      <c r="G321" s="3" t="s">
        <v>1411</v>
      </c>
      <c r="H321" s="3" t="s">
        <v>253</v>
      </c>
      <c r="I321" s="3" t="s">
        <v>1412</v>
      </c>
      <c r="J321" s="3" t="s">
        <v>1413</v>
      </c>
      <c r="K321" s="3" t="s">
        <v>36</v>
      </c>
      <c r="L321" s="4">
        <v>43617</v>
      </c>
      <c r="M321" s="3" t="s">
        <v>21</v>
      </c>
      <c r="N321" s="3" t="s">
        <v>1414</v>
      </c>
    </row>
    <row r="322" spans="1:14" ht="27.75">
      <c r="A322" s="5">
        <v>316</v>
      </c>
      <c r="B322" s="5" t="str">
        <f t="shared" si="5"/>
        <v>201900078665</v>
      </c>
      <c r="C322" s="5" t="str">
        <f>"143339"</f>
        <v>143339</v>
      </c>
      <c r="D322" s="5" t="s">
        <v>1415</v>
      </c>
      <c r="E322" s="5">
        <v>20498053905</v>
      </c>
      <c r="F322" s="5" t="s">
        <v>1416</v>
      </c>
      <c r="G322" s="5" t="s">
        <v>1417</v>
      </c>
      <c r="H322" s="5" t="s">
        <v>253</v>
      </c>
      <c r="I322" s="5" t="s">
        <v>1412</v>
      </c>
      <c r="J322" s="5" t="s">
        <v>1418</v>
      </c>
      <c r="K322" s="5" t="s">
        <v>97</v>
      </c>
      <c r="L322" s="6">
        <v>43617</v>
      </c>
      <c r="M322" s="5" t="s">
        <v>21</v>
      </c>
      <c r="N322" s="5" t="s">
        <v>1419</v>
      </c>
    </row>
    <row r="323" spans="1:14" ht="13.5">
      <c r="A323" s="3">
        <v>317</v>
      </c>
      <c r="B323" s="3" t="str">
        <f t="shared" si="5"/>
        <v>201900078665</v>
      </c>
      <c r="C323" s="3" t="str">
        <f>"143338"</f>
        <v>143338</v>
      </c>
      <c r="D323" s="3" t="s">
        <v>1420</v>
      </c>
      <c r="E323" s="3">
        <v>20163636183</v>
      </c>
      <c r="F323" s="3" t="s">
        <v>1421</v>
      </c>
      <c r="G323" s="3" t="s">
        <v>1422</v>
      </c>
      <c r="H323" s="3" t="s">
        <v>253</v>
      </c>
      <c r="I323" s="3" t="s">
        <v>1423</v>
      </c>
      <c r="J323" s="3" t="s">
        <v>1424</v>
      </c>
      <c r="K323" s="3" t="s">
        <v>36</v>
      </c>
      <c r="L323" s="4">
        <v>43617</v>
      </c>
      <c r="M323" s="3" t="s">
        <v>21</v>
      </c>
      <c r="N323" s="3" t="s">
        <v>1425</v>
      </c>
    </row>
    <row r="324" spans="1:14" ht="13.5">
      <c r="A324" s="5">
        <v>318</v>
      </c>
      <c r="B324" s="5" t="str">
        <f t="shared" si="5"/>
        <v>201900078665</v>
      </c>
      <c r="C324" s="5" t="str">
        <f>"143337"</f>
        <v>143337</v>
      </c>
      <c r="D324" s="5" t="s">
        <v>1426</v>
      </c>
      <c r="E324" s="5">
        <v>10466176945</v>
      </c>
      <c r="F324" s="5" t="s">
        <v>1427</v>
      </c>
      <c r="G324" s="5" t="s">
        <v>1428</v>
      </c>
      <c r="H324" s="5" t="s">
        <v>253</v>
      </c>
      <c r="I324" s="5" t="s">
        <v>1423</v>
      </c>
      <c r="J324" s="5" t="s">
        <v>1429</v>
      </c>
      <c r="K324" s="5" t="s">
        <v>51</v>
      </c>
      <c r="L324" s="6">
        <v>43617</v>
      </c>
      <c r="M324" s="5" t="s">
        <v>21</v>
      </c>
      <c r="N324" s="5" t="s">
        <v>1427</v>
      </c>
    </row>
    <row r="325" spans="1:14" ht="42">
      <c r="A325" s="3">
        <v>319</v>
      </c>
      <c r="B325" s="3" t="str">
        <f>"202000115554"</f>
        <v>202000115554</v>
      </c>
      <c r="C325" s="3" t="str">
        <f>"150949"</f>
        <v>150949</v>
      </c>
      <c r="D325" s="3" t="s">
        <v>1430</v>
      </c>
      <c r="E325" s="3">
        <v>20605074708</v>
      </c>
      <c r="F325" s="3" t="s">
        <v>1431</v>
      </c>
      <c r="G325" s="3" t="s">
        <v>1432</v>
      </c>
      <c r="H325" s="3" t="s">
        <v>18</v>
      </c>
      <c r="I325" s="3" t="s">
        <v>18</v>
      </c>
      <c r="J325" s="3" t="s">
        <v>242</v>
      </c>
      <c r="K325" s="3" t="s">
        <v>42</v>
      </c>
      <c r="L325" s="4">
        <v>44082</v>
      </c>
      <c r="M325" s="3" t="s">
        <v>21</v>
      </c>
      <c r="N325" s="3" t="s">
        <v>1433</v>
      </c>
    </row>
    <row r="326" spans="1:14" ht="27.75">
      <c r="A326" s="5">
        <v>320</v>
      </c>
      <c r="B326" s="5" t="str">
        <f>"201900078799"</f>
        <v>201900078799</v>
      </c>
      <c r="C326" s="5" t="str">
        <f>"143625"</f>
        <v>143625</v>
      </c>
      <c r="D326" s="5" t="s">
        <v>1434</v>
      </c>
      <c r="E326" s="5">
        <v>20509586986</v>
      </c>
      <c r="F326" s="5" t="s">
        <v>1435</v>
      </c>
      <c r="G326" s="5" t="s">
        <v>1436</v>
      </c>
      <c r="H326" s="5" t="s">
        <v>333</v>
      </c>
      <c r="I326" s="5" t="s">
        <v>334</v>
      </c>
      <c r="J326" s="5" t="s">
        <v>1437</v>
      </c>
      <c r="K326" s="5" t="s">
        <v>51</v>
      </c>
      <c r="L326" s="6">
        <v>43617</v>
      </c>
      <c r="M326" s="5" t="s">
        <v>21</v>
      </c>
      <c r="N326" s="5" t="s">
        <v>1438</v>
      </c>
    </row>
    <row r="327" spans="1:14" ht="13.5">
      <c r="A327" s="3">
        <v>321</v>
      </c>
      <c r="B327" s="3" t="str">
        <f>"201900078799"</f>
        <v>201900078799</v>
      </c>
      <c r="C327" s="3" t="str">
        <f>"143626"</f>
        <v>143626</v>
      </c>
      <c r="D327" s="3" t="s">
        <v>1439</v>
      </c>
      <c r="E327" s="3">
        <v>20480751427</v>
      </c>
      <c r="F327" s="3" t="s">
        <v>1440</v>
      </c>
      <c r="G327" s="3" t="s">
        <v>1441</v>
      </c>
      <c r="H327" s="3" t="s">
        <v>333</v>
      </c>
      <c r="I327" s="3" t="s">
        <v>334</v>
      </c>
      <c r="J327" s="3" t="s">
        <v>1442</v>
      </c>
      <c r="K327" s="3" t="s">
        <v>97</v>
      </c>
      <c r="L327" s="4">
        <v>43617</v>
      </c>
      <c r="M327" s="3" t="s">
        <v>21</v>
      </c>
      <c r="N327" s="3" t="s">
        <v>1443</v>
      </c>
    </row>
    <row r="328" spans="1:14" ht="27.75">
      <c r="A328" s="5">
        <v>322</v>
      </c>
      <c r="B328" s="5" t="str">
        <f>"201900078799"</f>
        <v>201900078799</v>
      </c>
      <c r="C328" s="5" t="str">
        <f>"143623"</f>
        <v>143623</v>
      </c>
      <c r="D328" s="5" t="s">
        <v>1444</v>
      </c>
      <c r="E328" s="5">
        <v>10164632461</v>
      </c>
      <c r="F328" s="5" t="s">
        <v>1445</v>
      </c>
      <c r="G328" s="5" t="s">
        <v>1446</v>
      </c>
      <c r="H328" s="5" t="s">
        <v>333</v>
      </c>
      <c r="I328" s="5" t="s">
        <v>334</v>
      </c>
      <c r="J328" s="5" t="s">
        <v>1447</v>
      </c>
      <c r="K328" s="5" t="s">
        <v>1448</v>
      </c>
      <c r="L328" s="6">
        <v>43617</v>
      </c>
      <c r="M328" s="5" t="s">
        <v>21</v>
      </c>
      <c r="N328" s="5" t="s">
        <v>1449</v>
      </c>
    </row>
    <row r="329" spans="1:14" ht="13.5">
      <c r="A329" s="3">
        <v>323</v>
      </c>
      <c r="B329" s="3" t="str">
        <f>"201900078672"</f>
        <v>201900078672</v>
      </c>
      <c r="C329" s="3" t="str">
        <f>"143345"</f>
        <v>143345</v>
      </c>
      <c r="D329" s="3" t="s">
        <v>1450</v>
      </c>
      <c r="E329" s="3">
        <v>10282707069</v>
      </c>
      <c r="F329" s="3" t="s">
        <v>1451</v>
      </c>
      <c r="G329" s="3" t="s">
        <v>1452</v>
      </c>
      <c r="H329" s="3" t="s">
        <v>793</v>
      </c>
      <c r="I329" s="3" t="s">
        <v>1453</v>
      </c>
      <c r="J329" s="3" t="s">
        <v>793</v>
      </c>
      <c r="K329" s="3" t="s">
        <v>97</v>
      </c>
      <c r="L329" s="4">
        <v>43617</v>
      </c>
      <c r="M329" s="3" t="s">
        <v>21</v>
      </c>
      <c r="N329" s="3" t="s">
        <v>1451</v>
      </c>
    </row>
    <row r="330" spans="1:14" ht="13.5">
      <c r="A330" s="5">
        <v>324</v>
      </c>
      <c r="B330" s="5" t="str">
        <f>"201900078672"</f>
        <v>201900078672</v>
      </c>
      <c r="C330" s="5" t="str">
        <f>"143346"</f>
        <v>143346</v>
      </c>
      <c r="D330" s="5" t="s">
        <v>1454</v>
      </c>
      <c r="E330" s="5">
        <v>10406994134</v>
      </c>
      <c r="F330" s="5" t="s">
        <v>1455</v>
      </c>
      <c r="G330" s="5" t="s">
        <v>1456</v>
      </c>
      <c r="H330" s="5" t="s">
        <v>793</v>
      </c>
      <c r="I330" s="5" t="s">
        <v>1453</v>
      </c>
      <c r="J330" s="5" t="s">
        <v>793</v>
      </c>
      <c r="K330" s="5" t="s">
        <v>51</v>
      </c>
      <c r="L330" s="6">
        <v>43617</v>
      </c>
      <c r="M330" s="5" t="s">
        <v>21</v>
      </c>
      <c r="N330" s="5" t="s">
        <v>1455</v>
      </c>
    </row>
    <row r="331" spans="1:14" ht="13.5">
      <c r="A331" s="3">
        <v>325</v>
      </c>
      <c r="B331" s="3" t="str">
        <f>"201900078799"</f>
        <v>201900078799</v>
      </c>
      <c r="C331" s="3" t="str">
        <f>"143624"</f>
        <v>143624</v>
      </c>
      <c r="D331" s="3" t="s">
        <v>1457</v>
      </c>
      <c r="E331" s="3">
        <v>20487992217</v>
      </c>
      <c r="F331" s="3" t="s">
        <v>1458</v>
      </c>
      <c r="G331" s="3" t="s">
        <v>1459</v>
      </c>
      <c r="H331" s="3" t="s">
        <v>333</v>
      </c>
      <c r="I331" s="3" t="s">
        <v>334</v>
      </c>
      <c r="J331" s="3" t="s">
        <v>1437</v>
      </c>
      <c r="K331" s="3" t="s">
        <v>51</v>
      </c>
      <c r="L331" s="4">
        <v>43617</v>
      </c>
      <c r="M331" s="3" t="s">
        <v>21</v>
      </c>
      <c r="N331" s="3" t="s">
        <v>1460</v>
      </c>
    </row>
    <row r="332" spans="1:14" ht="42">
      <c r="A332" s="5">
        <v>326</v>
      </c>
      <c r="B332" s="5" t="str">
        <f>"201900078799"</f>
        <v>201900078799</v>
      </c>
      <c r="C332" s="5" t="str">
        <f>"143621"</f>
        <v>143621</v>
      </c>
      <c r="D332" s="5" t="s">
        <v>1461</v>
      </c>
      <c r="E332" s="5">
        <v>20505064799</v>
      </c>
      <c r="F332" s="5" t="s">
        <v>1462</v>
      </c>
      <c r="G332" s="5" t="s">
        <v>1463</v>
      </c>
      <c r="H332" s="5" t="s">
        <v>333</v>
      </c>
      <c r="I332" s="5" t="s">
        <v>334</v>
      </c>
      <c r="J332" s="5" t="s">
        <v>1464</v>
      </c>
      <c r="K332" s="5" t="s">
        <v>42</v>
      </c>
      <c r="L332" s="6">
        <v>43617</v>
      </c>
      <c r="M332" s="5" t="s">
        <v>21</v>
      </c>
      <c r="N332" s="5" t="s">
        <v>1465</v>
      </c>
    </row>
    <row r="333" spans="1:14" ht="13.5">
      <c r="A333" s="3">
        <v>327</v>
      </c>
      <c r="B333" s="3" t="str">
        <f>"201900078665"</f>
        <v>201900078665</v>
      </c>
      <c r="C333" s="3" t="str">
        <f>"143343"</f>
        <v>143343</v>
      </c>
      <c r="D333" s="3" t="s">
        <v>1466</v>
      </c>
      <c r="E333" s="3">
        <v>10295549187</v>
      </c>
      <c r="F333" s="3" t="s">
        <v>1467</v>
      </c>
      <c r="G333" s="3" t="s">
        <v>1468</v>
      </c>
      <c r="H333" s="3" t="s">
        <v>253</v>
      </c>
      <c r="I333" s="3" t="s">
        <v>1216</v>
      </c>
      <c r="J333" s="3" t="s">
        <v>1469</v>
      </c>
      <c r="K333" s="3" t="s">
        <v>51</v>
      </c>
      <c r="L333" s="4">
        <v>43617</v>
      </c>
      <c r="M333" s="3" t="s">
        <v>21</v>
      </c>
      <c r="N333" s="3" t="s">
        <v>1467</v>
      </c>
    </row>
    <row r="334" spans="1:14" ht="55.5">
      <c r="A334" s="5">
        <v>328</v>
      </c>
      <c r="B334" s="5" t="str">
        <f>"201900137656"</f>
        <v>201900137656</v>
      </c>
      <c r="C334" s="5" t="str">
        <f>"143622"</f>
        <v>143622</v>
      </c>
      <c r="D334" s="5" t="s">
        <v>1470</v>
      </c>
      <c r="E334" s="5">
        <v>20603260237</v>
      </c>
      <c r="F334" s="5" t="s">
        <v>1471</v>
      </c>
      <c r="G334" s="5" t="s">
        <v>1472</v>
      </c>
      <c r="H334" s="5" t="s">
        <v>274</v>
      </c>
      <c r="I334" s="5" t="s">
        <v>1473</v>
      </c>
      <c r="J334" s="5" t="s">
        <v>1473</v>
      </c>
      <c r="K334" s="5" t="s">
        <v>1474</v>
      </c>
      <c r="L334" s="6">
        <v>43705</v>
      </c>
      <c r="M334" s="5" t="s">
        <v>21</v>
      </c>
      <c r="N334" s="5" t="s">
        <v>1475</v>
      </c>
    </row>
    <row r="335" spans="1:14" ht="27.75">
      <c r="A335" s="3">
        <v>329</v>
      </c>
      <c r="B335" s="3" t="str">
        <f>"201900078672"</f>
        <v>201900078672</v>
      </c>
      <c r="C335" s="3" t="str">
        <f>"143344"</f>
        <v>143344</v>
      </c>
      <c r="D335" s="3" t="s">
        <v>1476</v>
      </c>
      <c r="E335" s="3">
        <v>20600331435</v>
      </c>
      <c r="F335" s="3" t="s">
        <v>1477</v>
      </c>
      <c r="G335" s="3" t="s">
        <v>1478</v>
      </c>
      <c r="H335" s="3" t="s">
        <v>793</v>
      </c>
      <c r="I335" s="3" t="s">
        <v>1479</v>
      </c>
      <c r="J335" s="3" t="s">
        <v>1480</v>
      </c>
      <c r="K335" s="3" t="s">
        <v>51</v>
      </c>
      <c r="L335" s="4">
        <v>43617</v>
      </c>
      <c r="M335" s="3" t="s">
        <v>21</v>
      </c>
      <c r="N335" s="3" t="s">
        <v>1481</v>
      </c>
    </row>
    <row r="336" spans="1:14" ht="27.75">
      <c r="A336" s="5">
        <v>330</v>
      </c>
      <c r="B336" s="5" t="str">
        <f>"201900078799"</f>
        <v>201900078799</v>
      </c>
      <c r="C336" s="5" t="str">
        <f>"143619"</f>
        <v>143619</v>
      </c>
      <c r="D336" s="5" t="s">
        <v>1482</v>
      </c>
      <c r="E336" s="5">
        <v>20479942413</v>
      </c>
      <c r="F336" s="5" t="s">
        <v>1483</v>
      </c>
      <c r="G336" s="5" t="s">
        <v>1484</v>
      </c>
      <c r="H336" s="5" t="s">
        <v>333</v>
      </c>
      <c r="I336" s="5" t="s">
        <v>334</v>
      </c>
      <c r="J336" s="5" t="s">
        <v>1464</v>
      </c>
      <c r="K336" s="5" t="s">
        <v>443</v>
      </c>
      <c r="L336" s="6">
        <v>43617</v>
      </c>
      <c r="M336" s="5" t="s">
        <v>21</v>
      </c>
      <c r="N336" s="5" t="s">
        <v>1485</v>
      </c>
    </row>
    <row r="337" spans="1:14" ht="97.5">
      <c r="A337" s="3">
        <v>331</v>
      </c>
      <c r="B337" s="3" t="str">
        <f>"201900106332"</f>
        <v>201900106332</v>
      </c>
      <c r="C337" s="3" t="str">
        <f>"143620"</f>
        <v>143620</v>
      </c>
      <c r="D337" s="3" t="s">
        <v>1486</v>
      </c>
      <c r="E337" s="3">
        <v>20480404387</v>
      </c>
      <c r="F337" s="3" t="s">
        <v>1487</v>
      </c>
      <c r="G337" s="3" t="s">
        <v>1488</v>
      </c>
      <c r="H337" s="3" t="s">
        <v>333</v>
      </c>
      <c r="I337" s="3" t="s">
        <v>334</v>
      </c>
      <c r="J337" s="3" t="s">
        <v>1464</v>
      </c>
      <c r="K337" s="3" t="s">
        <v>1489</v>
      </c>
      <c r="L337" s="4">
        <v>43651</v>
      </c>
      <c r="M337" s="3" t="s">
        <v>21</v>
      </c>
      <c r="N337" s="3" t="s">
        <v>1490</v>
      </c>
    </row>
    <row r="338" spans="1:14" ht="13.5">
      <c r="A338" s="5">
        <v>332</v>
      </c>
      <c r="B338" s="5" t="str">
        <f>"201900078799"</f>
        <v>201900078799</v>
      </c>
      <c r="C338" s="5" t="str">
        <f>"143617"</f>
        <v>143617</v>
      </c>
      <c r="D338" s="5" t="s">
        <v>1491</v>
      </c>
      <c r="E338" s="5">
        <v>20348938704</v>
      </c>
      <c r="F338" s="5" t="s">
        <v>1492</v>
      </c>
      <c r="G338" s="5" t="s">
        <v>1463</v>
      </c>
      <c r="H338" s="5" t="s">
        <v>333</v>
      </c>
      <c r="I338" s="5" t="s">
        <v>334</v>
      </c>
      <c r="J338" s="5" t="s">
        <v>1464</v>
      </c>
      <c r="K338" s="5" t="s">
        <v>51</v>
      </c>
      <c r="L338" s="6">
        <v>43617</v>
      </c>
      <c r="M338" s="5" t="s">
        <v>21</v>
      </c>
      <c r="N338" s="5" t="s">
        <v>1493</v>
      </c>
    </row>
    <row r="339" spans="1:14" ht="13.5">
      <c r="A339" s="3">
        <v>333</v>
      </c>
      <c r="B339" s="3" t="str">
        <f>"201900078799"</f>
        <v>201900078799</v>
      </c>
      <c r="C339" s="3" t="str">
        <f>"143618"</f>
        <v>143618</v>
      </c>
      <c r="D339" s="3" t="s">
        <v>1494</v>
      </c>
      <c r="E339" s="3">
        <v>20450162346</v>
      </c>
      <c r="F339" s="3" t="s">
        <v>1495</v>
      </c>
      <c r="G339" s="3" t="s">
        <v>1463</v>
      </c>
      <c r="H339" s="3" t="s">
        <v>333</v>
      </c>
      <c r="I339" s="3" t="s">
        <v>334</v>
      </c>
      <c r="J339" s="3" t="s">
        <v>1464</v>
      </c>
      <c r="K339" s="3" t="s">
        <v>51</v>
      </c>
      <c r="L339" s="4">
        <v>43617</v>
      </c>
      <c r="M339" s="3" t="s">
        <v>21</v>
      </c>
      <c r="N339" s="3" t="s">
        <v>1496</v>
      </c>
    </row>
    <row r="340" spans="1:14" ht="42">
      <c r="A340" s="5">
        <v>334</v>
      </c>
      <c r="B340" s="5" t="str">
        <f>"202000033559"</f>
        <v>202000033559</v>
      </c>
      <c r="C340" s="5" t="str">
        <f>"149330"</f>
        <v>149330</v>
      </c>
      <c r="D340" s="5" t="s">
        <v>1497</v>
      </c>
      <c r="E340" s="5">
        <v>20604349142</v>
      </c>
      <c r="F340" s="5" t="s">
        <v>1498</v>
      </c>
      <c r="G340" s="5" t="s">
        <v>1499</v>
      </c>
      <c r="H340" s="5" t="s">
        <v>932</v>
      </c>
      <c r="I340" s="5" t="s">
        <v>1242</v>
      </c>
      <c r="J340" s="5" t="s">
        <v>1500</v>
      </c>
      <c r="K340" s="5" t="s">
        <v>1100</v>
      </c>
      <c r="L340" s="6">
        <v>43885</v>
      </c>
      <c r="M340" s="5" t="s">
        <v>21</v>
      </c>
      <c r="N340" s="5" t="s">
        <v>1501</v>
      </c>
    </row>
    <row r="341" spans="1:14" ht="111.75">
      <c r="A341" s="3">
        <v>335</v>
      </c>
      <c r="B341" s="3" t="str">
        <f>"202000135401"</f>
        <v>202000135401</v>
      </c>
      <c r="C341" s="3" t="str">
        <f>"151704"</f>
        <v>151704</v>
      </c>
      <c r="D341" s="3" t="s">
        <v>1502</v>
      </c>
      <c r="E341" s="3">
        <v>10040831482</v>
      </c>
      <c r="F341" s="3" t="s">
        <v>1503</v>
      </c>
      <c r="G341" s="3" t="s">
        <v>1504</v>
      </c>
      <c r="H341" s="3" t="s">
        <v>215</v>
      </c>
      <c r="I341" s="3" t="s">
        <v>215</v>
      </c>
      <c r="J341" s="3" t="s">
        <v>1505</v>
      </c>
      <c r="K341" s="3" t="s">
        <v>1506</v>
      </c>
      <c r="L341" s="4">
        <v>44113</v>
      </c>
      <c r="M341" s="3" t="s">
        <v>21</v>
      </c>
      <c r="N341" s="3" t="s">
        <v>1503</v>
      </c>
    </row>
    <row r="342" spans="1:14" ht="13.5">
      <c r="A342" s="5">
        <v>336</v>
      </c>
      <c r="B342" s="5" t="str">
        <f>"201900134497"</f>
        <v>201900134497</v>
      </c>
      <c r="C342" s="5" t="str">
        <f>"145980"</f>
        <v>145980</v>
      </c>
      <c r="D342" s="5" t="s">
        <v>1507</v>
      </c>
      <c r="E342" s="5">
        <v>20450948986</v>
      </c>
      <c r="F342" s="5" t="s">
        <v>1508</v>
      </c>
      <c r="G342" s="5" t="s">
        <v>1509</v>
      </c>
      <c r="H342" s="5" t="s">
        <v>85</v>
      </c>
      <c r="I342" s="5" t="s">
        <v>197</v>
      </c>
      <c r="J342" s="5" t="s">
        <v>498</v>
      </c>
      <c r="K342" s="5" t="s">
        <v>97</v>
      </c>
      <c r="L342" s="6">
        <v>43697</v>
      </c>
      <c r="M342" s="5" t="s">
        <v>21</v>
      </c>
      <c r="N342" s="5" t="s">
        <v>1510</v>
      </c>
    </row>
    <row r="343" spans="1:14" ht="42">
      <c r="A343" s="3">
        <v>337</v>
      </c>
      <c r="B343" s="3" t="str">
        <f>"202000115169"</f>
        <v>202000115169</v>
      </c>
      <c r="C343" s="3" t="str">
        <f>"150960"</f>
        <v>150960</v>
      </c>
      <c r="D343" s="3" t="s">
        <v>1511</v>
      </c>
      <c r="E343" s="3">
        <v>20547966768</v>
      </c>
      <c r="F343" s="3" t="s">
        <v>1512</v>
      </c>
      <c r="G343" s="3" t="s">
        <v>1513</v>
      </c>
      <c r="H343" s="3" t="s">
        <v>18</v>
      </c>
      <c r="I343" s="3" t="s">
        <v>18</v>
      </c>
      <c r="J343" s="3" t="s">
        <v>1514</v>
      </c>
      <c r="K343" s="3" t="s">
        <v>718</v>
      </c>
      <c r="L343" s="4">
        <v>44080</v>
      </c>
      <c r="M343" s="3" t="s">
        <v>21</v>
      </c>
      <c r="N343" s="3" t="s">
        <v>1515</v>
      </c>
    </row>
    <row r="344" spans="1:14" ht="13.5">
      <c r="A344" s="5">
        <v>338</v>
      </c>
      <c r="B344" s="5" t="str">
        <f>"201900134493"</f>
        <v>201900134493</v>
      </c>
      <c r="C344" s="5" t="str">
        <f>"145981"</f>
        <v>145981</v>
      </c>
      <c r="D344" s="5" t="s">
        <v>1516</v>
      </c>
      <c r="E344" s="5">
        <v>20541251945</v>
      </c>
      <c r="F344" s="5" t="s">
        <v>1517</v>
      </c>
      <c r="G344" s="5" t="s">
        <v>1509</v>
      </c>
      <c r="H344" s="5" t="s">
        <v>85</v>
      </c>
      <c r="I344" s="5" t="s">
        <v>197</v>
      </c>
      <c r="J344" s="5" t="s">
        <v>498</v>
      </c>
      <c r="K344" s="5" t="s">
        <v>97</v>
      </c>
      <c r="L344" s="6">
        <v>43703</v>
      </c>
      <c r="M344" s="5" t="s">
        <v>21</v>
      </c>
      <c r="N344" s="5" t="s">
        <v>1518</v>
      </c>
    </row>
    <row r="345" spans="1:14" ht="69.75">
      <c r="A345" s="3">
        <v>339</v>
      </c>
      <c r="B345" s="3" t="str">
        <f>"202000137236"</f>
        <v>202000137236</v>
      </c>
      <c r="C345" s="3" t="str">
        <f>"151698"</f>
        <v>151698</v>
      </c>
      <c r="D345" s="3" t="s">
        <v>1519</v>
      </c>
      <c r="E345" s="3">
        <v>20606448334</v>
      </c>
      <c r="F345" s="3" t="s">
        <v>1520</v>
      </c>
      <c r="G345" s="3" t="s">
        <v>1521</v>
      </c>
      <c r="H345" s="3" t="s">
        <v>253</v>
      </c>
      <c r="I345" s="3" t="s">
        <v>253</v>
      </c>
      <c r="J345" s="3" t="s">
        <v>969</v>
      </c>
      <c r="K345" s="3" t="s">
        <v>1522</v>
      </c>
      <c r="L345" s="4">
        <v>44121</v>
      </c>
      <c r="M345" s="3" t="s">
        <v>21</v>
      </c>
      <c r="N345" s="3" t="s">
        <v>1523</v>
      </c>
    </row>
    <row r="346" spans="1:14" ht="55.5">
      <c r="A346" s="5">
        <v>340</v>
      </c>
      <c r="B346" s="5" t="str">
        <f>"201900078799"</f>
        <v>201900078799</v>
      </c>
      <c r="C346" s="5" t="str">
        <f>"143614"</f>
        <v>143614</v>
      </c>
      <c r="D346" s="5" t="s">
        <v>1524</v>
      </c>
      <c r="E346" s="5">
        <v>10166560662</v>
      </c>
      <c r="F346" s="5" t="s">
        <v>1525</v>
      </c>
      <c r="G346" s="5" t="s">
        <v>1526</v>
      </c>
      <c r="H346" s="5" t="s">
        <v>333</v>
      </c>
      <c r="I346" s="5" t="s">
        <v>334</v>
      </c>
      <c r="J346" s="5" t="s">
        <v>1464</v>
      </c>
      <c r="K346" s="5" t="s">
        <v>1527</v>
      </c>
      <c r="L346" s="6">
        <v>43617</v>
      </c>
      <c r="M346" s="5" t="s">
        <v>21</v>
      </c>
      <c r="N346" s="5" t="s">
        <v>1525</v>
      </c>
    </row>
    <row r="347" spans="1:14" ht="27.75">
      <c r="A347" s="3">
        <v>341</v>
      </c>
      <c r="B347" s="3" t="str">
        <f>"201900078799"</f>
        <v>201900078799</v>
      </c>
      <c r="C347" s="3" t="str">
        <f>"143615"</f>
        <v>143615</v>
      </c>
      <c r="D347" s="3" t="s">
        <v>1528</v>
      </c>
      <c r="E347" s="3">
        <v>10167726815</v>
      </c>
      <c r="F347" s="3" t="s">
        <v>1529</v>
      </c>
      <c r="G347" s="3" t="s">
        <v>1530</v>
      </c>
      <c r="H347" s="3" t="s">
        <v>333</v>
      </c>
      <c r="I347" s="3" t="s">
        <v>334</v>
      </c>
      <c r="J347" s="3" t="s">
        <v>1464</v>
      </c>
      <c r="K347" s="3" t="s">
        <v>36</v>
      </c>
      <c r="L347" s="4">
        <v>43617</v>
      </c>
      <c r="M347" s="3" t="s">
        <v>21</v>
      </c>
      <c r="N347" s="3" t="s">
        <v>1529</v>
      </c>
    </row>
    <row r="348" spans="1:14" ht="27.75">
      <c r="A348" s="5">
        <v>342</v>
      </c>
      <c r="B348" s="5" t="str">
        <f>"201900078799"</f>
        <v>201900078799</v>
      </c>
      <c r="C348" s="5" t="str">
        <f>"143616"</f>
        <v>143616</v>
      </c>
      <c r="D348" s="5" t="s">
        <v>1531</v>
      </c>
      <c r="E348" s="5">
        <v>10408101242</v>
      </c>
      <c r="F348" s="5" t="s">
        <v>1532</v>
      </c>
      <c r="G348" s="5" t="s">
        <v>1533</v>
      </c>
      <c r="H348" s="5" t="s">
        <v>333</v>
      </c>
      <c r="I348" s="5" t="s">
        <v>334</v>
      </c>
      <c r="J348" s="5" t="s">
        <v>1464</v>
      </c>
      <c r="K348" s="5" t="s">
        <v>97</v>
      </c>
      <c r="L348" s="6">
        <v>43617</v>
      </c>
      <c r="M348" s="5" t="s">
        <v>21</v>
      </c>
      <c r="N348" s="5" t="s">
        <v>1532</v>
      </c>
    </row>
    <row r="349" spans="1:14" ht="13.5">
      <c r="A349" s="3">
        <v>343</v>
      </c>
      <c r="B349" s="3" t="str">
        <f>"201900078799"</f>
        <v>201900078799</v>
      </c>
      <c r="C349" s="3" t="str">
        <f>"143610"</f>
        <v>143610</v>
      </c>
      <c r="D349" s="3" t="s">
        <v>1534</v>
      </c>
      <c r="E349" s="3">
        <v>20487425134</v>
      </c>
      <c r="F349" s="3" t="s">
        <v>1535</v>
      </c>
      <c r="G349" s="3" t="s">
        <v>1536</v>
      </c>
      <c r="H349" s="3" t="s">
        <v>333</v>
      </c>
      <c r="I349" s="3" t="s">
        <v>334</v>
      </c>
      <c r="J349" s="3" t="s">
        <v>334</v>
      </c>
      <c r="K349" s="3" t="s">
        <v>97</v>
      </c>
      <c r="L349" s="4">
        <v>43617</v>
      </c>
      <c r="M349" s="3" t="s">
        <v>21</v>
      </c>
      <c r="N349" s="3" t="s">
        <v>1537</v>
      </c>
    </row>
    <row r="350" spans="1:14" ht="13.5">
      <c r="A350" s="5">
        <v>344</v>
      </c>
      <c r="B350" s="5" t="str">
        <f>"201900078799"</f>
        <v>201900078799</v>
      </c>
      <c r="C350" s="5" t="str">
        <f>"143611"</f>
        <v>143611</v>
      </c>
      <c r="D350" s="5" t="s">
        <v>1538</v>
      </c>
      <c r="E350" s="5">
        <v>20496195885</v>
      </c>
      <c r="F350" s="5" t="s">
        <v>1539</v>
      </c>
      <c r="G350" s="5" t="s">
        <v>1540</v>
      </c>
      <c r="H350" s="5" t="s">
        <v>333</v>
      </c>
      <c r="I350" s="5" t="s">
        <v>334</v>
      </c>
      <c r="J350" s="5" t="s">
        <v>334</v>
      </c>
      <c r="K350" s="5" t="s">
        <v>903</v>
      </c>
      <c r="L350" s="6">
        <v>43617</v>
      </c>
      <c r="M350" s="5" t="s">
        <v>21</v>
      </c>
      <c r="N350" s="5" t="s">
        <v>1541</v>
      </c>
    </row>
    <row r="351" spans="1:14" ht="13.5">
      <c r="A351" s="3">
        <v>345</v>
      </c>
      <c r="B351" s="3" t="str">
        <f>"202000080678"</f>
        <v>202000080678</v>
      </c>
      <c r="C351" s="3" t="str">
        <f>"143612"</f>
        <v>143612</v>
      </c>
      <c r="D351" s="3" t="s">
        <v>1542</v>
      </c>
      <c r="E351" s="3">
        <v>10272953924</v>
      </c>
      <c r="F351" s="3" t="s">
        <v>1543</v>
      </c>
      <c r="G351" s="3" t="s">
        <v>1544</v>
      </c>
      <c r="H351" s="3" t="s">
        <v>333</v>
      </c>
      <c r="I351" s="3" t="s">
        <v>334</v>
      </c>
      <c r="J351" s="3" t="s">
        <v>1545</v>
      </c>
      <c r="K351" s="3" t="s">
        <v>36</v>
      </c>
      <c r="L351" s="4">
        <v>44033</v>
      </c>
      <c r="M351" s="3" t="s">
        <v>21</v>
      </c>
      <c r="N351" s="3" t="s">
        <v>1543</v>
      </c>
    </row>
    <row r="352" spans="1:14" ht="27.75">
      <c r="A352" s="5">
        <v>346</v>
      </c>
      <c r="B352" s="5" t="str">
        <f>"201900078799"</f>
        <v>201900078799</v>
      </c>
      <c r="C352" s="5" t="str">
        <f>"143613"</f>
        <v>143613</v>
      </c>
      <c r="D352" s="5" t="s">
        <v>1546</v>
      </c>
      <c r="E352" s="5">
        <v>20536673335</v>
      </c>
      <c r="F352" s="5" t="s">
        <v>1547</v>
      </c>
      <c r="G352" s="5" t="s">
        <v>1548</v>
      </c>
      <c r="H352" s="5" t="s">
        <v>333</v>
      </c>
      <c r="I352" s="5" t="s">
        <v>334</v>
      </c>
      <c r="J352" s="5" t="s">
        <v>1545</v>
      </c>
      <c r="K352" s="5" t="s">
        <v>36</v>
      </c>
      <c r="L352" s="6">
        <v>43617</v>
      </c>
      <c r="M352" s="5" t="s">
        <v>21</v>
      </c>
      <c r="N352" s="5" t="s">
        <v>1549</v>
      </c>
    </row>
    <row r="353" spans="1:14" ht="13.5">
      <c r="A353" s="3">
        <v>347</v>
      </c>
      <c r="B353" s="3" t="str">
        <f>"201900155923"</f>
        <v>201900155923</v>
      </c>
      <c r="C353" s="3" t="str">
        <f>"146746"</f>
        <v>146746</v>
      </c>
      <c r="D353" s="3" t="s">
        <v>1550</v>
      </c>
      <c r="E353" s="3">
        <v>20417507583</v>
      </c>
      <c r="F353" s="3" t="s">
        <v>1551</v>
      </c>
      <c r="G353" s="3" t="s">
        <v>1552</v>
      </c>
      <c r="H353" s="3" t="s">
        <v>1017</v>
      </c>
      <c r="I353" s="3" t="s">
        <v>1017</v>
      </c>
      <c r="J353" s="3" t="s">
        <v>1017</v>
      </c>
      <c r="K353" s="3" t="s">
        <v>36</v>
      </c>
      <c r="L353" s="4">
        <v>43733</v>
      </c>
      <c r="M353" s="3" t="s">
        <v>21</v>
      </c>
      <c r="N353" s="3" t="s">
        <v>1553</v>
      </c>
    </row>
    <row r="354" spans="1:14" ht="13.5">
      <c r="A354" s="5">
        <v>348</v>
      </c>
      <c r="B354" s="5" t="str">
        <f>"201900078799"</f>
        <v>201900078799</v>
      </c>
      <c r="C354" s="5" t="str">
        <f>"143607"</f>
        <v>143607</v>
      </c>
      <c r="D354" s="5" t="s">
        <v>1554</v>
      </c>
      <c r="E354" s="5">
        <v>20395172302</v>
      </c>
      <c r="F354" s="5" t="s">
        <v>1555</v>
      </c>
      <c r="G354" s="5" t="s">
        <v>1556</v>
      </c>
      <c r="H354" s="5" t="s">
        <v>333</v>
      </c>
      <c r="I354" s="5" t="s">
        <v>334</v>
      </c>
      <c r="J354" s="5" t="s">
        <v>334</v>
      </c>
      <c r="K354" s="5" t="s">
        <v>36</v>
      </c>
      <c r="L354" s="6">
        <v>43617</v>
      </c>
      <c r="M354" s="5" t="s">
        <v>21</v>
      </c>
      <c r="N354" s="5" t="s">
        <v>1557</v>
      </c>
    </row>
    <row r="355" spans="1:14" ht="42">
      <c r="A355" s="3">
        <v>349</v>
      </c>
      <c r="B355" s="3" t="str">
        <f>"202000131984"</f>
        <v>202000131984</v>
      </c>
      <c r="C355" s="3" t="str">
        <f>"151548"</f>
        <v>151548</v>
      </c>
      <c r="D355" s="3" t="s">
        <v>1558</v>
      </c>
      <c r="E355" s="3">
        <v>20606436697</v>
      </c>
      <c r="F355" s="3" t="s">
        <v>1559</v>
      </c>
      <c r="G355" s="3" t="s">
        <v>1560</v>
      </c>
      <c r="H355" s="3" t="s">
        <v>274</v>
      </c>
      <c r="I355" s="3" t="s">
        <v>1473</v>
      </c>
      <c r="J355" s="3" t="s">
        <v>1473</v>
      </c>
      <c r="K355" s="3" t="s">
        <v>1561</v>
      </c>
      <c r="L355" s="4">
        <v>44106</v>
      </c>
      <c r="M355" s="3" t="s">
        <v>21</v>
      </c>
      <c r="N355" s="3" t="s">
        <v>1562</v>
      </c>
    </row>
    <row r="356" spans="1:14" ht="13.5">
      <c r="A356" s="5">
        <v>350</v>
      </c>
      <c r="B356" s="5" t="str">
        <f>"201900078799"</f>
        <v>201900078799</v>
      </c>
      <c r="C356" s="5" t="str">
        <f>"143608"</f>
        <v>143608</v>
      </c>
      <c r="D356" s="5" t="s">
        <v>1563</v>
      </c>
      <c r="E356" s="5">
        <v>20480446977</v>
      </c>
      <c r="F356" s="5" t="s">
        <v>1564</v>
      </c>
      <c r="G356" s="5" t="s">
        <v>1565</v>
      </c>
      <c r="H356" s="5" t="s">
        <v>333</v>
      </c>
      <c r="I356" s="5" t="s">
        <v>334</v>
      </c>
      <c r="J356" s="5" t="s">
        <v>334</v>
      </c>
      <c r="K356" s="5" t="s">
        <v>36</v>
      </c>
      <c r="L356" s="6">
        <v>43617</v>
      </c>
      <c r="M356" s="5" t="s">
        <v>21</v>
      </c>
      <c r="N356" s="5" t="s">
        <v>1566</v>
      </c>
    </row>
    <row r="357" spans="1:14" ht="27.75">
      <c r="A357" s="3">
        <v>351</v>
      </c>
      <c r="B357" s="3" t="str">
        <f>"202000012481"</f>
        <v>202000012481</v>
      </c>
      <c r="C357" s="3" t="str">
        <f>"148876"</f>
        <v>148876</v>
      </c>
      <c r="D357" s="3" t="s">
        <v>1567</v>
      </c>
      <c r="E357" s="3">
        <v>20513224011</v>
      </c>
      <c r="F357" s="3" t="s">
        <v>1568</v>
      </c>
      <c r="G357" s="3" t="s">
        <v>1569</v>
      </c>
      <c r="H357" s="3" t="s">
        <v>18</v>
      </c>
      <c r="I357" s="3" t="s">
        <v>18</v>
      </c>
      <c r="J357" s="3" t="s">
        <v>779</v>
      </c>
      <c r="K357" s="3" t="s">
        <v>36</v>
      </c>
      <c r="L357" s="4">
        <v>43903</v>
      </c>
      <c r="M357" s="3" t="s">
        <v>21</v>
      </c>
      <c r="N357" s="3" t="s">
        <v>1570</v>
      </c>
    </row>
    <row r="358" spans="1:14" ht="13.5">
      <c r="A358" s="5">
        <v>352</v>
      </c>
      <c r="B358" s="5" t="str">
        <f>"201900078799"</f>
        <v>201900078799</v>
      </c>
      <c r="C358" s="5" t="str">
        <f>"143609"</f>
        <v>143609</v>
      </c>
      <c r="D358" s="5" t="s">
        <v>1571</v>
      </c>
      <c r="E358" s="5">
        <v>20480522827</v>
      </c>
      <c r="F358" s="5" t="s">
        <v>1572</v>
      </c>
      <c r="G358" s="5" t="s">
        <v>1573</v>
      </c>
      <c r="H358" s="5" t="s">
        <v>333</v>
      </c>
      <c r="I358" s="5" t="s">
        <v>334</v>
      </c>
      <c r="J358" s="5" t="s">
        <v>334</v>
      </c>
      <c r="K358" s="5" t="s">
        <v>51</v>
      </c>
      <c r="L358" s="6">
        <v>43617</v>
      </c>
      <c r="M358" s="5" t="s">
        <v>21</v>
      </c>
      <c r="N358" s="5" t="s">
        <v>1574</v>
      </c>
    </row>
    <row r="359" spans="1:14" ht="27.75">
      <c r="A359" s="3">
        <v>353</v>
      </c>
      <c r="B359" s="3" t="str">
        <f>"202000136805"</f>
        <v>202000136805</v>
      </c>
      <c r="C359" s="3" t="str">
        <f>"151693"</f>
        <v>151693</v>
      </c>
      <c r="D359" s="3" t="s">
        <v>1575</v>
      </c>
      <c r="E359" s="3">
        <v>20606350911</v>
      </c>
      <c r="F359" s="3" t="s">
        <v>1576</v>
      </c>
      <c r="G359" s="3" t="s">
        <v>1577</v>
      </c>
      <c r="H359" s="3" t="s">
        <v>18</v>
      </c>
      <c r="I359" s="3" t="s">
        <v>18</v>
      </c>
      <c r="J359" s="3" t="s">
        <v>1578</v>
      </c>
      <c r="K359" s="3" t="s">
        <v>243</v>
      </c>
      <c r="L359" s="4">
        <v>44130</v>
      </c>
      <c r="M359" s="3" t="s">
        <v>21</v>
      </c>
      <c r="N359" s="3" t="s">
        <v>1579</v>
      </c>
    </row>
    <row r="360" spans="1:14" ht="27.75">
      <c r="A360" s="5">
        <v>354</v>
      </c>
      <c r="B360" s="5" t="str">
        <f>"201900186137"</f>
        <v>201900186137</v>
      </c>
      <c r="C360" s="5" t="str">
        <f>"147722"</f>
        <v>147722</v>
      </c>
      <c r="D360" s="5" t="s">
        <v>1580</v>
      </c>
      <c r="E360" s="5">
        <v>20603000031</v>
      </c>
      <c r="F360" s="5" t="s">
        <v>1581</v>
      </c>
      <c r="G360" s="5" t="s">
        <v>1582</v>
      </c>
      <c r="H360" s="5" t="s">
        <v>73</v>
      </c>
      <c r="I360" s="5" t="s">
        <v>74</v>
      </c>
      <c r="J360" s="5" t="s">
        <v>1583</v>
      </c>
      <c r="K360" s="5" t="s">
        <v>36</v>
      </c>
      <c r="L360" s="6">
        <v>43798</v>
      </c>
      <c r="M360" s="5" t="s">
        <v>21</v>
      </c>
      <c r="N360" s="5" t="s">
        <v>1584</v>
      </c>
    </row>
    <row r="361" spans="1:14" ht="27.75">
      <c r="A361" s="3">
        <v>355</v>
      </c>
      <c r="B361" s="3" t="str">
        <f>"202000111494"</f>
        <v>202000111494</v>
      </c>
      <c r="C361" s="3" t="str">
        <f>"150869"</f>
        <v>150869</v>
      </c>
      <c r="D361" s="3" t="s">
        <v>1585</v>
      </c>
      <c r="E361" s="3">
        <v>20603044011</v>
      </c>
      <c r="F361" s="3" t="s">
        <v>1586</v>
      </c>
      <c r="G361" s="3" t="s">
        <v>1587</v>
      </c>
      <c r="H361" s="3" t="s">
        <v>253</v>
      </c>
      <c r="I361" s="3" t="s">
        <v>253</v>
      </c>
      <c r="J361" s="3" t="s">
        <v>1588</v>
      </c>
      <c r="K361" s="3" t="s">
        <v>36</v>
      </c>
      <c r="L361" s="4">
        <v>44076</v>
      </c>
      <c r="M361" s="3" t="s">
        <v>21</v>
      </c>
      <c r="N361" s="3" t="s">
        <v>1589</v>
      </c>
    </row>
    <row r="362" spans="1:14" ht="69.75">
      <c r="A362" s="5">
        <v>356</v>
      </c>
      <c r="B362" s="5" t="str">
        <f>"202000132294"</f>
        <v>202000132294</v>
      </c>
      <c r="C362" s="5" t="str">
        <f>"151560"</f>
        <v>151560</v>
      </c>
      <c r="D362" s="5" t="s">
        <v>1590</v>
      </c>
      <c r="E362" s="5">
        <v>20606430001</v>
      </c>
      <c r="F362" s="5" t="s">
        <v>1591</v>
      </c>
      <c r="G362" s="5" t="s">
        <v>1592</v>
      </c>
      <c r="H362" s="5" t="s">
        <v>274</v>
      </c>
      <c r="I362" s="5" t="s">
        <v>274</v>
      </c>
      <c r="J362" s="5" t="s">
        <v>1316</v>
      </c>
      <c r="K362" s="5" t="s">
        <v>556</v>
      </c>
      <c r="L362" s="6">
        <v>44110</v>
      </c>
      <c r="M362" s="5" t="s">
        <v>21</v>
      </c>
      <c r="N362" s="5" t="s">
        <v>1593</v>
      </c>
    </row>
    <row r="363" spans="1:14" ht="27.75">
      <c r="A363" s="3">
        <v>357</v>
      </c>
      <c r="B363" s="3" t="str">
        <f>"202000103773"</f>
        <v>202000103773</v>
      </c>
      <c r="C363" s="3" t="str">
        <f>"150549"</f>
        <v>150549</v>
      </c>
      <c r="D363" s="3" t="s">
        <v>1594</v>
      </c>
      <c r="E363" s="3">
        <v>20554297740</v>
      </c>
      <c r="F363" s="3" t="s">
        <v>1595</v>
      </c>
      <c r="G363" s="3" t="s">
        <v>1596</v>
      </c>
      <c r="H363" s="3" t="s">
        <v>18</v>
      </c>
      <c r="I363" s="3" t="s">
        <v>18</v>
      </c>
      <c r="J363" s="3" t="s">
        <v>779</v>
      </c>
      <c r="K363" s="3" t="s">
        <v>1597</v>
      </c>
      <c r="L363" s="4">
        <v>44062</v>
      </c>
      <c r="M363" s="3" t="s">
        <v>21</v>
      </c>
      <c r="N363" s="3" t="s">
        <v>1598</v>
      </c>
    </row>
    <row r="364" spans="1:14" ht="69.75">
      <c r="A364" s="5">
        <v>358</v>
      </c>
      <c r="B364" s="5" t="str">
        <f>"202000108947"</f>
        <v>202000108947</v>
      </c>
      <c r="C364" s="5" t="str">
        <f>"150718"</f>
        <v>150718</v>
      </c>
      <c r="D364" s="5" t="s">
        <v>1599</v>
      </c>
      <c r="E364" s="5">
        <v>10028742539</v>
      </c>
      <c r="F364" s="5" t="s">
        <v>1600</v>
      </c>
      <c r="G364" s="5" t="s">
        <v>1601</v>
      </c>
      <c r="H364" s="5" t="s">
        <v>274</v>
      </c>
      <c r="I364" s="5" t="s">
        <v>400</v>
      </c>
      <c r="J364" s="5" t="s">
        <v>1602</v>
      </c>
      <c r="K364" s="5" t="s">
        <v>556</v>
      </c>
      <c r="L364" s="6">
        <v>44067</v>
      </c>
      <c r="M364" s="5" t="s">
        <v>21</v>
      </c>
      <c r="N364" s="5" t="s">
        <v>1600</v>
      </c>
    </row>
    <row r="365" spans="1:14" ht="42">
      <c r="A365" s="3">
        <v>359</v>
      </c>
      <c r="B365" s="3" t="str">
        <f>"202000110510"</f>
        <v>202000110510</v>
      </c>
      <c r="C365" s="3" t="str">
        <f>"150859"</f>
        <v>150859</v>
      </c>
      <c r="D365" s="3" t="s">
        <v>1603</v>
      </c>
      <c r="E365" s="3">
        <v>20507474251</v>
      </c>
      <c r="F365" s="3" t="s">
        <v>1604</v>
      </c>
      <c r="G365" s="3" t="s">
        <v>1605</v>
      </c>
      <c r="H365" s="3" t="s">
        <v>18</v>
      </c>
      <c r="I365" s="3" t="s">
        <v>18</v>
      </c>
      <c r="J365" s="3" t="s">
        <v>303</v>
      </c>
      <c r="K365" s="3" t="s">
        <v>1606</v>
      </c>
      <c r="L365" s="4">
        <v>44088</v>
      </c>
      <c r="M365" s="3" t="s">
        <v>21</v>
      </c>
      <c r="N365" s="3" t="s">
        <v>1607</v>
      </c>
    </row>
    <row r="366" spans="1:14" ht="13.5">
      <c r="A366" s="5">
        <v>360</v>
      </c>
      <c r="B366" s="5" t="str">
        <f>"202000082232"</f>
        <v>202000082232</v>
      </c>
      <c r="C366" s="5" t="str">
        <f>"149848"</f>
        <v>149848</v>
      </c>
      <c r="D366" s="5" t="s">
        <v>1608</v>
      </c>
      <c r="E366" s="5">
        <v>20600610032</v>
      </c>
      <c r="F366" s="5" t="s">
        <v>1609</v>
      </c>
      <c r="G366" s="5" t="s">
        <v>1610</v>
      </c>
      <c r="H366" s="5" t="s">
        <v>18</v>
      </c>
      <c r="I366" s="5" t="s">
        <v>18</v>
      </c>
      <c r="J366" s="5" t="s">
        <v>1611</v>
      </c>
      <c r="K366" s="5" t="s">
        <v>36</v>
      </c>
      <c r="L366" s="6">
        <v>44061</v>
      </c>
      <c r="M366" s="5" t="s">
        <v>21</v>
      </c>
      <c r="N366" s="5" t="s">
        <v>1612</v>
      </c>
    </row>
    <row r="367" spans="1:14" ht="125.25">
      <c r="A367" s="3">
        <v>361</v>
      </c>
      <c r="B367" s="3" t="str">
        <f>"202000095433"</f>
        <v>202000095433</v>
      </c>
      <c r="C367" s="3" t="str">
        <f>"150317"</f>
        <v>150317</v>
      </c>
      <c r="D367" s="3" t="s">
        <v>1613</v>
      </c>
      <c r="E367" s="3">
        <v>20353823052</v>
      </c>
      <c r="F367" s="3" t="s">
        <v>1614</v>
      </c>
      <c r="G367" s="3" t="s">
        <v>1615</v>
      </c>
      <c r="H367" s="3" t="s">
        <v>73</v>
      </c>
      <c r="I367" s="3" t="s">
        <v>74</v>
      </c>
      <c r="J367" s="3" t="s">
        <v>74</v>
      </c>
      <c r="K367" s="3" t="s">
        <v>837</v>
      </c>
      <c r="L367" s="4">
        <v>44046</v>
      </c>
      <c r="M367" s="3" t="s">
        <v>21</v>
      </c>
      <c r="N367" s="3" t="s">
        <v>1616</v>
      </c>
    </row>
    <row r="368" spans="1:14" ht="69.75">
      <c r="A368" s="5">
        <v>362</v>
      </c>
      <c r="B368" s="5" t="str">
        <f>"201900207102"</f>
        <v>201900207102</v>
      </c>
      <c r="C368" s="5" t="str">
        <f>"148312"</f>
        <v>148312</v>
      </c>
      <c r="D368" s="5" t="s">
        <v>1617</v>
      </c>
      <c r="E368" s="5">
        <v>20602894224</v>
      </c>
      <c r="F368" s="5" t="s">
        <v>1618</v>
      </c>
      <c r="G368" s="5" t="s">
        <v>1619</v>
      </c>
      <c r="H368" s="5" t="s">
        <v>1620</v>
      </c>
      <c r="I368" s="5" t="s">
        <v>1621</v>
      </c>
      <c r="J368" s="5" t="s">
        <v>1621</v>
      </c>
      <c r="K368" s="5" t="s">
        <v>1622</v>
      </c>
      <c r="L368" s="6">
        <v>43819</v>
      </c>
      <c r="M368" s="5" t="s">
        <v>21</v>
      </c>
      <c r="N368" s="5" t="s">
        <v>1623</v>
      </c>
    </row>
    <row r="369" spans="1:14" ht="13.5">
      <c r="A369" s="3">
        <v>363</v>
      </c>
      <c r="B369" s="3" t="str">
        <f>"202000030815"</f>
        <v>202000030815</v>
      </c>
      <c r="C369" s="3" t="str">
        <f>"147896"</f>
        <v>147896</v>
      </c>
      <c r="D369" s="3" t="s">
        <v>1624</v>
      </c>
      <c r="E369" s="3">
        <v>20602939546</v>
      </c>
      <c r="F369" s="3" t="s">
        <v>1625</v>
      </c>
      <c r="G369" s="3" t="s">
        <v>1626</v>
      </c>
      <c r="H369" s="3" t="s">
        <v>18</v>
      </c>
      <c r="I369" s="3" t="s">
        <v>18</v>
      </c>
      <c r="J369" s="3" t="s">
        <v>1611</v>
      </c>
      <c r="K369" s="3" t="s">
        <v>51</v>
      </c>
      <c r="L369" s="4">
        <v>43888</v>
      </c>
      <c r="M369" s="3" t="s">
        <v>21</v>
      </c>
      <c r="N369" s="3" t="s">
        <v>1627</v>
      </c>
    </row>
    <row r="370" spans="1:14" ht="153.75">
      <c r="A370" s="5">
        <v>364</v>
      </c>
      <c r="B370" s="5" t="str">
        <f>"202000104116"</f>
        <v>202000104116</v>
      </c>
      <c r="C370" s="5" t="str">
        <f>"150566"</f>
        <v>150566</v>
      </c>
      <c r="D370" s="5" t="s">
        <v>1628</v>
      </c>
      <c r="E370" s="5">
        <v>20480656190</v>
      </c>
      <c r="F370" s="5" t="s">
        <v>1629</v>
      </c>
      <c r="G370" s="5" t="s">
        <v>1630</v>
      </c>
      <c r="H370" s="5" t="s">
        <v>333</v>
      </c>
      <c r="I370" s="5" t="s">
        <v>334</v>
      </c>
      <c r="J370" s="5" t="s">
        <v>1631</v>
      </c>
      <c r="K370" s="5" t="s">
        <v>75</v>
      </c>
      <c r="L370" s="6">
        <v>44062</v>
      </c>
      <c r="M370" s="5" t="s">
        <v>21</v>
      </c>
      <c r="N370" s="5" t="s">
        <v>1632</v>
      </c>
    </row>
    <row r="371" spans="1:14" ht="97.5">
      <c r="A371" s="3">
        <v>365</v>
      </c>
      <c r="B371" s="3" t="str">
        <f>"201900187618"</f>
        <v>201900187618</v>
      </c>
      <c r="C371" s="3" t="str">
        <f>"147669"</f>
        <v>147669</v>
      </c>
      <c r="D371" s="3" t="s">
        <v>1633</v>
      </c>
      <c r="E371" s="3">
        <v>20605396004</v>
      </c>
      <c r="F371" s="3" t="s">
        <v>1634</v>
      </c>
      <c r="G371" s="3" t="s">
        <v>1635</v>
      </c>
      <c r="H371" s="3" t="s">
        <v>743</v>
      </c>
      <c r="I371" s="3" t="s">
        <v>743</v>
      </c>
      <c r="J371" s="3" t="s">
        <v>743</v>
      </c>
      <c r="K371" s="3" t="s">
        <v>1636</v>
      </c>
      <c r="L371" s="4">
        <v>43782</v>
      </c>
      <c r="M371" s="3" t="s">
        <v>21</v>
      </c>
      <c r="N371" s="3" t="s">
        <v>1637</v>
      </c>
    </row>
    <row r="372" spans="1:14" ht="27.75">
      <c r="A372" s="5">
        <v>366</v>
      </c>
      <c r="B372" s="5" t="str">
        <f>"202000010307"</f>
        <v>202000010307</v>
      </c>
      <c r="C372" s="5" t="str">
        <f>"148842"</f>
        <v>148842</v>
      </c>
      <c r="D372" s="5" t="s">
        <v>1638</v>
      </c>
      <c r="E372" s="5">
        <v>20601010799</v>
      </c>
      <c r="F372" s="5" t="s">
        <v>1639</v>
      </c>
      <c r="G372" s="5" t="s">
        <v>1640</v>
      </c>
      <c r="H372" s="5" t="s">
        <v>18</v>
      </c>
      <c r="I372" s="5" t="s">
        <v>18</v>
      </c>
      <c r="J372" s="5" t="s">
        <v>242</v>
      </c>
      <c r="K372" s="5" t="s">
        <v>36</v>
      </c>
      <c r="L372" s="6">
        <v>43868</v>
      </c>
      <c r="M372" s="5" t="s">
        <v>21</v>
      </c>
      <c r="N372" s="5" t="s">
        <v>1641</v>
      </c>
    </row>
    <row r="373" spans="1:14" ht="27.75">
      <c r="A373" s="3">
        <v>367</v>
      </c>
      <c r="B373" s="3" t="str">
        <f>"202000126764"</f>
        <v>202000126764</v>
      </c>
      <c r="C373" s="3" t="str">
        <f>"151427"</f>
        <v>151427</v>
      </c>
      <c r="D373" s="3" t="s">
        <v>1642</v>
      </c>
      <c r="E373" s="3">
        <v>20408148929</v>
      </c>
      <c r="F373" s="3" t="s">
        <v>1643</v>
      </c>
      <c r="G373" s="3" t="s">
        <v>1644</v>
      </c>
      <c r="H373" s="3" t="s">
        <v>1645</v>
      </c>
      <c r="I373" s="3" t="s">
        <v>1646</v>
      </c>
      <c r="J373" s="3" t="s">
        <v>1646</v>
      </c>
      <c r="K373" s="3" t="s">
        <v>774</v>
      </c>
      <c r="L373" s="4">
        <v>44103</v>
      </c>
      <c r="M373" s="3" t="s">
        <v>21</v>
      </c>
      <c r="N373" s="3" t="s">
        <v>1647</v>
      </c>
    </row>
    <row r="374" spans="1:14" ht="139.5">
      <c r="A374" s="5">
        <v>368</v>
      </c>
      <c r="B374" s="5" t="str">
        <f>"202000083043"</f>
        <v>202000083043</v>
      </c>
      <c r="C374" s="5" t="str">
        <f>"150008"</f>
        <v>150008</v>
      </c>
      <c r="D374" s="5" t="s">
        <v>1648</v>
      </c>
      <c r="E374" s="5">
        <v>20479390542</v>
      </c>
      <c r="F374" s="5" t="s">
        <v>1649</v>
      </c>
      <c r="G374" s="5" t="s">
        <v>1484</v>
      </c>
      <c r="H374" s="5" t="s">
        <v>333</v>
      </c>
      <c r="I374" s="5" t="s">
        <v>334</v>
      </c>
      <c r="J374" s="5" t="s">
        <v>1464</v>
      </c>
      <c r="K374" s="5" t="s">
        <v>1650</v>
      </c>
      <c r="L374" s="6">
        <v>44032</v>
      </c>
      <c r="M374" s="5" t="s">
        <v>21</v>
      </c>
      <c r="N374" s="5" t="s">
        <v>1651</v>
      </c>
    </row>
    <row r="375" spans="1:14" ht="13.5">
      <c r="A375" s="3">
        <v>369</v>
      </c>
      <c r="B375" s="3" t="str">
        <f>"202000104665"</f>
        <v>202000104665</v>
      </c>
      <c r="C375" s="3" t="str">
        <f>"150570"</f>
        <v>150570</v>
      </c>
      <c r="D375" s="3" t="s">
        <v>1652</v>
      </c>
      <c r="E375" s="3">
        <v>10423100996</v>
      </c>
      <c r="F375" s="3" t="s">
        <v>1653</v>
      </c>
      <c r="G375" s="3" t="s">
        <v>1654</v>
      </c>
      <c r="H375" s="3" t="s">
        <v>160</v>
      </c>
      <c r="I375" s="3" t="s">
        <v>237</v>
      </c>
      <c r="J375" s="3" t="s">
        <v>237</v>
      </c>
      <c r="K375" s="3" t="s">
        <v>36</v>
      </c>
      <c r="L375" s="4">
        <v>44057</v>
      </c>
      <c r="M375" s="3" t="s">
        <v>21</v>
      </c>
      <c r="N375" s="3" t="s">
        <v>1653</v>
      </c>
    </row>
    <row r="376" spans="1:14" ht="13.5">
      <c r="A376" s="5">
        <v>370</v>
      </c>
      <c r="B376" s="5" t="str">
        <f>"202000095116"</f>
        <v>202000095116</v>
      </c>
      <c r="C376" s="5" t="str">
        <f>"150342"</f>
        <v>150342</v>
      </c>
      <c r="D376" s="5" t="s">
        <v>1655</v>
      </c>
      <c r="E376" s="5">
        <v>20602067573</v>
      </c>
      <c r="F376" s="5" t="s">
        <v>1656</v>
      </c>
      <c r="G376" s="5" t="s">
        <v>1657</v>
      </c>
      <c r="H376" s="5" t="s">
        <v>18</v>
      </c>
      <c r="I376" s="5" t="s">
        <v>18</v>
      </c>
      <c r="J376" s="5" t="s">
        <v>1611</v>
      </c>
      <c r="K376" s="5" t="s">
        <v>36</v>
      </c>
      <c r="L376" s="6">
        <v>44063</v>
      </c>
      <c r="M376" s="5" t="s">
        <v>21</v>
      </c>
      <c r="N376" s="5" t="s">
        <v>1658</v>
      </c>
    </row>
    <row r="377" spans="1:14" ht="27.75">
      <c r="A377" s="3">
        <v>371</v>
      </c>
      <c r="B377" s="3" t="str">
        <f>"201900162072"</f>
        <v>201900162072</v>
      </c>
      <c r="C377" s="3" t="str">
        <f>"146968"</f>
        <v>146968</v>
      </c>
      <c r="D377" s="3" t="s">
        <v>1659</v>
      </c>
      <c r="E377" s="3">
        <v>10479981278</v>
      </c>
      <c r="F377" s="3" t="s">
        <v>1660</v>
      </c>
      <c r="G377" s="3" t="s">
        <v>1661</v>
      </c>
      <c r="H377" s="3" t="s">
        <v>18</v>
      </c>
      <c r="I377" s="3" t="s">
        <v>18</v>
      </c>
      <c r="J377" s="3" t="s">
        <v>80</v>
      </c>
      <c r="K377" s="3" t="s">
        <v>1662</v>
      </c>
      <c r="L377" s="4">
        <v>43748</v>
      </c>
      <c r="M377" s="3" t="s">
        <v>21</v>
      </c>
      <c r="N377" s="3" t="s">
        <v>1660</v>
      </c>
    </row>
    <row r="378" spans="1:14" ht="27.75">
      <c r="A378" s="5">
        <v>372</v>
      </c>
      <c r="B378" s="5" t="str">
        <f>"202000104122"</f>
        <v>202000104122</v>
      </c>
      <c r="C378" s="5" t="str">
        <f>"150572"</f>
        <v>150572</v>
      </c>
      <c r="D378" s="5" t="s">
        <v>1663</v>
      </c>
      <c r="E378" s="5">
        <v>20606107880</v>
      </c>
      <c r="F378" s="5" t="s">
        <v>1664</v>
      </c>
      <c r="G378" s="5" t="s">
        <v>1665</v>
      </c>
      <c r="H378" s="5" t="s">
        <v>513</v>
      </c>
      <c r="I378" s="5" t="s">
        <v>513</v>
      </c>
      <c r="J378" s="5" t="s">
        <v>1172</v>
      </c>
      <c r="K378" s="5" t="s">
        <v>51</v>
      </c>
      <c r="L378" s="6">
        <v>44069</v>
      </c>
      <c r="M378" s="5" t="s">
        <v>21</v>
      </c>
      <c r="N378" s="5" t="s">
        <v>1666</v>
      </c>
    </row>
    <row r="379" spans="1:14" ht="13.5">
      <c r="A379" s="3">
        <v>373</v>
      </c>
      <c r="B379" s="3" t="str">
        <f>"201900078797"</f>
        <v>201900078797</v>
      </c>
      <c r="C379" s="3" t="str">
        <f>"143550"</f>
        <v>143550</v>
      </c>
      <c r="D379" s="3" t="s">
        <v>1667</v>
      </c>
      <c r="E379" s="3">
        <v>20480912021</v>
      </c>
      <c r="F379" s="3" t="s">
        <v>1668</v>
      </c>
      <c r="G379" s="3" t="s">
        <v>1669</v>
      </c>
      <c r="H379" s="3" t="s">
        <v>73</v>
      </c>
      <c r="I379" s="3" t="s">
        <v>74</v>
      </c>
      <c r="J379" s="3" t="s">
        <v>74</v>
      </c>
      <c r="K379" s="3" t="s">
        <v>97</v>
      </c>
      <c r="L379" s="4">
        <v>43617</v>
      </c>
      <c r="M379" s="3" t="s">
        <v>21</v>
      </c>
      <c r="N379" s="3" t="s">
        <v>1670</v>
      </c>
    </row>
    <row r="380" spans="1:14" ht="27.75">
      <c r="A380" s="5">
        <v>374</v>
      </c>
      <c r="B380" s="5" t="str">
        <f>"201900078797"</f>
        <v>201900078797</v>
      </c>
      <c r="C380" s="5" t="str">
        <f>"143551"</f>
        <v>143551</v>
      </c>
      <c r="D380" s="5" t="s">
        <v>1671</v>
      </c>
      <c r="E380" s="5">
        <v>20481073201</v>
      </c>
      <c r="F380" s="5" t="s">
        <v>1672</v>
      </c>
      <c r="G380" s="5" t="s">
        <v>1673</v>
      </c>
      <c r="H380" s="5" t="s">
        <v>73</v>
      </c>
      <c r="I380" s="5" t="s">
        <v>74</v>
      </c>
      <c r="J380" s="5" t="s">
        <v>74</v>
      </c>
      <c r="K380" s="5" t="s">
        <v>1674</v>
      </c>
      <c r="L380" s="6">
        <v>43617</v>
      </c>
      <c r="M380" s="5" t="s">
        <v>21</v>
      </c>
      <c r="N380" s="5" t="s">
        <v>1675</v>
      </c>
    </row>
    <row r="381" spans="1:14" ht="27.75">
      <c r="A381" s="3">
        <v>375</v>
      </c>
      <c r="B381" s="3" t="str">
        <f>"201900078797"</f>
        <v>201900078797</v>
      </c>
      <c r="C381" s="3" t="str">
        <f>"143548"</f>
        <v>143548</v>
      </c>
      <c r="D381" s="3" t="s">
        <v>1676</v>
      </c>
      <c r="E381" s="3">
        <v>20477742760</v>
      </c>
      <c r="F381" s="3" t="s">
        <v>1677</v>
      </c>
      <c r="G381" s="3" t="s">
        <v>1678</v>
      </c>
      <c r="H381" s="3" t="s">
        <v>73</v>
      </c>
      <c r="I381" s="3" t="s">
        <v>74</v>
      </c>
      <c r="J381" s="3" t="s">
        <v>74</v>
      </c>
      <c r="K381" s="3" t="s">
        <v>20</v>
      </c>
      <c r="L381" s="4">
        <v>43617</v>
      </c>
      <c r="M381" s="3" t="s">
        <v>21</v>
      </c>
      <c r="N381" s="3" t="s">
        <v>1205</v>
      </c>
    </row>
    <row r="382" spans="1:14" ht="111.75">
      <c r="A382" s="5">
        <v>376</v>
      </c>
      <c r="B382" s="5" t="str">
        <f>"201900078797"</f>
        <v>201900078797</v>
      </c>
      <c r="C382" s="5" t="str">
        <f>"143549"</f>
        <v>143549</v>
      </c>
      <c r="D382" s="5" t="s">
        <v>1679</v>
      </c>
      <c r="E382" s="5">
        <v>20479534218</v>
      </c>
      <c r="F382" s="5" t="s">
        <v>1680</v>
      </c>
      <c r="G382" s="5" t="s">
        <v>1681</v>
      </c>
      <c r="H382" s="5" t="s">
        <v>73</v>
      </c>
      <c r="I382" s="5" t="s">
        <v>74</v>
      </c>
      <c r="J382" s="5" t="s">
        <v>74</v>
      </c>
      <c r="K382" s="5" t="s">
        <v>1682</v>
      </c>
      <c r="L382" s="6">
        <v>43617</v>
      </c>
      <c r="M382" s="5" t="s">
        <v>21</v>
      </c>
      <c r="N382" s="5" t="s">
        <v>1683</v>
      </c>
    </row>
    <row r="383" spans="1:14" ht="13.5">
      <c r="A383" s="3">
        <v>377</v>
      </c>
      <c r="B383" s="3" t="str">
        <f>"201900078797"</f>
        <v>201900078797</v>
      </c>
      <c r="C383" s="3" t="str">
        <f>"143547"</f>
        <v>143547</v>
      </c>
      <c r="D383" s="3" t="s">
        <v>1684</v>
      </c>
      <c r="E383" s="3">
        <v>20477614176</v>
      </c>
      <c r="F383" s="3" t="s">
        <v>1685</v>
      </c>
      <c r="G383" s="3" t="s">
        <v>1686</v>
      </c>
      <c r="H383" s="3" t="s">
        <v>73</v>
      </c>
      <c r="I383" s="3" t="s">
        <v>74</v>
      </c>
      <c r="J383" s="3" t="s">
        <v>74</v>
      </c>
      <c r="K383" s="3" t="s">
        <v>51</v>
      </c>
      <c r="L383" s="4">
        <v>43617</v>
      </c>
      <c r="M383" s="3" t="s">
        <v>21</v>
      </c>
      <c r="N383" s="3" t="s">
        <v>1687</v>
      </c>
    </row>
    <row r="384" spans="1:14" ht="83.25">
      <c r="A384" s="5">
        <v>378</v>
      </c>
      <c r="B384" s="5" t="str">
        <f>"201900156147"</f>
        <v>201900156147</v>
      </c>
      <c r="C384" s="5" t="str">
        <f>"146768"</f>
        <v>146768</v>
      </c>
      <c r="D384" s="5" t="s">
        <v>1688</v>
      </c>
      <c r="E384" s="5">
        <v>20605162429</v>
      </c>
      <c r="F384" s="5" t="s">
        <v>1689</v>
      </c>
      <c r="G384" s="5" t="s">
        <v>1690</v>
      </c>
      <c r="H384" s="5" t="s">
        <v>85</v>
      </c>
      <c r="I384" s="5" t="s">
        <v>86</v>
      </c>
      <c r="J384" s="5" t="s">
        <v>87</v>
      </c>
      <c r="K384" s="5" t="s">
        <v>1004</v>
      </c>
      <c r="L384" s="6">
        <v>43749</v>
      </c>
      <c r="M384" s="5" t="s">
        <v>21</v>
      </c>
      <c r="N384" s="5" t="s">
        <v>1691</v>
      </c>
    </row>
    <row r="385" spans="1:14" ht="13.5">
      <c r="A385" s="3">
        <v>379</v>
      </c>
      <c r="B385" s="3" t="str">
        <f>"202000010178"</f>
        <v>202000010178</v>
      </c>
      <c r="C385" s="3" t="str">
        <f>"148833"</f>
        <v>148833</v>
      </c>
      <c r="D385" s="3" t="s">
        <v>1692</v>
      </c>
      <c r="E385" s="3">
        <v>10012445372</v>
      </c>
      <c r="F385" s="3" t="s">
        <v>1693</v>
      </c>
      <c r="G385" s="3" t="s">
        <v>1694</v>
      </c>
      <c r="H385" s="3" t="s">
        <v>743</v>
      </c>
      <c r="I385" s="3" t="s">
        <v>743</v>
      </c>
      <c r="J385" s="3" t="s">
        <v>1695</v>
      </c>
      <c r="K385" s="3" t="s">
        <v>36</v>
      </c>
      <c r="L385" s="4">
        <v>43851</v>
      </c>
      <c r="M385" s="3" t="s">
        <v>21</v>
      </c>
      <c r="N385" s="3" t="s">
        <v>1693</v>
      </c>
    </row>
    <row r="386" spans="1:14" ht="42">
      <c r="A386" s="5">
        <v>380</v>
      </c>
      <c r="B386" s="5" t="str">
        <f>"201900207979"</f>
        <v>201900207979</v>
      </c>
      <c r="C386" s="5" t="str">
        <f>"148328"</f>
        <v>148328</v>
      </c>
      <c r="D386" s="5" t="s">
        <v>1696</v>
      </c>
      <c r="E386" s="5">
        <v>20604632928</v>
      </c>
      <c r="F386" s="5" t="s">
        <v>1697</v>
      </c>
      <c r="G386" s="5" t="s">
        <v>1698</v>
      </c>
      <c r="H386" s="5" t="s">
        <v>18</v>
      </c>
      <c r="I386" s="5" t="s">
        <v>18</v>
      </c>
      <c r="J386" s="5" t="s">
        <v>303</v>
      </c>
      <c r="K386" s="5" t="s">
        <v>42</v>
      </c>
      <c r="L386" s="6">
        <v>43818</v>
      </c>
      <c r="M386" s="5" t="s">
        <v>21</v>
      </c>
      <c r="N386" s="5" t="s">
        <v>1699</v>
      </c>
    </row>
    <row r="387" spans="1:14" ht="42">
      <c r="A387" s="3">
        <v>381</v>
      </c>
      <c r="B387" s="3" t="str">
        <f>"202000004410"</f>
        <v>202000004410</v>
      </c>
      <c r="C387" s="3" t="str">
        <f>"148688"</f>
        <v>148688</v>
      </c>
      <c r="D387" s="3" t="s">
        <v>1700</v>
      </c>
      <c r="E387" s="3">
        <v>20605574531</v>
      </c>
      <c r="F387" s="3" t="s">
        <v>1701</v>
      </c>
      <c r="G387" s="3" t="s">
        <v>1702</v>
      </c>
      <c r="H387" s="3" t="s">
        <v>1017</v>
      </c>
      <c r="I387" s="3" t="s">
        <v>1017</v>
      </c>
      <c r="J387" s="3" t="s">
        <v>1017</v>
      </c>
      <c r="K387" s="3" t="s">
        <v>1703</v>
      </c>
      <c r="L387" s="4">
        <v>43843</v>
      </c>
      <c r="M387" s="3" t="s">
        <v>21</v>
      </c>
      <c r="N387" s="3" t="s">
        <v>1704</v>
      </c>
    </row>
    <row r="388" spans="1:14" ht="27.75">
      <c r="A388" s="5">
        <v>382</v>
      </c>
      <c r="B388" s="5" t="str">
        <f>"201900213499"</f>
        <v>201900213499</v>
      </c>
      <c r="C388" s="5" t="str">
        <f>"148470"</f>
        <v>148470</v>
      </c>
      <c r="D388" s="5" t="s">
        <v>1705</v>
      </c>
      <c r="E388" s="5">
        <v>20406213693</v>
      </c>
      <c r="F388" s="5" t="s">
        <v>1706</v>
      </c>
      <c r="G388" s="5" t="s">
        <v>1707</v>
      </c>
      <c r="H388" s="5" t="s">
        <v>932</v>
      </c>
      <c r="I388" s="5" t="s">
        <v>1708</v>
      </c>
      <c r="J388" s="5" t="s">
        <v>1709</v>
      </c>
      <c r="K388" s="5" t="s">
        <v>36</v>
      </c>
      <c r="L388" s="6">
        <v>43826</v>
      </c>
      <c r="M388" s="5" t="s">
        <v>21</v>
      </c>
      <c r="N388" s="5" t="s">
        <v>1710</v>
      </c>
    </row>
    <row r="389" spans="1:14" ht="13.5">
      <c r="A389" s="3">
        <v>383</v>
      </c>
      <c r="B389" s="3" t="str">
        <f>"201900213602"</f>
        <v>201900213602</v>
      </c>
      <c r="C389" s="3" t="str">
        <f>"148468"</f>
        <v>148468</v>
      </c>
      <c r="D389" s="3" t="s">
        <v>1711</v>
      </c>
      <c r="E389" s="3">
        <v>15602689163</v>
      </c>
      <c r="F389" s="3" t="s">
        <v>1712</v>
      </c>
      <c r="G389" s="3" t="s">
        <v>1713</v>
      </c>
      <c r="H389" s="3" t="s">
        <v>274</v>
      </c>
      <c r="I389" s="3" t="s">
        <v>348</v>
      </c>
      <c r="J389" s="3" t="s">
        <v>348</v>
      </c>
      <c r="K389" s="3" t="s">
        <v>51</v>
      </c>
      <c r="L389" s="4">
        <v>43826</v>
      </c>
      <c r="M389" s="3" t="s">
        <v>21</v>
      </c>
      <c r="N389" s="3" t="s">
        <v>1712</v>
      </c>
    </row>
    <row r="390" spans="1:14" ht="27.75">
      <c r="A390" s="5">
        <v>384</v>
      </c>
      <c r="B390" s="5" t="str">
        <f>"202000004722"</f>
        <v>202000004722</v>
      </c>
      <c r="C390" s="5" t="str">
        <f>"148694"</f>
        <v>148694</v>
      </c>
      <c r="D390" s="5" t="s">
        <v>1714</v>
      </c>
      <c r="E390" s="5">
        <v>20603251637</v>
      </c>
      <c r="F390" s="5" t="s">
        <v>1715</v>
      </c>
      <c r="G390" s="5" t="s">
        <v>1716</v>
      </c>
      <c r="H390" s="5" t="s">
        <v>92</v>
      </c>
      <c r="I390" s="5" t="s">
        <v>982</v>
      </c>
      <c r="J390" s="5" t="s">
        <v>982</v>
      </c>
      <c r="K390" s="5" t="s">
        <v>51</v>
      </c>
      <c r="L390" s="6">
        <v>43847</v>
      </c>
      <c r="M390" s="5" t="s">
        <v>21</v>
      </c>
      <c r="N390" s="5" t="s">
        <v>1717</v>
      </c>
    </row>
    <row r="391" spans="1:14" ht="27.75">
      <c r="A391" s="3">
        <v>385</v>
      </c>
      <c r="B391" s="3" t="str">
        <f>"202000015731"</f>
        <v>202000015731</v>
      </c>
      <c r="C391" s="3" t="str">
        <f>"148975"</f>
        <v>148975</v>
      </c>
      <c r="D391" s="3" t="s">
        <v>1718</v>
      </c>
      <c r="E391" s="3">
        <v>20605245146</v>
      </c>
      <c r="F391" s="3" t="s">
        <v>1719</v>
      </c>
      <c r="G391" s="3" t="s">
        <v>1720</v>
      </c>
      <c r="H391" s="3" t="s">
        <v>73</v>
      </c>
      <c r="I391" s="3" t="s">
        <v>74</v>
      </c>
      <c r="J391" s="3" t="s">
        <v>74</v>
      </c>
      <c r="K391" s="3" t="s">
        <v>51</v>
      </c>
      <c r="L391" s="4">
        <v>43864</v>
      </c>
      <c r="M391" s="3" t="s">
        <v>21</v>
      </c>
      <c r="N391" s="3" t="s">
        <v>1721</v>
      </c>
    </row>
    <row r="392" spans="1:14" ht="13.5">
      <c r="A392" s="5">
        <v>386</v>
      </c>
      <c r="B392" s="5" t="str">
        <f>"202000015701"</f>
        <v>202000015701</v>
      </c>
      <c r="C392" s="5" t="str">
        <f>"148971"</f>
        <v>148971</v>
      </c>
      <c r="D392" s="5" t="s">
        <v>1722</v>
      </c>
      <c r="E392" s="5">
        <v>20600683081</v>
      </c>
      <c r="F392" s="5" t="s">
        <v>1723</v>
      </c>
      <c r="G392" s="5" t="s">
        <v>1724</v>
      </c>
      <c r="H392" s="5" t="s">
        <v>1017</v>
      </c>
      <c r="I392" s="5" t="s">
        <v>1018</v>
      </c>
      <c r="J392" s="5" t="s">
        <v>1725</v>
      </c>
      <c r="K392" s="5" t="s">
        <v>51</v>
      </c>
      <c r="L392" s="6">
        <v>43858</v>
      </c>
      <c r="M392" s="5" t="s">
        <v>21</v>
      </c>
      <c r="N392" s="5" t="s">
        <v>1726</v>
      </c>
    </row>
    <row r="393" spans="1:14" ht="27.75">
      <c r="A393" s="3">
        <v>387</v>
      </c>
      <c r="B393" s="3" t="str">
        <f>"201900078797"</f>
        <v>201900078797</v>
      </c>
      <c r="C393" s="3" t="str">
        <f>"143556"</f>
        <v>143556</v>
      </c>
      <c r="D393" s="3" t="s">
        <v>1727</v>
      </c>
      <c r="E393" s="3">
        <v>20481762163</v>
      </c>
      <c r="F393" s="3" t="s">
        <v>1728</v>
      </c>
      <c r="G393" s="3" t="s">
        <v>1729</v>
      </c>
      <c r="H393" s="3" t="s">
        <v>73</v>
      </c>
      <c r="I393" s="3" t="s">
        <v>74</v>
      </c>
      <c r="J393" s="3" t="s">
        <v>74</v>
      </c>
      <c r="K393" s="3" t="s">
        <v>20</v>
      </c>
      <c r="L393" s="4">
        <v>43617</v>
      </c>
      <c r="M393" s="3" t="s">
        <v>21</v>
      </c>
      <c r="N393" s="3" t="s">
        <v>1730</v>
      </c>
    </row>
    <row r="394" spans="1:14" ht="13.5">
      <c r="A394" s="5">
        <v>388</v>
      </c>
      <c r="B394" s="5" t="str">
        <f>"201900078797"</f>
        <v>201900078797</v>
      </c>
      <c r="C394" s="5" t="str">
        <f>"143555"</f>
        <v>143555</v>
      </c>
      <c r="D394" s="5" t="s">
        <v>1731</v>
      </c>
      <c r="E394" s="5">
        <v>20481744424</v>
      </c>
      <c r="F394" s="5" t="s">
        <v>1732</v>
      </c>
      <c r="G394" s="5" t="s">
        <v>1733</v>
      </c>
      <c r="H394" s="5" t="s">
        <v>73</v>
      </c>
      <c r="I394" s="5" t="s">
        <v>74</v>
      </c>
      <c r="J394" s="5" t="s">
        <v>74</v>
      </c>
      <c r="K394" s="5" t="s">
        <v>51</v>
      </c>
      <c r="L394" s="6">
        <v>43617</v>
      </c>
      <c r="M394" s="5" t="s">
        <v>21</v>
      </c>
      <c r="N394" s="5" t="s">
        <v>1734</v>
      </c>
    </row>
    <row r="395" spans="1:14" ht="42">
      <c r="A395" s="3">
        <v>389</v>
      </c>
      <c r="B395" s="3" t="str">
        <f>"202000074709"</f>
        <v>202000074709</v>
      </c>
      <c r="C395" s="3" t="str">
        <f>"149829"</f>
        <v>149829</v>
      </c>
      <c r="D395" s="3" t="s">
        <v>1735</v>
      </c>
      <c r="E395" s="3">
        <v>20505182724</v>
      </c>
      <c r="F395" s="3" t="s">
        <v>1736</v>
      </c>
      <c r="G395" s="3" t="s">
        <v>1737</v>
      </c>
      <c r="H395" s="3" t="s">
        <v>18</v>
      </c>
      <c r="I395" s="3" t="s">
        <v>18</v>
      </c>
      <c r="J395" s="3" t="s">
        <v>80</v>
      </c>
      <c r="K395" s="3" t="s">
        <v>42</v>
      </c>
      <c r="L395" s="4">
        <v>44019</v>
      </c>
      <c r="M395" s="3" t="s">
        <v>21</v>
      </c>
      <c r="N395" s="3" t="s">
        <v>1738</v>
      </c>
    </row>
    <row r="396" spans="1:14" ht="42">
      <c r="A396" s="5">
        <v>390</v>
      </c>
      <c r="B396" s="5" t="str">
        <f>"202000010195"</f>
        <v>202000010195</v>
      </c>
      <c r="C396" s="5" t="str">
        <f>"148832"</f>
        <v>148832</v>
      </c>
      <c r="D396" s="5" t="s">
        <v>1739</v>
      </c>
      <c r="E396" s="5">
        <v>20601214424</v>
      </c>
      <c r="F396" s="5" t="s">
        <v>1740</v>
      </c>
      <c r="G396" s="5" t="s">
        <v>1741</v>
      </c>
      <c r="H396" s="5" t="s">
        <v>18</v>
      </c>
      <c r="I396" s="5" t="s">
        <v>18</v>
      </c>
      <c r="J396" s="5" t="s">
        <v>1742</v>
      </c>
      <c r="K396" s="5" t="s">
        <v>718</v>
      </c>
      <c r="L396" s="6">
        <v>43860</v>
      </c>
      <c r="M396" s="5" t="s">
        <v>21</v>
      </c>
      <c r="N396" s="5" t="s">
        <v>1743</v>
      </c>
    </row>
    <row r="397" spans="1:14" ht="27.75">
      <c r="A397" s="3">
        <v>391</v>
      </c>
      <c r="B397" s="3" t="str">
        <f>"201900078797"</f>
        <v>201900078797</v>
      </c>
      <c r="C397" s="3" t="str">
        <f>"143554"</f>
        <v>143554</v>
      </c>
      <c r="D397" s="3" t="s">
        <v>1744</v>
      </c>
      <c r="E397" s="3">
        <v>20481487944</v>
      </c>
      <c r="F397" s="3" t="s">
        <v>584</v>
      </c>
      <c r="G397" s="3" t="s">
        <v>1745</v>
      </c>
      <c r="H397" s="3" t="s">
        <v>73</v>
      </c>
      <c r="I397" s="3" t="s">
        <v>74</v>
      </c>
      <c r="J397" s="3" t="s">
        <v>74</v>
      </c>
      <c r="K397" s="3" t="s">
        <v>443</v>
      </c>
      <c r="L397" s="4">
        <v>43617</v>
      </c>
      <c r="M397" s="3" t="s">
        <v>21</v>
      </c>
      <c r="N397" s="3" t="s">
        <v>1746</v>
      </c>
    </row>
    <row r="398" spans="1:14" ht="27.75">
      <c r="A398" s="5">
        <v>392</v>
      </c>
      <c r="B398" s="5" t="str">
        <f>"201900078797"</f>
        <v>201900078797</v>
      </c>
      <c r="C398" s="5" t="str">
        <f>"143553"</f>
        <v>143553</v>
      </c>
      <c r="D398" s="5" t="s">
        <v>1747</v>
      </c>
      <c r="E398" s="5">
        <v>20481388709</v>
      </c>
      <c r="F398" s="5" t="s">
        <v>1748</v>
      </c>
      <c r="G398" s="5" t="s">
        <v>1749</v>
      </c>
      <c r="H398" s="5" t="s">
        <v>73</v>
      </c>
      <c r="I398" s="5" t="s">
        <v>74</v>
      </c>
      <c r="J398" s="5" t="s">
        <v>74</v>
      </c>
      <c r="K398" s="5" t="s">
        <v>903</v>
      </c>
      <c r="L398" s="6">
        <v>43617</v>
      </c>
      <c r="M398" s="5" t="s">
        <v>21</v>
      </c>
      <c r="N398" s="5" t="s">
        <v>1750</v>
      </c>
    </row>
    <row r="399" spans="1:14" ht="27.75">
      <c r="A399" s="3">
        <v>393</v>
      </c>
      <c r="B399" s="3" t="str">
        <f>"201900078797"</f>
        <v>201900078797</v>
      </c>
      <c r="C399" s="3" t="str">
        <f>"143552"</f>
        <v>143552</v>
      </c>
      <c r="D399" s="3" t="s">
        <v>1751</v>
      </c>
      <c r="E399" s="3">
        <v>20481188955</v>
      </c>
      <c r="F399" s="3" t="s">
        <v>1752</v>
      </c>
      <c r="G399" s="3" t="s">
        <v>1753</v>
      </c>
      <c r="H399" s="3" t="s">
        <v>73</v>
      </c>
      <c r="I399" s="3" t="s">
        <v>74</v>
      </c>
      <c r="J399" s="3" t="s">
        <v>74</v>
      </c>
      <c r="K399" s="3" t="s">
        <v>51</v>
      </c>
      <c r="L399" s="4">
        <v>43617</v>
      </c>
      <c r="M399" s="3" t="s">
        <v>21</v>
      </c>
      <c r="N399" s="3" t="s">
        <v>1754</v>
      </c>
    </row>
    <row r="400" spans="1:14" ht="42">
      <c r="A400" s="5">
        <v>394</v>
      </c>
      <c r="B400" s="5" t="str">
        <f>"202000126423"</f>
        <v>202000126423</v>
      </c>
      <c r="C400" s="5" t="str">
        <f>"151444"</f>
        <v>151444</v>
      </c>
      <c r="D400" s="5" t="s">
        <v>1755</v>
      </c>
      <c r="E400" s="5">
        <v>20490932501</v>
      </c>
      <c r="F400" s="5" t="s">
        <v>1756</v>
      </c>
      <c r="G400" s="5" t="s">
        <v>1757</v>
      </c>
      <c r="H400" s="5" t="s">
        <v>160</v>
      </c>
      <c r="I400" s="5" t="s">
        <v>1758</v>
      </c>
      <c r="J400" s="5" t="s">
        <v>1759</v>
      </c>
      <c r="K400" s="5" t="s">
        <v>36</v>
      </c>
      <c r="L400" s="6">
        <v>44098</v>
      </c>
      <c r="M400" s="5" t="s">
        <v>21</v>
      </c>
      <c r="N400" s="5" t="s">
        <v>1760</v>
      </c>
    </row>
    <row r="401" spans="1:14" ht="13.5">
      <c r="A401" s="3">
        <v>395</v>
      </c>
      <c r="B401" s="3" t="str">
        <f>"201900078797"</f>
        <v>201900078797</v>
      </c>
      <c r="C401" s="3" t="str">
        <f>"143559"</f>
        <v>143559</v>
      </c>
      <c r="D401" s="3" t="s">
        <v>1761</v>
      </c>
      <c r="E401" s="3">
        <v>20482092463</v>
      </c>
      <c r="F401" s="3" t="s">
        <v>1762</v>
      </c>
      <c r="G401" s="3" t="s">
        <v>1763</v>
      </c>
      <c r="H401" s="3" t="s">
        <v>73</v>
      </c>
      <c r="I401" s="3" t="s">
        <v>74</v>
      </c>
      <c r="J401" s="3" t="s">
        <v>74</v>
      </c>
      <c r="K401" s="3" t="s">
        <v>97</v>
      </c>
      <c r="L401" s="4">
        <v>43617</v>
      </c>
      <c r="M401" s="3" t="s">
        <v>21</v>
      </c>
      <c r="N401" s="3" t="s">
        <v>1764</v>
      </c>
    </row>
    <row r="402" spans="1:14" ht="13.5">
      <c r="A402" s="5">
        <v>396</v>
      </c>
      <c r="B402" s="5" t="str">
        <f>"201900078797"</f>
        <v>201900078797</v>
      </c>
      <c r="C402" s="5" t="str">
        <f>"143560"</f>
        <v>143560</v>
      </c>
      <c r="D402" s="5" t="s">
        <v>1765</v>
      </c>
      <c r="E402" s="5">
        <v>20482447008</v>
      </c>
      <c r="F402" s="5" t="s">
        <v>1766</v>
      </c>
      <c r="G402" s="5" t="s">
        <v>1767</v>
      </c>
      <c r="H402" s="5" t="s">
        <v>73</v>
      </c>
      <c r="I402" s="5" t="s">
        <v>74</v>
      </c>
      <c r="J402" s="5" t="s">
        <v>74</v>
      </c>
      <c r="K402" s="5" t="s">
        <v>51</v>
      </c>
      <c r="L402" s="6">
        <v>43617</v>
      </c>
      <c r="M402" s="5" t="s">
        <v>21</v>
      </c>
      <c r="N402" s="5" t="s">
        <v>1768</v>
      </c>
    </row>
    <row r="403" spans="1:14" ht="13.5">
      <c r="A403" s="3">
        <v>397</v>
      </c>
      <c r="B403" s="3" t="str">
        <f>"201900078797"</f>
        <v>201900078797</v>
      </c>
      <c r="C403" s="3" t="str">
        <f>"143561"</f>
        <v>143561</v>
      </c>
      <c r="D403" s="3" t="s">
        <v>1769</v>
      </c>
      <c r="E403" s="3">
        <v>20482798561</v>
      </c>
      <c r="F403" s="3" t="s">
        <v>1770</v>
      </c>
      <c r="G403" s="3" t="s">
        <v>1771</v>
      </c>
      <c r="H403" s="3" t="s">
        <v>73</v>
      </c>
      <c r="I403" s="3" t="s">
        <v>74</v>
      </c>
      <c r="J403" s="3" t="s">
        <v>74</v>
      </c>
      <c r="K403" s="3" t="s">
        <v>97</v>
      </c>
      <c r="L403" s="4">
        <v>43617</v>
      </c>
      <c r="M403" s="3" t="s">
        <v>21</v>
      </c>
      <c r="N403" s="3" t="s">
        <v>1772</v>
      </c>
    </row>
    <row r="404" spans="1:14" ht="27.75">
      <c r="A404" s="5">
        <v>398</v>
      </c>
      <c r="B404" s="5" t="str">
        <f>"201900179544"</f>
        <v>201900179544</v>
      </c>
      <c r="C404" s="5" t="str">
        <f>"147521"</f>
        <v>147521</v>
      </c>
      <c r="D404" s="5" t="s">
        <v>1773</v>
      </c>
      <c r="E404" s="5">
        <v>20496199104</v>
      </c>
      <c r="F404" s="5" t="s">
        <v>1774</v>
      </c>
      <c r="G404" s="5" t="s">
        <v>1775</v>
      </c>
      <c r="H404" s="5" t="s">
        <v>92</v>
      </c>
      <c r="I404" s="5" t="s">
        <v>92</v>
      </c>
      <c r="J404" s="5" t="s">
        <v>92</v>
      </c>
      <c r="K404" s="5" t="s">
        <v>51</v>
      </c>
      <c r="L404" s="6">
        <v>43774</v>
      </c>
      <c r="M404" s="5" t="s">
        <v>21</v>
      </c>
      <c r="N404" s="5" t="s">
        <v>1776</v>
      </c>
    </row>
    <row r="405" spans="1:14" ht="13.5">
      <c r="A405" s="3">
        <v>399</v>
      </c>
      <c r="B405" s="3" t="str">
        <f>"201900078797"</f>
        <v>201900078797</v>
      </c>
      <c r="C405" s="3" t="str">
        <f>"143562"</f>
        <v>143562</v>
      </c>
      <c r="D405" s="3" t="s">
        <v>1777</v>
      </c>
      <c r="E405" s="3">
        <v>20487737454</v>
      </c>
      <c r="F405" s="3" t="s">
        <v>1778</v>
      </c>
      <c r="G405" s="3" t="s">
        <v>1779</v>
      </c>
      <c r="H405" s="3" t="s">
        <v>73</v>
      </c>
      <c r="I405" s="3" t="s">
        <v>74</v>
      </c>
      <c r="J405" s="3" t="s">
        <v>74</v>
      </c>
      <c r="K405" s="3" t="s">
        <v>847</v>
      </c>
      <c r="L405" s="4">
        <v>43617</v>
      </c>
      <c r="M405" s="3" t="s">
        <v>21</v>
      </c>
      <c r="N405" s="3" t="s">
        <v>1780</v>
      </c>
    </row>
    <row r="406" spans="1:14" ht="42">
      <c r="A406" s="5">
        <v>400</v>
      </c>
      <c r="B406" s="5" t="str">
        <f>"201900078797"</f>
        <v>201900078797</v>
      </c>
      <c r="C406" s="5" t="str">
        <f>"143557"</f>
        <v>143557</v>
      </c>
      <c r="D406" s="5" t="s">
        <v>1781</v>
      </c>
      <c r="E406" s="5">
        <v>20481976635</v>
      </c>
      <c r="F406" s="5" t="s">
        <v>1782</v>
      </c>
      <c r="G406" s="5" t="s">
        <v>1783</v>
      </c>
      <c r="H406" s="5" t="s">
        <v>73</v>
      </c>
      <c r="I406" s="5" t="s">
        <v>74</v>
      </c>
      <c r="J406" s="5" t="s">
        <v>74</v>
      </c>
      <c r="K406" s="5" t="s">
        <v>1784</v>
      </c>
      <c r="L406" s="6">
        <v>43617</v>
      </c>
      <c r="M406" s="5" t="s">
        <v>21</v>
      </c>
      <c r="N406" s="5" t="s">
        <v>1785</v>
      </c>
    </row>
    <row r="407" spans="1:14" ht="27.75">
      <c r="A407" s="3">
        <v>401</v>
      </c>
      <c r="B407" s="3" t="str">
        <f>"201900078797"</f>
        <v>201900078797</v>
      </c>
      <c r="C407" s="3" t="str">
        <f>"143558"</f>
        <v>143558</v>
      </c>
      <c r="D407" s="3" t="s">
        <v>1786</v>
      </c>
      <c r="E407" s="3">
        <v>20481988307</v>
      </c>
      <c r="F407" s="3" t="s">
        <v>1787</v>
      </c>
      <c r="G407" s="3" t="s">
        <v>1788</v>
      </c>
      <c r="H407" s="3" t="s">
        <v>73</v>
      </c>
      <c r="I407" s="3" t="s">
        <v>74</v>
      </c>
      <c r="J407" s="3" t="s">
        <v>74</v>
      </c>
      <c r="K407" s="3" t="s">
        <v>51</v>
      </c>
      <c r="L407" s="4">
        <v>43617</v>
      </c>
      <c r="M407" s="3" t="s">
        <v>21</v>
      </c>
      <c r="N407" s="3" t="s">
        <v>1789</v>
      </c>
    </row>
    <row r="408" spans="1:14" ht="153.75">
      <c r="A408" s="5">
        <v>402</v>
      </c>
      <c r="B408" s="5" t="str">
        <f>"201900156325"</f>
        <v>201900156325</v>
      </c>
      <c r="C408" s="5" t="str">
        <f>"146769"</f>
        <v>146769</v>
      </c>
      <c r="D408" s="5" t="s">
        <v>1790</v>
      </c>
      <c r="E408" s="5">
        <v>20600550081</v>
      </c>
      <c r="F408" s="5" t="s">
        <v>1791</v>
      </c>
      <c r="G408" s="5" t="s">
        <v>1792</v>
      </c>
      <c r="H408" s="5" t="s">
        <v>92</v>
      </c>
      <c r="I408" s="5" t="s">
        <v>92</v>
      </c>
      <c r="J408" s="5" t="s">
        <v>92</v>
      </c>
      <c r="K408" s="5" t="s">
        <v>1136</v>
      </c>
      <c r="L408" s="6">
        <v>43738</v>
      </c>
      <c r="M408" s="5" t="s">
        <v>21</v>
      </c>
      <c r="N408" s="5" t="s">
        <v>1793</v>
      </c>
    </row>
    <row r="409" spans="1:14" ht="153.75">
      <c r="A409" s="3">
        <v>403</v>
      </c>
      <c r="B409" s="3" t="str">
        <f>"201900155731"</f>
        <v>201900155731</v>
      </c>
      <c r="C409" s="3" t="str">
        <f>"146770"</f>
        <v>146770</v>
      </c>
      <c r="D409" s="3" t="s">
        <v>1794</v>
      </c>
      <c r="E409" s="3">
        <v>20524287936</v>
      </c>
      <c r="F409" s="3" t="s">
        <v>1795</v>
      </c>
      <c r="G409" s="3" t="s">
        <v>1796</v>
      </c>
      <c r="H409" s="3" t="s">
        <v>18</v>
      </c>
      <c r="I409" s="3" t="s">
        <v>18</v>
      </c>
      <c r="J409" s="3" t="s">
        <v>242</v>
      </c>
      <c r="K409" s="3" t="s">
        <v>75</v>
      </c>
      <c r="L409" s="4">
        <v>43748</v>
      </c>
      <c r="M409" s="3" t="s">
        <v>21</v>
      </c>
      <c r="N409" s="3" t="s">
        <v>1797</v>
      </c>
    </row>
    <row r="410" spans="1:14" ht="13.5">
      <c r="A410" s="5">
        <v>404</v>
      </c>
      <c r="B410" s="5" t="str">
        <f>"201900213490"</f>
        <v>201900213490</v>
      </c>
      <c r="C410" s="5" t="str">
        <f>"148464"</f>
        <v>148464</v>
      </c>
      <c r="D410" s="5" t="s">
        <v>1798</v>
      </c>
      <c r="E410" s="5">
        <v>20602304991</v>
      </c>
      <c r="F410" s="5" t="s">
        <v>1799</v>
      </c>
      <c r="G410" s="5" t="s">
        <v>1800</v>
      </c>
      <c r="H410" s="5" t="s">
        <v>615</v>
      </c>
      <c r="I410" s="5" t="s">
        <v>616</v>
      </c>
      <c r="J410" s="5" t="s">
        <v>617</v>
      </c>
      <c r="K410" s="5" t="s">
        <v>97</v>
      </c>
      <c r="L410" s="6">
        <v>43838</v>
      </c>
      <c r="M410" s="5" t="s">
        <v>21</v>
      </c>
      <c r="N410" s="5" t="s">
        <v>1801</v>
      </c>
    </row>
    <row r="411" spans="1:14" ht="13.5">
      <c r="A411" s="3">
        <v>405</v>
      </c>
      <c r="B411" s="3" t="str">
        <f>"202000022109"</f>
        <v>202000022109</v>
      </c>
      <c r="C411" s="3" t="str">
        <f>"148659"</f>
        <v>148659</v>
      </c>
      <c r="D411" s="3" t="s">
        <v>1802</v>
      </c>
      <c r="E411" s="3">
        <v>20603080492</v>
      </c>
      <c r="F411" s="3" t="s">
        <v>1803</v>
      </c>
      <c r="G411" s="3" t="s">
        <v>1804</v>
      </c>
      <c r="H411" s="3" t="s">
        <v>18</v>
      </c>
      <c r="I411" s="3" t="s">
        <v>18</v>
      </c>
      <c r="J411" s="3" t="s">
        <v>1805</v>
      </c>
      <c r="K411" s="3" t="s">
        <v>36</v>
      </c>
      <c r="L411" s="4">
        <v>43873</v>
      </c>
      <c r="M411" s="3" t="s">
        <v>21</v>
      </c>
      <c r="N411" s="3" t="s">
        <v>1806</v>
      </c>
    </row>
    <row r="412" spans="1:14" ht="13.5">
      <c r="A412" s="5">
        <v>406</v>
      </c>
      <c r="B412" s="5" t="str">
        <f>"201900078797"</f>
        <v>201900078797</v>
      </c>
      <c r="C412" s="5" t="str">
        <f>"143564"</f>
        <v>143564</v>
      </c>
      <c r="D412" s="5" t="s">
        <v>1807</v>
      </c>
      <c r="E412" s="5">
        <v>20495632998</v>
      </c>
      <c r="F412" s="5" t="s">
        <v>1808</v>
      </c>
      <c r="G412" s="5" t="s">
        <v>1809</v>
      </c>
      <c r="H412" s="5" t="s">
        <v>73</v>
      </c>
      <c r="I412" s="5" t="s">
        <v>74</v>
      </c>
      <c r="J412" s="5" t="s">
        <v>74</v>
      </c>
      <c r="K412" s="5" t="s">
        <v>97</v>
      </c>
      <c r="L412" s="6">
        <v>43617</v>
      </c>
      <c r="M412" s="5" t="s">
        <v>21</v>
      </c>
      <c r="N412" s="5" t="s">
        <v>1810</v>
      </c>
    </row>
    <row r="413" spans="1:14" ht="13.5">
      <c r="A413" s="3">
        <v>407</v>
      </c>
      <c r="B413" s="3" t="str">
        <f>"201900078797"</f>
        <v>201900078797</v>
      </c>
      <c r="C413" s="3" t="str">
        <f>"143563"</f>
        <v>143563</v>
      </c>
      <c r="D413" s="3" t="s">
        <v>1811</v>
      </c>
      <c r="E413" s="3">
        <v>20491784688</v>
      </c>
      <c r="F413" s="3" t="s">
        <v>1812</v>
      </c>
      <c r="G413" s="3" t="s">
        <v>1813</v>
      </c>
      <c r="H413" s="3" t="s">
        <v>73</v>
      </c>
      <c r="I413" s="3" t="s">
        <v>74</v>
      </c>
      <c r="J413" s="3" t="s">
        <v>74</v>
      </c>
      <c r="K413" s="3" t="s">
        <v>51</v>
      </c>
      <c r="L413" s="4">
        <v>43617</v>
      </c>
      <c r="M413" s="3" t="s">
        <v>21</v>
      </c>
      <c r="N413" s="3" t="s">
        <v>1814</v>
      </c>
    </row>
    <row r="414" spans="1:14" ht="13.5">
      <c r="A414" s="5">
        <v>408</v>
      </c>
      <c r="B414" s="5" t="str">
        <f>"201900078797"</f>
        <v>201900078797</v>
      </c>
      <c r="C414" s="5" t="str">
        <f>"143566"</f>
        <v>143566</v>
      </c>
      <c r="D414" s="5" t="s">
        <v>1815</v>
      </c>
      <c r="E414" s="5">
        <v>20510976887</v>
      </c>
      <c r="F414" s="5" t="s">
        <v>1816</v>
      </c>
      <c r="G414" s="5" t="s">
        <v>907</v>
      </c>
      <c r="H414" s="5" t="s">
        <v>73</v>
      </c>
      <c r="I414" s="5" t="s">
        <v>74</v>
      </c>
      <c r="J414" s="5" t="s">
        <v>74</v>
      </c>
      <c r="K414" s="5" t="s">
        <v>51</v>
      </c>
      <c r="L414" s="6">
        <v>43617</v>
      </c>
      <c r="M414" s="5" t="s">
        <v>21</v>
      </c>
      <c r="N414" s="5" t="s">
        <v>1817</v>
      </c>
    </row>
    <row r="415" spans="1:14" ht="27.75">
      <c r="A415" s="3">
        <v>409</v>
      </c>
      <c r="B415" s="3" t="str">
        <f>"201900078797"</f>
        <v>201900078797</v>
      </c>
      <c r="C415" s="3" t="str">
        <f>"143565"</f>
        <v>143565</v>
      </c>
      <c r="D415" s="3" t="s">
        <v>1818</v>
      </c>
      <c r="E415" s="3">
        <v>20509902900</v>
      </c>
      <c r="F415" s="3" t="s">
        <v>1819</v>
      </c>
      <c r="G415" s="3" t="s">
        <v>1820</v>
      </c>
      <c r="H415" s="3" t="s">
        <v>73</v>
      </c>
      <c r="I415" s="3" t="s">
        <v>74</v>
      </c>
      <c r="J415" s="3" t="s">
        <v>74</v>
      </c>
      <c r="K415" s="3" t="s">
        <v>36</v>
      </c>
      <c r="L415" s="4">
        <v>43617</v>
      </c>
      <c r="M415" s="3" t="s">
        <v>21</v>
      </c>
      <c r="N415" s="3" t="s">
        <v>1821</v>
      </c>
    </row>
    <row r="416" spans="1:14" ht="69.75">
      <c r="A416" s="5">
        <v>410</v>
      </c>
      <c r="B416" s="5" t="str">
        <f>"202000003323"</f>
        <v>202000003323</v>
      </c>
      <c r="C416" s="5" t="str">
        <f>"148645"</f>
        <v>148645</v>
      </c>
      <c r="D416" s="5" t="s">
        <v>1822</v>
      </c>
      <c r="E416" s="5">
        <v>20601134854</v>
      </c>
      <c r="F416" s="5" t="s">
        <v>1823</v>
      </c>
      <c r="G416" s="5" t="s">
        <v>1824</v>
      </c>
      <c r="H416" s="5" t="s">
        <v>274</v>
      </c>
      <c r="I416" s="5" t="s">
        <v>274</v>
      </c>
      <c r="J416" s="5" t="s">
        <v>1825</v>
      </c>
      <c r="K416" s="5" t="s">
        <v>426</v>
      </c>
      <c r="L416" s="6">
        <v>43844</v>
      </c>
      <c r="M416" s="5" t="s">
        <v>21</v>
      </c>
      <c r="N416" s="5" t="s">
        <v>1826</v>
      </c>
    </row>
    <row r="417" spans="1:14" ht="13.5">
      <c r="A417" s="3">
        <v>411</v>
      </c>
      <c r="B417" s="3" t="str">
        <f>"201900133804"</f>
        <v>201900133804</v>
      </c>
      <c r="C417" s="3" t="str">
        <f>"145955"</f>
        <v>145955</v>
      </c>
      <c r="D417" s="3" t="s">
        <v>1827</v>
      </c>
      <c r="E417" s="3">
        <v>10314284351</v>
      </c>
      <c r="F417" s="3" t="s">
        <v>1828</v>
      </c>
      <c r="G417" s="3" t="s">
        <v>1829</v>
      </c>
      <c r="H417" s="3" t="s">
        <v>1830</v>
      </c>
      <c r="I417" s="3" t="s">
        <v>1831</v>
      </c>
      <c r="J417" s="3" t="s">
        <v>1832</v>
      </c>
      <c r="K417" s="3" t="s">
        <v>36</v>
      </c>
      <c r="L417" s="4">
        <v>43698</v>
      </c>
      <c r="M417" s="3" t="s">
        <v>21</v>
      </c>
      <c r="N417" s="3" t="s">
        <v>1828</v>
      </c>
    </row>
    <row r="418" spans="1:14" ht="13.5">
      <c r="A418" s="5">
        <v>412</v>
      </c>
      <c r="B418" s="5" t="str">
        <f>"202000121972"</f>
        <v>202000121972</v>
      </c>
      <c r="C418" s="5" t="str">
        <f>"150755"</f>
        <v>150755</v>
      </c>
      <c r="D418" s="5" t="s">
        <v>1833</v>
      </c>
      <c r="E418" s="5">
        <v>20571410771</v>
      </c>
      <c r="F418" s="5" t="s">
        <v>1834</v>
      </c>
      <c r="G418" s="5" t="s">
        <v>1835</v>
      </c>
      <c r="H418" s="5" t="s">
        <v>1645</v>
      </c>
      <c r="I418" s="5" t="s">
        <v>1836</v>
      </c>
      <c r="J418" s="5" t="s">
        <v>1837</v>
      </c>
      <c r="K418" s="5" t="s">
        <v>36</v>
      </c>
      <c r="L418" s="6">
        <v>44092</v>
      </c>
      <c r="M418" s="5" t="s">
        <v>21</v>
      </c>
      <c r="N418" s="5" t="s">
        <v>1838</v>
      </c>
    </row>
    <row r="419" spans="1:14" ht="42">
      <c r="A419" s="3">
        <v>413</v>
      </c>
      <c r="B419" s="3" t="str">
        <f>"201900157097"</f>
        <v>201900157097</v>
      </c>
      <c r="C419" s="3" t="str">
        <f>"146779"</f>
        <v>146779</v>
      </c>
      <c r="D419" s="3" t="s">
        <v>1839</v>
      </c>
      <c r="E419" s="3">
        <v>20603493169</v>
      </c>
      <c r="F419" s="3" t="s">
        <v>1840</v>
      </c>
      <c r="G419" s="3" t="s">
        <v>1841</v>
      </c>
      <c r="H419" s="3" t="s">
        <v>18</v>
      </c>
      <c r="I419" s="3" t="s">
        <v>18</v>
      </c>
      <c r="J419" s="3" t="s">
        <v>779</v>
      </c>
      <c r="K419" s="3" t="s">
        <v>42</v>
      </c>
      <c r="L419" s="4">
        <v>43740</v>
      </c>
      <c r="M419" s="3" t="s">
        <v>21</v>
      </c>
      <c r="N419" s="3" t="s">
        <v>1842</v>
      </c>
    </row>
    <row r="420" spans="1:14" ht="13.5">
      <c r="A420" s="5">
        <v>414</v>
      </c>
      <c r="B420" s="5" t="str">
        <f>"202000094723"</f>
        <v>202000094723</v>
      </c>
      <c r="C420" s="5" t="str">
        <f>"150296"</f>
        <v>150296</v>
      </c>
      <c r="D420" s="5" t="s">
        <v>1843</v>
      </c>
      <c r="E420" s="5">
        <v>20556196894</v>
      </c>
      <c r="F420" s="5" t="s">
        <v>1844</v>
      </c>
      <c r="G420" s="5" t="s">
        <v>1845</v>
      </c>
      <c r="H420" s="5" t="s">
        <v>18</v>
      </c>
      <c r="I420" s="5" t="s">
        <v>18</v>
      </c>
      <c r="J420" s="5" t="s">
        <v>1846</v>
      </c>
      <c r="K420" s="5" t="s">
        <v>51</v>
      </c>
      <c r="L420" s="6">
        <v>44054</v>
      </c>
      <c r="M420" s="5" t="s">
        <v>21</v>
      </c>
      <c r="N420" s="5" t="s">
        <v>1847</v>
      </c>
    </row>
    <row r="421" spans="1:14" ht="13.5">
      <c r="A421" s="3">
        <v>415</v>
      </c>
      <c r="B421" s="3" t="str">
        <f>"201900078797"</f>
        <v>201900078797</v>
      </c>
      <c r="C421" s="3" t="str">
        <f>"143537"</f>
        <v>143537</v>
      </c>
      <c r="D421" s="3" t="s">
        <v>1848</v>
      </c>
      <c r="E421" s="3">
        <v>20165230974</v>
      </c>
      <c r="F421" s="3" t="s">
        <v>1849</v>
      </c>
      <c r="G421" s="3" t="s">
        <v>1850</v>
      </c>
      <c r="H421" s="3" t="s">
        <v>73</v>
      </c>
      <c r="I421" s="3" t="s">
        <v>74</v>
      </c>
      <c r="J421" s="3" t="s">
        <v>74</v>
      </c>
      <c r="K421" s="3" t="s">
        <v>97</v>
      </c>
      <c r="L421" s="4">
        <v>43617</v>
      </c>
      <c r="M421" s="3" t="s">
        <v>21</v>
      </c>
      <c r="N421" s="3" t="s">
        <v>1851</v>
      </c>
    </row>
    <row r="422" spans="1:14" ht="27.75">
      <c r="A422" s="5">
        <v>416</v>
      </c>
      <c r="B422" s="5" t="str">
        <f>"201900078797"</f>
        <v>201900078797</v>
      </c>
      <c r="C422" s="5" t="str">
        <f>"143538"</f>
        <v>143538</v>
      </c>
      <c r="D422" s="5" t="s">
        <v>1852</v>
      </c>
      <c r="E422" s="5">
        <v>20353823052</v>
      </c>
      <c r="F422" s="5" t="s">
        <v>1614</v>
      </c>
      <c r="G422" s="5" t="s">
        <v>1853</v>
      </c>
      <c r="H422" s="5" t="s">
        <v>73</v>
      </c>
      <c r="I422" s="5" t="s">
        <v>74</v>
      </c>
      <c r="J422" s="5" t="s">
        <v>74</v>
      </c>
      <c r="K422" s="5" t="s">
        <v>51</v>
      </c>
      <c r="L422" s="6">
        <v>43617</v>
      </c>
      <c r="M422" s="5" t="s">
        <v>21</v>
      </c>
      <c r="N422" s="5" t="s">
        <v>1616</v>
      </c>
    </row>
    <row r="423" spans="1:14" ht="13.5">
      <c r="A423" s="3">
        <v>417</v>
      </c>
      <c r="B423" s="3" t="str">
        <f>"201900078797"</f>
        <v>201900078797</v>
      </c>
      <c r="C423" s="3" t="str">
        <f>"143539"</f>
        <v>143539</v>
      </c>
      <c r="D423" s="3" t="s">
        <v>1854</v>
      </c>
      <c r="E423" s="3">
        <v>20354793416</v>
      </c>
      <c r="F423" s="3" t="s">
        <v>1855</v>
      </c>
      <c r="G423" s="3" t="s">
        <v>1856</v>
      </c>
      <c r="H423" s="3" t="s">
        <v>73</v>
      </c>
      <c r="I423" s="3" t="s">
        <v>74</v>
      </c>
      <c r="J423" s="3" t="s">
        <v>74</v>
      </c>
      <c r="K423" s="3" t="s">
        <v>51</v>
      </c>
      <c r="L423" s="4">
        <v>43617</v>
      </c>
      <c r="M423" s="3" t="s">
        <v>21</v>
      </c>
      <c r="N423" s="3" t="s">
        <v>1857</v>
      </c>
    </row>
    <row r="424" spans="1:14" ht="13.5">
      <c r="A424" s="5">
        <v>418</v>
      </c>
      <c r="B424" s="5" t="str">
        <f>"201900078797"</f>
        <v>201900078797</v>
      </c>
      <c r="C424" s="5" t="str">
        <f>"143540"</f>
        <v>143540</v>
      </c>
      <c r="D424" s="5" t="s">
        <v>1858</v>
      </c>
      <c r="E424" s="5">
        <v>20396882630</v>
      </c>
      <c r="F424" s="5" t="s">
        <v>1859</v>
      </c>
      <c r="G424" s="5" t="s">
        <v>1860</v>
      </c>
      <c r="H424" s="5" t="s">
        <v>73</v>
      </c>
      <c r="I424" s="5" t="s">
        <v>74</v>
      </c>
      <c r="J424" s="5" t="s">
        <v>74</v>
      </c>
      <c r="K424" s="5" t="s">
        <v>36</v>
      </c>
      <c r="L424" s="6">
        <v>43617</v>
      </c>
      <c r="M424" s="5" t="s">
        <v>21</v>
      </c>
      <c r="N424" s="5" t="s">
        <v>1730</v>
      </c>
    </row>
    <row r="425" spans="1:14" ht="13.5">
      <c r="A425" s="3">
        <v>419</v>
      </c>
      <c r="B425" s="3" t="str">
        <f>"201900078683"</f>
        <v>201900078683</v>
      </c>
      <c r="C425" s="3" t="str">
        <f>"115049"</f>
        <v>115049</v>
      </c>
      <c r="D425" s="3" t="s">
        <v>1861</v>
      </c>
      <c r="E425" s="3">
        <v>10774650615</v>
      </c>
      <c r="F425" s="3" t="s">
        <v>1862</v>
      </c>
      <c r="G425" s="3" t="s">
        <v>1863</v>
      </c>
      <c r="H425" s="3" t="s">
        <v>160</v>
      </c>
      <c r="I425" s="3" t="s">
        <v>160</v>
      </c>
      <c r="J425" s="3" t="s">
        <v>764</v>
      </c>
      <c r="K425" s="3" t="s">
        <v>36</v>
      </c>
      <c r="L425" s="3" t="s">
        <v>1864</v>
      </c>
      <c r="M425" s="3" t="s">
        <v>21</v>
      </c>
      <c r="N425" s="3"/>
    </row>
    <row r="426" spans="1:14" ht="27.75">
      <c r="A426" s="5">
        <v>420</v>
      </c>
      <c r="B426" s="5" t="str">
        <f>"201900176627"</f>
        <v>201900176627</v>
      </c>
      <c r="C426" s="5" t="str">
        <f>"146786"</f>
        <v>146786</v>
      </c>
      <c r="D426" s="5" t="s">
        <v>1865</v>
      </c>
      <c r="E426" s="5">
        <v>20603310366</v>
      </c>
      <c r="F426" s="5" t="s">
        <v>1866</v>
      </c>
      <c r="G426" s="5" t="s">
        <v>1867</v>
      </c>
      <c r="H426" s="5" t="s">
        <v>18</v>
      </c>
      <c r="I426" s="5" t="s">
        <v>18</v>
      </c>
      <c r="J426" s="5" t="s">
        <v>1868</v>
      </c>
      <c r="K426" s="5" t="s">
        <v>20</v>
      </c>
      <c r="L426" s="6">
        <v>43774</v>
      </c>
      <c r="M426" s="5" t="s">
        <v>21</v>
      </c>
      <c r="N426" s="5" t="s">
        <v>1869</v>
      </c>
    </row>
    <row r="427" spans="1:14" ht="13.5">
      <c r="A427" s="3">
        <v>421</v>
      </c>
      <c r="B427" s="3" t="str">
        <f>"201900169783"</f>
        <v>201900169783</v>
      </c>
      <c r="C427" s="3" t="str">
        <f>"147208"</f>
        <v>147208</v>
      </c>
      <c r="D427" s="3" t="s">
        <v>1870</v>
      </c>
      <c r="E427" s="3">
        <v>20524281148</v>
      </c>
      <c r="F427" s="3" t="s">
        <v>1871</v>
      </c>
      <c r="G427" s="3" t="s">
        <v>1872</v>
      </c>
      <c r="H427" s="3" t="s">
        <v>513</v>
      </c>
      <c r="I427" s="3" t="s">
        <v>513</v>
      </c>
      <c r="J427" s="3" t="s">
        <v>1172</v>
      </c>
      <c r="K427" s="3" t="s">
        <v>51</v>
      </c>
      <c r="L427" s="4">
        <v>43759</v>
      </c>
      <c r="M427" s="3" t="s">
        <v>21</v>
      </c>
      <c r="N427" s="3" t="s">
        <v>1873</v>
      </c>
    </row>
    <row r="428" spans="1:14" ht="111.75">
      <c r="A428" s="5">
        <v>422</v>
      </c>
      <c r="B428" s="5" t="str">
        <f>"201900214382"</f>
        <v>201900214382</v>
      </c>
      <c r="C428" s="5" t="str">
        <f>"148478"</f>
        <v>148478</v>
      </c>
      <c r="D428" s="5" t="s">
        <v>1874</v>
      </c>
      <c r="E428" s="5">
        <v>20367525135</v>
      </c>
      <c r="F428" s="5" t="s">
        <v>1875</v>
      </c>
      <c r="G428" s="5" t="s">
        <v>1876</v>
      </c>
      <c r="H428" s="5" t="s">
        <v>1017</v>
      </c>
      <c r="I428" s="5" t="s">
        <v>1877</v>
      </c>
      <c r="J428" s="5" t="s">
        <v>1878</v>
      </c>
      <c r="K428" s="5" t="s">
        <v>1384</v>
      </c>
      <c r="L428" s="6">
        <v>43837</v>
      </c>
      <c r="M428" s="5" t="s">
        <v>21</v>
      </c>
      <c r="N428" s="5" t="s">
        <v>1879</v>
      </c>
    </row>
    <row r="429" spans="1:14" ht="13.5">
      <c r="A429" s="3">
        <v>423</v>
      </c>
      <c r="B429" s="3" t="str">
        <f aca="true" t="shared" si="6" ref="B429:B434">"201900078797"</f>
        <v>201900078797</v>
      </c>
      <c r="C429" s="3" t="str">
        <f>"143542"</f>
        <v>143542</v>
      </c>
      <c r="D429" s="3" t="s">
        <v>1880</v>
      </c>
      <c r="E429" s="3">
        <v>20397595782</v>
      </c>
      <c r="F429" s="3" t="s">
        <v>1881</v>
      </c>
      <c r="G429" s="3" t="s">
        <v>1882</v>
      </c>
      <c r="H429" s="3" t="s">
        <v>73</v>
      </c>
      <c r="I429" s="3" t="s">
        <v>74</v>
      </c>
      <c r="J429" s="3" t="s">
        <v>74</v>
      </c>
      <c r="K429" s="3" t="s">
        <v>1883</v>
      </c>
      <c r="L429" s="4">
        <v>43617</v>
      </c>
      <c r="M429" s="3" t="s">
        <v>21</v>
      </c>
      <c r="N429" s="3" t="s">
        <v>1884</v>
      </c>
    </row>
    <row r="430" spans="1:14" ht="13.5">
      <c r="A430" s="5">
        <v>424</v>
      </c>
      <c r="B430" s="5" t="str">
        <f t="shared" si="6"/>
        <v>201900078797</v>
      </c>
      <c r="C430" s="5" t="str">
        <f>"143541"</f>
        <v>143541</v>
      </c>
      <c r="D430" s="5" t="s">
        <v>1885</v>
      </c>
      <c r="E430" s="5">
        <v>20397228526</v>
      </c>
      <c r="F430" s="5" t="s">
        <v>1886</v>
      </c>
      <c r="G430" s="5" t="s">
        <v>1887</v>
      </c>
      <c r="H430" s="5" t="s">
        <v>73</v>
      </c>
      <c r="I430" s="5" t="s">
        <v>74</v>
      </c>
      <c r="J430" s="5" t="s">
        <v>74</v>
      </c>
      <c r="K430" s="5" t="s">
        <v>36</v>
      </c>
      <c r="L430" s="6">
        <v>43617</v>
      </c>
      <c r="M430" s="5" t="s">
        <v>21</v>
      </c>
      <c r="N430" s="5" t="s">
        <v>1888</v>
      </c>
    </row>
    <row r="431" spans="1:14" ht="27.75">
      <c r="A431" s="3">
        <v>425</v>
      </c>
      <c r="B431" s="3" t="str">
        <f t="shared" si="6"/>
        <v>201900078797</v>
      </c>
      <c r="C431" s="3" t="str">
        <f>"143544"</f>
        <v>143544</v>
      </c>
      <c r="D431" s="3" t="s">
        <v>1889</v>
      </c>
      <c r="E431" s="3">
        <v>20440340858</v>
      </c>
      <c r="F431" s="3" t="s">
        <v>1890</v>
      </c>
      <c r="G431" s="3" t="s">
        <v>1891</v>
      </c>
      <c r="H431" s="3" t="s">
        <v>73</v>
      </c>
      <c r="I431" s="3" t="s">
        <v>74</v>
      </c>
      <c r="J431" s="3" t="s">
        <v>74</v>
      </c>
      <c r="K431" s="3" t="s">
        <v>1892</v>
      </c>
      <c r="L431" s="4">
        <v>43617</v>
      </c>
      <c r="M431" s="3" t="s">
        <v>21</v>
      </c>
      <c r="N431" s="3" t="s">
        <v>1893</v>
      </c>
    </row>
    <row r="432" spans="1:14" ht="13.5">
      <c r="A432" s="5">
        <v>426</v>
      </c>
      <c r="B432" s="5" t="str">
        <f t="shared" si="6"/>
        <v>201900078797</v>
      </c>
      <c r="C432" s="5" t="str">
        <f>"143543"</f>
        <v>143543</v>
      </c>
      <c r="D432" s="5" t="s">
        <v>1894</v>
      </c>
      <c r="E432" s="5">
        <v>20439269694</v>
      </c>
      <c r="F432" s="5" t="s">
        <v>1895</v>
      </c>
      <c r="G432" s="5" t="s">
        <v>1896</v>
      </c>
      <c r="H432" s="5" t="s">
        <v>73</v>
      </c>
      <c r="I432" s="5" t="s">
        <v>74</v>
      </c>
      <c r="J432" s="5" t="s">
        <v>74</v>
      </c>
      <c r="K432" s="5" t="s">
        <v>97</v>
      </c>
      <c r="L432" s="6">
        <v>43617</v>
      </c>
      <c r="M432" s="5" t="s">
        <v>21</v>
      </c>
      <c r="N432" s="5" t="s">
        <v>1730</v>
      </c>
    </row>
    <row r="433" spans="1:14" ht="13.5">
      <c r="A433" s="3">
        <v>427</v>
      </c>
      <c r="B433" s="3" t="str">
        <f t="shared" si="6"/>
        <v>201900078797</v>
      </c>
      <c r="C433" s="3" t="str">
        <f>"143546"</f>
        <v>143546</v>
      </c>
      <c r="D433" s="3" t="s">
        <v>1897</v>
      </c>
      <c r="E433" s="3">
        <v>20445587690</v>
      </c>
      <c r="F433" s="3" t="s">
        <v>1898</v>
      </c>
      <c r="G433" s="3" t="s">
        <v>1899</v>
      </c>
      <c r="H433" s="3" t="s">
        <v>73</v>
      </c>
      <c r="I433" s="3" t="s">
        <v>74</v>
      </c>
      <c r="J433" s="3" t="s">
        <v>74</v>
      </c>
      <c r="K433" s="3" t="s">
        <v>51</v>
      </c>
      <c r="L433" s="4">
        <v>43617</v>
      </c>
      <c r="M433" s="3" t="s">
        <v>21</v>
      </c>
      <c r="N433" s="3" t="s">
        <v>1900</v>
      </c>
    </row>
    <row r="434" spans="1:14" ht="13.5">
      <c r="A434" s="5">
        <v>428</v>
      </c>
      <c r="B434" s="5" t="str">
        <f t="shared" si="6"/>
        <v>201900078797</v>
      </c>
      <c r="C434" s="5" t="str">
        <f>"143545"</f>
        <v>143545</v>
      </c>
      <c r="D434" s="5" t="s">
        <v>1901</v>
      </c>
      <c r="E434" s="5">
        <v>20445256154</v>
      </c>
      <c r="F434" s="5" t="s">
        <v>1902</v>
      </c>
      <c r="G434" s="5" t="s">
        <v>1903</v>
      </c>
      <c r="H434" s="5" t="s">
        <v>73</v>
      </c>
      <c r="I434" s="5" t="s">
        <v>74</v>
      </c>
      <c r="J434" s="5" t="s">
        <v>74</v>
      </c>
      <c r="K434" s="5" t="s">
        <v>97</v>
      </c>
      <c r="L434" s="6">
        <v>43617</v>
      </c>
      <c r="M434" s="5" t="s">
        <v>21</v>
      </c>
      <c r="N434" s="5" t="s">
        <v>1904</v>
      </c>
    </row>
    <row r="435" spans="1:14" ht="13.5">
      <c r="A435" s="3">
        <v>429</v>
      </c>
      <c r="B435" s="3" t="str">
        <f>"201900191486"</f>
        <v>201900191486</v>
      </c>
      <c r="C435" s="3" t="str">
        <f>"147874"</f>
        <v>147874</v>
      </c>
      <c r="D435" s="3" t="s">
        <v>1905</v>
      </c>
      <c r="E435" s="3">
        <v>20605085424</v>
      </c>
      <c r="F435" s="3" t="s">
        <v>1906</v>
      </c>
      <c r="G435" s="3" t="s">
        <v>1907</v>
      </c>
      <c r="H435" s="3" t="s">
        <v>18</v>
      </c>
      <c r="I435" s="3" t="s">
        <v>18</v>
      </c>
      <c r="J435" s="3" t="s">
        <v>19</v>
      </c>
      <c r="K435" s="3" t="s">
        <v>51</v>
      </c>
      <c r="L435" s="4">
        <v>43803</v>
      </c>
      <c r="M435" s="3" t="s">
        <v>21</v>
      </c>
      <c r="N435" s="3" t="s">
        <v>1908</v>
      </c>
    </row>
    <row r="436" spans="1:14" ht="27.75">
      <c r="A436" s="5">
        <v>430</v>
      </c>
      <c r="B436" s="5" t="str">
        <f>"202000094972"</f>
        <v>202000094972</v>
      </c>
      <c r="C436" s="5" t="str">
        <f>"150300"</f>
        <v>150300</v>
      </c>
      <c r="D436" s="5" t="s">
        <v>1909</v>
      </c>
      <c r="E436" s="5">
        <v>10426483381</v>
      </c>
      <c r="F436" s="5" t="s">
        <v>1910</v>
      </c>
      <c r="G436" s="5" t="s">
        <v>1911</v>
      </c>
      <c r="H436" s="5" t="s">
        <v>73</v>
      </c>
      <c r="I436" s="5" t="s">
        <v>74</v>
      </c>
      <c r="J436" s="5" t="s">
        <v>1912</v>
      </c>
      <c r="K436" s="5" t="s">
        <v>1913</v>
      </c>
      <c r="L436" s="6">
        <v>44044</v>
      </c>
      <c r="M436" s="5" t="s">
        <v>21</v>
      </c>
      <c r="N436" s="5" t="s">
        <v>1910</v>
      </c>
    </row>
    <row r="437" spans="1:14" ht="55.5">
      <c r="A437" s="3">
        <v>431</v>
      </c>
      <c r="B437" s="3" t="str">
        <f aca="true" t="shared" si="7" ref="B437:B446">"201900078803"</f>
        <v>201900078803</v>
      </c>
      <c r="C437" s="3" t="str">
        <f>"143805"</f>
        <v>143805</v>
      </c>
      <c r="D437" s="3" t="s">
        <v>1914</v>
      </c>
      <c r="E437" s="3">
        <v>20511110018</v>
      </c>
      <c r="F437" s="3" t="s">
        <v>1915</v>
      </c>
      <c r="G437" s="3" t="s">
        <v>1916</v>
      </c>
      <c r="H437" s="3" t="s">
        <v>513</v>
      </c>
      <c r="I437" s="3" t="s">
        <v>513</v>
      </c>
      <c r="J437" s="3" t="s">
        <v>514</v>
      </c>
      <c r="K437" s="3" t="s">
        <v>1917</v>
      </c>
      <c r="L437" s="4">
        <v>43617</v>
      </c>
      <c r="M437" s="3" t="s">
        <v>21</v>
      </c>
      <c r="N437" s="3" t="s">
        <v>1918</v>
      </c>
    </row>
    <row r="438" spans="1:14" ht="27.75">
      <c r="A438" s="5">
        <v>432</v>
      </c>
      <c r="B438" s="5" t="str">
        <f t="shared" si="7"/>
        <v>201900078803</v>
      </c>
      <c r="C438" s="5" t="str">
        <f>"143806"</f>
        <v>143806</v>
      </c>
      <c r="D438" s="5" t="s">
        <v>1919</v>
      </c>
      <c r="E438" s="5">
        <v>20513118091</v>
      </c>
      <c r="F438" s="5" t="s">
        <v>1920</v>
      </c>
      <c r="G438" s="5" t="s">
        <v>1921</v>
      </c>
      <c r="H438" s="5" t="s">
        <v>513</v>
      </c>
      <c r="I438" s="5" t="s">
        <v>513</v>
      </c>
      <c r="J438" s="5" t="s">
        <v>514</v>
      </c>
      <c r="K438" s="5" t="s">
        <v>1922</v>
      </c>
      <c r="L438" s="6">
        <v>43617</v>
      </c>
      <c r="M438" s="5" t="s">
        <v>21</v>
      </c>
      <c r="N438" s="5" t="s">
        <v>1923</v>
      </c>
    </row>
    <row r="439" spans="1:14" ht="27.75">
      <c r="A439" s="3">
        <v>433</v>
      </c>
      <c r="B439" s="3" t="str">
        <f t="shared" si="7"/>
        <v>201900078803</v>
      </c>
      <c r="C439" s="3" t="str">
        <f>"143802"</f>
        <v>143802</v>
      </c>
      <c r="D439" s="3" t="s">
        <v>1924</v>
      </c>
      <c r="E439" s="3">
        <v>20504159290</v>
      </c>
      <c r="F439" s="3" t="s">
        <v>1925</v>
      </c>
      <c r="G439" s="3" t="s">
        <v>1926</v>
      </c>
      <c r="H439" s="3" t="s">
        <v>513</v>
      </c>
      <c r="I439" s="3" t="s">
        <v>513</v>
      </c>
      <c r="J439" s="3" t="s">
        <v>514</v>
      </c>
      <c r="K439" s="3" t="s">
        <v>137</v>
      </c>
      <c r="L439" s="4">
        <v>43617</v>
      </c>
      <c r="M439" s="3" t="s">
        <v>21</v>
      </c>
      <c r="N439" s="3" t="s">
        <v>1927</v>
      </c>
    </row>
    <row r="440" spans="1:14" ht="27.75">
      <c r="A440" s="5">
        <v>434</v>
      </c>
      <c r="B440" s="5" t="str">
        <f t="shared" si="7"/>
        <v>201900078803</v>
      </c>
      <c r="C440" s="5" t="str">
        <f>"143801"</f>
        <v>143801</v>
      </c>
      <c r="D440" s="5" t="s">
        <v>1928</v>
      </c>
      <c r="E440" s="5">
        <v>20292391189</v>
      </c>
      <c r="F440" s="5" t="s">
        <v>1929</v>
      </c>
      <c r="G440" s="5" t="s">
        <v>1930</v>
      </c>
      <c r="H440" s="5" t="s">
        <v>513</v>
      </c>
      <c r="I440" s="5" t="s">
        <v>513</v>
      </c>
      <c r="J440" s="5" t="s">
        <v>514</v>
      </c>
      <c r="K440" s="5" t="s">
        <v>20</v>
      </c>
      <c r="L440" s="6">
        <v>43617</v>
      </c>
      <c r="M440" s="5" t="s">
        <v>21</v>
      </c>
      <c r="N440" s="5" t="s">
        <v>1931</v>
      </c>
    </row>
    <row r="441" spans="1:14" ht="27.75">
      <c r="A441" s="3">
        <v>435</v>
      </c>
      <c r="B441" s="3" t="str">
        <f t="shared" si="7"/>
        <v>201900078803</v>
      </c>
      <c r="C441" s="3" t="str">
        <f>"143804"</f>
        <v>143804</v>
      </c>
      <c r="D441" s="3" t="s">
        <v>1932</v>
      </c>
      <c r="E441" s="3">
        <v>20510467494</v>
      </c>
      <c r="F441" s="3" t="s">
        <v>1933</v>
      </c>
      <c r="G441" s="3" t="s">
        <v>1934</v>
      </c>
      <c r="H441" s="3" t="s">
        <v>513</v>
      </c>
      <c r="I441" s="3" t="s">
        <v>513</v>
      </c>
      <c r="J441" s="3" t="s">
        <v>514</v>
      </c>
      <c r="K441" s="3" t="s">
        <v>36</v>
      </c>
      <c r="L441" s="4">
        <v>43617</v>
      </c>
      <c r="M441" s="3" t="s">
        <v>21</v>
      </c>
      <c r="N441" s="3" t="s">
        <v>1935</v>
      </c>
    </row>
    <row r="442" spans="1:14" ht="27.75">
      <c r="A442" s="5">
        <v>436</v>
      </c>
      <c r="B442" s="5" t="str">
        <f t="shared" si="7"/>
        <v>201900078803</v>
      </c>
      <c r="C442" s="5" t="str">
        <f>"143803"</f>
        <v>143803</v>
      </c>
      <c r="D442" s="5" t="s">
        <v>1936</v>
      </c>
      <c r="E442" s="5">
        <v>20510414455</v>
      </c>
      <c r="F442" s="5" t="s">
        <v>1937</v>
      </c>
      <c r="G442" s="5" t="s">
        <v>1938</v>
      </c>
      <c r="H442" s="5" t="s">
        <v>513</v>
      </c>
      <c r="I442" s="5" t="s">
        <v>513</v>
      </c>
      <c r="J442" s="5" t="s">
        <v>514</v>
      </c>
      <c r="K442" s="5" t="s">
        <v>51</v>
      </c>
      <c r="L442" s="6">
        <v>43617</v>
      </c>
      <c r="M442" s="5" t="s">
        <v>21</v>
      </c>
      <c r="N442" s="5" t="s">
        <v>1939</v>
      </c>
    </row>
    <row r="443" spans="1:14" ht="27.75">
      <c r="A443" s="3">
        <v>437</v>
      </c>
      <c r="B443" s="3" t="str">
        <f t="shared" si="7"/>
        <v>201900078803</v>
      </c>
      <c r="C443" s="3" t="str">
        <f>"143798"</f>
        <v>143798</v>
      </c>
      <c r="D443" s="3" t="s">
        <v>1940</v>
      </c>
      <c r="E443" s="3">
        <v>20167329234</v>
      </c>
      <c r="F443" s="3" t="s">
        <v>1941</v>
      </c>
      <c r="G443" s="3" t="s">
        <v>1942</v>
      </c>
      <c r="H443" s="3" t="s">
        <v>513</v>
      </c>
      <c r="I443" s="3" t="s">
        <v>513</v>
      </c>
      <c r="J443" s="3" t="s">
        <v>1943</v>
      </c>
      <c r="K443" s="3" t="s">
        <v>137</v>
      </c>
      <c r="L443" s="4">
        <v>43617</v>
      </c>
      <c r="M443" s="3" t="s">
        <v>21</v>
      </c>
      <c r="N443" s="3" t="s">
        <v>1944</v>
      </c>
    </row>
    <row r="444" spans="1:14" ht="27.75">
      <c r="A444" s="5">
        <v>438</v>
      </c>
      <c r="B444" s="5" t="str">
        <f t="shared" si="7"/>
        <v>201900078803</v>
      </c>
      <c r="C444" s="5" t="str">
        <f>"143797"</f>
        <v>143797</v>
      </c>
      <c r="D444" s="5" t="s">
        <v>1945</v>
      </c>
      <c r="E444" s="5">
        <v>20603051778</v>
      </c>
      <c r="F444" s="5" t="s">
        <v>1946</v>
      </c>
      <c r="G444" s="5" t="s">
        <v>1947</v>
      </c>
      <c r="H444" s="5" t="s">
        <v>513</v>
      </c>
      <c r="I444" s="5" t="s">
        <v>513</v>
      </c>
      <c r="J444" s="5" t="s">
        <v>1172</v>
      </c>
      <c r="K444" s="5" t="s">
        <v>1883</v>
      </c>
      <c r="L444" s="6">
        <v>43617</v>
      </c>
      <c r="M444" s="5" t="s">
        <v>21</v>
      </c>
      <c r="N444" s="5" t="s">
        <v>1948</v>
      </c>
    </row>
    <row r="445" spans="1:14" ht="42">
      <c r="A445" s="3">
        <v>439</v>
      </c>
      <c r="B445" s="3" t="str">
        <f t="shared" si="7"/>
        <v>201900078803</v>
      </c>
      <c r="C445" s="3" t="str">
        <f>"143800"</f>
        <v>143800</v>
      </c>
      <c r="D445" s="3" t="s">
        <v>1949</v>
      </c>
      <c r="E445" s="3">
        <v>10090741638</v>
      </c>
      <c r="F445" s="3" t="s">
        <v>1950</v>
      </c>
      <c r="G445" s="3" t="s">
        <v>1951</v>
      </c>
      <c r="H445" s="3" t="s">
        <v>513</v>
      </c>
      <c r="I445" s="3" t="s">
        <v>513</v>
      </c>
      <c r="J445" s="3" t="s">
        <v>514</v>
      </c>
      <c r="K445" s="3" t="s">
        <v>42</v>
      </c>
      <c r="L445" s="4">
        <v>43617</v>
      </c>
      <c r="M445" s="3" t="s">
        <v>21</v>
      </c>
      <c r="N445" s="3" t="s">
        <v>1950</v>
      </c>
    </row>
    <row r="446" spans="1:14" ht="27.75">
      <c r="A446" s="5">
        <v>440</v>
      </c>
      <c r="B446" s="5" t="str">
        <f t="shared" si="7"/>
        <v>201900078803</v>
      </c>
      <c r="C446" s="5" t="str">
        <f>"143799"</f>
        <v>143799</v>
      </c>
      <c r="D446" s="5" t="s">
        <v>1952</v>
      </c>
      <c r="E446" s="5">
        <v>20522076814</v>
      </c>
      <c r="F446" s="5" t="s">
        <v>1953</v>
      </c>
      <c r="G446" s="5" t="s">
        <v>1954</v>
      </c>
      <c r="H446" s="5" t="s">
        <v>513</v>
      </c>
      <c r="I446" s="5" t="s">
        <v>513</v>
      </c>
      <c r="J446" s="5" t="s">
        <v>1943</v>
      </c>
      <c r="K446" s="5" t="s">
        <v>51</v>
      </c>
      <c r="L446" s="6">
        <v>43617</v>
      </c>
      <c r="M446" s="5" t="s">
        <v>21</v>
      </c>
      <c r="N446" s="5" t="s">
        <v>1955</v>
      </c>
    </row>
    <row r="447" spans="1:14" ht="42">
      <c r="A447" s="3">
        <v>441</v>
      </c>
      <c r="B447" s="3" t="str">
        <f>"202000142377"</f>
        <v>202000142377</v>
      </c>
      <c r="C447" s="3" t="str">
        <f>"151850"</f>
        <v>151850</v>
      </c>
      <c r="D447" s="3" t="s">
        <v>1956</v>
      </c>
      <c r="E447" s="3">
        <v>10028313026</v>
      </c>
      <c r="F447" s="3" t="s">
        <v>1957</v>
      </c>
      <c r="G447" s="3" t="s">
        <v>1958</v>
      </c>
      <c r="H447" s="3" t="s">
        <v>274</v>
      </c>
      <c r="I447" s="3" t="s">
        <v>274</v>
      </c>
      <c r="J447" s="3" t="s">
        <v>1959</v>
      </c>
      <c r="K447" s="3" t="s">
        <v>1561</v>
      </c>
      <c r="L447" s="4">
        <v>44119</v>
      </c>
      <c r="M447" s="3" t="s">
        <v>21</v>
      </c>
      <c r="N447" s="3" t="s">
        <v>1957</v>
      </c>
    </row>
    <row r="448" spans="1:14" ht="42">
      <c r="A448" s="5">
        <v>442</v>
      </c>
      <c r="B448" s="5" t="str">
        <f>"202000089491"</f>
        <v>202000089491</v>
      </c>
      <c r="C448" s="5" t="str">
        <f>"150143"</f>
        <v>150143</v>
      </c>
      <c r="D448" s="5" t="s">
        <v>1960</v>
      </c>
      <c r="E448" s="5">
        <v>20573851383</v>
      </c>
      <c r="F448" s="5" t="s">
        <v>1961</v>
      </c>
      <c r="G448" s="5" t="s">
        <v>1962</v>
      </c>
      <c r="H448" s="5" t="s">
        <v>322</v>
      </c>
      <c r="I448" s="5" t="s">
        <v>323</v>
      </c>
      <c r="J448" s="5" t="s">
        <v>324</v>
      </c>
      <c r="K448" s="5" t="s">
        <v>42</v>
      </c>
      <c r="L448" s="6">
        <v>44043</v>
      </c>
      <c r="M448" s="5" t="s">
        <v>21</v>
      </c>
      <c r="N448" s="5" t="s">
        <v>1963</v>
      </c>
    </row>
    <row r="449" spans="1:14" ht="13.5">
      <c r="A449" s="3">
        <v>443</v>
      </c>
      <c r="B449" s="3" t="str">
        <f>"201900108632"</f>
        <v>201900108632</v>
      </c>
      <c r="C449" s="3" t="str">
        <f>"145065"</f>
        <v>145065</v>
      </c>
      <c r="D449" s="3" t="s">
        <v>1964</v>
      </c>
      <c r="E449" s="3">
        <v>20160883155</v>
      </c>
      <c r="F449" s="3" t="s">
        <v>1965</v>
      </c>
      <c r="G449" s="3" t="s">
        <v>1966</v>
      </c>
      <c r="H449" s="3" t="s">
        <v>18</v>
      </c>
      <c r="I449" s="3" t="s">
        <v>1967</v>
      </c>
      <c r="J449" s="3" t="s">
        <v>1968</v>
      </c>
      <c r="K449" s="3" t="s">
        <v>36</v>
      </c>
      <c r="L449" s="4">
        <v>43657</v>
      </c>
      <c r="M449" s="3" t="s">
        <v>21</v>
      </c>
      <c r="N449" s="3" t="s">
        <v>1969</v>
      </c>
    </row>
    <row r="450" spans="1:14" ht="153.75">
      <c r="A450" s="5">
        <v>444</v>
      </c>
      <c r="B450" s="5" t="str">
        <f>"201900100925"</f>
        <v>201900100925</v>
      </c>
      <c r="C450" s="5" t="str">
        <f>"144815"</f>
        <v>144815</v>
      </c>
      <c r="D450" s="5" t="s">
        <v>1970</v>
      </c>
      <c r="E450" s="5">
        <v>20482018140</v>
      </c>
      <c r="F450" s="5" t="s">
        <v>1971</v>
      </c>
      <c r="G450" s="5" t="s">
        <v>1972</v>
      </c>
      <c r="H450" s="5" t="s">
        <v>73</v>
      </c>
      <c r="I450" s="5" t="s">
        <v>1973</v>
      </c>
      <c r="J450" s="5" t="s">
        <v>1973</v>
      </c>
      <c r="K450" s="5" t="s">
        <v>1974</v>
      </c>
      <c r="L450" s="6">
        <v>43670</v>
      </c>
      <c r="M450" s="5" t="s">
        <v>21</v>
      </c>
      <c r="N450" s="5" t="s">
        <v>1975</v>
      </c>
    </row>
    <row r="451" spans="1:14" ht="13.5">
      <c r="A451" s="3">
        <v>445</v>
      </c>
      <c r="B451" s="3" t="str">
        <f>"201900078803"</f>
        <v>201900078803</v>
      </c>
      <c r="C451" s="3" t="str">
        <f>"143796"</f>
        <v>143796</v>
      </c>
      <c r="D451" s="3" t="s">
        <v>1976</v>
      </c>
      <c r="E451" s="3">
        <v>20551015239</v>
      </c>
      <c r="F451" s="3" t="s">
        <v>1977</v>
      </c>
      <c r="G451" s="3" t="s">
        <v>1978</v>
      </c>
      <c r="H451" s="3" t="s">
        <v>513</v>
      </c>
      <c r="I451" s="3" t="s">
        <v>513</v>
      </c>
      <c r="J451" s="3" t="s">
        <v>1172</v>
      </c>
      <c r="K451" s="3" t="s">
        <v>51</v>
      </c>
      <c r="L451" s="4">
        <v>43617</v>
      </c>
      <c r="M451" s="3" t="s">
        <v>21</v>
      </c>
      <c r="N451" s="3" t="s">
        <v>1979</v>
      </c>
    </row>
    <row r="452" spans="1:14" ht="42">
      <c r="A452" s="5">
        <v>446</v>
      </c>
      <c r="B452" s="5" t="str">
        <f>"202000064396"</f>
        <v>202000064396</v>
      </c>
      <c r="C452" s="5" t="str">
        <f>"149640"</f>
        <v>149640</v>
      </c>
      <c r="D452" s="5" t="s">
        <v>1980</v>
      </c>
      <c r="E452" s="5">
        <v>10470434860</v>
      </c>
      <c r="F452" s="5" t="s">
        <v>1981</v>
      </c>
      <c r="G452" s="5" t="s">
        <v>1982</v>
      </c>
      <c r="H452" s="5" t="s">
        <v>18</v>
      </c>
      <c r="I452" s="5" t="s">
        <v>18</v>
      </c>
      <c r="J452" s="5" t="s">
        <v>303</v>
      </c>
      <c r="K452" s="5" t="s">
        <v>42</v>
      </c>
      <c r="L452" s="6">
        <v>44012</v>
      </c>
      <c r="M452" s="5" t="s">
        <v>21</v>
      </c>
      <c r="N452" s="5" t="s">
        <v>1983</v>
      </c>
    </row>
    <row r="453" spans="1:14" ht="13.5">
      <c r="A453" s="3">
        <v>447</v>
      </c>
      <c r="B453" s="3" t="str">
        <f>"201900078803"</f>
        <v>201900078803</v>
      </c>
      <c r="C453" s="3" t="str">
        <f>"143794"</f>
        <v>143794</v>
      </c>
      <c r="D453" s="3" t="s">
        <v>1984</v>
      </c>
      <c r="E453" s="3">
        <v>20536600290</v>
      </c>
      <c r="F453" s="3" t="s">
        <v>1985</v>
      </c>
      <c r="G453" s="3" t="s">
        <v>1986</v>
      </c>
      <c r="H453" s="3" t="s">
        <v>513</v>
      </c>
      <c r="I453" s="3" t="s">
        <v>513</v>
      </c>
      <c r="J453" s="3" t="s">
        <v>1172</v>
      </c>
      <c r="K453" s="3" t="s">
        <v>36</v>
      </c>
      <c r="L453" s="4">
        <v>43617</v>
      </c>
      <c r="M453" s="3" t="s">
        <v>21</v>
      </c>
      <c r="N453" s="3" t="s">
        <v>1987</v>
      </c>
    </row>
    <row r="454" spans="1:14" ht="27.75">
      <c r="A454" s="5">
        <v>448</v>
      </c>
      <c r="B454" s="5" t="str">
        <f>"201900121751"</f>
        <v>201900121751</v>
      </c>
      <c r="C454" s="5" t="str">
        <f>"143795"</f>
        <v>143795</v>
      </c>
      <c r="D454" s="5" t="s">
        <v>1988</v>
      </c>
      <c r="E454" s="5">
        <v>20548987114</v>
      </c>
      <c r="F454" s="5" t="s">
        <v>1989</v>
      </c>
      <c r="G454" s="5" t="s">
        <v>1990</v>
      </c>
      <c r="H454" s="5" t="s">
        <v>513</v>
      </c>
      <c r="I454" s="5" t="s">
        <v>513</v>
      </c>
      <c r="J454" s="5" t="s">
        <v>1172</v>
      </c>
      <c r="K454" s="5" t="s">
        <v>51</v>
      </c>
      <c r="L454" s="6">
        <v>43679</v>
      </c>
      <c r="M454" s="5" t="s">
        <v>21</v>
      </c>
      <c r="N454" s="5" t="s">
        <v>1991</v>
      </c>
    </row>
    <row r="455" spans="1:14" ht="13.5">
      <c r="A455" s="3">
        <v>449</v>
      </c>
      <c r="B455" s="3" t="str">
        <f>"201900078803"</f>
        <v>201900078803</v>
      </c>
      <c r="C455" s="3" t="str">
        <f>"143793"</f>
        <v>143793</v>
      </c>
      <c r="D455" s="3" t="s">
        <v>1992</v>
      </c>
      <c r="E455" s="3">
        <v>20519029635</v>
      </c>
      <c r="F455" s="3" t="s">
        <v>1993</v>
      </c>
      <c r="G455" s="3" t="s">
        <v>1994</v>
      </c>
      <c r="H455" s="3" t="s">
        <v>513</v>
      </c>
      <c r="I455" s="3" t="s">
        <v>513</v>
      </c>
      <c r="J455" s="3" t="s">
        <v>1172</v>
      </c>
      <c r="K455" s="3" t="s">
        <v>1995</v>
      </c>
      <c r="L455" s="4">
        <v>43617</v>
      </c>
      <c r="M455" s="3" t="s">
        <v>21</v>
      </c>
      <c r="N455" s="3" t="s">
        <v>1996</v>
      </c>
    </row>
    <row r="456" spans="1:14" ht="69.75">
      <c r="A456" s="5">
        <v>450</v>
      </c>
      <c r="B456" s="5" t="str">
        <f>"202000089660"</f>
        <v>202000089660</v>
      </c>
      <c r="C456" s="5" t="str">
        <f>"150145"</f>
        <v>150145</v>
      </c>
      <c r="D456" s="5" t="s">
        <v>1997</v>
      </c>
      <c r="E456" s="5">
        <v>10412791776</v>
      </c>
      <c r="F456" s="5" t="s">
        <v>1998</v>
      </c>
      <c r="G456" s="5" t="s">
        <v>1999</v>
      </c>
      <c r="H456" s="5" t="s">
        <v>274</v>
      </c>
      <c r="I456" s="5" t="s">
        <v>400</v>
      </c>
      <c r="J456" s="5" t="s">
        <v>555</v>
      </c>
      <c r="K456" s="5" t="s">
        <v>556</v>
      </c>
      <c r="L456" s="6">
        <v>44039</v>
      </c>
      <c r="M456" s="5" t="s">
        <v>21</v>
      </c>
      <c r="N456" s="5" t="s">
        <v>1998</v>
      </c>
    </row>
    <row r="457" spans="1:14" ht="27.75">
      <c r="A457" s="3">
        <v>451</v>
      </c>
      <c r="B457" s="3" t="str">
        <f>"201900078803"</f>
        <v>201900078803</v>
      </c>
      <c r="C457" s="3" t="str">
        <f>"143792"</f>
        <v>143792</v>
      </c>
      <c r="D457" s="3" t="s">
        <v>2000</v>
      </c>
      <c r="E457" s="3">
        <v>20513959053</v>
      </c>
      <c r="F457" s="3" t="s">
        <v>2001</v>
      </c>
      <c r="G457" s="3" t="s">
        <v>2002</v>
      </c>
      <c r="H457" s="3" t="s">
        <v>513</v>
      </c>
      <c r="I457" s="3" t="s">
        <v>513</v>
      </c>
      <c r="J457" s="3" t="s">
        <v>1172</v>
      </c>
      <c r="K457" s="3" t="s">
        <v>630</v>
      </c>
      <c r="L457" s="4">
        <v>43617</v>
      </c>
      <c r="M457" s="3" t="s">
        <v>21</v>
      </c>
      <c r="N457" s="3" t="s">
        <v>2003</v>
      </c>
    </row>
    <row r="458" spans="1:14" ht="97.5">
      <c r="A458" s="5">
        <v>452</v>
      </c>
      <c r="B458" s="5" t="str">
        <f>"201900168568"</f>
        <v>201900168568</v>
      </c>
      <c r="C458" s="5" t="str">
        <f>"143791"</f>
        <v>143791</v>
      </c>
      <c r="D458" s="5" t="s">
        <v>2004</v>
      </c>
      <c r="E458" s="5">
        <v>20506415030</v>
      </c>
      <c r="F458" s="5" t="s">
        <v>2005</v>
      </c>
      <c r="G458" s="5" t="s">
        <v>2006</v>
      </c>
      <c r="H458" s="5" t="s">
        <v>513</v>
      </c>
      <c r="I458" s="5" t="s">
        <v>513</v>
      </c>
      <c r="J458" s="5" t="s">
        <v>1172</v>
      </c>
      <c r="K458" s="5" t="s">
        <v>2007</v>
      </c>
      <c r="L458" s="6">
        <v>43768</v>
      </c>
      <c r="M458" s="5" t="s">
        <v>21</v>
      </c>
      <c r="N458" s="5" t="s">
        <v>2008</v>
      </c>
    </row>
    <row r="459" spans="1:14" ht="27.75">
      <c r="A459" s="3">
        <v>453</v>
      </c>
      <c r="B459" s="3" t="str">
        <f>"201900078803"</f>
        <v>201900078803</v>
      </c>
      <c r="C459" s="3" t="str">
        <f>"143790"</f>
        <v>143790</v>
      </c>
      <c r="D459" s="3" t="s">
        <v>2009</v>
      </c>
      <c r="E459" s="3">
        <v>20505057822</v>
      </c>
      <c r="F459" s="3" t="s">
        <v>2010</v>
      </c>
      <c r="G459" s="3" t="s">
        <v>2011</v>
      </c>
      <c r="H459" s="3" t="s">
        <v>513</v>
      </c>
      <c r="I459" s="3" t="s">
        <v>513</v>
      </c>
      <c r="J459" s="3" t="s">
        <v>1172</v>
      </c>
      <c r="K459" s="3" t="s">
        <v>97</v>
      </c>
      <c r="L459" s="4">
        <v>43617</v>
      </c>
      <c r="M459" s="3" t="s">
        <v>21</v>
      </c>
      <c r="N459" s="3" t="s">
        <v>2012</v>
      </c>
    </row>
    <row r="460" spans="1:14" ht="27.75">
      <c r="A460" s="5">
        <v>454</v>
      </c>
      <c r="B460" s="5" t="str">
        <f>"201900078803"</f>
        <v>201900078803</v>
      </c>
      <c r="C460" s="5" t="str">
        <f>"143789"</f>
        <v>143789</v>
      </c>
      <c r="D460" s="5" t="s">
        <v>2013</v>
      </c>
      <c r="E460" s="5">
        <v>20504890865</v>
      </c>
      <c r="F460" s="5" t="s">
        <v>2014</v>
      </c>
      <c r="G460" s="5" t="s">
        <v>2015</v>
      </c>
      <c r="H460" s="5" t="s">
        <v>513</v>
      </c>
      <c r="I460" s="5" t="s">
        <v>513</v>
      </c>
      <c r="J460" s="5" t="s">
        <v>1172</v>
      </c>
      <c r="K460" s="5" t="s">
        <v>137</v>
      </c>
      <c r="L460" s="6">
        <v>43617</v>
      </c>
      <c r="M460" s="5" t="s">
        <v>21</v>
      </c>
      <c r="N460" s="5" t="s">
        <v>2016</v>
      </c>
    </row>
    <row r="461" spans="1:14" ht="27.75">
      <c r="A461" s="3">
        <v>455</v>
      </c>
      <c r="B461" s="3" t="str">
        <f>"201900078803"</f>
        <v>201900078803</v>
      </c>
      <c r="C461" s="3" t="str">
        <f>"143788"</f>
        <v>143788</v>
      </c>
      <c r="D461" s="3" t="s">
        <v>2017</v>
      </c>
      <c r="E461" s="3">
        <v>20502600207</v>
      </c>
      <c r="F461" s="3" t="s">
        <v>2018</v>
      </c>
      <c r="G461" s="3" t="s">
        <v>2019</v>
      </c>
      <c r="H461" s="3" t="s">
        <v>513</v>
      </c>
      <c r="I461" s="3" t="s">
        <v>513</v>
      </c>
      <c r="J461" s="3" t="s">
        <v>1172</v>
      </c>
      <c r="K461" s="3" t="s">
        <v>137</v>
      </c>
      <c r="L461" s="4">
        <v>43617</v>
      </c>
      <c r="M461" s="3" t="s">
        <v>21</v>
      </c>
      <c r="N461" s="3" t="s">
        <v>2020</v>
      </c>
    </row>
    <row r="462" spans="1:14" ht="42">
      <c r="A462" s="5">
        <v>456</v>
      </c>
      <c r="B462" s="5" t="str">
        <f>"201900078803"</f>
        <v>201900078803</v>
      </c>
      <c r="C462" s="5" t="str">
        <f>"143787"</f>
        <v>143787</v>
      </c>
      <c r="D462" s="5" t="s">
        <v>2021</v>
      </c>
      <c r="E462" s="5">
        <v>20502032713</v>
      </c>
      <c r="F462" s="5" t="s">
        <v>2022</v>
      </c>
      <c r="G462" s="5" t="s">
        <v>2023</v>
      </c>
      <c r="H462" s="5" t="s">
        <v>513</v>
      </c>
      <c r="I462" s="5" t="s">
        <v>513</v>
      </c>
      <c r="J462" s="5" t="s">
        <v>1172</v>
      </c>
      <c r="K462" s="5" t="s">
        <v>2024</v>
      </c>
      <c r="L462" s="6">
        <v>43617</v>
      </c>
      <c r="M462" s="5" t="s">
        <v>21</v>
      </c>
      <c r="N462" s="5" t="s">
        <v>2025</v>
      </c>
    </row>
    <row r="463" spans="1:14" ht="27.75">
      <c r="A463" s="3">
        <v>457</v>
      </c>
      <c r="B463" s="3" t="str">
        <f>"202000089184"</f>
        <v>202000089184</v>
      </c>
      <c r="C463" s="3" t="str">
        <f>"150147"</f>
        <v>150147</v>
      </c>
      <c r="D463" s="3" t="s">
        <v>2026</v>
      </c>
      <c r="E463" s="3">
        <v>10011624966</v>
      </c>
      <c r="F463" s="3" t="s">
        <v>2027</v>
      </c>
      <c r="G463" s="3" t="s">
        <v>2028</v>
      </c>
      <c r="H463" s="3" t="s">
        <v>102</v>
      </c>
      <c r="I463" s="3" t="s">
        <v>2029</v>
      </c>
      <c r="J463" s="3" t="s">
        <v>2030</v>
      </c>
      <c r="K463" s="3" t="s">
        <v>36</v>
      </c>
      <c r="L463" s="4">
        <v>44048</v>
      </c>
      <c r="M463" s="3" t="s">
        <v>21</v>
      </c>
      <c r="N463" s="3" t="s">
        <v>2027</v>
      </c>
    </row>
    <row r="464" spans="1:14" ht="69.75">
      <c r="A464" s="5">
        <v>458</v>
      </c>
      <c r="B464" s="5" t="str">
        <f>"202000089627"</f>
        <v>202000089627</v>
      </c>
      <c r="C464" s="5" t="str">
        <f>"150146"</f>
        <v>150146</v>
      </c>
      <c r="D464" s="5" t="s">
        <v>2031</v>
      </c>
      <c r="E464" s="5">
        <v>20526351950</v>
      </c>
      <c r="F464" s="5" t="s">
        <v>2032</v>
      </c>
      <c r="G464" s="5" t="s">
        <v>2033</v>
      </c>
      <c r="H464" s="5" t="s">
        <v>274</v>
      </c>
      <c r="I464" s="5" t="s">
        <v>274</v>
      </c>
      <c r="J464" s="5" t="s">
        <v>1003</v>
      </c>
      <c r="K464" s="5" t="s">
        <v>556</v>
      </c>
      <c r="L464" s="6">
        <v>44042</v>
      </c>
      <c r="M464" s="5" t="s">
        <v>21</v>
      </c>
      <c r="N464" s="5" t="s">
        <v>2034</v>
      </c>
    </row>
    <row r="465" spans="1:14" ht="83.25">
      <c r="A465" s="3">
        <v>459</v>
      </c>
      <c r="B465" s="3" t="str">
        <f>"201900209139"</f>
        <v>201900209139</v>
      </c>
      <c r="C465" s="3" t="str">
        <f>"148345"</f>
        <v>148345</v>
      </c>
      <c r="D465" s="3" t="s">
        <v>2035</v>
      </c>
      <c r="E465" s="3">
        <v>20605352767</v>
      </c>
      <c r="F465" s="3" t="s">
        <v>2036</v>
      </c>
      <c r="G465" s="3" t="s">
        <v>2037</v>
      </c>
      <c r="H465" s="3" t="s">
        <v>274</v>
      </c>
      <c r="I465" s="3" t="s">
        <v>275</v>
      </c>
      <c r="J465" s="3" t="s">
        <v>275</v>
      </c>
      <c r="K465" s="3" t="s">
        <v>1004</v>
      </c>
      <c r="L465" s="4">
        <v>43819</v>
      </c>
      <c r="M465" s="3" t="s">
        <v>21</v>
      </c>
      <c r="N465" s="3" t="s">
        <v>2038</v>
      </c>
    </row>
    <row r="466" spans="1:14" ht="13.5">
      <c r="A466" s="5">
        <v>460</v>
      </c>
      <c r="B466" s="5" t="str">
        <f>"202000139750"</f>
        <v>202000139750</v>
      </c>
      <c r="C466" s="5" t="str">
        <f>"151842"</f>
        <v>151842</v>
      </c>
      <c r="D466" s="5" t="s">
        <v>2039</v>
      </c>
      <c r="E466" s="5">
        <v>20606279133</v>
      </c>
      <c r="F466" s="5" t="s">
        <v>2040</v>
      </c>
      <c r="G466" s="5" t="s">
        <v>2041</v>
      </c>
      <c r="H466" s="5" t="s">
        <v>793</v>
      </c>
      <c r="I466" s="5" t="s">
        <v>1453</v>
      </c>
      <c r="J466" s="5" t="s">
        <v>793</v>
      </c>
      <c r="K466" s="5" t="s">
        <v>36</v>
      </c>
      <c r="L466" s="6">
        <v>44123</v>
      </c>
      <c r="M466" s="5" t="s">
        <v>21</v>
      </c>
      <c r="N466" s="5" t="s">
        <v>2042</v>
      </c>
    </row>
    <row r="467" spans="1:14" ht="27.75">
      <c r="A467" s="3">
        <v>461</v>
      </c>
      <c r="B467" s="3" t="str">
        <f>"201900078830"</f>
        <v>201900078830</v>
      </c>
      <c r="C467" s="3" t="str">
        <f>"144053"</f>
        <v>144053</v>
      </c>
      <c r="D467" s="3" t="s">
        <v>2043</v>
      </c>
      <c r="E467" s="3">
        <v>20530190642</v>
      </c>
      <c r="F467" s="3" t="s">
        <v>2044</v>
      </c>
      <c r="G467" s="3" t="s">
        <v>2045</v>
      </c>
      <c r="H467" s="3" t="s">
        <v>274</v>
      </c>
      <c r="I467" s="3" t="s">
        <v>274</v>
      </c>
      <c r="J467" s="3" t="s">
        <v>1003</v>
      </c>
      <c r="K467" s="3" t="s">
        <v>51</v>
      </c>
      <c r="L467" s="4">
        <v>43617</v>
      </c>
      <c r="M467" s="3" t="s">
        <v>21</v>
      </c>
      <c r="N467" s="3" t="s">
        <v>2046</v>
      </c>
    </row>
    <row r="468" spans="1:14" ht="97.5">
      <c r="A468" s="5">
        <v>462</v>
      </c>
      <c r="B468" s="5" t="str">
        <f>"202000074218"</f>
        <v>202000074218</v>
      </c>
      <c r="C468" s="5" t="str">
        <f>"149809"</f>
        <v>149809</v>
      </c>
      <c r="D468" s="5" t="s">
        <v>2047</v>
      </c>
      <c r="E468" s="5">
        <v>10200390011</v>
      </c>
      <c r="F468" s="5" t="s">
        <v>2048</v>
      </c>
      <c r="G468" s="5" t="s">
        <v>2049</v>
      </c>
      <c r="H468" s="5" t="s">
        <v>322</v>
      </c>
      <c r="I468" s="5" t="s">
        <v>323</v>
      </c>
      <c r="J468" s="5" t="s">
        <v>2050</v>
      </c>
      <c r="K468" s="5" t="s">
        <v>2051</v>
      </c>
      <c r="L468" s="6">
        <v>44014</v>
      </c>
      <c r="M468" s="5" t="s">
        <v>21</v>
      </c>
      <c r="N468" s="5" t="s">
        <v>2048</v>
      </c>
    </row>
    <row r="469" spans="1:14" ht="83.25">
      <c r="A469" s="3">
        <v>463</v>
      </c>
      <c r="B469" s="3" t="str">
        <f>"202000028438"</f>
        <v>202000028438</v>
      </c>
      <c r="C469" s="3" t="str">
        <f>"144052"</f>
        <v>144052</v>
      </c>
      <c r="D469" s="3" t="s">
        <v>2052</v>
      </c>
      <c r="E469" s="3">
        <v>20601408628</v>
      </c>
      <c r="F469" s="3" t="s">
        <v>2053</v>
      </c>
      <c r="G469" s="3" t="s">
        <v>2054</v>
      </c>
      <c r="H469" s="3" t="s">
        <v>274</v>
      </c>
      <c r="I469" s="3" t="s">
        <v>274</v>
      </c>
      <c r="J469" s="3" t="s">
        <v>274</v>
      </c>
      <c r="K469" s="3" t="s">
        <v>1004</v>
      </c>
      <c r="L469" s="4">
        <v>43881</v>
      </c>
      <c r="M469" s="3" t="s">
        <v>21</v>
      </c>
      <c r="N469" s="3" t="s">
        <v>2055</v>
      </c>
    </row>
    <row r="470" spans="1:14" ht="13.5">
      <c r="A470" s="5">
        <v>464</v>
      </c>
      <c r="B470" s="5" t="str">
        <f>"201900078830"</f>
        <v>201900078830</v>
      </c>
      <c r="C470" s="5" t="str">
        <f>"144051"</f>
        <v>144051</v>
      </c>
      <c r="D470" s="5" t="s">
        <v>2056</v>
      </c>
      <c r="E470" s="5">
        <v>20525716342</v>
      </c>
      <c r="F470" s="5" t="s">
        <v>2057</v>
      </c>
      <c r="G470" s="5" t="s">
        <v>2058</v>
      </c>
      <c r="H470" s="5" t="s">
        <v>274</v>
      </c>
      <c r="I470" s="5" t="s">
        <v>274</v>
      </c>
      <c r="J470" s="5" t="s">
        <v>274</v>
      </c>
      <c r="K470" s="5" t="s">
        <v>225</v>
      </c>
      <c r="L470" s="6">
        <v>43617</v>
      </c>
      <c r="M470" s="5" t="s">
        <v>21</v>
      </c>
      <c r="N470" s="5" t="s">
        <v>2059</v>
      </c>
    </row>
    <row r="471" spans="1:14" ht="42">
      <c r="A471" s="3">
        <v>465</v>
      </c>
      <c r="B471" s="3" t="str">
        <f>"202000081082"</f>
        <v>202000081082</v>
      </c>
      <c r="C471" s="3" t="str">
        <f>"149965"</f>
        <v>149965</v>
      </c>
      <c r="D471" s="3" t="s">
        <v>2060</v>
      </c>
      <c r="E471" s="3">
        <v>20600181867</v>
      </c>
      <c r="F471" s="3" t="s">
        <v>2061</v>
      </c>
      <c r="G471" s="3" t="s">
        <v>2062</v>
      </c>
      <c r="H471" s="3" t="s">
        <v>322</v>
      </c>
      <c r="I471" s="3" t="s">
        <v>323</v>
      </c>
      <c r="J471" s="3" t="s">
        <v>889</v>
      </c>
      <c r="K471" s="3" t="s">
        <v>42</v>
      </c>
      <c r="L471" s="4">
        <v>44028</v>
      </c>
      <c r="M471" s="3" t="s">
        <v>21</v>
      </c>
      <c r="N471" s="3" t="s">
        <v>2063</v>
      </c>
    </row>
    <row r="472" spans="1:14" ht="27.75">
      <c r="A472" s="5">
        <v>466</v>
      </c>
      <c r="B472" s="5" t="str">
        <f>"201900078830"</f>
        <v>201900078830</v>
      </c>
      <c r="C472" s="5" t="str">
        <f>"144050"</f>
        <v>144050</v>
      </c>
      <c r="D472" s="5" t="s">
        <v>2064</v>
      </c>
      <c r="E472" s="5">
        <v>20484270067</v>
      </c>
      <c r="F472" s="5" t="s">
        <v>2065</v>
      </c>
      <c r="G472" s="5" t="s">
        <v>2066</v>
      </c>
      <c r="H472" s="5" t="s">
        <v>274</v>
      </c>
      <c r="I472" s="5" t="s">
        <v>274</v>
      </c>
      <c r="J472" s="5" t="s">
        <v>274</v>
      </c>
      <c r="K472" s="5" t="s">
        <v>443</v>
      </c>
      <c r="L472" s="6">
        <v>43617</v>
      </c>
      <c r="M472" s="5" t="s">
        <v>21</v>
      </c>
      <c r="N472" s="5" t="s">
        <v>2067</v>
      </c>
    </row>
    <row r="473" spans="1:14" ht="27.75">
      <c r="A473" s="3">
        <v>467</v>
      </c>
      <c r="B473" s="3" t="str">
        <f>"201900078830"</f>
        <v>201900078830</v>
      </c>
      <c r="C473" s="3" t="str">
        <f>"144056"</f>
        <v>144056</v>
      </c>
      <c r="D473" s="3" t="s">
        <v>2068</v>
      </c>
      <c r="E473" s="3">
        <v>20105299991</v>
      </c>
      <c r="F473" s="3" t="s">
        <v>2069</v>
      </c>
      <c r="G473" s="3" t="s">
        <v>2070</v>
      </c>
      <c r="H473" s="3" t="s">
        <v>274</v>
      </c>
      <c r="I473" s="3" t="s">
        <v>1473</v>
      </c>
      <c r="J473" s="3" t="s">
        <v>1473</v>
      </c>
      <c r="K473" s="3" t="s">
        <v>243</v>
      </c>
      <c r="L473" s="4">
        <v>43617</v>
      </c>
      <c r="M473" s="3" t="s">
        <v>21</v>
      </c>
      <c r="N473" s="3" t="s">
        <v>2071</v>
      </c>
    </row>
    <row r="474" spans="1:14" ht="83.25">
      <c r="A474" s="5">
        <v>468</v>
      </c>
      <c r="B474" s="5" t="str">
        <f>"201900133665"</f>
        <v>201900133665</v>
      </c>
      <c r="C474" s="5" t="str">
        <f>"144055"</f>
        <v>144055</v>
      </c>
      <c r="D474" s="5" t="s">
        <v>2072</v>
      </c>
      <c r="E474" s="5">
        <v>10429487302</v>
      </c>
      <c r="F474" s="5" t="s">
        <v>2073</v>
      </c>
      <c r="G474" s="5" t="s">
        <v>2074</v>
      </c>
      <c r="H474" s="5" t="s">
        <v>274</v>
      </c>
      <c r="I474" s="5" t="s">
        <v>1473</v>
      </c>
      <c r="J474" s="5" t="s">
        <v>1473</v>
      </c>
      <c r="K474" s="5" t="s">
        <v>2075</v>
      </c>
      <c r="L474" s="6">
        <v>43700</v>
      </c>
      <c r="M474" s="5" t="s">
        <v>21</v>
      </c>
      <c r="N474" s="5" t="s">
        <v>2076</v>
      </c>
    </row>
    <row r="475" spans="1:14" ht="27.75">
      <c r="A475" s="3">
        <v>469</v>
      </c>
      <c r="B475" s="3" t="str">
        <f>"201900078830"</f>
        <v>201900078830</v>
      </c>
      <c r="C475" s="3" t="str">
        <f>"144054"</f>
        <v>144054</v>
      </c>
      <c r="D475" s="3" t="s">
        <v>2077</v>
      </c>
      <c r="E475" s="3">
        <v>20602559573</v>
      </c>
      <c r="F475" s="3" t="s">
        <v>2078</v>
      </c>
      <c r="G475" s="3" t="s">
        <v>2079</v>
      </c>
      <c r="H475" s="3" t="s">
        <v>274</v>
      </c>
      <c r="I475" s="3" t="s">
        <v>274</v>
      </c>
      <c r="J475" s="3" t="s">
        <v>1003</v>
      </c>
      <c r="K475" s="3" t="s">
        <v>51</v>
      </c>
      <c r="L475" s="4">
        <v>43617</v>
      </c>
      <c r="M475" s="3" t="s">
        <v>21</v>
      </c>
      <c r="N475" s="3" t="s">
        <v>2080</v>
      </c>
    </row>
    <row r="476" spans="1:14" ht="27.75">
      <c r="A476" s="5">
        <v>470</v>
      </c>
      <c r="B476" s="5" t="str">
        <f>"201900101853"</f>
        <v>201900101853</v>
      </c>
      <c r="C476" s="5" t="str">
        <f>"144844"</f>
        <v>144844</v>
      </c>
      <c r="D476" s="5" t="s">
        <v>2081</v>
      </c>
      <c r="E476" s="5">
        <v>20526436785</v>
      </c>
      <c r="F476" s="5" t="s">
        <v>2082</v>
      </c>
      <c r="G476" s="5" t="s">
        <v>2083</v>
      </c>
      <c r="H476" s="5" t="s">
        <v>18</v>
      </c>
      <c r="I476" s="5" t="s">
        <v>18</v>
      </c>
      <c r="J476" s="5" t="s">
        <v>2084</v>
      </c>
      <c r="K476" s="5" t="s">
        <v>36</v>
      </c>
      <c r="L476" s="6">
        <v>43657</v>
      </c>
      <c r="M476" s="5" t="s">
        <v>21</v>
      </c>
      <c r="N476" s="5" t="s">
        <v>2085</v>
      </c>
    </row>
    <row r="477" spans="1:14" ht="27.75">
      <c r="A477" s="3">
        <v>471</v>
      </c>
      <c r="B477" s="3" t="str">
        <f>"201900078803"</f>
        <v>201900078803</v>
      </c>
      <c r="C477" s="3" t="str">
        <f>"143783"</f>
        <v>143783</v>
      </c>
      <c r="D477" s="3" t="s">
        <v>2086</v>
      </c>
      <c r="E477" s="3">
        <v>20427113141</v>
      </c>
      <c r="F477" s="3" t="s">
        <v>2087</v>
      </c>
      <c r="G477" s="3" t="s">
        <v>2088</v>
      </c>
      <c r="H477" s="3" t="s">
        <v>513</v>
      </c>
      <c r="I477" s="3" t="s">
        <v>513</v>
      </c>
      <c r="J477" s="3" t="s">
        <v>1172</v>
      </c>
      <c r="K477" s="3" t="s">
        <v>2089</v>
      </c>
      <c r="L477" s="4">
        <v>43617</v>
      </c>
      <c r="M477" s="3" t="s">
        <v>21</v>
      </c>
      <c r="N477" s="3" t="s">
        <v>2020</v>
      </c>
    </row>
    <row r="478" spans="1:14" ht="42">
      <c r="A478" s="5">
        <v>472</v>
      </c>
      <c r="B478" s="5" t="str">
        <f>"201900078803"</f>
        <v>201900078803</v>
      </c>
      <c r="C478" s="5" t="str">
        <f>"143784"</f>
        <v>143784</v>
      </c>
      <c r="D478" s="5" t="s">
        <v>2090</v>
      </c>
      <c r="E478" s="5">
        <v>20473449481</v>
      </c>
      <c r="F478" s="5" t="s">
        <v>2091</v>
      </c>
      <c r="G478" s="5" t="s">
        <v>2092</v>
      </c>
      <c r="H478" s="5" t="s">
        <v>513</v>
      </c>
      <c r="I478" s="5" t="s">
        <v>513</v>
      </c>
      <c r="J478" s="5" t="s">
        <v>1172</v>
      </c>
      <c r="K478" s="5" t="s">
        <v>2093</v>
      </c>
      <c r="L478" s="6">
        <v>43617</v>
      </c>
      <c r="M478" s="5" t="s">
        <v>21</v>
      </c>
      <c r="N478" s="5" t="s">
        <v>2094</v>
      </c>
    </row>
    <row r="479" spans="1:14" ht="13.5">
      <c r="A479" s="3">
        <v>473</v>
      </c>
      <c r="B479" s="3" t="str">
        <f>"202000016177"</f>
        <v>202000016177</v>
      </c>
      <c r="C479" s="3" t="str">
        <f>"148995"</f>
        <v>148995</v>
      </c>
      <c r="D479" s="3" t="s">
        <v>2095</v>
      </c>
      <c r="E479" s="3">
        <v>20602373747</v>
      </c>
      <c r="F479" s="3" t="s">
        <v>2096</v>
      </c>
      <c r="G479" s="3" t="s">
        <v>2097</v>
      </c>
      <c r="H479" s="3" t="s">
        <v>150</v>
      </c>
      <c r="I479" s="3" t="s">
        <v>151</v>
      </c>
      <c r="J479" s="3" t="s">
        <v>151</v>
      </c>
      <c r="K479" s="3" t="s">
        <v>36</v>
      </c>
      <c r="L479" s="4">
        <v>43859</v>
      </c>
      <c r="M479" s="3" t="s">
        <v>21</v>
      </c>
      <c r="N479" s="3" t="s">
        <v>2098</v>
      </c>
    </row>
    <row r="480" spans="1:14" ht="27.75">
      <c r="A480" s="5">
        <v>474</v>
      </c>
      <c r="B480" s="5" t="str">
        <f>"201900078803"</f>
        <v>201900078803</v>
      </c>
      <c r="C480" s="5" t="str">
        <f>"143785"</f>
        <v>143785</v>
      </c>
      <c r="D480" s="5" t="s">
        <v>2099</v>
      </c>
      <c r="E480" s="5">
        <v>20501819795</v>
      </c>
      <c r="F480" s="5" t="s">
        <v>2100</v>
      </c>
      <c r="G480" s="5" t="s">
        <v>2101</v>
      </c>
      <c r="H480" s="5" t="s">
        <v>513</v>
      </c>
      <c r="I480" s="5" t="s">
        <v>513</v>
      </c>
      <c r="J480" s="5" t="s">
        <v>1172</v>
      </c>
      <c r="K480" s="5" t="s">
        <v>137</v>
      </c>
      <c r="L480" s="6">
        <v>43617</v>
      </c>
      <c r="M480" s="5" t="s">
        <v>21</v>
      </c>
      <c r="N480" s="5" t="s">
        <v>2102</v>
      </c>
    </row>
    <row r="481" spans="1:14" ht="27.75">
      <c r="A481" s="3">
        <v>475</v>
      </c>
      <c r="B481" s="3" t="str">
        <f>"201900078803"</f>
        <v>201900078803</v>
      </c>
      <c r="C481" s="3" t="str">
        <f>"143786"</f>
        <v>143786</v>
      </c>
      <c r="D481" s="3" t="s">
        <v>2103</v>
      </c>
      <c r="E481" s="3">
        <v>20501985296</v>
      </c>
      <c r="F481" s="3" t="s">
        <v>2104</v>
      </c>
      <c r="G481" s="3" t="s">
        <v>2105</v>
      </c>
      <c r="H481" s="3" t="s">
        <v>513</v>
      </c>
      <c r="I481" s="3" t="s">
        <v>513</v>
      </c>
      <c r="J481" s="3" t="s">
        <v>1172</v>
      </c>
      <c r="K481" s="3" t="s">
        <v>97</v>
      </c>
      <c r="L481" s="4">
        <v>43617</v>
      </c>
      <c r="M481" s="3" t="s">
        <v>21</v>
      </c>
      <c r="N481" s="3" t="s">
        <v>2106</v>
      </c>
    </row>
    <row r="482" spans="1:14" ht="13.5">
      <c r="A482" s="5">
        <v>476</v>
      </c>
      <c r="B482" s="5" t="str">
        <f>"201900078830"</f>
        <v>201900078830</v>
      </c>
      <c r="C482" s="5" t="str">
        <f>"144049"</f>
        <v>144049</v>
      </c>
      <c r="D482" s="5" t="s">
        <v>2107</v>
      </c>
      <c r="E482" s="5">
        <v>20484145084</v>
      </c>
      <c r="F482" s="5" t="s">
        <v>2108</v>
      </c>
      <c r="G482" s="5" t="s">
        <v>2109</v>
      </c>
      <c r="H482" s="5" t="s">
        <v>274</v>
      </c>
      <c r="I482" s="5" t="s">
        <v>274</v>
      </c>
      <c r="J482" s="5" t="s">
        <v>274</v>
      </c>
      <c r="K482" s="5" t="s">
        <v>1883</v>
      </c>
      <c r="L482" s="6">
        <v>43617</v>
      </c>
      <c r="M482" s="5" t="s">
        <v>21</v>
      </c>
      <c r="N482" s="5" t="s">
        <v>2110</v>
      </c>
    </row>
    <row r="483" spans="1:14" ht="13.5">
      <c r="A483" s="3">
        <v>477</v>
      </c>
      <c r="B483" s="3" t="str">
        <f>"201900078830"</f>
        <v>201900078830</v>
      </c>
      <c r="C483" s="3" t="str">
        <f>"144048"</f>
        <v>144048</v>
      </c>
      <c r="D483" s="3" t="s">
        <v>2111</v>
      </c>
      <c r="E483" s="3">
        <v>20484056227</v>
      </c>
      <c r="F483" s="3" t="s">
        <v>2112</v>
      </c>
      <c r="G483" s="3" t="s">
        <v>2113</v>
      </c>
      <c r="H483" s="3" t="s">
        <v>274</v>
      </c>
      <c r="I483" s="3" t="s">
        <v>274</v>
      </c>
      <c r="J483" s="3" t="s">
        <v>274</v>
      </c>
      <c r="K483" s="3" t="s">
        <v>51</v>
      </c>
      <c r="L483" s="4">
        <v>43617</v>
      </c>
      <c r="M483" s="3" t="s">
        <v>21</v>
      </c>
      <c r="N483" s="3" t="s">
        <v>2114</v>
      </c>
    </row>
    <row r="484" spans="1:14" ht="13.5">
      <c r="A484" s="5">
        <v>478</v>
      </c>
      <c r="B484" s="5" t="str">
        <f>"201900078830"</f>
        <v>201900078830</v>
      </c>
      <c r="C484" s="5" t="str">
        <f>"144047"</f>
        <v>144047</v>
      </c>
      <c r="D484" s="5" t="s">
        <v>2115</v>
      </c>
      <c r="E484" s="5">
        <v>20480156979</v>
      </c>
      <c r="F484" s="5" t="s">
        <v>2116</v>
      </c>
      <c r="G484" s="5" t="s">
        <v>2117</v>
      </c>
      <c r="H484" s="5" t="s">
        <v>274</v>
      </c>
      <c r="I484" s="5" t="s">
        <v>274</v>
      </c>
      <c r="J484" s="5" t="s">
        <v>274</v>
      </c>
      <c r="K484" s="5" t="s">
        <v>51</v>
      </c>
      <c r="L484" s="6">
        <v>43617</v>
      </c>
      <c r="M484" s="5" t="s">
        <v>21</v>
      </c>
      <c r="N484" s="5" t="s">
        <v>2118</v>
      </c>
    </row>
    <row r="485" spans="1:14" ht="42">
      <c r="A485" s="3">
        <v>479</v>
      </c>
      <c r="B485" s="3" t="str">
        <f>"202000089768"</f>
        <v>202000089768</v>
      </c>
      <c r="C485" s="3" t="str">
        <f>"150158"</f>
        <v>150158</v>
      </c>
      <c r="D485" s="3" t="s">
        <v>2119</v>
      </c>
      <c r="E485" s="3">
        <v>20325753821</v>
      </c>
      <c r="F485" s="3" t="s">
        <v>2120</v>
      </c>
      <c r="G485" s="3" t="s">
        <v>2121</v>
      </c>
      <c r="H485" s="3" t="s">
        <v>18</v>
      </c>
      <c r="I485" s="3" t="s">
        <v>18</v>
      </c>
      <c r="J485" s="3" t="s">
        <v>1464</v>
      </c>
      <c r="K485" s="3" t="s">
        <v>42</v>
      </c>
      <c r="L485" s="4">
        <v>44046</v>
      </c>
      <c r="M485" s="3" t="s">
        <v>21</v>
      </c>
      <c r="N485" s="3" t="s">
        <v>2122</v>
      </c>
    </row>
    <row r="486" spans="1:14" ht="69.75">
      <c r="A486" s="5">
        <v>480</v>
      </c>
      <c r="B486" s="5" t="str">
        <f>"201900132653"</f>
        <v>201900132653</v>
      </c>
      <c r="C486" s="5" t="str">
        <f>"145921"</f>
        <v>145921</v>
      </c>
      <c r="D486" s="5" t="s">
        <v>2123</v>
      </c>
      <c r="E486" s="5">
        <v>20483945401</v>
      </c>
      <c r="F486" s="5" t="s">
        <v>2124</v>
      </c>
      <c r="G486" s="5" t="s">
        <v>2125</v>
      </c>
      <c r="H486" s="5" t="s">
        <v>274</v>
      </c>
      <c r="I486" s="5" t="s">
        <v>274</v>
      </c>
      <c r="J486" s="5" t="s">
        <v>1316</v>
      </c>
      <c r="K486" s="5" t="s">
        <v>426</v>
      </c>
      <c r="L486" s="6">
        <v>43700</v>
      </c>
      <c r="M486" s="5" t="s">
        <v>21</v>
      </c>
      <c r="N486" s="5" t="s">
        <v>2126</v>
      </c>
    </row>
    <row r="487" spans="1:14" ht="13.5">
      <c r="A487" s="3">
        <v>481</v>
      </c>
      <c r="B487" s="3" t="str">
        <f>"201900078808"</f>
        <v>201900078808</v>
      </c>
      <c r="C487" s="3" t="str">
        <f>"143847"</f>
        <v>143847</v>
      </c>
      <c r="D487" s="3" t="s">
        <v>2127</v>
      </c>
      <c r="E487" s="3">
        <v>20131368152</v>
      </c>
      <c r="F487" s="3" t="s">
        <v>2128</v>
      </c>
      <c r="G487" s="3" t="s">
        <v>2129</v>
      </c>
      <c r="H487" s="3" t="s">
        <v>18</v>
      </c>
      <c r="I487" s="3" t="s">
        <v>18</v>
      </c>
      <c r="J487" s="3" t="s">
        <v>1611</v>
      </c>
      <c r="K487" s="3" t="s">
        <v>36</v>
      </c>
      <c r="L487" s="4">
        <v>43617</v>
      </c>
      <c r="M487" s="3" t="s">
        <v>21</v>
      </c>
      <c r="N487" s="3" t="s">
        <v>2130</v>
      </c>
    </row>
    <row r="488" spans="1:14" ht="27.75">
      <c r="A488" s="5">
        <v>482</v>
      </c>
      <c r="B488" s="5" t="str">
        <f>"201900078803"</f>
        <v>201900078803</v>
      </c>
      <c r="C488" s="5" t="str">
        <f>"143778"</f>
        <v>143778</v>
      </c>
      <c r="D488" s="5" t="s">
        <v>2131</v>
      </c>
      <c r="E488" s="5">
        <v>10254698623</v>
      </c>
      <c r="F488" s="5" t="s">
        <v>2132</v>
      </c>
      <c r="G488" s="5" t="s">
        <v>2133</v>
      </c>
      <c r="H488" s="5" t="s">
        <v>513</v>
      </c>
      <c r="I488" s="5" t="s">
        <v>513</v>
      </c>
      <c r="J488" s="5" t="s">
        <v>1172</v>
      </c>
      <c r="K488" s="5" t="s">
        <v>137</v>
      </c>
      <c r="L488" s="6">
        <v>43617</v>
      </c>
      <c r="M488" s="5" t="s">
        <v>21</v>
      </c>
      <c r="N488" s="5" t="s">
        <v>2134</v>
      </c>
    </row>
    <row r="489" spans="1:14" ht="69.75">
      <c r="A489" s="3">
        <v>483</v>
      </c>
      <c r="B489" s="3" t="str">
        <f>"202000090044"</f>
        <v>202000090044</v>
      </c>
      <c r="C489" s="3" t="str">
        <f>"150160"</f>
        <v>150160</v>
      </c>
      <c r="D489" s="3" t="s">
        <v>2135</v>
      </c>
      <c r="E489" s="3">
        <v>20601162289</v>
      </c>
      <c r="F489" s="3" t="s">
        <v>2136</v>
      </c>
      <c r="G489" s="3" t="s">
        <v>2137</v>
      </c>
      <c r="H489" s="3" t="s">
        <v>274</v>
      </c>
      <c r="I489" s="3" t="s">
        <v>409</v>
      </c>
      <c r="J489" s="3" t="s">
        <v>2138</v>
      </c>
      <c r="K489" s="3" t="s">
        <v>2139</v>
      </c>
      <c r="L489" s="4">
        <v>44039</v>
      </c>
      <c r="M489" s="3" t="s">
        <v>21</v>
      </c>
      <c r="N489" s="3" t="s">
        <v>2140</v>
      </c>
    </row>
    <row r="490" spans="1:14" ht="13.5">
      <c r="A490" s="5">
        <v>484</v>
      </c>
      <c r="B490" s="5" t="str">
        <f>"201900078803"</f>
        <v>201900078803</v>
      </c>
      <c r="C490" s="5" t="str">
        <f>"143777"</f>
        <v>143777</v>
      </c>
      <c r="D490" s="5" t="s">
        <v>2141</v>
      </c>
      <c r="E490" s="5">
        <v>10104835452</v>
      </c>
      <c r="F490" s="5" t="s">
        <v>2142</v>
      </c>
      <c r="G490" s="5" t="s">
        <v>2143</v>
      </c>
      <c r="H490" s="5" t="s">
        <v>513</v>
      </c>
      <c r="I490" s="5" t="s">
        <v>513</v>
      </c>
      <c r="J490" s="5" t="s">
        <v>1172</v>
      </c>
      <c r="K490" s="5" t="s">
        <v>97</v>
      </c>
      <c r="L490" s="6">
        <v>43617</v>
      </c>
      <c r="M490" s="5" t="s">
        <v>21</v>
      </c>
      <c r="N490" s="5" t="s">
        <v>2144</v>
      </c>
    </row>
    <row r="491" spans="1:14" ht="13.5">
      <c r="A491" s="3">
        <v>485</v>
      </c>
      <c r="B491" s="3" t="str">
        <f>"201900078808"</f>
        <v>201900078808</v>
      </c>
      <c r="C491" s="3" t="str">
        <f>"143850"</f>
        <v>143850</v>
      </c>
      <c r="D491" s="3" t="s">
        <v>2145</v>
      </c>
      <c r="E491" s="3">
        <v>20514187356</v>
      </c>
      <c r="F491" s="3" t="s">
        <v>2146</v>
      </c>
      <c r="G491" s="3" t="s">
        <v>2147</v>
      </c>
      <c r="H491" s="3" t="s">
        <v>18</v>
      </c>
      <c r="I491" s="3" t="s">
        <v>18</v>
      </c>
      <c r="J491" s="3" t="s">
        <v>1611</v>
      </c>
      <c r="K491" s="3" t="s">
        <v>36</v>
      </c>
      <c r="L491" s="4">
        <v>43617</v>
      </c>
      <c r="M491" s="3" t="s">
        <v>21</v>
      </c>
      <c r="N491" s="3" t="s">
        <v>2148</v>
      </c>
    </row>
    <row r="492" spans="1:14" ht="27.75">
      <c r="A492" s="5">
        <v>486</v>
      </c>
      <c r="B492" s="5" t="str">
        <f>"201900078803"</f>
        <v>201900078803</v>
      </c>
      <c r="C492" s="5" t="str">
        <f>"143780"</f>
        <v>143780</v>
      </c>
      <c r="D492" s="5" t="s">
        <v>2149</v>
      </c>
      <c r="E492" s="5">
        <v>10431005587</v>
      </c>
      <c r="F492" s="5" t="s">
        <v>2150</v>
      </c>
      <c r="G492" s="5" t="s">
        <v>2151</v>
      </c>
      <c r="H492" s="5" t="s">
        <v>513</v>
      </c>
      <c r="I492" s="5" t="s">
        <v>513</v>
      </c>
      <c r="J492" s="5" t="s">
        <v>1172</v>
      </c>
      <c r="K492" s="5" t="s">
        <v>97</v>
      </c>
      <c r="L492" s="6">
        <v>43617</v>
      </c>
      <c r="M492" s="5" t="s">
        <v>21</v>
      </c>
      <c r="N492" s="5" t="s">
        <v>2152</v>
      </c>
    </row>
    <row r="493" spans="1:14" ht="13.5">
      <c r="A493" s="3">
        <v>487</v>
      </c>
      <c r="B493" s="3" t="str">
        <f>"201900078803"</f>
        <v>201900078803</v>
      </c>
      <c r="C493" s="3" t="str">
        <f>"143779"</f>
        <v>143779</v>
      </c>
      <c r="D493" s="3" t="s">
        <v>2153</v>
      </c>
      <c r="E493" s="3">
        <v>10255496439</v>
      </c>
      <c r="F493" s="3" t="s">
        <v>2154</v>
      </c>
      <c r="G493" s="3" t="s">
        <v>2155</v>
      </c>
      <c r="H493" s="3" t="s">
        <v>513</v>
      </c>
      <c r="I493" s="3" t="s">
        <v>513</v>
      </c>
      <c r="J493" s="3" t="s">
        <v>1172</v>
      </c>
      <c r="K493" s="3" t="s">
        <v>2156</v>
      </c>
      <c r="L493" s="4">
        <v>43617</v>
      </c>
      <c r="M493" s="3" t="s">
        <v>21</v>
      </c>
      <c r="N493" s="3" t="s">
        <v>2154</v>
      </c>
    </row>
    <row r="494" spans="1:14" ht="27.75">
      <c r="A494" s="5">
        <v>488</v>
      </c>
      <c r="B494" s="5" t="str">
        <f>"201900078808"</f>
        <v>201900078808</v>
      </c>
      <c r="C494" s="5" t="str">
        <f>"143851"</f>
        <v>143851</v>
      </c>
      <c r="D494" s="5" t="s">
        <v>2157</v>
      </c>
      <c r="E494" s="5">
        <v>20545168945</v>
      </c>
      <c r="F494" s="5" t="s">
        <v>2158</v>
      </c>
      <c r="G494" s="5" t="s">
        <v>2159</v>
      </c>
      <c r="H494" s="5" t="s">
        <v>18</v>
      </c>
      <c r="I494" s="5" t="s">
        <v>18</v>
      </c>
      <c r="J494" s="5" t="s">
        <v>1611</v>
      </c>
      <c r="K494" s="5" t="s">
        <v>225</v>
      </c>
      <c r="L494" s="6">
        <v>43617</v>
      </c>
      <c r="M494" s="5" t="s">
        <v>21</v>
      </c>
      <c r="N494" s="5" t="s">
        <v>2160</v>
      </c>
    </row>
    <row r="495" spans="1:14" ht="27.75">
      <c r="A495" s="3">
        <v>489</v>
      </c>
      <c r="B495" s="3" t="str">
        <f>"201900078808"</f>
        <v>201900078808</v>
      </c>
      <c r="C495" s="3" t="str">
        <f>"143848"</f>
        <v>143848</v>
      </c>
      <c r="D495" s="3" t="s">
        <v>2161</v>
      </c>
      <c r="E495" s="3">
        <v>20429350264</v>
      </c>
      <c r="F495" s="3" t="s">
        <v>2162</v>
      </c>
      <c r="G495" s="3" t="s">
        <v>2163</v>
      </c>
      <c r="H495" s="3" t="s">
        <v>18</v>
      </c>
      <c r="I495" s="3" t="s">
        <v>18</v>
      </c>
      <c r="J495" s="3" t="s">
        <v>1611</v>
      </c>
      <c r="K495" s="3" t="s">
        <v>97</v>
      </c>
      <c r="L495" s="4">
        <v>43617</v>
      </c>
      <c r="M495" s="3" t="s">
        <v>21</v>
      </c>
      <c r="N495" s="3" t="s">
        <v>2164</v>
      </c>
    </row>
    <row r="496" spans="1:14" ht="13.5">
      <c r="A496" s="5">
        <v>490</v>
      </c>
      <c r="B496" s="5" t="str">
        <f>"201900078803"</f>
        <v>201900078803</v>
      </c>
      <c r="C496" s="5" t="str">
        <f>"143782"</f>
        <v>143782</v>
      </c>
      <c r="D496" s="5" t="s">
        <v>2165</v>
      </c>
      <c r="E496" s="5">
        <v>20345774042</v>
      </c>
      <c r="F496" s="5" t="s">
        <v>2166</v>
      </c>
      <c r="G496" s="5" t="s">
        <v>2167</v>
      </c>
      <c r="H496" s="5" t="s">
        <v>513</v>
      </c>
      <c r="I496" s="5" t="s">
        <v>513</v>
      </c>
      <c r="J496" s="5" t="s">
        <v>1172</v>
      </c>
      <c r="K496" s="5" t="s">
        <v>1883</v>
      </c>
      <c r="L496" s="6">
        <v>43617</v>
      </c>
      <c r="M496" s="5" t="s">
        <v>21</v>
      </c>
      <c r="N496" s="5" t="s">
        <v>2168</v>
      </c>
    </row>
    <row r="497" spans="1:14" ht="97.5">
      <c r="A497" s="3">
        <v>491</v>
      </c>
      <c r="B497" s="3" t="str">
        <f>"201900078803"</f>
        <v>201900078803</v>
      </c>
      <c r="C497" s="3" t="str">
        <f>"143781"</f>
        <v>143781</v>
      </c>
      <c r="D497" s="3" t="s">
        <v>2169</v>
      </c>
      <c r="E497" s="3">
        <v>20100008239</v>
      </c>
      <c r="F497" s="3" t="s">
        <v>2170</v>
      </c>
      <c r="G497" s="3" t="s">
        <v>2171</v>
      </c>
      <c r="H497" s="3" t="s">
        <v>513</v>
      </c>
      <c r="I497" s="3" t="s">
        <v>513</v>
      </c>
      <c r="J497" s="3" t="s">
        <v>1172</v>
      </c>
      <c r="K497" s="3" t="s">
        <v>2172</v>
      </c>
      <c r="L497" s="4">
        <v>43617</v>
      </c>
      <c r="M497" s="3" t="s">
        <v>21</v>
      </c>
      <c r="N497" s="3" t="s">
        <v>2173</v>
      </c>
    </row>
    <row r="498" spans="1:14" ht="27.75">
      <c r="A498" s="5">
        <v>492</v>
      </c>
      <c r="B498" s="5" t="str">
        <f>"201900078808"</f>
        <v>201900078808</v>
      </c>
      <c r="C498" s="5" t="str">
        <f>"143849"</f>
        <v>143849</v>
      </c>
      <c r="D498" s="5" t="s">
        <v>2174</v>
      </c>
      <c r="E498" s="5">
        <v>20509516341</v>
      </c>
      <c r="F498" s="5" t="s">
        <v>2175</v>
      </c>
      <c r="G498" s="5" t="s">
        <v>2176</v>
      </c>
      <c r="H498" s="5" t="s">
        <v>18</v>
      </c>
      <c r="I498" s="5" t="s">
        <v>18</v>
      </c>
      <c r="J498" s="5" t="s">
        <v>1611</v>
      </c>
      <c r="K498" s="5" t="s">
        <v>36</v>
      </c>
      <c r="L498" s="6">
        <v>43617</v>
      </c>
      <c r="M498" s="5" t="s">
        <v>21</v>
      </c>
      <c r="N498" s="5" t="s">
        <v>2177</v>
      </c>
    </row>
    <row r="499" spans="1:14" ht="27.75">
      <c r="A499" s="3">
        <v>493</v>
      </c>
      <c r="B499" s="3" t="str">
        <f>"201900078808"</f>
        <v>201900078808</v>
      </c>
      <c r="C499" s="3" t="str">
        <f>"143854"</f>
        <v>143854</v>
      </c>
      <c r="D499" s="3" t="s">
        <v>2178</v>
      </c>
      <c r="E499" s="3">
        <v>20602345913</v>
      </c>
      <c r="F499" s="3" t="s">
        <v>2179</v>
      </c>
      <c r="G499" s="3" t="s">
        <v>2180</v>
      </c>
      <c r="H499" s="3" t="s">
        <v>18</v>
      </c>
      <c r="I499" s="3" t="s">
        <v>18</v>
      </c>
      <c r="J499" s="3" t="s">
        <v>1611</v>
      </c>
      <c r="K499" s="3" t="s">
        <v>51</v>
      </c>
      <c r="L499" s="4">
        <v>43617</v>
      </c>
      <c r="M499" s="3" t="s">
        <v>21</v>
      </c>
      <c r="N499" s="3" t="s">
        <v>2181</v>
      </c>
    </row>
    <row r="500" spans="1:14" ht="27.75">
      <c r="A500" s="5">
        <v>494</v>
      </c>
      <c r="B500" s="5" t="str">
        <f>"201900078808"</f>
        <v>201900078808</v>
      </c>
      <c r="C500" s="5" t="str">
        <f>"143855"</f>
        <v>143855</v>
      </c>
      <c r="D500" s="5" t="s">
        <v>2182</v>
      </c>
      <c r="E500" s="5">
        <v>20603593856</v>
      </c>
      <c r="F500" s="5" t="s">
        <v>2183</v>
      </c>
      <c r="G500" s="5" t="s">
        <v>2184</v>
      </c>
      <c r="H500" s="5" t="s">
        <v>18</v>
      </c>
      <c r="I500" s="5" t="s">
        <v>18</v>
      </c>
      <c r="J500" s="5" t="s">
        <v>1611</v>
      </c>
      <c r="K500" s="5" t="s">
        <v>1448</v>
      </c>
      <c r="L500" s="6">
        <v>43617</v>
      </c>
      <c r="M500" s="5" t="s">
        <v>21</v>
      </c>
      <c r="N500" s="5" t="s">
        <v>2185</v>
      </c>
    </row>
    <row r="501" spans="1:14" ht="27.75">
      <c r="A501" s="3">
        <v>495</v>
      </c>
      <c r="B501" s="3" t="str">
        <f>"201900100901"</f>
        <v>201900100901</v>
      </c>
      <c r="C501" s="3" t="str">
        <f>"143852"</f>
        <v>143852</v>
      </c>
      <c r="D501" s="3" t="s">
        <v>2186</v>
      </c>
      <c r="E501" s="3">
        <v>20563129949</v>
      </c>
      <c r="F501" s="3" t="s">
        <v>2187</v>
      </c>
      <c r="G501" s="3" t="s">
        <v>2188</v>
      </c>
      <c r="H501" s="3" t="s">
        <v>18</v>
      </c>
      <c r="I501" s="3" t="s">
        <v>18</v>
      </c>
      <c r="J501" s="3" t="s">
        <v>1611</v>
      </c>
      <c r="K501" s="3" t="s">
        <v>36</v>
      </c>
      <c r="L501" s="4">
        <v>43644</v>
      </c>
      <c r="M501" s="3" t="s">
        <v>21</v>
      </c>
      <c r="N501" s="3" t="s">
        <v>2189</v>
      </c>
    </row>
    <row r="502" spans="1:14" ht="27.75">
      <c r="A502" s="5">
        <v>496</v>
      </c>
      <c r="B502" s="5" t="str">
        <f>"201900078808"</f>
        <v>201900078808</v>
      </c>
      <c r="C502" s="5" t="str">
        <f>"143853"</f>
        <v>143853</v>
      </c>
      <c r="D502" s="5" t="s">
        <v>2190</v>
      </c>
      <c r="E502" s="5">
        <v>20602239609</v>
      </c>
      <c r="F502" s="5" t="s">
        <v>2191</v>
      </c>
      <c r="G502" s="5" t="s">
        <v>2192</v>
      </c>
      <c r="H502" s="5" t="s">
        <v>18</v>
      </c>
      <c r="I502" s="5" t="s">
        <v>18</v>
      </c>
      <c r="J502" s="5" t="s">
        <v>1611</v>
      </c>
      <c r="K502" s="5" t="s">
        <v>1883</v>
      </c>
      <c r="L502" s="6">
        <v>43617</v>
      </c>
      <c r="M502" s="5" t="s">
        <v>21</v>
      </c>
      <c r="N502" s="5" t="s">
        <v>2193</v>
      </c>
    </row>
    <row r="503" spans="1:14" ht="153.75">
      <c r="A503" s="3">
        <v>497</v>
      </c>
      <c r="B503" s="3" t="str">
        <f>"201900132646"</f>
        <v>201900132646</v>
      </c>
      <c r="C503" s="3" t="str">
        <f>"145924"</f>
        <v>145924</v>
      </c>
      <c r="D503" s="3" t="s">
        <v>2194</v>
      </c>
      <c r="E503" s="3">
        <v>20477246789</v>
      </c>
      <c r="F503" s="3" t="s">
        <v>2195</v>
      </c>
      <c r="G503" s="3" t="s">
        <v>2196</v>
      </c>
      <c r="H503" s="3" t="s">
        <v>73</v>
      </c>
      <c r="I503" s="3" t="s">
        <v>74</v>
      </c>
      <c r="J503" s="3" t="s">
        <v>74</v>
      </c>
      <c r="K503" s="3" t="s">
        <v>75</v>
      </c>
      <c r="L503" s="4">
        <v>43693</v>
      </c>
      <c r="M503" s="3" t="s">
        <v>21</v>
      </c>
      <c r="N503" s="3" t="s">
        <v>2197</v>
      </c>
    </row>
    <row r="504" spans="1:14" ht="27.75">
      <c r="A504" s="5">
        <v>498</v>
      </c>
      <c r="B504" s="5" t="str">
        <f>"201900078808"</f>
        <v>201900078808</v>
      </c>
      <c r="C504" s="5" t="str">
        <f>"143856"</f>
        <v>143856</v>
      </c>
      <c r="D504" s="5" t="s">
        <v>2198</v>
      </c>
      <c r="E504" s="5">
        <v>20604488215</v>
      </c>
      <c r="F504" s="5" t="s">
        <v>2199</v>
      </c>
      <c r="G504" s="5" t="s">
        <v>2200</v>
      </c>
      <c r="H504" s="5" t="s">
        <v>18</v>
      </c>
      <c r="I504" s="5" t="s">
        <v>18</v>
      </c>
      <c r="J504" s="5" t="s">
        <v>1611</v>
      </c>
      <c r="K504" s="5" t="s">
        <v>36</v>
      </c>
      <c r="L504" s="6">
        <v>43617</v>
      </c>
      <c r="M504" s="5" t="s">
        <v>21</v>
      </c>
      <c r="N504" s="5" t="s">
        <v>2201</v>
      </c>
    </row>
    <row r="505" spans="1:14" ht="13.5">
      <c r="A505" s="3">
        <v>499</v>
      </c>
      <c r="B505" s="3" t="str">
        <f>"201900160271"</f>
        <v>201900160271</v>
      </c>
      <c r="C505" s="3" t="str">
        <f>"146908"</f>
        <v>146908</v>
      </c>
      <c r="D505" s="3" t="s">
        <v>2202</v>
      </c>
      <c r="E505" s="3">
        <v>20559109283</v>
      </c>
      <c r="F505" s="3" t="s">
        <v>2203</v>
      </c>
      <c r="G505" s="3" t="s">
        <v>2204</v>
      </c>
      <c r="H505" s="3" t="s">
        <v>253</v>
      </c>
      <c r="I505" s="3" t="s">
        <v>253</v>
      </c>
      <c r="J505" s="3" t="s">
        <v>253</v>
      </c>
      <c r="K505" s="3" t="s">
        <v>36</v>
      </c>
      <c r="L505" s="4">
        <v>43748</v>
      </c>
      <c r="M505" s="3" t="s">
        <v>21</v>
      </c>
      <c r="N505" s="3" t="s">
        <v>2205</v>
      </c>
    </row>
    <row r="506" spans="1:14" ht="27.75">
      <c r="A506" s="5">
        <v>500</v>
      </c>
      <c r="B506" s="5" t="str">
        <f>"201900112254"</f>
        <v>201900112254</v>
      </c>
      <c r="C506" s="5" t="str">
        <f>"144040"</f>
        <v>144040</v>
      </c>
      <c r="D506" s="5" t="s">
        <v>2206</v>
      </c>
      <c r="E506" s="5">
        <v>20526276486</v>
      </c>
      <c r="F506" s="5" t="s">
        <v>2207</v>
      </c>
      <c r="G506" s="5" t="s">
        <v>2208</v>
      </c>
      <c r="H506" s="5" t="s">
        <v>274</v>
      </c>
      <c r="I506" s="5" t="s">
        <v>274</v>
      </c>
      <c r="J506" s="5" t="s">
        <v>1316</v>
      </c>
      <c r="K506" s="5" t="s">
        <v>51</v>
      </c>
      <c r="L506" s="6">
        <v>43663</v>
      </c>
      <c r="M506" s="5" t="s">
        <v>21</v>
      </c>
      <c r="N506" s="5" t="s">
        <v>2209</v>
      </c>
    </row>
    <row r="507" spans="1:14" ht="13.5">
      <c r="A507" s="3">
        <v>501</v>
      </c>
      <c r="B507" s="3" t="str">
        <f>"201900078830"</f>
        <v>201900078830</v>
      </c>
      <c r="C507" s="3" t="str">
        <f>"144039"</f>
        <v>144039</v>
      </c>
      <c r="D507" s="3" t="s">
        <v>2210</v>
      </c>
      <c r="E507" s="3">
        <v>20525824153</v>
      </c>
      <c r="F507" s="3" t="s">
        <v>2211</v>
      </c>
      <c r="G507" s="3" t="s">
        <v>2212</v>
      </c>
      <c r="H507" s="3" t="s">
        <v>274</v>
      </c>
      <c r="I507" s="3" t="s">
        <v>274</v>
      </c>
      <c r="J507" s="3" t="s">
        <v>1316</v>
      </c>
      <c r="K507" s="3" t="s">
        <v>51</v>
      </c>
      <c r="L507" s="4">
        <v>43617</v>
      </c>
      <c r="M507" s="3" t="s">
        <v>21</v>
      </c>
      <c r="N507" s="3" t="s">
        <v>2213</v>
      </c>
    </row>
    <row r="508" spans="1:14" ht="27.75">
      <c r="A508" s="5">
        <v>502</v>
      </c>
      <c r="B508" s="5" t="str">
        <f>"201900078830"</f>
        <v>201900078830</v>
      </c>
      <c r="C508" s="5" t="str">
        <f>"144042"</f>
        <v>144042</v>
      </c>
      <c r="D508" s="5" t="s">
        <v>2214</v>
      </c>
      <c r="E508" s="5">
        <v>20525561802</v>
      </c>
      <c r="F508" s="5" t="s">
        <v>2215</v>
      </c>
      <c r="G508" s="5" t="s">
        <v>2216</v>
      </c>
      <c r="H508" s="5" t="s">
        <v>274</v>
      </c>
      <c r="I508" s="5" t="s">
        <v>274</v>
      </c>
      <c r="J508" s="5" t="s">
        <v>2217</v>
      </c>
      <c r="K508" s="5" t="s">
        <v>443</v>
      </c>
      <c r="L508" s="6">
        <v>43617</v>
      </c>
      <c r="M508" s="5" t="s">
        <v>21</v>
      </c>
      <c r="N508" s="5" t="s">
        <v>2218</v>
      </c>
    </row>
    <row r="509" spans="1:14" ht="13.5">
      <c r="A509" s="3">
        <v>503</v>
      </c>
      <c r="B509" s="3" t="str">
        <f>"201900078830"</f>
        <v>201900078830</v>
      </c>
      <c r="C509" s="3" t="str">
        <f>"144041"</f>
        <v>144041</v>
      </c>
      <c r="D509" s="3" t="s">
        <v>2219</v>
      </c>
      <c r="E509" s="3">
        <v>20484084948</v>
      </c>
      <c r="F509" s="3" t="s">
        <v>2220</v>
      </c>
      <c r="G509" s="3" t="s">
        <v>2221</v>
      </c>
      <c r="H509" s="3" t="s">
        <v>274</v>
      </c>
      <c r="I509" s="3" t="s">
        <v>274</v>
      </c>
      <c r="J509" s="3" t="s">
        <v>2217</v>
      </c>
      <c r="K509" s="3" t="s">
        <v>2222</v>
      </c>
      <c r="L509" s="4">
        <v>43617</v>
      </c>
      <c r="M509" s="3" t="s">
        <v>21</v>
      </c>
      <c r="N509" s="3" t="s">
        <v>2223</v>
      </c>
    </row>
    <row r="510" spans="1:14" ht="27.75">
      <c r="A510" s="5">
        <v>504</v>
      </c>
      <c r="B510" s="5" t="str">
        <f>"201900078830"</f>
        <v>201900078830</v>
      </c>
      <c r="C510" s="5" t="str">
        <f>"144044"</f>
        <v>144044</v>
      </c>
      <c r="D510" s="5" t="s">
        <v>2224</v>
      </c>
      <c r="E510" s="5">
        <v>10802235874</v>
      </c>
      <c r="F510" s="5" t="s">
        <v>2225</v>
      </c>
      <c r="G510" s="5" t="s">
        <v>2226</v>
      </c>
      <c r="H510" s="5" t="s">
        <v>274</v>
      </c>
      <c r="I510" s="5" t="s">
        <v>274</v>
      </c>
      <c r="J510" s="5" t="s">
        <v>274</v>
      </c>
      <c r="K510" s="5" t="s">
        <v>443</v>
      </c>
      <c r="L510" s="6">
        <v>43617</v>
      </c>
      <c r="M510" s="5" t="s">
        <v>21</v>
      </c>
      <c r="N510" s="5" t="s">
        <v>2225</v>
      </c>
    </row>
    <row r="511" spans="1:14" ht="13.5">
      <c r="A511" s="3">
        <v>505</v>
      </c>
      <c r="B511" s="3" t="str">
        <f>"201900078830"</f>
        <v>201900078830</v>
      </c>
      <c r="C511" s="3" t="str">
        <f>"144043"</f>
        <v>144043</v>
      </c>
      <c r="D511" s="3" t="s">
        <v>2227</v>
      </c>
      <c r="E511" s="3">
        <v>10705415787</v>
      </c>
      <c r="F511" s="3" t="s">
        <v>2228</v>
      </c>
      <c r="G511" s="3" t="s">
        <v>2229</v>
      </c>
      <c r="H511" s="3" t="s">
        <v>274</v>
      </c>
      <c r="I511" s="3" t="s">
        <v>274</v>
      </c>
      <c r="J511" s="3" t="s">
        <v>274</v>
      </c>
      <c r="K511" s="3" t="s">
        <v>51</v>
      </c>
      <c r="L511" s="4">
        <v>43617</v>
      </c>
      <c r="M511" s="3" t="s">
        <v>21</v>
      </c>
      <c r="N511" s="3" t="s">
        <v>2228</v>
      </c>
    </row>
    <row r="512" spans="1:14" ht="83.25">
      <c r="A512" s="5">
        <v>506</v>
      </c>
      <c r="B512" s="5" t="str">
        <f>"202000028409"</f>
        <v>202000028409</v>
      </c>
      <c r="C512" s="5" t="str">
        <f>"144046"</f>
        <v>144046</v>
      </c>
      <c r="D512" s="5" t="s">
        <v>2230</v>
      </c>
      <c r="E512" s="5">
        <v>20441636831</v>
      </c>
      <c r="F512" s="5" t="s">
        <v>2231</v>
      </c>
      <c r="G512" s="5" t="s">
        <v>2232</v>
      </c>
      <c r="H512" s="5" t="s">
        <v>274</v>
      </c>
      <c r="I512" s="5" t="s">
        <v>274</v>
      </c>
      <c r="J512" s="5" t="s">
        <v>274</v>
      </c>
      <c r="K512" s="5" t="s">
        <v>1004</v>
      </c>
      <c r="L512" s="6">
        <v>43881</v>
      </c>
      <c r="M512" s="5" t="s">
        <v>21</v>
      </c>
      <c r="N512" s="5" t="s">
        <v>2233</v>
      </c>
    </row>
    <row r="513" spans="1:14" ht="27.75">
      <c r="A513" s="3">
        <v>507</v>
      </c>
      <c r="B513" s="3" t="str">
        <f>"201900078830"</f>
        <v>201900078830</v>
      </c>
      <c r="C513" s="3" t="str">
        <f>"144045"</f>
        <v>144045</v>
      </c>
      <c r="D513" s="3" t="s">
        <v>2234</v>
      </c>
      <c r="E513" s="3">
        <v>20356563833</v>
      </c>
      <c r="F513" s="3" t="s">
        <v>2235</v>
      </c>
      <c r="G513" s="3" t="s">
        <v>2236</v>
      </c>
      <c r="H513" s="3" t="s">
        <v>274</v>
      </c>
      <c r="I513" s="3" t="s">
        <v>274</v>
      </c>
      <c r="J513" s="3" t="s">
        <v>274</v>
      </c>
      <c r="K513" s="3" t="s">
        <v>51</v>
      </c>
      <c r="L513" s="4">
        <v>43617</v>
      </c>
      <c r="M513" s="3" t="s">
        <v>21</v>
      </c>
      <c r="N513" s="3" t="s">
        <v>2237</v>
      </c>
    </row>
    <row r="514" spans="1:14" ht="13.5">
      <c r="A514" s="5">
        <v>508</v>
      </c>
      <c r="B514" s="5" t="str">
        <f>"201900078803"</f>
        <v>201900078803</v>
      </c>
      <c r="C514" s="5" t="str">
        <f>"143774"</f>
        <v>143774</v>
      </c>
      <c r="D514" s="5" t="s">
        <v>2238</v>
      </c>
      <c r="E514" s="5">
        <v>20334695868</v>
      </c>
      <c r="F514" s="5" t="s">
        <v>2239</v>
      </c>
      <c r="G514" s="5" t="s">
        <v>2240</v>
      </c>
      <c r="H514" s="5" t="s">
        <v>513</v>
      </c>
      <c r="I514" s="5" t="s">
        <v>513</v>
      </c>
      <c r="J514" s="5" t="s">
        <v>2241</v>
      </c>
      <c r="K514" s="5" t="s">
        <v>542</v>
      </c>
      <c r="L514" s="6">
        <v>43617</v>
      </c>
      <c r="M514" s="5" t="s">
        <v>21</v>
      </c>
      <c r="N514" s="5" t="s">
        <v>2242</v>
      </c>
    </row>
    <row r="515" spans="1:14" ht="27.75">
      <c r="A515" s="3">
        <v>509</v>
      </c>
      <c r="B515" s="3" t="str">
        <f>"201900078803"</f>
        <v>201900078803</v>
      </c>
      <c r="C515" s="3" t="str">
        <f>"143775"</f>
        <v>143775</v>
      </c>
      <c r="D515" s="3" t="s">
        <v>2243</v>
      </c>
      <c r="E515" s="3">
        <v>20508586699</v>
      </c>
      <c r="F515" s="3" t="s">
        <v>2244</v>
      </c>
      <c r="G515" s="3" t="s">
        <v>2245</v>
      </c>
      <c r="H515" s="3" t="s">
        <v>513</v>
      </c>
      <c r="I515" s="3" t="s">
        <v>513</v>
      </c>
      <c r="J515" s="3" t="s">
        <v>2241</v>
      </c>
      <c r="K515" s="3" t="s">
        <v>137</v>
      </c>
      <c r="L515" s="4">
        <v>43617</v>
      </c>
      <c r="M515" s="3" t="s">
        <v>21</v>
      </c>
      <c r="N515" s="3" t="s">
        <v>2246</v>
      </c>
    </row>
    <row r="516" spans="1:14" ht="13.5">
      <c r="A516" s="5">
        <v>510</v>
      </c>
      <c r="B516" s="5" t="str">
        <f>"201900078803"</f>
        <v>201900078803</v>
      </c>
      <c r="C516" s="5" t="str">
        <f>"143772"</f>
        <v>143772</v>
      </c>
      <c r="D516" s="5" t="s">
        <v>2247</v>
      </c>
      <c r="E516" s="5">
        <v>20542057166</v>
      </c>
      <c r="F516" s="5" t="s">
        <v>2248</v>
      </c>
      <c r="G516" s="5" t="s">
        <v>2249</v>
      </c>
      <c r="H516" s="5" t="s">
        <v>18</v>
      </c>
      <c r="I516" s="5" t="s">
        <v>2250</v>
      </c>
      <c r="J516" s="5" t="s">
        <v>2250</v>
      </c>
      <c r="K516" s="5" t="s">
        <v>36</v>
      </c>
      <c r="L516" s="6">
        <v>43617</v>
      </c>
      <c r="M516" s="5" t="s">
        <v>21</v>
      </c>
      <c r="N516" s="5" t="s">
        <v>2251</v>
      </c>
    </row>
    <row r="517" spans="1:14" ht="27.75">
      <c r="A517" s="3">
        <v>511</v>
      </c>
      <c r="B517" s="3" t="str">
        <f>"201900078803"</f>
        <v>201900078803</v>
      </c>
      <c r="C517" s="3" t="str">
        <f>"143773"</f>
        <v>143773</v>
      </c>
      <c r="D517" s="3" t="s">
        <v>2252</v>
      </c>
      <c r="E517" s="3">
        <v>10255716498</v>
      </c>
      <c r="F517" s="3" t="s">
        <v>2253</v>
      </c>
      <c r="G517" s="3" t="s">
        <v>2245</v>
      </c>
      <c r="H517" s="3" t="s">
        <v>513</v>
      </c>
      <c r="I517" s="3" t="s">
        <v>513</v>
      </c>
      <c r="J517" s="3" t="s">
        <v>2241</v>
      </c>
      <c r="K517" s="3" t="s">
        <v>137</v>
      </c>
      <c r="L517" s="4">
        <v>43617</v>
      </c>
      <c r="M517" s="3" t="s">
        <v>21</v>
      </c>
      <c r="N517" s="3" t="s">
        <v>2246</v>
      </c>
    </row>
    <row r="518" spans="1:14" ht="153.75">
      <c r="A518" s="5">
        <v>512</v>
      </c>
      <c r="B518" s="5" t="str">
        <f>"202000080694"</f>
        <v>202000080694</v>
      </c>
      <c r="C518" s="5" t="str">
        <f>"149958"</f>
        <v>149958</v>
      </c>
      <c r="D518" s="5" t="s">
        <v>2254</v>
      </c>
      <c r="E518" s="5">
        <v>20539926765</v>
      </c>
      <c r="F518" s="5" t="s">
        <v>2255</v>
      </c>
      <c r="G518" s="5" t="s">
        <v>2256</v>
      </c>
      <c r="H518" s="5" t="s">
        <v>73</v>
      </c>
      <c r="I518" s="5" t="s">
        <v>74</v>
      </c>
      <c r="J518" s="5" t="s">
        <v>74</v>
      </c>
      <c r="K518" s="5" t="s">
        <v>75</v>
      </c>
      <c r="L518" s="6">
        <v>44025</v>
      </c>
      <c r="M518" s="5" t="s">
        <v>21</v>
      </c>
      <c r="N518" s="5" t="s">
        <v>2257</v>
      </c>
    </row>
    <row r="519" spans="1:14" ht="42">
      <c r="A519" s="3">
        <v>513</v>
      </c>
      <c r="B519" s="3" t="str">
        <f>"202000065007"</f>
        <v>202000065007</v>
      </c>
      <c r="C519" s="3" t="str">
        <f>"149652"</f>
        <v>149652</v>
      </c>
      <c r="D519" s="3" t="s">
        <v>2258</v>
      </c>
      <c r="E519" s="3">
        <v>20564099989</v>
      </c>
      <c r="F519" s="3" t="s">
        <v>2259</v>
      </c>
      <c r="G519" s="3" t="s">
        <v>2260</v>
      </c>
      <c r="H519" s="3" t="s">
        <v>1830</v>
      </c>
      <c r="I519" s="3" t="s">
        <v>2261</v>
      </c>
      <c r="J519" s="3" t="s">
        <v>2261</v>
      </c>
      <c r="K519" s="3" t="s">
        <v>42</v>
      </c>
      <c r="L519" s="4">
        <v>43997</v>
      </c>
      <c r="M519" s="3" t="s">
        <v>21</v>
      </c>
      <c r="N519" s="3" t="s">
        <v>2262</v>
      </c>
    </row>
    <row r="520" spans="1:14" ht="13.5">
      <c r="A520" s="5">
        <v>514</v>
      </c>
      <c r="B520" s="5" t="str">
        <f>"201900078830"</f>
        <v>201900078830</v>
      </c>
      <c r="C520" s="5" t="str">
        <f>"144038"</f>
        <v>144038</v>
      </c>
      <c r="D520" s="5" t="s">
        <v>2263</v>
      </c>
      <c r="E520" s="5">
        <v>20484335371</v>
      </c>
      <c r="F520" s="5" t="s">
        <v>2264</v>
      </c>
      <c r="G520" s="5" t="s">
        <v>2265</v>
      </c>
      <c r="H520" s="5" t="s">
        <v>274</v>
      </c>
      <c r="I520" s="5" t="s">
        <v>274</v>
      </c>
      <c r="J520" s="5" t="s">
        <v>1316</v>
      </c>
      <c r="K520" s="5" t="s">
        <v>2266</v>
      </c>
      <c r="L520" s="6">
        <v>43617</v>
      </c>
      <c r="M520" s="5" t="s">
        <v>21</v>
      </c>
      <c r="N520" s="5" t="s">
        <v>2267</v>
      </c>
    </row>
    <row r="521" spans="1:14" ht="27.75">
      <c r="A521" s="3">
        <v>515</v>
      </c>
      <c r="B521" s="3" t="str">
        <f>"201900078803"</f>
        <v>201900078803</v>
      </c>
      <c r="C521" s="3" t="str">
        <f>"143776"</f>
        <v>143776</v>
      </c>
      <c r="D521" s="3" t="s">
        <v>2268</v>
      </c>
      <c r="E521" s="3">
        <v>10090822000</v>
      </c>
      <c r="F521" s="3" t="s">
        <v>2269</v>
      </c>
      <c r="G521" s="3" t="s">
        <v>2270</v>
      </c>
      <c r="H521" s="3" t="s">
        <v>513</v>
      </c>
      <c r="I521" s="3" t="s">
        <v>513</v>
      </c>
      <c r="J521" s="3" t="s">
        <v>1172</v>
      </c>
      <c r="K521" s="3" t="s">
        <v>2271</v>
      </c>
      <c r="L521" s="4">
        <v>43617</v>
      </c>
      <c r="M521" s="3" t="s">
        <v>21</v>
      </c>
      <c r="N521" s="3" t="s">
        <v>2272</v>
      </c>
    </row>
    <row r="522" spans="1:14" ht="27.75">
      <c r="A522" s="5">
        <v>516</v>
      </c>
      <c r="B522" s="5" t="str">
        <f>"201900078830"</f>
        <v>201900078830</v>
      </c>
      <c r="C522" s="5" t="str">
        <f>"144037"</f>
        <v>144037</v>
      </c>
      <c r="D522" s="5" t="s">
        <v>2273</v>
      </c>
      <c r="E522" s="5">
        <v>10028629040</v>
      </c>
      <c r="F522" s="5" t="s">
        <v>2274</v>
      </c>
      <c r="G522" s="5" t="s">
        <v>2275</v>
      </c>
      <c r="H522" s="5" t="s">
        <v>274</v>
      </c>
      <c r="I522" s="5" t="s">
        <v>274</v>
      </c>
      <c r="J522" s="5" t="s">
        <v>1316</v>
      </c>
      <c r="K522" s="5" t="s">
        <v>51</v>
      </c>
      <c r="L522" s="6">
        <v>43617</v>
      </c>
      <c r="M522" s="5" t="s">
        <v>21</v>
      </c>
      <c r="N522" s="5" t="s">
        <v>2274</v>
      </c>
    </row>
    <row r="523" spans="1:14" ht="27.75">
      <c r="A523" s="3">
        <v>517</v>
      </c>
      <c r="B523" s="3" t="str">
        <f>"202000043838"</f>
        <v>202000043838</v>
      </c>
      <c r="C523" s="3" t="str">
        <f>"149494"</f>
        <v>149494</v>
      </c>
      <c r="D523" s="3" t="s">
        <v>2276</v>
      </c>
      <c r="E523" s="3">
        <v>20569324531</v>
      </c>
      <c r="F523" s="3" t="s">
        <v>2277</v>
      </c>
      <c r="G523" s="3" t="s">
        <v>2278</v>
      </c>
      <c r="H523" s="3" t="s">
        <v>1645</v>
      </c>
      <c r="I523" s="3" t="s">
        <v>2279</v>
      </c>
      <c r="J523" s="3" t="s">
        <v>2280</v>
      </c>
      <c r="K523" s="3" t="s">
        <v>36</v>
      </c>
      <c r="L523" s="4">
        <v>43914</v>
      </c>
      <c r="M523" s="3" t="s">
        <v>21</v>
      </c>
      <c r="N523" s="3" t="s">
        <v>2281</v>
      </c>
    </row>
    <row r="524" spans="1:14" ht="27.75">
      <c r="A524" s="5">
        <v>518</v>
      </c>
      <c r="B524" s="5" t="str">
        <f>"201900078803"</f>
        <v>201900078803</v>
      </c>
      <c r="C524" s="5" t="str">
        <f>"143767"</f>
        <v>143767</v>
      </c>
      <c r="D524" s="5" t="s">
        <v>2282</v>
      </c>
      <c r="E524" s="5">
        <v>20515854615</v>
      </c>
      <c r="F524" s="5" t="s">
        <v>2283</v>
      </c>
      <c r="G524" s="5" t="s">
        <v>2284</v>
      </c>
      <c r="H524" s="5" t="s">
        <v>18</v>
      </c>
      <c r="I524" s="5" t="s">
        <v>18</v>
      </c>
      <c r="J524" s="5" t="s">
        <v>2084</v>
      </c>
      <c r="K524" s="5" t="s">
        <v>137</v>
      </c>
      <c r="L524" s="6">
        <v>43617</v>
      </c>
      <c r="M524" s="5" t="s">
        <v>21</v>
      </c>
      <c r="N524" s="5" t="s">
        <v>2285</v>
      </c>
    </row>
    <row r="525" spans="1:14" ht="42">
      <c r="A525" s="3">
        <v>519</v>
      </c>
      <c r="B525" s="3" t="str">
        <f>"202000119017"</f>
        <v>202000119017</v>
      </c>
      <c r="C525" s="3" t="str">
        <f>"150166"</f>
        <v>150166</v>
      </c>
      <c r="D525" s="3" t="s">
        <v>2286</v>
      </c>
      <c r="E525" s="3">
        <v>20606143894</v>
      </c>
      <c r="F525" s="3" t="s">
        <v>2287</v>
      </c>
      <c r="G525" s="3" t="s">
        <v>2288</v>
      </c>
      <c r="H525" s="3" t="s">
        <v>18</v>
      </c>
      <c r="I525" s="3" t="s">
        <v>18</v>
      </c>
      <c r="J525" s="3" t="s">
        <v>537</v>
      </c>
      <c r="K525" s="3" t="s">
        <v>1561</v>
      </c>
      <c r="L525" s="4">
        <v>44086</v>
      </c>
      <c r="M525" s="3" t="s">
        <v>21</v>
      </c>
      <c r="N525" s="3" t="s">
        <v>2289</v>
      </c>
    </row>
    <row r="526" spans="1:14" ht="13.5">
      <c r="A526" s="5">
        <v>520</v>
      </c>
      <c r="B526" s="5" t="str">
        <f>"201900078652"</f>
        <v>201900078652</v>
      </c>
      <c r="C526" s="5" t="str">
        <f>"143837"</f>
        <v>143837</v>
      </c>
      <c r="D526" s="5" t="s">
        <v>2290</v>
      </c>
      <c r="E526" s="5">
        <v>20601223261</v>
      </c>
      <c r="F526" s="5" t="s">
        <v>2291</v>
      </c>
      <c r="G526" s="5" t="s">
        <v>2292</v>
      </c>
      <c r="H526" s="5" t="s">
        <v>1645</v>
      </c>
      <c r="I526" s="5" t="s">
        <v>2293</v>
      </c>
      <c r="J526" s="5" t="s">
        <v>2294</v>
      </c>
      <c r="K526" s="5" t="s">
        <v>51</v>
      </c>
      <c r="L526" s="6">
        <v>43617</v>
      </c>
      <c r="M526" s="5" t="s">
        <v>21</v>
      </c>
      <c r="N526" s="5" t="s">
        <v>2291</v>
      </c>
    </row>
    <row r="527" spans="1:14" ht="13.5">
      <c r="A527" s="3">
        <v>521</v>
      </c>
      <c r="B527" s="3" t="str">
        <f>"201900078803"</f>
        <v>201900078803</v>
      </c>
      <c r="C527" s="3" t="str">
        <f>"143771"</f>
        <v>143771</v>
      </c>
      <c r="D527" s="3" t="s">
        <v>2295</v>
      </c>
      <c r="E527" s="3">
        <v>10406134704</v>
      </c>
      <c r="F527" s="3" t="s">
        <v>2296</v>
      </c>
      <c r="G527" s="3" t="s">
        <v>2297</v>
      </c>
      <c r="H527" s="3" t="s">
        <v>18</v>
      </c>
      <c r="I527" s="3" t="s">
        <v>2250</v>
      </c>
      <c r="J527" s="3" t="s">
        <v>2250</v>
      </c>
      <c r="K527" s="3" t="s">
        <v>36</v>
      </c>
      <c r="L527" s="4">
        <v>43617</v>
      </c>
      <c r="M527" s="3" t="s">
        <v>21</v>
      </c>
      <c r="N527" s="3" t="s">
        <v>2298</v>
      </c>
    </row>
    <row r="528" spans="1:14" ht="13.5">
      <c r="A528" s="5">
        <v>522</v>
      </c>
      <c r="B528" s="5" t="str">
        <f>"201900078808"</f>
        <v>201900078808</v>
      </c>
      <c r="C528" s="5" t="str">
        <f>"143838"</f>
        <v>143838</v>
      </c>
      <c r="D528" s="5" t="s">
        <v>2299</v>
      </c>
      <c r="E528" s="5">
        <v>20603005113</v>
      </c>
      <c r="F528" s="5" t="s">
        <v>2300</v>
      </c>
      <c r="G528" s="5" t="s">
        <v>2301</v>
      </c>
      <c r="H528" s="5" t="s">
        <v>18</v>
      </c>
      <c r="I528" s="5" t="s">
        <v>18</v>
      </c>
      <c r="J528" s="5" t="s">
        <v>303</v>
      </c>
      <c r="K528" s="5" t="s">
        <v>51</v>
      </c>
      <c r="L528" s="6">
        <v>43617</v>
      </c>
      <c r="M528" s="5" t="s">
        <v>21</v>
      </c>
      <c r="N528" s="5" t="s">
        <v>2302</v>
      </c>
    </row>
    <row r="529" spans="1:14" ht="111.75">
      <c r="A529" s="3">
        <v>523</v>
      </c>
      <c r="B529" s="3" t="str">
        <f>"201900108564"</f>
        <v>201900108564</v>
      </c>
      <c r="C529" s="3" t="str">
        <f>"143770"</f>
        <v>143770</v>
      </c>
      <c r="D529" s="3" t="s">
        <v>2303</v>
      </c>
      <c r="E529" s="3">
        <v>20600653181</v>
      </c>
      <c r="F529" s="3" t="s">
        <v>2304</v>
      </c>
      <c r="G529" s="3" t="s">
        <v>2305</v>
      </c>
      <c r="H529" s="3" t="s">
        <v>18</v>
      </c>
      <c r="I529" s="3" t="s">
        <v>18</v>
      </c>
      <c r="J529" s="3" t="s">
        <v>2084</v>
      </c>
      <c r="K529" s="3" t="s">
        <v>2306</v>
      </c>
      <c r="L529" s="4">
        <v>43657</v>
      </c>
      <c r="M529" s="3" t="s">
        <v>21</v>
      </c>
      <c r="N529" s="3" t="s">
        <v>2307</v>
      </c>
    </row>
    <row r="530" spans="1:14" ht="13.5">
      <c r="A530" s="5">
        <v>524</v>
      </c>
      <c r="B530" s="5" t="str">
        <f>"201900078803"</f>
        <v>201900078803</v>
      </c>
      <c r="C530" s="5" t="str">
        <f>"143769"</f>
        <v>143769</v>
      </c>
      <c r="D530" s="5" t="s">
        <v>2308</v>
      </c>
      <c r="E530" s="5">
        <v>20550909716</v>
      </c>
      <c r="F530" s="5" t="s">
        <v>2309</v>
      </c>
      <c r="G530" s="5" t="s">
        <v>2310</v>
      </c>
      <c r="H530" s="5" t="s">
        <v>18</v>
      </c>
      <c r="I530" s="5" t="s">
        <v>18</v>
      </c>
      <c r="J530" s="5" t="s">
        <v>2084</v>
      </c>
      <c r="K530" s="5" t="s">
        <v>97</v>
      </c>
      <c r="L530" s="6">
        <v>43617</v>
      </c>
      <c r="M530" s="5" t="s">
        <v>21</v>
      </c>
      <c r="N530" s="5" t="s">
        <v>2311</v>
      </c>
    </row>
    <row r="531" spans="1:14" ht="27.75">
      <c r="A531" s="3">
        <v>525</v>
      </c>
      <c r="B531" s="3" t="str">
        <f>"202000042671"</f>
        <v>202000042671</v>
      </c>
      <c r="C531" s="3" t="str">
        <f>"149492"</f>
        <v>149492</v>
      </c>
      <c r="D531" s="3" t="s">
        <v>2312</v>
      </c>
      <c r="E531" s="3">
        <v>20393967693</v>
      </c>
      <c r="F531" s="3" t="s">
        <v>2313</v>
      </c>
      <c r="G531" s="3" t="s">
        <v>2314</v>
      </c>
      <c r="H531" s="3" t="s">
        <v>615</v>
      </c>
      <c r="I531" s="3" t="s">
        <v>616</v>
      </c>
      <c r="J531" s="3" t="s">
        <v>617</v>
      </c>
      <c r="K531" s="3" t="s">
        <v>97</v>
      </c>
      <c r="L531" s="4">
        <v>43908</v>
      </c>
      <c r="M531" s="3" t="s">
        <v>21</v>
      </c>
      <c r="N531" s="3" t="s">
        <v>2315</v>
      </c>
    </row>
    <row r="532" spans="1:14" ht="13.5">
      <c r="A532" s="5">
        <v>526</v>
      </c>
      <c r="B532" s="5" t="str">
        <f>"201900078808"</f>
        <v>201900078808</v>
      </c>
      <c r="C532" s="5" t="str">
        <f>"143839"</f>
        <v>143839</v>
      </c>
      <c r="D532" s="5" t="s">
        <v>2316</v>
      </c>
      <c r="E532" s="5">
        <v>20603522169</v>
      </c>
      <c r="F532" s="5" t="s">
        <v>2317</v>
      </c>
      <c r="G532" s="5" t="s">
        <v>2318</v>
      </c>
      <c r="H532" s="5" t="s">
        <v>18</v>
      </c>
      <c r="I532" s="5" t="s">
        <v>18</v>
      </c>
      <c r="J532" s="5" t="s">
        <v>303</v>
      </c>
      <c r="K532" s="5" t="s">
        <v>1883</v>
      </c>
      <c r="L532" s="6">
        <v>43617</v>
      </c>
      <c r="M532" s="5" t="s">
        <v>21</v>
      </c>
      <c r="N532" s="5" t="s">
        <v>2319</v>
      </c>
    </row>
    <row r="533" spans="1:14" ht="27.75">
      <c r="A533" s="3">
        <v>527</v>
      </c>
      <c r="B533" s="3" t="str">
        <f>"201900078808"</f>
        <v>201900078808</v>
      </c>
      <c r="C533" s="3" t="str">
        <f>"143840"</f>
        <v>143840</v>
      </c>
      <c r="D533" s="3" t="s">
        <v>2320</v>
      </c>
      <c r="E533" s="3">
        <v>20603569637</v>
      </c>
      <c r="F533" s="3" t="s">
        <v>2321</v>
      </c>
      <c r="G533" s="3" t="s">
        <v>2322</v>
      </c>
      <c r="H533" s="3" t="s">
        <v>18</v>
      </c>
      <c r="I533" s="3" t="s">
        <v>18</v>
      </c>
      <c r="J533" s="3" t="s">
        <v>303</v>
      </c>
      <c r="K533" s="3" t="s">
        <v>1448</v>
      </c>
      <c r="L533" s="4">
        <v>43617</v>
      </c>
      <c r="M533" s="3" t="s">
        <v>21</v>
      </c>
      <c r="N533" s="3" t="s">
        <v>2323</v>
      </c>
    </row>
    <row r="534" spans="1:14" ht="27.75">
      <c r="A534" s="5">
        <v>528</v>
      </c>
      <c r="B534" s="5" t="str">
        <f>"201900078803"</f>
        <v>201900078803</v>
      </c>
      <c r="C534" s="5" t="str">
        <f>"143768"</f>
        <v>143768</v>
      </c>
      <c r="D534" s="5" t="s">
        <v>2324</v>
      </c>
      <c r="E534" s="5">
        <v>20536293851</v>
      </c>
      <c r="F534" s="5" t="s">
        <v>2325</v>
      </c>
      <c r="G534" s="5" t="s">
        <v>2326</v>
      </c>
      <c r="H534" s="5" t="s">
        <v>18</v>
      </c>
      <c r="I534" s="5" t="s">
        <v>18</v>
      </c>
      <c r="J534" s="5" t="s">
        <v>2084</v>
      </c>
      <c r="K534" s="5" t="s">
        <v>36</v>
      </c>
      <c r="L534" s="6">
        <v>43617</v>
      </c>
      <c r="M534" s="5" t="s">
        <v>21</v>
      </c>
      <c r="N534" s="5" t="s">
        <v>2327</v>
      </c>
    </row>
    <row r="535" spans="1:14" ht="13.5">
      <c r="A535" s="3">
        <v>529</v>
      </c>
      <c r="B535" s="3" t="str">
        <f>"201900078808"</f>
        <v>201900078808</v>
      </c>
      <c r="C535" s="3" t="str">
        <f>"143841"</f>
        <v>143841</v>
      </c>
      <c r="D535" s="3" t="s">
        <v>2328</v>
      </c>
      <c r="E535" s="3">
        <v>10069708035</v>
      </c>
      <c r="F535" s="3" t="s">
        <v>2329</v>
      </c>
      <c r="G535" s="3" t="s">
        <v>2330</v>
      </c>
      <c r="H535" s="3" t="s">
        <v>18</v>
      </c>
      <c r="I535" s="3" t="s">
        <v>18</v>
      </c>
      <c r="J535" s="3" t="s">
        <v>2331</v>
      </c>
      <c r="K535" s="3" t="s">
        <v>36</v>
      </c>
      <c r="L535" s="4">
        <v>43617</v>
      </c>
      <c r="M535" s="3" t="s">
        <v>21</v>
      </c>
      <c r="N535" s="3" t="s">
        <v>2329</v>
      </c>
    </row>
    <row r="536" spans="1:14" ht="42">
      <c r="A536" s="5">
        <v>530</v>
      </c>
      <c r="B536" s="5" t="str">
        <f>"201900078808"</f>
        <v>201900078808</v>
      </c>
      <c r="C536" s="5" t="str">
        <f>"143842"</f>
        <v>143842</v>
      </c>
      <c r="D536" s="5" t="s">
        <v>2332</v>
      </c>
      <c r="E536" s="5">
        <v>20516176572</v>
      </c>
      <c r="F536" s="5" t="s">
        <v>2333</v>
      </c>
      <c r="G536" s="5" t="s">
        <v>2334</v>
      </c>
      <c r="H536" s="5" t="s">
        <v>18</v>
      </c>
      <c r="I536" s="5" t="s">
        <v>18</v>
      </c>
      <c r="J536" s="5" t="s">
        <v>2331</v>
      </c>
      <c r="K536" s="5" t="s">
        <v>108</v>
      </c>
      <c r="L536" s="6">
        <v>43617</v>
      </c>
      <c r="M536" s="5" t="s">
        <v>21</v>
      </c>
      <c r="N536" s="5" t="s">
        <v>2335</v>
      </c>
    </row>
    <row r="537" spans="1:14" ht="27.75">
      <c r="A537" s="3">
        <v>531</v>
      </c>
      <c r="B537" s="3" t="str">
        <f>"201900078808"</f>
        <v>201900078808</v>
      </c>
      <c r="C537" s="3" t="str">
        <f>"143843"</f>
        <v>143843</v>
      </c>
      <c r="D537" s="3" t="s">
        <v>2336</v>
      </c>
      <c r="E537" s="3">
        <v>20523998740</v>
      </c>
      <c r="F537" s="3" t="s">
        <v>2337</v>
      </c>
      <c r="G537" s="3" t="s">
        <v>2338</v>
      </c>
      <c r="H537" s="3" t="s">
        <v>18</v>
      </c>
      <c r="I537" s="3" t="s">
        <v>18</v>
      </c>
      <c r="J537" s="3" t="s">
        <v>2331</v>
      </c>
      <c r="K537" s="3" t="s">
        <v>51</v>
      </c>
      <c r="L537" s="4">
        <v>43617</v>
      </c>
      <c r="M537" s="3" t="s">
        <v>21</v>
      </c>
      <c r="N537" s="3" t="s">
        <v>2339</v>
      </c>
    </row>
    <row r="538" spans="1:14" ht="27.75">
      <c r="A538" s="5">
        <v>532</v>
      </c>
      <c r="B538" s="5" t="str">
        <f>"201900078808"</f>
        <v>201900078808</v>
      </c>
      <c r="C538" s="5" t="str">
        <f>"143845"</f>
        <v>143845</v>
      </c>
      <c r="D538" s="5" t="s">
        <v>2340</v>
      </c>
      <c r="E538" s="5">
        <v>20601218080</v>
      </c>
      <c r="F538" s="5" t="s">
        <v>2341</v>
      </c>
      <c r="G538" s="5" t="s">
        <v>2342</v>
      </c>
      <c r="H538" s="5" t="s">
        <v>18</v>
      </c>
      <c r="I538" s="5" t="s">
        <v>18</v>
      </c>
      <c r="J538" s="5" t="s">
        <v>2331</v>
      </c>
      <c r="K538" s="5" t="s">
        <v>225</v>
      </c>
      <c r="L538" s="6">
        <v>43617</v>
      </c>
      <c r="M538" s="5" t="s">
        <v>21</v>
      </c>
      <c r="N538" s="5" t="s">
        <v>2343</v>
      </c>
    </row>
    <row r="539" spans="1:14" ht="27.75">
      <c r="A539" s="3">
        <v>533</v>
      </c>
      <c r="B539" s="3" t="str">
        <f>"201900078808"</f>
        <v>201900078808</v>
      </c>
      <c r="C539" s="3" t="str">
        <f>"143846"</f>
        <v>143846</v>
      </c>
      <c r="D539" s="3" t="s">
        <v>2344</v>
      </c>
      <c r="E539" s="3">
        <v>20118504136</v>
      </c>
      <c r="F539" s="3" t="s">
        <v>2345</v>
      </c>
      <c r="G539" s="3" t="s">
        <v>2346</v>
      </c>
      <c r="H539" s="3" t="s">
        <v>18</v>
      </c>
      <c r="I539" s="3" t="s">
        <v>18</v>
      </c>
      <c r="J539" s="3" t="s">
        <v>1611</v>
      </c>
      <c r="K539" s="3" t="s">
        <v>2271</v>
      </c>
      <c r="L539" s="4">
        <v>43617</v>
      </c>
      <c r="M539" s="3" t="s">
        <v>21</v>
      </c>
      <c r="N539" s="3" t="s">
        <v>2347</v>
      </c>
    </row>
    <row r="540" spans="1:14" ht="42">
      <c r="A540" s="5">
        <v>534</v>
      </c>
      <c r="B540" s="5" t="str">
        <f>"201900132832"</f>
        <v>201900132832</v>
      </c>
      <c r="C540" s="5" t="str">
        <f>"145931"</f>
        <v>145931</v>
      </c>
      <c r="D540" s="5" t="s">
        <v>2348</v>
      </c>
      <c r="E540" s="5">
        <v>20275873480</v>
      </c>
      <c r="F540" s="5" t="s">
        <v>2349</v>
      </c>
      <c r="G540" s="5" t="s">
        <v>2350</v>
      </c>
      <c r="H540" s="5" t="s">
        <v>73</v>
      </c>
      <c r="I540" s="5" t="s">
        <v>74</v>
      </c>
      <c r="J540" s="5" t="s">
        <v>74</v>
      </c>
      <c r="K540" s="5" t="s">
        <v>1100</v>
      </c>
      <c r="L540" s="6">
        <v>43693</v>
      </c>
      <c r="M540" s="5" t="s">
        <v>21</v>
      </c>
      <c r="N540" s="5" t="s">
        <v>2351</v>
      </c>
    </row>
    <row r="541" spans="1:14" ht="153.75">
      <c r="A541" s="3">
        <v>535</v>
      </c>
      <c r="B541" s="3" t="str">
        <f>"202000090633"</f>
        <v>202000090633</v>
      </c>
      <c r="C541" s="3" t="str">
        <f>"149802"</f>
        <v>149802</v>
      </c>
      <c r="D541" s="3" t="s">
        <v>2352</v>
      </c>
      <c r="E541" s="3">
        <v>20604401594</v>
      </c>
      <c r="F541" s="3" t="s">
        <v>2353</v>
      </c>
      <c r="G541" s="3" t="s">
        <v>1488</v>
      </c>
      <c r="H541" s="3" t="s">
        <v>333</v>
      </c>
      <c r="I541" s="3" t="s">
        <v>334</v>
      </c>
      <c r="J541" s="3" t="s">
        <v>1464</v>
      </c>
      <c r="K541" s="3" t="s">
        <v>2354</v>
      </c>
      <c r="L541" s="4">
        <v>44061</v>
      </c>
      <c r="M541" s="3" t="s">
        <v>21</v>
      </c>
      <c r="N541" s="3" t="s">
        <v>2355</v>
      </c>
    </row>
    <row r="542" spans="1:14" ht="13.5">
      <c r="A542" s="5">
        <v>536</v>
      </c>
      <c r="B542" s="5" t="str">
        <f>"201900078830"</f>
        <v>201900078830</v>
      </c>
      <c r="C542" s="5" t="str">
        <f>"144070"</f>
        <v>144070</v>
      </c>
      <c r="D542" s="5" t="s">
        <v>2356</v>
      </c>
      <c r="E542" s="5">
        <v>20600894430</v>
      </c>
      <c r="F542" s="5" t="s">
        <v>2357</v>
      </c>
      <c r="G542" s="5" t="s">
        <v>2358</v>
      </c>
      <c r="H542" s="5" t="s">
        <v>274</v>
      </c>
      <c r="I542" s="5" t="s">
        <v>414</v>
      </c>
      <c r="J542" s="5" t="s">
        <v>1030</v>
      </c>
      <c r="K542" s="5" t="s">
        <v>51</v>
      </c>
      <c r="L542" s="6">
        <v>43617</v>
      </c>
      <c r="M542" s="5" t="s">
        <v>21</v>
      </c>
      <c r="N542" s="5" t="s">
        <v>2359</v>
      </c>
    </row>
    <row r="543" spans="1:14" ht="13.5">
      <c r="A543" s="3">
        <v>537</v>
      </c>
      <c r="B543" s="3" t="str">
        <f>"201900078803"</f>
        <v>201900078803</v>
      </c>
      <c r="C543" s="3" t="str">
        <f>"143766"</f>
        <v>143766</v>
      </c>
      <c r="D543" s="3" t="s">
        <v>2360</v>
      </c>
      <c r="E543" s="3">
        <v>20509602698</v>
      </c>
      <c r="F543" s="3" t="s">
        <v>2361</v>
      </c>
      <c r="G543" s="3" t="s">
        <v>2362</v>
      </c>
      <c r="H543" s="3" t="s">
        <v>18</v>
      </c>
      <c r="I543" s="3" t="s">
        <v>18</v>
      </c>
      <c r="J543" s="3" t="s">
        <v>2084</v>
      </c>
      <c r="K543" s="3" t="s">
        <v>97</v>
      </c>
      <c r="L543" s="4">
        <v>43617</v>
      </c>
      <c r="M543" s="3" t="s">
        <v>21</v>
      </c>
      <c r="N543" s="3" t="s">
        <v>2363</v>
      </c>
    </row>
    <row r="544" spans="1:14" ht="27.75">
      <c r="A544" s="5">
        <v>538</v>
      </c>
      <c r="B544" s="5" t="str">
        <f>"201900078803"</f>
        <v>201900078803</v>
      </c>
      <c r="C544" s="5" t="str">
        <f>"143765"</f>
        <v>143765</v>
      </c>
      <c r="D544" s="5" t="s">
        <v>2364</v>
      </c>
      <c r="E544" s="5">
        <v>20604287422</v>
      </c>
      <c r="F544" s="5" t="s">
        <v>2365</v>
      </c>
      <c r="G544" s="5" t="s">
        <v>2366</v>
      </c>
      <c r="H544" s="5" t="s">
        <v>18</v>
      </c>
      <c r="I544" s="5" t="s">
        <v>18</v>
      </c>
      <c r="J544" s="5" t="s">
        <v>242</v>
      </c>
      <c r="K544" s="5" t="s">
        <v>51</v>
      </c>
      <c r="L544" s="6">
        <v>43617</v>
      </c>
      <c r="M544" s="5" t="s">
        <v>21</v>
      </c>
      <c r="N544" s="5" t="s">
        <v>2367</v>
      </c>
    </row>
    <row r="545" spans="1:14" ht="13.5">
      <c r="A545" s="3">
        <v>539</v>
      </c>
      <c r="B545" s="3" t="str">
        <f>"201900078830"</f>
        <v>201900078830</v>
      </c>
      <c r="C545" s="3" t="str">
        <f>"144071"</f>
        <v>144071</v>
      </c>
      <c r="D545" s="3" t="s">
        <v>2368</v>
      </c>
      <c r="E545" s="3">
        <v>20525628303</v>
      </c>
      <c r="F545" s="3" t="s">
        <v>2369</v>
      </c>
      <c r="G545" s="3" t="s">
        <v>2370</v>
      </c>
      <c r="H545" s="3" t="s">
        <v>274</v>
      </c>
      <c r="I545" s="3" t="s">
        <v>414</v>
      </c>
      <c r="J545" s="3" t="s">
        <v>2371</v>
      </c>
      <c r="K545" s="3" t="s">
        <v>51</v>
      </c>
      <c r="L545" s="4">
        <v>43617</v>
      </c>
      <c r="M545" s="3" t="s">
        <v>21</v>
      </c>
      <c r="N545" s="3" t="s">
        <v>2372</v>
      </c>
    </row>
    <row r="546" spans="1:14" ht="83.25">
      <c r="A546" s="5">
        <v>540</v>
      </c>
      <c r="B546" s="5" t="str">
        <f>"201900194367"</f>
        <v>201900194367</v>
      </c>
      <c r="C546" s="5" t="str">
        <f>"144068"</f>
        <v>144068</v>
      </c>
      <c r="D546" s="5" t="s">
        <v>2373</v>
      </c>
      <c r="E546" s="5">
        <v>20525879217</v>
      </c>
      <c r="F546" s="5" t="s">
        <v>2374</v>
      </c>
      <c r="G546" s="5" t="s">
        <v>2375</v>
      </c>
      <c r="H546" s="5" t="s">
        <v>274</v>
      </c>
      <c r="I546" s="5" t="s">
        <v>275</v>
      </c>
      <c r="J546" s="5" t="s">
        <v>275</v>
      </c>
      <c r="K546" s="5" t="s">
        <v>1004</v>
      </c>
      <c r="L546" s="6">
        <v>43802</v>
      </c>
      <c r="M546" s="5" t="s">
        <v>21</v>
      </c>
      <c r="N546" s="5" t="s">
        <v>2376</v>
      </c>
    </row>
    <row r="547" spans="1:14" ht="27.75">
      <c r="A547" s="3">
        <v>541</v>
      </c>
      <c r="B547" s="3" t="str">
        <f>"201900078830"</f>
        <v>201900078830</v>
      </c>
      <c r="C547" s="3" t="str">
        <f>"144069"</f>
        <v>144069</v>
      </c>
      <c r="D547" s="3" t="s">
        <v>2377</v>
      </c>
      <c r="E547" s="3">
        <v>20526146191</v>
      </c>
      <c r="F547" s="3" t="s">
        <v>2378</v>
      </c>
      <c r="G547" s="3" t="s">
        <v>2379</v>
      </c>
      <c r="H547" s="3" t="s">
        <v>274</v>
      </c>
      <c r="I547" s="3" t="s">
        <v>275</v>
      </c>
      <c r="J547" s="3" t="s">
        <v>275</v>
      </c>
      <c r="K547" s="3" t="s">
        <v>97</v>
      </c>
      <c r="L547" s="4">
        <v>43617</v>
      </c>
      <c r="M547" s="3" t="s">
        <v>21</v>
      </c>
      <c r="N547" s="3" t="s">
        <v>2380</v>
      </c>
    </row>
    <row r="548" spans="1:14" ht="13.5">
      <c r="A548" s="5">
        <v>542</v>
      </c>
      <c r="B548" s="5" t="str">
        <f>"201900078803"</f>
        <v>201900078803</v>
      </c>
      <c r="C548" s="5" t="str">
        <f>"143762"</f>
        <v>143762</v>
      </c>
      <c r="D548" s="5" t="s">
        <v>2381</v>
      </c>
      <c r="E548" s="5">
        <v>20602127941</v>
      </c>
      <c r="F548" s="5" t="s">
        <v>2382</v>
      </c>
      <c r="G548" s="5" t="s">
        <v>2383</v>
      </c>
      <c r="H548" s="5" t="s">
        <v>18</v>
      </c>
      <c r="I548" s="5" t="s">
        <v>18</v>
      </c>
      <c r="J548" s="5" t="s">
        <v>242</v>
      </c>
      <c r="K548" s="5" t="s">
        <v>1883</v>
      </c>
      <c r="L548" s="6">
        <v>43617</v>
      </c>
      <c r="M548" s="5" t="s">
        <v>21</v>
      </c>
      <c r="N548" s="5" t="s">
        <v>2384</v>
      </c>
    </row>
    <row r="549" spans="1:14" ht="13.5">
      <c r="A549" s="3">
        <v>543</v>
      </c>
      <c r="B549" s="3" t="str">
        <f>"201900078830"</f>
        <v>201900078830</v>
      </c>
      <c r="C549" s="3" t="str">
        <f>"144067"</f>
        <v>144067</v>
      </c>
      <c r="D549" s="3" t="s">
        <v>2385</v>
      </c>
      <c r="E549" s="3">
        <v>20525527299</v>
      </c>
      <c r="F549" s="3" t="s">
        <v>2386</v>
      </c>
      <c r="G549" s="3" t="s">
        <v>2387</v>
      </c>
      <c r="H549" s="3" t="s">
        <v>274</v>
      </c>
      <c r="I549" s="3" t="s">
        <v>275</v>
      </c>
      <c r="J549" s="3" t="s">
        <v>275</v>
      </c>
      <c r="K549" s="3" t="s">
        <v>51</v>
      </c>
      <c r="L549" s="4">
        <v>43617</v>
      </c>
      <c r="M549" s="3" t="s">
        <v>21</v>
      </c>
      <c r="N549" s="3" t="s">
        <v>2388</v>
      </c>
    </row>
    <row r="550" spans="1:14" ht="27.75">
      <c r="A550" s="5">
        <v>544</v>
      </c>
      <c r="B550" s="5" t="str">
        <f>"201900078803"</f>
        <v>201900078803</v>
      </c>
      <c r="C550" s="5" t="str">
        <f>"143761"</f>
        <v>143761</v>
      </c>
      <c r="D550" s="5" t="s">
        <v>2389</v>
      </c>
      <c r="E550" s="5">
        <v>20601806313</v>
      </c>
      <c r="F550" s="5" t="s">
        <v>2390</v>
      </c>
      <c r="G550" s="5" t="s">
        <v>2391</v>
      </c>
      <c r="H550" s="5" t="s">
        <v>18</v>
      </c>
      <c r="I550" s="5" t="s">
        <v>18</v>
      </c>
      <c r="J550" s="5" t="s">
        <v>242</v>
      </c>
      <c r="K550" s="5" t="s">
        <v>36</v>
      </c>
      <c r="L550" s="6">
        <v>43617</v>
      </c>
      <c r="M550" s="5" t="s">
        <v>21</v>
      </c>
      <c r="N550" s="5" t="s">
        <v>2392</v>
      </c>
    </row>
    <row r="551" spans="1:14" ht="13.5">
      <c r="A551" s="3">
        <v>545</v>
      </c>
      <c r="B551" s="3" t="str">
        <f>"201900078803"</f>
        <v>201900078803</v>
      </c>
      <c r="C551" s="3" t="str">
        <f>"143764"</f>
        <v>143764</v>
      </c>
      <c r="D551" s="3" t="s">
        <v>2393</v>
      </c>
      <c r="E551" s="3">
        <v>20603937300</v>
      </c>
      <c r="F551" s="3" t="s">
        <v>2394</v>
      </c>
      <c r="G551" s="3" t="s">
        <v>2395</v>
      </c>
      <c r="H551" s="3" t="s">
        <v>18</v>
      </c>
      <c r="I551" s="3" t="s">
        <v>18</v>
      </c>
      <c r="J551" s="3" t="s">
        <v>242</v>
      </c>
      <c r="K551" s="3" t="s">
        <v>1883</v>
      </c>
      <c r="L551" s="4">
        <v>43617</v>
      </c>
      <c r="M551" s="3" t="s">
        <v>21</v>
      </c>
      <c r="N551" s="3" t="s">
        <v>2396</v>
      </c>
    </row>
    <row r="552" spans="1:14" ht="125.25">
      <c r="A552" s="5">
        <v>546</v>
      </c>
      <c r="B552" s="5" t="str">
        <f>"202000090442"</f>
        <v>202000090442</v>
      </c>
      <c r="C552" s="5" t="str">
        <f>"150180"</f>
        <v>150180</v>
      </c>
      <c r="D552" s="5" t="s">
        <v>2397</v>
      </c>
      <c r="E552" s="5">
        <v>20481729034</v>
      </c>
      <c r="F552" s="5" t="s">
        <v>2398</v>
      </c>
      <c r="G552" s="5" t="s">
        <v>2399</v>
      </c>
      <c r="H552" s="5" t="s">
        <v>73</v>
      </c>
      <c r="I552" s="5" t="s">
        <v>74</v>
      </c>
      <c r="J552" s="5" t="s">
        <v>74</v>
      </c>
      <c r="K552" s="5" t="s">
        <v>837</v>
      </c>
      <c r="L552" s="6">
        <v>44047</v>
      </c>
      <c r="M552" s="5" t="s">
        <v>21</v>
      </c>
      <c r="N552" s="5" t="s">
        <v>1050</v>
      </c>
    </row>
    <row r="553" spans="1:14" ht="13.5">
      <c r="A553" s="3">
        <v>547</v>
      </c>
      <c r="B553" s="3" t="str">
        <f>"201900078803"</f>
        <v>201900078803</v>
      </c>
      <c r="C553" s="3" t="str">
        <f>"143763"</f>
        <v>143763</v>
      </c>
      <c r="D553" s="3" t="s">
        <v>2400</v>
      </c>
      <c r="E553" s="3">
        <v>20603905254</v>
      </c>
      <c r="F553" s="3" t="s">
        <v>2401</v>
      </c>
      <c r="G553" s="3" t="s">
        <v>2402</v>
      </c>
      <c r="H553" s="3" t="s">
        <v>18</v>
      </c>
      <c r="I553" s="3" t="s">
        <v>18</v>
      </c>
      <c r="J553" s="3" t="s">
        <v>242</v>
      </c>
      <c r="K553" s="3" t="s">
        <v>51</v>
      </c>
      <c r="L553" s="4">
        <v>43617</v>
      </c>
      <c r="M553" s="3" t="s">
        <v>21</v>
      </c>
      <c r="N553" s="3" t="s">
        <v>2403</v>
      </c>
    </row>
    <row r="554" spans="1:14" ht="83.25">
      <c r="A554" s="5">
        <v>548</v>
      </c>
      <c r="B554" s="5" t="str">
        <f>"201900184511"</f>
        <v>201900184511</v>
      </c>
      <c r="C554" s="5" t="str">
        <f>"144076"</f>
        <v>144076</v>
      </c>
      <c r="D554" s="5" t="s">
        <v>2404</v>
      </c>
      <c r="E554" s="5">
        <v>20484007366</v>
      </c>
      <c r="F554" s="5" t="s">
        <v>2405</v>
      </c>
      <c r="G554" s="5" t="s">
        <v>2406</v>
      </c>
      <c r="H554" s="5" t="s">
        <v>274</v>
      </c>
      <c r="I554" s="5" t="s">
        <v>414</v>
      </c>
      <c r="J554" s="5" t="s">
        <v>415</v>
      </c>
      <c r="K554" s="5" t="s">
        <v>2407</v>
      </c>
      <c r="L554" s="6">
        <v>43781</v>
      </c>
      <c r="M554" s="5" t="s">
        <v>21</v>
      </c>
      <c r="N554" s="5" t="s">
        <v>2408</v>
      </c>
    </row>
    <row r="555" spans="1:14" ht="13.5">
      <c r="A555" s="3">
        <v>549</v>
      </c>
      <c r="B555" s="3" t="str">
        <f>"201900078830"</f>
        <v>201900078830</v>
      </c>
      <c r="C555" s="3" t="str">
        <f>"144074"</f>
        <v>144074</v>
      </c>
      <c r="D555" s="3" t="s">
        <v>2409</v>
      </c>
      <c r="E555" s="3">
        <v>20399050864</v>
      </c>
      <c r="F555" s="3" t="s">
        <v>2410</v>
      </c>
      <c r="G555" s="3" t="s">
        <v>2411</v>
      </c>
      <c r="H555" s="3" t="s">
        <v>274</v>
      </c>
      <c r="I555" s="3" t="s">
        <v>414</v>
      </c>
      <c r="J555" s="3" t="s">
        <v>415</v>
      </c>
      <c r="K555" s="3" t="s">
        <v>51</v>
      </c>
      <c r="L555" s="4">
        <v>43617</v>
      </c>
      <c r="M555" s="3" t="s">
        <v>21</v>
      </c>
      <c r="N555" s="3" t="s">
        <v>2412</v>
      </c>
    </row>
    <row r="556" spans="1:14" ht="27.75">
      <c r="A556" s="5">
        <v>550</v>
      </c>
      <c r="B556" s="5" t="str">
        <f>"201900078830"</f>
        <v>201900078830</v>
      </c>
      <c r="C556" s="5" t="str">
        <f>"144075"</f>
        <v>144075</v>
      </c>
      <c r="D556" s="5" t="s">
        <v>2413</v>
      </c>
      <c r="E556" s="5">
        <v>20440981306</v>
      </c>
      <c r="F556" s="5" t="s">
        <v>2414</v>
      </c>
      <c r="G556" s="5" t="s">
        <v>2415</v>
      </c>
      <c r="H556" s="5" t="s">
        <v>274</v>
      </c>
      <c r="I556" s="5" t="s">
        <v>414</v>
      </c>
      <c r="J556" s="5" t="s">
        <v>415</v>
      </c>
      <c r="K556" s="5" t="s">
        <v>97</v>
      </c>
      <c r="L556" s="6">
        <v>43617</v>
      </c>
      <c r="M556" s="5" t="s">
        <v>21</v>
      </c>
      <c r="N556" s="5" t="s">
        <v>2416</v>
      </c>
    </row>
    <row r="557" spans="1:14" ht="13.5">
      <c r="A557" s="3">
        <v>551</v>
      </c>
      <c r="B557" s="3" t="str">
        <f>"201900078830"</f>
        <v>201900078830</v>
      </c>
      <c r="C557" s="3" t="str">
        <f>"144072"</f>
        <v>144072</v>
      </c>
      <c r="D557" s="3" t="s">
        <v>2417</v>
      </c>
      <c r="E557" s="3">
        <v>10435506271</v>
      </c>
      <c r="F557" s="3" t="s">
        <v>2418</v>
      </c>
      <c r="G557" s="3" t="s">
        <v>2419</v>
      </c>
      <c r="H557" s="3" t="s">
        <v>274</v>
      </c>
      <c r="I557" s="3" t="s">
        <v>414</v>
      </c>
      <c r="J557" s="3" t="s">
        <v>415</v>
      </c>
      <c r="K557" s="3" t="s">
        <v>2420</v>
      </c>
      <c r="L557" s="4">
        <v>43617</v>
      </c>
      <c r="M557" s="3" t="s">
        <v>21</v>
      </c>
      <c r="N557" s="3" t="s">
        <v>2418</v>
      </c>
    </row>
    <row r="558" spans="1:14" ht="13.5">
      <c r="A558" s="5">
        <v>552</v>
      </c>
      <c r="B558" s="5" t="str">
        <f>"201900078830"</f>
        <v>201900078830</v>
      </c>
      <c r="C558" s="5" t="str">
        <f>"144073"</f>
        <v>144073</v>
      </c>
      <c r="D558" s="5" t="s">
        <v>2421</v>
      </c>
      <c r="E558" s="5">
        <v>10463362870</v>
      </c>
      <c r="F558" s="5" t="s">
        <v>2422</v>
      </c>
      <c r="G558" s="5" t="s">
        <v>2423</v>
      </c>
      <c r="H558" s="5" t="s">
        <v>274</v>
      </c>
      <c r="I558" s="5" t="s">
        <v>414</v>
      </c>
      <c r="J558" s="5" t="s">
        <v>415</v>
      </c>
      <c r="K558" s="5" t="s">
        <v>97</v>
      </c>
      <c r="L558" s="6">
        <v>43617</v>
      </c>
      <c r="M558" s="5" t="s">
        <v>21</v>
      </c>
      <c r="N558" s="5" t="s">
        <v>2422</v>
      </c>
    </row>
    <row r="559" spans="1:14" ht="42">
      <c r="A559" s="3">
        <v>553</v>
      </c>
      <c r="B559" s="3" t="str">
        <f>"202000143323"</f>
        <v>202000143323</v>
      </c>
      <c r="C559" s="3" t="str">
        <f>"151883"</f>
        <v>151883</v>
      </c>
      <c r="D559" s="3" t="s">
        <v>2424</v>
      </c>
      <c r="E559" s="3">
        <v>20606560436</v>
      </c>
      <c r="F559" s="3" t="s">
        <v>2425</v>
      </c>
      <c r="G559" s="3" t="s">
        <v>2426</v>
      </c>
      <c r="H559" s="3" t="s">
        <v>1017</v>
      </c>
      <c r="I559" s="3" t="s">
        <v>2427</v>
      </c>
      <c r="J559" s="3" t="s">
        <v>2427</v>
      </c>
      <c r="K559" s="3" t="s">
        <v>42</v>
      </c>
      <c r="L559" s="4">
        <v>44119</v>
      </c>
      <c r="M559" s="3" t="s">
        <v>21</v>
      </c>
      <c r="N559" s="3" t="s">
        <v>2428</v>
      </c>
    </row>
    <row r="560" spans="1:14" ht="69.75">
      <c r="A560" s="5">
        <v>554</v>
      </c>
      <c r="B560" s="5" t="str">
        <f>"202000066542"</f>
        <v>202000066542</v>
      </c>
      <c r="C560" s="5" t="str">
        <f>"149663"</f>
        <v>149663</v>
      </c>
      <c r="D560" s="5" t="s">
        <v>2429</v>
      </c>
      <c r="E560" s="5">
        <v>10032366461</v>
      </c>
      <c r="F560" s="5" t="s">
        <v>2430</v>
      </c>
      <c r="G560" s="5" t="s">
        <v>2431</v>
      </c>
      <c r="H560" s="5" t="s">
        <v>274</v>
      </c>
      <c r="I560" s="5" t="s">
        <v>400</v>
      </c>
      <c r="J560" s="5" t="s">
        <v>400</v>
      </c>
      <c r="K560" s="5" t="s">
        <v>556</v>
      </c>
      <c r="L560" s="6">
        <v>44004</v>
      </c>
      <c r="M560" s="5" t="s">
        <v>21</v>
      </c>
      <c r="N560" s="5" t="s">
        <v>2430</v>
      </c>
    </row>
    <row r="561" spans="1:14" ht="13.5">
      <c r="A561" s="3">
        <v>555</v>
      </c>
      <c r="B561" s="3" t="str">
        <f>"201900078803"</f>
        <v>201900078803</v>
      </c>
      <c r="C561" s="3" t="str">
        <f>"143757"</f>
        <v>143757</v>
      </c>
      <c r="D561" s="3" t="s">
        <v>2432</v>
      </c>
      <c r="E561" s="3">
        <v>20566149151</v>
      </c>
      <c r="F561" s="3" t="s">
        <v>2433</v>
      </c>
      <c r="G561" s="3" t="s">
        <v>2434</v>
      </c>
      <c r="H561" s="3" t="s">
        <v>18</v>
      </c>
      <c r="I561" s="3" t="s">
        <v>18</v>
      </c>
      <c r="J561" s="3" t="s">
        <v>242</v>
      </c>
      <c r="K561" s="3" t="s">
        <v>36</v>
      </c>
      <c r="L561" s="4">
        <v>43617</v>
      </c>
      <c r="M561" s="3" t="s">
        <v>21</v>
      </c>
      <c r="N561" s="3" t="s">
        <v>2435</v>
      </c>
    </row>
    <row r="562" spans="1:14" ht="42">
      <c r="A562" s="5">
        <v>556</v>
      </c>
      <c r="B562" s="5" t="str">
        <f>"201900078803"</f>
        <v>201900078803</v>
      </c>
      <c r="C562" s="5" t="str">
        <f>"143758"</f>
        <v>143758</v>
      </c>
      <c r="D562" s="5" t="s">
        <v>2436</v>
      </c>
      <c r="E562" s="5">
        <v>20566168961</v>
      </c>
      <c r="F562" s="5" t="s">
        <v>2437</v>
      </c>
      <c r="G562" s="5" t="s">
        <v>2438</v>
      </c>
      <c r="H562" s="5" t="s">
        <v>18</v>
      </c>
      <c r="I562" s="5" t="s">
        <v>18</v>
      </c>
      <c r="J562" s="5" t="s">
        <v>242</v>
      </c>
      <c r="K562" s="5" t="s">
        <v>42</v>
      </c>
      <c r="L562" s="6">
        <v>43617</v>
      </c>
      <c r="M562" s="5" t="s">
        <v>21</v>
      </c>
      <c r="N562" s="5" t="s">
        <v>2439</v>
      </c>
    </row>
    <row r="563" spans="1:14" ht="27.75">
      <c r="A563" s="3">
        <v>557</v>
      </c>
      <c r="B563" s="3" t="str">
        <f>"201900078803"</f>
        <v>201900078803</v>
      </c>
      <c r="C563" s="3" t="str">
        <f>"143759"</f>
        <v>143759</v>
      </c>
      <c r="D563" s="3" t="s">
        <v>2440</v>
      </c>
      <c r="E563" s="3">
        <v>20573202733</v>
      </c>
      <c r="F563" s="3" t="s">
        <v>2441</v>
      </c>
      <c r="G563" s="3" t="s">
        <v>2442</v>
      </c>
      <c r="H563" s="3" t="s">
        <v>18</v>
      </c>
      <c r="I563" s="3" t="s">
        <v>18</v>
      </c>
      <c r="J563" s="3" t="s">
        <v>242</v>
      </c>
      <c r="K563" s="3" t="s">
        <v>51</v>
      </c>
      <c r="L563" s="4">
        <v>43617</v>
      </c>
      <c r="M563" s="3" t="s">
        <v>21</v>
      </c>
      <c r="N563" s="3" t="s">
        <v>2443</v>
      </c>
    </row>
    <row r="564" spans="1:14" ht="13.5">
      <c r="A564" s="5">
        <v>558</v>
      </c>
      <c r="B564" s="5" t="str">
        <f>"201900078803"</f>
        <v>201900078803</v>
      </c>
      <c r="C564" s="5" t="str">
        <f>"143760"</f>
        <v>143760</v>
      </c>
      <c r="D564" s="5" t="s">
        <v>2444</v>
      </c>
      <c r="E564" s="5">
        <v>20600120361</v>
      </c>
      <c r="F564" s="5" t="s">
        <v>2445</v>
      </c>
      <c r="G564" s="5" t="s">
        <v>2446</v>
      </c>
      <c r="H564" s="5" t="s">
        <v>18</v>
      </c>
      <c r="I564" s="5" t="s">
        <v>18</v>
      </c>
      <c r="J564" s="5" t="s">
        <v>242</v>
      </c>
      <c r="K564" s="5" t="s">
        <v>51</v>
      </c>
      <c r="L564" s="6">
        <v>43617</v>
      </c>
      <c r="M564" s="5" t="s">
        <v>21</v>
      </c>
      <c r="N564" s="5" t="s">
        <v>1168</v>
      </c>
    </row>
    <row r="565" spans="1:14" ht="13.5">
      <c r="A565" s="3">
        <v>559</v>
      </c>
      <c r="B565" s="3" t="str">
        <f>"201900078830"</f>
        <v>201900078830</v>
      </c>
      <c r="C565" s="3" t="str">
        <f>"144057"</f>
        <v>144057</v>
      </c>
      <c r="D565" s="3" t="s">
        <v>2447</v>
      </c>
      <c r="E565" s="3">
        <v>20526349629</v>
      </c>
      <c r="F565" s="3" t="s">
        <v>2448</v>
      </c>
      <c r="G565" s="3" t="s">
        <v>2449</v>
      </c>
      <c r="H565" s="3" t="s">
        <v>274</v>
      </c>
      <c r="I565" s="3" t="s">
        <v>1473</v>
      </c>
      <c r="J565" s="3" t="s">
        <v>1473</v>
      </c>
      <c r="K565" s="3" t="s">
        <v>97</v>
      </c>
      <c r="L565" s="4">
        <v>43617</v>
      </c>
      <c r="M565" s="3" t="s">
        <v>21</v>
      </c>
      <c r="N565" s="3" t="s">
        <v>2450</v>
      </c>
    </row>
    <row r="566" spans="1:14" ht="27.75">
      <c r="A566" s="5">
        <v>560</v>
      </c>
      <c r="B566" s="5" t="str">
        <f>"201900078803"</f>
        <v>201900078803</v>
      </c>
      <c r="C566" s="5" t="str">
        <f>"143756"</f>
        <v>143756</v>
      </c>
      <c r="D566" s="5" t="s">
        <v>2451</v>
      </c>
      <c r="E566" s="5">
        <v>20563150808</v>
      </c>
      <c r="F566" s="5" t="s">
        <v>2452</v>
      </c>
      <c r="G566" s="5" t="s">
        <v>2453</v>
      </c>
      <c r="H566" s="5" t="s">
        <v>18</v>
      </c>
      <c r="I566" s="5" t="s">
        <v>18</v>
      </c>
      <c r="J566" s="5" t="s">
        <v>242</v>
      </c>
      <c r="K566" s="5" t="s">
        <v>51</v>
      </c>
      <c r="L566" s="6">
        <v>43617</v>
      </c>
      <c r="M566" s="5" t="s">
        <v>21</v>
      </c>
      <c r="N566" s="5" t="s">
        <v>2454</v>
      </c>
    </row>
    <row r="567" spans="1:14" ht="13.5">
      <c r="A567" s="3">
        <v>561</v>
      </c>
      <c r="B567" s="3" t="str">
        <f>"201900078830"</f>
        <v>201900078830</v>
      </c>
      <c r="C567" s="3" t="str">
        <f>"144058"</f>
        <v>144058</v>
      </c>
      <c r="D567" s="3" t="s">
        <v>2455</v>
      </c>
      <c r="E567" s="3">
        <v>20526667167</v>
      </c>
      <c r="F567" s="3" t="s">
        <v>2456</v>
      </c>
      <c r="G567" s="3" t="s">
        <v>2457</v>
      </c>
      <c r="H567" s="3" t="s">
        <v>274</v>
      </c>
      <c r="I567" s="3" t="s">
        <v>1473</v>
      </c>
      <c r="J567" s="3" t="s">
        <v>1473</v>
      </c>
      <c r="K567" s="3" t="s">
        <v>97</v>
      </c>
      <c r="L567" s="4">
        <v>43617</v>
      </c>
      <c r="M567" s="3" t="s">
        <v>21</v>
      </c>
      <c r="N567" s="3" t="s">
        <v>2458</v>
      </c>
    </row>
    <row r="568" spans="1:14" ht="27.75">
      <c r="A568" s="5">
        <v>562</v>
      </c>
      <c r="B568" s="5" t="str">
        <f>"201900078830"</f>
        <v>201900078830</v>
      </c>
      <c r="C568" s="5" t="str">
        <f>"144059"</f>
        <v>144059</v>
      </c>
      <c r="D568" s="5" t="s">
        <v>2459</v>
      </c>
      <c r="E568" s="5">
        <v>20530113656</v>
      </c>
      <c r="F568" s="5" t="s">
        <v>2460</v>
      </c>
      <c r="G568" s="5" t="s">
        <v>2461</v>
      </c>
      <c r="H568" s="5" t="s">
        <v>274</v>
      </c>
      <c r="I568" s="5" t="s">
        <v>1473</v>
      </c>
      <c r="J568" s="5" t="s">
        <v>1473</v>
      </c>
      <c r="K568" s="5" t="s">
        <v>97</v>
      </c>
      <c r="L568" s="6">
        <v>43617</v>
      </c>
      <c r="M568" s="5" t="s">
        <v>21</v>
      </c>
      <c r="N568" s="5" t="s">
        <v>1475</v>
      </c>
    </row>
    <row r="569" spans="1:14" ht="13.5">
      <c r="A569" s="3">
        <v>563</v>
      </c>
      <c r="B569" s="3" t="str">
        <f>"201900078803"</f>
        <v>201900078803</v>
      </c>
      <c r="C569" s="3" t="str">
        <f>"143755"</f>
        <v>143755</v>
      </c>
      <c r="D569" s="3" t="s">
        <v>2462</v>
      </c>
      <c r="E569" s="3">
        <v>20556681245</v>
      </c>
      <c r="F569" s="3" t="s">
        <v>2463</v>
      </c>
      <c r="G569" s="3" t="s">
        <v>2464</v>
      </c>
      <c r="H569" s="3" t="s">
        <v>18</v>
      </c>
      <c r="I569" s="3" t="s">
        <v>18</v>
      </c>
      <c r="J569" s="3" t="s">
        <v>242</v>
      </c>
      <c r="K569" s="3" t="s">
        <v>36</v>
      </c>
      <c r="L569" s="4">
        <v>43617</v>
      </c>
      <c r="M569" s="3" t="s">
        <v>21</v>
      </c>
      <c r="N569" s="3" t="s">
        <v>2465</v>
      </c>
    </row>
    <row r="570" spans="1:14" ht="83.25">
      <c r="A570" s="5">
        <v>564</v>
      </c>
      <c r="B570" s="5" t="str">
        <f>"201900133671"</f>
        <v>201900133671</v>
      </c>
      <c r="C570" s="5" t="str">
        <f>"144060"</f>
        <v>144060</v>
      </c>
      <c r="D570" s="5" t="s">
        <v>2466</v>
      </c>
      <c r="E570" s="5">
        <v>20603245947</v>
      </c>
      <c r="F570" s="5" t="s">
        <v>2467</v>
      </c>
      <c r="G570" s="5" t="s">
        <v>2074</v>
      </c>
      <c r="H570" s="5" t="s">
        <v>274</v>
      </c>
      <c r="I570" s="5" t="s">
        <v>1473</v>
      </c>
      <c r="J570" s="5" t="s">
        <v>1473</v>
      </c>
      <c r="K570" s="5" t="s">
        <v>1004</v>
      </c>
      <c r="L570" s="6">
        <v>43700</v>
      </c>
      <c r="M570" s="5" t="s">
        <v>21</v>
      </c>
      <c r="N570" s="5" t="s">
        <v>2468</v>
      </c>
    </row>
    <row r="571" spans="1:14" ht="27.75">
      <c r="A571" s="3">
        <v>565</v>
      </c>
      <c r="B571" s="3" t="str">
        <f>"201900078803"</f>
        <v>201900078803</v>
      </c>
      <c r="C571" s="3" t="str">
        <f>"143754"</f>
        <v>143754</v>
      </c>
      <c r="D571" s="3" t="s">
        <v>2469</v>
      </c>
      <c r="E571" s="3">
        <v>20553783047</v>
      </c>
      <c r="F571" s="3" t="s">
        <v>2470</v>
      </c>
      <c r="G571" s="3" t="s">
        <v>2471</v>
      </c>
      <c r="H571" s="3" t="s">
        <v>18</v>
      </c>
      <c r="I571" s="3" t="s">
        <v>18</v>
      </c>
      <c r="J571" s="3" t="s">
        <v>242</v>
      </c>
      <c r="K571" s="3" t="s">
        <v>36</v>
      </c>
      <c r="L571" s="4">
        <v>43617</v>
      </c>
      <c r="M571" s="3" t="s">
        <v>21</v>
      </c>
      <c r="N571" s="3" t="s">
        <v>2472</v>
      </c>
    </row>
    <row r="572" spans="1:14" ht="13.5">
      <c r="A572" s="5">
        <v>566</v>
      </c>
      <c r="B572" s="5" t="str">
        <f>"201900078803"</f>
        <v>201900078803</v>
      </c>
      <c r="C572" s="5" t="str">
        <f>"143753"</f>
        <v>143753</v>
      </c>
      <c r="D572" s="5" t="s">
        <v>2473</v>
      </c>
      <c r="E572" s="5">
        <v>20536015451</v>
      </c>
      <c r="F572" s="5" t="s">
        <v>2474</v>
      </c>
      <c r="G572" s="5" t="s">
        <v>2475</v>
      </c>
      <c r="H572" s="5" t="s">
        <v>18</v>
      </c>
      <c r="I572" s="5" t="s">
        <v>18</v>
      </c>
      <c r="J572" s="5" t="s">
        <v>242</v>
      </c>
      <c r="K572" s="5" t="s">
        <v>51</v>
      </c>
      <c r="L572" s="6">
        <v>43617</v>
      </c>
      <c r="M572" s="5" t="s">
        <v>21</v>
      </c>
      <c r="N572" s="5" t="s">
        <v>2476</v>
      </c>
    </row>
    <row r="573" spans="1:14" ht="13.5">
      <c r="A573" s="3">
        <v>567</v>
      </c>
      <c r="B573" s="3" t="str">
        <f>"201900078803"</f>
        <v>201900078803</v>
      </c>
      <c r="C573" s="3" t="str">
        <f>"143752"</f>
        <v>143752</v>
      </c>
      <c r="D573" s="3" t="s">
        <v>2477</v>
      </c>
      <c r="E573" s="3">
        <v>20534156287</v>
      </c>
      <c r="F573" s="3" t="s">
        <v>2478</v>
      </c>
      <c r="G573" s="3" t="s">
        <v>2479</v>
      </c>
      <c r="H573" s="3" t="s">
        <v>18</v>
      </c>
      <c r="I573" s="3" t="s">
        <v>18</v>
      </c>
      <c r="J573" s="3" t="s">
        <v>242</v>
      </c>
      <c r="K573" s="3" t="s">
        <v>51</v>
      </c>
      <c r="L573" s="4">
        <v>43617</v>
      </c>
      <c r="M573" s="3" t="s">
        <v>21</v>
      </c>
      <c r="N573" s="3" t="s">
        <v>2480</v>
      </c>
    </row>
    <row r="574" spans="1:14" ht="13.5">
      <c r="A574" s="5">
        <v>568</v>
      </c>
      <c r="B574" s="5" t="str">
        <f>"201900078803"</f>
        <v>201900078803</v>
      </c>
      <c r="C574" s="5" t="str">
        <f>"143751"</f>
        <v>143751</v>
      </c>
      <c r="D574" s="5" t="s">
        <v>2481</v>
      </c>
      <c r="E574" s="5">
        <v>20523816145</v>
      </c>
      <c r="F574" s="5" t="s">
        <v>2482</v>
      </c>
      <c r="G574" s="5" t="s">
        <v>2483</v>
      </c>
      <c r="H574" s="5" t="s">
        <v>18</v>
      </c>
      <c r="I574" s="5" t="s">
        <v>18</v>
      </c>
      <c r="J574" s="5" t="s">
        <v>242</v>
      </c>
      <c r="K574" s="5" t="s">
        <v>51</v>
      </c>
      <c r="L574" s="6">
        <v>43617</v>
      </c>
      <c r="M574" s="5" t="s">
        <v>21</v>
      </c>
      <c r="N574" s="5" t="s">
        <v>2484</v>
      </c>
    </row>
    <row r="575" spans="1:14" ht="13.5">
      <c r="A575" s="3">
        <v>569</v>
      </c>
      <c r="B575" s="3" t="str">
        <f>"201900078652"</f>
        <v>201900078652</v>
      </c>
      <c r="C575" s="3" t="str">
        <f>"143226"</f>
        <v>143226</v>
      </c>
      <c r="D575" s="3" t="s">
        <v>2485</v>
      </c>
      <c r="E575" s="3">
        <v>10322900461</v>
      </c>
      <c r="F575" s="3" t="s">
        <v>2486</v>
      </c>
      <c r="G575" s="3" t="s">
        <v>2487</v>
      </c>
      <c r="H575" s="3" t="s">
        <v>1645</v>
      </c>
      <c r="I575" s="3" t="s">
        <v>1836</v>
      </c>
      <c r="J575" s="3" t="s">
        <v>1035</v>
      </c>
      <c r="K575" s="3" t="s">
        <v>97</v>
      </c>
      <c r="L575" s="4">
        <v>43617</v>
      </c>
      <c r="M575" s="3" t="s">
        <v>21</v>
      </c>
      <c r="N575" s="3" t="s">
        <v>2488</v>
      </c>
    </row>
    <row r="576" spans="1:14" ht="13.5">
      <c r="A576" s="5">
        <v>570</v>
      </c>
      <c r="B576" s="5" t="str">
        <f>"201900078652"</f>
        <v>201900078652</v>
      </c>
      <c r="C576" s="5" t="str">
        <f>"143225"</f>
        <v>143225</v>
      </c>
      <c r="D576" s="5" t="s">
        <v>2489</v>
      </c>
      <c r="E576" s="5">
        <v>20600487486</v>
      </c>
      <c r="F576" s="5" t="s">
        <v>2490</v>
      </c>
      <c r="G576" s="5" t="s">
        <v>2491</v>
      </c>
      <c r="H576" s="5" t="s">
        <v>1645</v>
      </c>
      <c r="I576" s="5" t="s">
        <v>1646</v>
      </c>
      <c r="J576" s="5" t="s">
        <v>1019</v>
      </c>
      <c r="K576" s="5" t="s">
        <v>51</v>
      </c>
      <c r="L576" s="6">
        <v>43617</v>
      </c>
      <c r="M576" s="5" t="s">
        <v>21</v>
      </c>
      <c r="N576" s="5" t="s">
        <v>2492</v>
      </c>
    </row>
    <row r="577" spans="1:14" ht="27.75">
      <c r="A577" s="3">
        <v>571</v>
      </c>
      <c r="B577" s="3" t="str">
        <f>"201900078803"</f>
        <v>201900078803</v>
      </c>
      <c r="C577" s="3" t="str">
        <f>"143750"</f>
        <v>143750</v>
      </c>
      <c r="D577" s="3" t="s">
        <v>2493</v>
      </c>
      <c r="E577" s="3">
        <v>20523805887</v>
      </c>
      <c r="F577" s="3" t="s">
        <v>2494</v>
      </c>
      <c r="G577" s="3" t="s">
        <v>2495</v>
      </c>
      <c r="H577" s="3" t="s">
        <v>18</v>
      </c>
      <c r="I577" s="3" t="s">
        <v>18</v>
      </c>
      <c r="J577" s="3" t="s">
        <v>242</v>
      </c>
      <c r="K577" s="3" t="s">
        <v>51</v>
      </c>
      <c r="L577" s="4">
        <v>43617</v>
      </c>
      <c r="M577" s="3" t="s">
        <v>21</v>
      </c>
      <c r="N577" s="3" t="s">
        <v>2496</v>
      </c>
    </row>
    <row r="578" spans="1:14" ht="13.5">
      <c r="A578" s="5">
        <v>572</v>
      </c>
      <c r="B578" s="5" t="str">
        <f>"201900078830"</f>
        <v>201900078830</v>
      </c>
      <c r="C578" s="5" t="str">
        <f>"144065"</f>
        <v>144065</v>
      </c>
      <c r="D578" s="5" t="s">
        <v>2497</v>
      </c>
      <c r="E578" s="5">
        <v>10166774557</v>
      </c>
      <c r="F578" s="5" t="s">
        <v>2498</v>
      </c>
      <c r="G578" s="5" t="s">
        <v>2499</v>
      </c>
      <c r="H578" s="5" t="s">
        <v>274</v>
      </c>
      <c r="I578" s="5" t="s">
        <v>275</v>
      </c>
      <c r="J578" s="5" t="s">
        <v>275</v>
      </c>
      <c r="K578" s="5" t="s">
        <v>97</v>
      </c>
      <c r="L578" s="6">
        <v>43617</v>
      </c>
      <c r="M578" s="5" t="s">
        <v>21</v>
      </c>
      <c r="N578" s="5" t="s">
        <v>2500</v>
      </c>
    </row>
    <row r="579" spans="1:14" ht="13.5">
      <c r="A579" s="3">
        <v>573</v>
      </c>
      <c r="B579" s="3" t="str">
        <f>"201900078652"</f>
        <v>201900078652</v>
      </c>
      <c r="C579" s="3" t="str">
        <f>"143224"</f>
        <v>143224</v>
      </c>
      <c r="D579" s="3" t="s">
        <v>2501</v>
      </c>
      <c r="E579" s="3">
        <v>20533760610</v>
      </c>
      <c r="F579" s="3" t="s">
        <v>2502</v>
      </c>
      <c r="G579" s="3" t="s">
        <v>2503</v>
      </c>
      <c r="H579" s="3" t="s">
        <v>1645</v>
      </c>
      <c r="I579" s="3" t="s">
        <v>1646</v>
      </c>
      <c r="J579" s="3" t="s">
        <v>1019</v>
      </c>
      <c r="K579" s="3" t="s">
        <v>51</v>
      </c>
      <c r="L579" s="4">
        <v>43617</v>
      </c>
      <c r="M579" s="3" t="s">
        <v>21</v>
      </c>
      <c r="N579" s="3" t="s">
        <v>2504</v>
      </c>
    </row>
    <row r="580" spans="1:14" ht="13.5">
      <c r="A580" s="5">
        <v>574</v>
      </c>
      <c r="B580" s="5" t="str">
        <f>"201900078830"</f>
        <v>201900078830</v>
      </c>
      <c r="C580" s="5" t="str">
        <f>"144066"</f>
        <v>144066</v>
      </c>
      <c r="D580" s="5" t="s">
        <v>2505</v>
      </c>
      <c r="E580" s="5">
        <v>20483851171</v>
      </c>
      <c r="F580" s="5" t="s">
        <v>2506</v>
      </c>
      <c r="G580" s="5" t="s">
        <v>2507</v>
      </c>
      <c r="H580" s="5" t="s">
        <v>274</v>
      </c>
      <c r="I580" s="5" t="s">
        <v>275</v>
      </c>
      <c r="J580" s="5" t="s">
        <v>275</v>
      </c>
      <c r="K580" s="5" t="s">
        <v>51</v>
      </c>
      <c r="L580" s="6">
        <v>43617</v>
      </c>
      <c r="M580" s="5" t="s">
        <v>21</v>
      </c>
      <c r="N580" s="5" t="s">
        <v>2508</v>
      </c>
    </row>
    <row r="581" spans="1:14" ht="27.75">
      <c r="A581" s="3">
        <v>575</v>
      </c>
      <c r="B581" s="3" t="str">
        <f>"201900078652"</f>
        <v>201900078652</v>
      </c>
      <c r="C581" s="3" t="str">
        <f>"143223"</f>
        <v>143223</v>
      </c>
      <c r="D581" s="3" t="s">
        <v>2509</v>
      </c>
      <c r="E581" s="3">
        <v>20533605649</v>
      </c>
      <c r="F581" s="3" t="s">
        <v>2510</v>
      </c>
      <c r="G581" s="3" t="s">
        <v>2511</v>
      </c>
      <c r="H581" s="3" t="s">
        <v>1645</v>
      </c>
      <c r="I581" s="3" t="s">
        <v>1646</v>
      </c>
      <c r="J581" s="3" t="s">
        <v>1019</v>
      </c>
      <c r="K581" s="3" t="s">
        <v>51</v>
      </c>
      <c r="L581" s="4">
        <v>43617</v>
      </c>
      <c r="M581" s="3" t="s">
        <v>21</v>
      </c>
      <c r="N581" s="3" t="s">
        <v>2512</v>
      </c>
    </row>
    <row r="582" spans="1:14" ht="27.75">
      <c r="A582" s="5">
        <v>576</v>
      </c>
      <c r="B582" s="5" t="str">
        <f>"201900078652"</f>
        <v>201900078652</v>
      </c>
      <c r="C582" s="5" t="str">
        <f>"143222"</f>
        <v>143222</v>
      </c>
      <c r="D582" s="5" t="s">
        <v>2513</v>
      </c>
      <c r="E582" s="5">
        <v>20530932991</v>
      </c>
      <c r="F582" s="5" t="s">
        <v>2514</v>
      </c>
      <c r="G582" s="5" t="s">
        <v>2515</v>
      </c>
      <c r="H582" s="5" t="s">
        <v>1645</v>
      </c>
      <c r="I582" s="5" t="s">
        <v>1646</v>
      </c>
      <c r="J582" s="5" t="s">
        <v>1019</v>
      </c>
      <c r="K582" s="5" t="s">
        <v>51</v>
      </c>
      <c r="L582" s="6">
        <v>43617</v>
      </c>
      <c r="M582" s="5" t="s">
        <v>21</v>
      </c>
      <c r="N582" s="5" t="s">
        <v>2516</v>
      </c>
    </row>
    <row r="583" spans="1:14" ht="13.5">
      <c r="A583" s="3">
        <v>577</v>
      </c>
      <c r="B583" s="3" t="str">
        <f>"201900078652"</f>
        <v>201900078652</v>
      </c>
      <c r="C583" s="3" t="str">
        <f>"143221"</f>
        <v>143221</v>
      </c>
      <c r="D583" s="3" t="s">
        <v>2517</v>
      </c>
      <c r="E583" s="3">
        <v>20364791080</v>
      </c>
      <c r="F583" s="3" t="s">
        <v>2518</v>
      </c>
      <c r="G583" s="3" t="s">
        <v>2519</v>
      </c>
      <c r="H583" s="3" t="s">
        <v>1645</v>
      </c>
      <c r="I583" s="3" t="s">
        <v>1646</v>
      </c>
      <c r="J583" s="3" t="s">
        <v>1019</v>
      </c>
      <c r="K583" s="3" t="s">
        <v>51</v>
      </c>
      <c r="L583" s="4">
        <v>43617</v>
      </c>
      <c r="M583" s="3" t="s">
        <v>21</v>
      </c>
      <c r="N583" s="3" t="s">
        <v>2520</v>
      </c>
    </row>
    <row r="584" spans="1:14" ht="13.5">
      <c r="A584" s="5">
        <v>578</v>
      </c>
      <c r="B584" s="5" t="str">
        <f>"201900078830"</f>
        <v>201900078830</v>
      </c>
      <c r="C584" s="5" t="str">
        <f>"144061"</f>
        <v>144061</v>
      </c>
      <c r="D584" s="5" t="s">
        <v>2521</v>
      </c>
      <c r="E584" s="5">
        <v>20525382118</v>
      </c>
      <c r="F584" s="5" t="s">
        <v>2522</v>
      </c>
      <c r="G584" s="5" t="s">
        <v>2523</v>
      </c>
      <c r="H584" s="5" t="s">
        <v>274</v>
      </c>
      <c r="I584" s="5" t="s">
        <v>1473</v>
      </c>
      <c r="J584" s="5" t="s">
        <v>2524</v>
      </c>
      <c r="K584" s="5" t="s">
        <v>97</v>
      </c>
      <c r="L584" s="6">
        <v>43617</v>
      </c>
      <c r="M584" s="5" t="s">
        <v>21</v>
      </c>
      <c r="N584" s="5" t="s">
        <v>2525</v>
      </c>
    </row>
    <row r="585" spans="1:14" ht="27.75">
      <c r="A585" s="3">
        <v>579</v>
      </c>
      <c r="B585" s="3" t="str">
        <f>"201900078652"</f>
        <v>201900078652</v>
      </c>
      <c r="C585" s="3" t="str">
        <f>"143220"</f>
        <v>143220</v>
      </c>
      <c r="D585" s="3" t="s">
        <v>2526</v>
      </c>
      <c r="E585" s="3">
        <v>10319226121</v>
      </c>
      <c r="F585" s="3" t="s">
        <v>2527</v>
      </c>
      <c r="G585" s="3" t="s">
        <v>2528</v>
      </c>
      <c r="H585" s="3" t="s">
        <v>1645</v>
      </c>
      <c r="I585" s="3" t="s">
        <v>1646</v>
      </c>
      <c r="J585" s="3" t="s">
        <v>1019</v>
      </c>
      <c r="K585" s="3" t="s">
        <v>51</v>
      </c>
      <c r="L585" s="4">
        <v>43617</v>
      </c>
      <c r="M585" s="3" t="s">
        <v>21</v>
      </c>
      <c r="N585" s="3" t="s">
        <v>2527</v>
      </c>
    </row>
    <row r="586" spans="1:14" ht="27.75">
      <c r="A586" s="5">
        <v>580</v>
      </c>
      <c r="B586" s="5" t="str">
        <f>"201900078652"</f>
        <v>201900078652</v>
      </c>
      <c r="C586" s="5" t="str">
        <f>"143219"</f>
        <v>143219</v>
      </c>
      <c r="D586" s="5" t="s">
        <v>2529</v>
      </c>
      <c r="E586" s="5">
        <v>20542141116</v>
      </c>
      <c r="F586" s="5" t="s">
        <v>2530</v>
      </c>
      <c r="G586" s="5" t="s">
        <v>2531</v>
      </c>
      <c r="H586" s="5" t="s">
        <v>1645</v>
      </c>
      <c r="I586" s="5" t="s">
        <v>1646</v>
      </c>
      <c r="J586" s="5" t="s">
        <v>1646</v>
      </c>
      <c r="K586" s="5" t="s">
        <v>36</v>
      </c>
      <c r="L586" s="6">
        <v>43617</v>
      </c>
      <c r="M586" s="5" t="s">
        <v>21</v>
      </c>
      <c r="N586" s="5" t="s">
        <v>2532</v>
      </c>
    </row>
    <row r="587" spans="1:14" ht="13.5">
      <c r="A587" s="3">
        <v>581</v>
      </c>
      <c r="B587" s="3" t="str">
        <f>"201900078672"</f>
        <v>201900078672</v>
      </c>
      <c r="C587" s="3" t="str">
        <f>"144062"</f>
        <v>144062</v>
      </c>
      <c r="D587" s="3" t="s">
        <v>2533</v>
      </c>
      <c r="E587" s="3">
        <v>20603142153</v>
      </c>
      <c r="F587" s="3" t="s">
        <v>2534</v>
      </c>
      <c r="G587" s="3" t="s">
        <v>2535</v>
      </c>
      <c r="H587" s="3" t="s">
        <v>793</v>
      </c>
      <c r="I587" s="3" t="s">
        <v>794</v>
      </c>
      <c r="J587" s="3" t="s">
        <v>795</v>
      </c>
      <c r="K587" s="3" t="s">
        <v>36</v>
      </c>
      <c r="L587" s="4">
        <v>43617</v>
      </c>
      <c r="M587" s="3" t="s">
        <v>21</v>
      </c>
      <c r="N587" s="3" t="s">
        <v>2536</v>
      </c>
    </row>
    <row r="588" spans="1:14" ht="13.5">
      <c r="A588" s="5">
        <v>582</v>
      </c>
      <c r="B588" s="5" t="str">
        <f>"201900078830"</f>
        <v>201900078830</v>
      </c>
      <c r="C588" s="5" t="str">
        <f>"144063"</f>
        <v>144063</v>
      </c>
      <c r="D588" s="5" t="s">
        <v>2537</v>
      </c>
      <c r="E588" s="5">
        <v>20525281788</v>
      </c>
      <c r="F588" s="5" t="s">
        <v>2538</v>
      </c>
      <c r="G588" s="5" t="s">
        <v>2539</v>
      </c>
      <c r="H588" s="5" t="s">
        <v>274</v>
      </c>
      <c r="I588" s="5" t="s">
        <v>275</v>
      </c>
      <c r="J588" s="5" t="s">
        <v>276</v>
      </c>
      <c r="K588" s="5" t="s">
        <v>97</v>
      </c>
      <c r="L588" s="6">
        <v>43617</v>
      </c>
      <c r="M588" s="5" t="s">
        <v>21</v>
      </c>
      <c r="N588" s="5" t="s">
        <v>2540</v>
      </c>
    </row>
    <row r="589" spans="1:14" ht="27.75">
      <c r="A589" s="3">
        <v>583</v>
      </c>
      <c r="B589" s="3" t="str">
        <f>"201900078652"</f>
        <v>201900078652</v>
      </c>
      <c r="C589" s="3" t="str">
        <f>"143218"</f>
        <v>143218</v>
      </c>
      <c r="D589" s="3" t="s">
        <v>2541</v>
      </c>
      <c r="E589" s="3">
        <v>20542046121</v>
      </c>
      <c r="F589" s="3" t="s">
        <v>2542</v>
      </c>
      <c r="G589" s="3" t="s">
        <v>2543</v>
      </c>
      <c r="H589" s="3" t="s">
        <v>1645</v>
      </c>
      <c r="I589" s="3" t="s">
        <v>1646</v>
      </c>
      <c r="J589" s="3" t="s">
        <v>1646</v>
      </c>
      <c r="K589" s="3" t="s">
        <v>51</v>
      </c>
      <c r="L589" s="4">
        <v>43617</v>
      </c>
      <c r="M589" s="3" t="s">
        <v>21</v>
      </c>
      <c r="N589" s="3" t="s">
        <v>2544</v>
      </c>
    </row>
    <row r="590" spans="1:14" ht="13.5">
      <c r="A590" s="5">
        <v>584</v>
      </c>
      <c r="B590" s="5" t="str">
        <f>"201900078652"</f>
        <v>201900078652</v>
      </c>
      <c r="C590" s="5" t="str">
        <f>"143217"</f>
        <v>143217</v>
      </c>
      <c r="D590" s="5" t="s">
        <v>2545</v>
      </c>
      <c r="E590" s="5">
        <v>20542006090</v>
      </c>
      <c r="F590" s="5" t="s">
        <v>2546</v>
      </c>
      <c r="G590" s="5" t="s">
        <v>2547</v>
      </c>
      <c r="H590" s="5" t="s">
        <v>1645</v>
      </c>
      <c r="I590" s="5" t="s">
        <v>1646</v>
      </c>
      <c r="J590" s="5" t="s">
        <v>1646</v>
      </c>
      <c r="K590" s="5" t="s">
        <v>97</v>
      </c>
      <c r="L590" s="6">
        <v>43617</v>
      </c>
      <c r="M590" s="5" t="s">
        <v>21</v>
      </c>
      <c r="N590" s="5" t="s">
        <v>2548</v>
      </c>
    </row>
    <row r="591" spans="1:14" ht="13.5">
      <c r="A591" s="3">
        <v>585</v>
      </c>
      <c r="B591" s="3" t="str">
        <f>"201900078830"</f>
        <v>201900078830</v>
      </c>
      <c r="C591" s="3" t="str">
        <f>"144064"</f>
        <v>144064</v>
      </c>
      <c r="D591" s="3" t="s">
        <v>2549</v>
      </c>
      <c r="E591" s="3">
        <v>20548210772</v>
      </c>
      <c r="F591" s="3" t="s">
        <v>2550</v>
      </c>
      <c r="G591" s="3" t="s">
        <v>2551</v>
      </c>
      <c r="H591" s="3" t="s">
        <v>274</v>
      </c>
      <c r="I591" s="3" t="s">
        <v>275</v>
      </c>
      <c r="J591" s="3" t="s">
        <v>2552</v>
      </c>
      <c r="K591" s="3" t="s">
        <v>51</v>
      </c>
      <c r="L591" s="4">
        <v>43617</v>
      </c>
      <c r="M591" s="3" t="s">
        <v>21</v>
      </c>
      <c r="N591" s="3" t="s">
        <v>2553</v>
      </c>
    </row>
    <row r="592" spans="1:14" ht="13.5">
      <c r="A592" s="5">
        <v>586</v>
      </c>
      <c r="B592" s="5" t="str">
        <f>"201900078652"</f>
        <v>201900078652</v>
      </c>
      <c r="C592" s="5" t="str">
        <f>"143227"</f>
        <v>143227</v>
      </c>
      <c r="D592" s="5" t="s">
        <v>2554</v>
      </c>
      <c r="E592" s="5">
        <v>10322930246</v>
      </c>
      <c r="F592" s="5" t="s">
        <v>2555</v>
      </c>
      <c r="G592" s="5" t="s">
        <v>2556</v>
      </c>
      <c r="H592" s="5" t="s">
        <v>1645</v>
      </c>
      <c r="I592" s="5" t="s">
        <v>1836</v>
      </c>
      <c r="J592" s="5" t="s">
        <v>1837</v>
      </c>
      <c r="K592" s="5" t="s">
        <v>1883</v>
      </c>
      <c r="L592" s="6">
        <v>43617</v>
      </c>
      <c r="M592" s="5" t="s">
        <v>21</v>
      </c>
      <c r="N592" s="5" t="s">
        <v>2555</v>
      </c>
    </row>
    <row r="593" spans="1:14" ht="27.75">
      <c r="A593" s="3">
        <v>587</v>
      </c>
      <c r="B593" s="3" t="str">
        <f>"201900078803"</f>
        <v>201900078803</v>
      </c>
      <c r="C593" s="3" t="str">
        <f>"143748"</f>
        <v>143748</v>
      </c>
      <c r="D593" s="3" t="s">
        <v>2557</v>
      </c>
      <c r="E593" s="3">
        <v>20519215854</v>
      </c>
      <c r="F593" s="3" t="s">
        <v>2558</v>
      </c>
      <c r="G593" s="3" t="s">
        <v>2559</v>
      </c>
      <c r="H593" s="3" t="s">
        <v>18</v>
      </c>
      <c r="I593" s="3" t="s">
        <v>18</v>
      </c>
      <c r="J593" s="3" t="s">
        <v>242</v>
      </c>
      <c r="K593" s="3" t="s">
        <v>1883</v>
      </c>
      <c r="L593" s="4">
        <v>43617</v>
      </c>
      <c r="M593" s="3" t="s">
        <v>21</v>
      </c>
      <c r="N593" s="3" t="s">
        <v>2560</v>
      </c>
    </row>
    <row r="594" spans="1:14" ht="13.5">
      <c r="A594" s="5">
        <v>588</v>
      </c>
      <c r="B594" s="5" t="str">
        <f>"201900078803"</f>
        <v>201900078803</v>
      </c>
      <c r="C594" s="5" t="str">
        <f>"143749"</f>
        <v>143749</v>
      </c>
      <c r="D594" s="5" t="s">
        <v>2561</v>
      </c>
      <c r="E594" s="5">
        <v>20523787960</v>
      </c>
      <c r="F594" s="5" t="s">
        <v>2562</v>
      </c>
      <c r="G594" s="5" t="s">
        <v>2563</v>
      </c>
      <c r="H594" s="5" t="s">
        <v>18</v>
      </c>
      <c r="I594" s="5" t="s">
        <v>18</v>
      </c>
      <c r="J594" s="5" t="s">
        <v>242</v>
      </c>
      <c r="K594" s="5" t="s">
        <v>36</v>
      </c>
      <c r="L594" s="6">
        <v>43617</v>
      </c>
      <c r="M594" s="5" t="s">
        <v>21</v>
      </c>
      <c r="N594" s="5" t="s">
        <v>2564</v>
      </c>
    </row>
    <row r="595" spans="1:14" ht="13.5">
      <c r="A595" s="3">
        <v>589</v>
      </c>
      <c r="B595" s="3" t="str">
        <f>"201900078803"</f>
        <v>201900078803</v>
      </c>
      <c r="C595" s="3" t="str">
        <f>"143747"</f>
        <v>143747</v>
      </c>
      <c r="D595" s="3" t="s">
        <v>2565</v>
      </c>
      <c r="E595" s="3">
        <v>20517384209</v>
      </c>
      <c r="F595" s="3" t="s">
        <v>2566</v>
      </c>
      <c r="G595" s="3" t="s">
        <v>2567</v>
      </c>
      <c r="H595" s="3" t="s">
        <v>18</v>
      </c>
      <c r="I595" s="3" t="s">
        <v>18</v>
      </c>
      <c r="J595" s="3" t="s">
        <v>242</v>
      </c>
      <c r="K595" s="3" t="s">
        <v>51</v>
      </c>
      <c r="L595" s="4">
        <v>43617</v>
      </c>
      <c r="M595" s="3" t="s">
        <v>21</v>
      </c>
      <c r="N595" s="3" t="s">
        <v>2568</v>
      </c>
    </row>
    <row r="596" spans="1:14" ht="13.5">
      <c r="A596" s="5">
        <v>590</v>
      </c>
      <c r="B596" s="5" t="str">
        <f>"202000142435"</f>
        <v>202000142435</v>
      </c>
      <c r="C596" s="5" t="str">
        <f>"151871"</f>
        <v>151871</v>
      </c>
      <c r="D596" s="5" t="s">
        <v>2569</v>
      </c>
      <c r="E596" s="5">
        <v>20605203133</v>
      </c>
      <c r="F596" s="5" t="s">
        <v>2570</v>
      </c>
      <c r="G596" s="5" t="s">
        <v>2571</v>
      </c>
      <c r="H596" s="5" t="s">
        <v>1830</v>
      </c>
      <c r="I596" s="5" t="s">
        <v>1831</v>
      </c>
      <c r="J596" s="5" t="s">
        <v>2572</v>
      </c>
      <c r="K596" s="5" t="s">
        <v>36</v>
      </c>
      <c r="L596" s="6">
        <v>44122</v>
      </c>
      <c r="M596" s="5" t="s">
        <v>21</v>
      </c>
      <c r="N596" s="5" t="s">
        <v>2573</v>
      </c>
    </row>
    <row r="597" spans="1:14" ht="13.5">
      <c r="A597" s="3">
        <v>591</v>
      </c>
      <c r="B597" s="3" t="str">
        <f>"201900099365"</f>
        <v>201900099365</v>
      </c>
      <c r="C597" s="3" t="str">
        <f>"144780"</f>
        <v>144780</v>
      </c>
      <c r="D597" s="3" t="s">
        <v>2574</v>
      </c>
      <c r="E597" s="3">
        <v>20601414555</v>
      </c>
      <c r="F597" s="3" t="s">
        <v>2575</v>
      </c>
      <c r="G597" s="3" t="s">
        <v>2576</v>
      </c>
      <c r="H597" s="3" t="s">
        <v>160</v>
      </c>
      <c r="I597" s="3" t="s">
        <v>160</v>
      </c>
      <c r="J597" s="3" t="s">
        <v>669</v>
      </c>
      <c r="K597" s="3" t="s">
        <v>36</v>
      </c>
      <c r="L597" s="4">
        <v>43643</v>
      </c>
      <c r="M597" s="3" t="s">
        <v>21</v>
      </c>
      <c r="N597" s="3" t="s">
        <v>2577</v>
      </c>
    </row>
    <row r="598" spans="1:14" ht="13.5">
      <c r="A598" s="5">
        <v>592</v>
      </c>
      <c r="B598" s="5" t="str">
        <f>"201900078839"</f>
        <v>201900078839</v>
      </c>
      <c r="C598" s="5" t="str">
        <f>"144088"</f>
        <v>144088</v>
      </c>
      <c r="D598" s="5" t="s">
        <v>2578</v>
      </c>
      <c r="E598" s="5">
        <v>10467298343</v>
      </c>
      <c r="F598" s="5" t="s">
        <v>2579</v>
      </c>
      <c r="G598" s="5" t="s">
        <v>2580</v>
      </c>
      <c r="H598" s="5" t="s">
        <v>932</v>
      </c>
      <c r="I598" s="5" t="s">
        <v>2581</v>
      </c>
      <c r="J598" s="5" t="s">
        <v>2582</v>
      </c>
      <c r="K598" s="5" t="s">
        <v>97</v>
      </c>
      <c r="L598" s="6">
        <v>43617</v>
      </c>
      <c r="M598" s="5" t="s">
        <v>21</v>
      </c>
      <c r="N598" s="5" t="s">
        <v>2579</v>
      </c>
    </row>
    <row r="599" spans="1:14" ht="27.75">
      <c r="A599" s="3">
        <v>593</v>
      </c>
      <c r="B599" s="3" t="str">
        <f>"201900078803"</f>
        <v>201900078803</v>
      </c>
      <c r="C599" s="3" t="str">
        <f>"143740"</f>
        <v>143740</v>
      </c>
      <c r="D599" s="3" t="s">
        <v>2583</v>
      </c>
      <c r="E599" s="3">
        <v>20431066271</v>
      </c>
      <c r="F599" s="3" t="s">
        <v>2584</v>
      </c>
      <c r="G599" s="3" t="s">
        <v>2585</v>
      </c>
      <c r="H599" s="3" t="s">
        <v>18</v>
      </c>
      <c r="I599" s="3" t="s">
        <v>18</v>
      </c>
      <c r="J599" s="3" t="s">
        <v>242</v>
      </c>
      <c r="K599" s="3" t="s">
        <v>199</v>
      </c>
      <c r="L599" s="4">
        <v>43617</v>
      </c>
      <c r="M599" s="3" t="s">
        <v>21</v>
      </c>
      <c r="N599" s="3" t="s">
        <v>2586</v>
      </c>
    </row>
    <row r="600" spans="1:14" ht="27.75">
      <c r="A600" s="5">
        <v>594</v>
      </c>
      <c r="B600" s="5" t="str">
        <f>"201900078839"</f>
        <v>201900078839</v>
      </c>
      <c r="C600" s="5" t="str">
        <f>"144089"</f>
        <v>144089</v>
      </c>
      <c r="D600" s="5" t="s">
        <v>2587</v>
      </c>
      <c r="E600" s="5">
        <v>20448386211</v>
      </c>
      <c r="F600" s="5" t="s">
        <v>2588</v>
      </c>
      <c r="G600" s="5" t="s">
        <v>2589</v>
      </c>
      <c r="H600" s="5" t="s">
        <v>932</v>
      </c>
      <c r="I600" s="5" t="s">
        <v>933</v>
      </c>
      <c r="J600" s="5" t="s">
        <v>2590</v>
      </c>
      <c r="K600" s="5" t="s">
        <v>36</v>
      </c>
      <c r="L600" s="6">
        <v>43617</v>
      </c>
      <c r="M600" s="5" t="s">
        <v>21</v>
      </c>
      <c r="N600" s="5" t="s">
        <v>2591</v>
      </c>
    </row>
    <row r="601" spans="1:14" ht="13.5">
      <c r="A601" s="3">
        <v>595</v>
      </c>
      <c r="B601" s="3" t="str">
        <f>"201900078803"</f>
        <v>201900078803</v>
      </c>
      <c r="C601" s="3" t="str">
        <f>"143739"</f>
        <v>143739</v>
      </c>
      <c r="D601" s="3" t="s">
        <v>2592</v>
      </c>
      <c r="E601" s="3">
        <v>20420519002</v>
      </c>
      <c r="F601" s="3" t="s">
        <v>2593</v>
      </c>
      <c r="G601" s="3" t="s">
        <v>2594</v>
      </c>
      <c r="H601" s="3" t="s">
        <v>18</v>
      </c>
      <c r="I601" s="3" t="s">
        <v>18</v>
      </c>
      <c r="J601" s="3" t="s">
        <v>242</v>
      </c>
      <c r="K601" s="3" t="s">
        <v>36</v>
      </c>
      <c r="L601" s="4">
        <v>43617</v>
      </c>
      <c r="M601" s="3" t="s">
        <v>21</v>
      </c>
      <c r="N601" s="3" t="s">
        <v>2595</v>
      </c>
    </row>
    <row r="602" spans="1:14" ht="27.75">
      <c r="A602" s="5">
        <v>596</v>
      </c>
      <c r="B602" s="5" t="str">
        <f>"201900078652"</f>
        <v>201900078652</v>
      </c>
      <c r="C602" s="5" t="str">
        <f>"143236"</f>
        <v>143236</v>
      </c>
      <c r="D602" s="5" t="s">
        <v>2596</v>
      </c>
      <c r="E602" s="5">
        <v>20403221831</v>
      </c>
      <c r="F602" s="5" t="s">
        <v>2597</v>
      </c>
      <c r="G602" s="5" t="s">
        <v>2598</v>
      </c>
      <c r="H602" s="5" t="s">
        <v>1645</v>
      </c>
      <c r="I602" s="5" t="s">
        <v>2279</v>
      </c>
      <c r="J602" s="5" t="s">
        <v>2599</v>
      </c>
      <c r="K602" s="5" t="s">
        <v>137</v>
      </c>
      <c r="L602" s="6">
        <v>43617</v>
      </c>
      <c r="M602" s="5" t="s">
        <v>21</v>
      </c>
      <c r="N602" s="5" t="s">
        <v>2600</v>
      </c>
    </row>
    <row r="603" spans="1:14" ht="13.5">
      <c r="A603" s="3">
        <v>597</v>
      </c>
      <c r="B603" s="3" t="str">
        <f>"201900078803"</f>
        <v>201900078803</v>
      </c>
      <c r="C603" s="3" t="str">
        <f>"143742"</f>
        <v>143742</v>
      </c>
      <c r="D603" s="3" t="s">
        <v>2601</v>
      </c>
      <c r="E603" s="3">
        <v>20501683109</v>
      </c>
      <c r="F603" s="3" t="s">
        <v>2602</v>
      </c>
      <c r="G603" s="3" t="s">
        <v>2603</v>
      </c>
      <c r="H603" s="3" t="s">
        <v>18</v>
      </c>
      <c r="I603" s="3" t="s">
        <v>18</v>
      </c>
      <c r="J603" s="3" t="s">
        <v>242</v>
      </c>
      <c r="K603" s="3" t="s">
        <v>51</v>
      </c>
      <c r="L603" s="4">
        <v>43617</v>
      </c>
      <c r="M603" s="3" t="s">
        <v>21</v>
      </c>
      <c r="N603" s="3" t="s">
        <v>2604</v>
      </c>
    </row>
    <row r="604" spans="1:14" ht="13.5">
      <c r="A604" s="5">
        <v>598</v>
      </c>
      <c r="B604" s="5" t="str">
        <f>"201900078839"</f>
        <v>201900078839</v>
      </c>
      <c r="C604" s="5" t="str">
        <f>"144087"</f>
        <v>144087</v>
      </c>
      <c r="D604" s="5" t="s">
        <v>2605</v>
      </c>
      <c r="E604" s="5">
        <v>10025327832</v>
      </c>
      <c r="F604" s="5" t="s">
        <v>2606</v>
      </c>
      <c r="G604" s="5" t="s">
        <v>2607</v>
      </c>
      <c r="H604" s="5" t="s">
        <v>932</v>
      </c>
      <c r="I604" s="5" t="s">
        <v>2581</v>
      </c>
      <c r="J604" s="5" t="s">
        <v>2582</v>
      </c>
      <c r="K604" s="5" t="s">
        <v>36</v>
      </c>
      <c r="L604" s="6">
        <v>43617</v>
      </c>
      <c r="M604" s="5" t="s">
        <v>21</v>
      </c>
      <c r="N604" s="5" t="s">
        <v>2608</v>
      </c>
    </row>
    <row r="605" spans="1:14" ht="27.75">
      <c r="A605" s="3">
        <v>599</v>
      </c>
      <c r="B605" s="3" t="str">
        <f>"201900078803"</f>
        <v>201900078803</v>
      </c>
      <c r="C605" s="3" t="str">
        <f>"143741"</f>
        <v>143741</v>
      </c>
      <c r="D605" s="3" t="s">
        <v>2609</v>
      </c>
      <c r="E605" s="3">
        <v>20451751621</v>
      </c>
      <c r="F605" s="3" t="s">
        <v>2610</v>
      </c>
      <c r="G605" s="3" t="s">
        <v>2611</v>
      </c>
      <c r="H605" s="3" t="s">
        <v>18</v>
      </c>
      <c r="I605" s="3" t="s">
        <v>18</v>
      </c>
      <c r="J605" s="3" t="s">
        <v>242</v>
      </c>
      <c r="K605" s="3" t="s">
        <v>51</v>
      </c>
      <c r="L605" s="4">
        <v>43617</v>
      </c>
      <c r="M605" s="3" t="s">
        <v>21</v>
      </c>
      <c r="N605" s="3" t="s">
        <v>2612</v>
      </c>
    </row>
    <row r="606" spans="1:14" ht="27.75">
      <c r="A606" s="5">
        <v>600</v>
      </c>
      <c r="B606" s="5" t="str">
        <f>"201900078803"</f>
        <v>201900078803</v>
      </c>
      <c r="C606" s="5" t="str">
        <f>"143744"</f>
        <v>143744</v>
      </c>
      <c r="D606" s="5" t="s">
        <v>2613</v>
      </c>
      <c r="E606" s="5">
        <v>20508133392</v>
      </c>
      <c r="F606" s="5" t="s">
        <v>2614</v>
      </c>
      <c r="G606" s="5" t="s">
        <v>2615</v>
      </c>
      <c r="H606" s="5" t="s">
        <v>18</v>
      </c>
      <c r="I606" s="5" t="s">
        <v>18</v>
      </c>
      <c r="J606" s="5" t="s">
        <v>242</v>
      </c>
      <c r="K606" s="5" t="s">
        <v>137</v>
      </c>
      <c r="L606" s="6">
        <v>43617</v>
      </c>
      <c r="M606" s="5" t="s">
        <v>21</v>
      </c>
      <c r="N606" s="5" t="s">
        <v>2616</v>
      </c>
    </row>
    <row r="607" spans="1:14" ht="13.5">
      <c r="A607" s="3">
        <v>601</v>
      </c>
      <c r="B607" s="3" t="str">
        <f>"201900078839"</f>
        <v>201900078839</v>
      </c>
      <c r="C607" s="3" t="str">
        <f>"144092"</f>
        <v>144092</v>
      </c>
      <c r="D607" s="3" t="s">
        <v>2617</v>
      </c>
      <c r="E607" s="3">
        <v>10023625887</v>
      </c>
      <c r="F607" s="3" t="s">
        <v>2618</v>
      </c>
      <c r="G607" s="3" t="s">
        <v>2619</v>
      </c>
      <c r="H607" s="3" t="s">
        <v>932</v>
      </c>
      <c r="I607" s="3" t="s">
        <v>933</v>
      </c>
      <c r="J607" s="3" t="s">
        <v>934</v>
      </c>
      <c r="K607" s="3" t="s">
        <v>97</v>
      </c>
      <c r="L607" s="4">
        <v>43617</v>
      </c>
      <c r="M607" s="3" t="s">
        <v>21</v>
      </c>
      <c r="N607" s="3" t="s">
        <v>2620</v>
      </c>
    </row>
    <row r="608" spans="1:14" ht="55.5">
      <c r="A608" s="5">
        <v>602</v>
      </c>
      <c r="B608" s="5" t="str">
        <f>"201900078803"</f>
        <v>201900078803</v>
      </c>
      <c r="C608" s="5" t="str">
        <f>"143743"</f>
        <v>143743</v>
      </c>
      <c r="D608" s="5" t="s">
        <v>2621</v>
      </c>
      <c r="E608" s="5">
        <v>20506281912</v>
      </c>
      <c r="F608" s="5" t="s">
        <v>2622</v>
      </c>
      <c r="G608" s="5" t="s">
        <v>2623</v>
      </c>
      <c r="H608" s="5" t="s">
        <v>18</v>
      </c>
      <c r="I608" s="5" t="s">
        <v>18</v>
      </c>
      <c r="J608" s="5" t="s">
        <v>242</v>
      </c>
      <c r="K608" s="5" t="s">
        <v>2624</v>
      </c>
      <c r="L608" s="6">
        <v>43617</v>
      </c>
      <c r="M608" s="5" t="s">
        <v>21</v>
      </c>
      <c r="N608" s="5" t="s">
        <v>2625</v>
      </c>
    </row>
    <row r="609" spans="1:14" ht="27.75">
      <c r="A609" s="3">
        <v>603</v>
      </c>
      <c r="B609" s="3" t="str">
        <f>"201900078839"</f>
        <v>201900078839</v>
      </c>
      <c r="C609" s="3" t="str">
        <f>"144093"</f>
        <v>144093</v>
      </c>
      <c r="D609" s="3" t="s">
        <v>2626</v>
      </c>
      <c r="E609" s="3">
        <v>10400574010</v>
      </c>
      <c r="F609" s="3" t="s">
        <v>2627</v>
      </c>
      <c r="G609" s="3" t="s">
        <v>2628</v>
      </c>
      <c r="H609" s="3" t="s">
        <v>932</v>
      </c>
      <c r="I609" s="3" t="s">
        <v>933</v>
      </c>
      <c r="J609" s="3" t="s">
        <v>934</v>
      </c>
      <c r="K609" s="3" t="s">
        <v>36</v>
      </c>
      <c r="L609" s="4">
        <v>43617</v>
      </c>
      <c r="M609" s="3" t="s">
        <v>21</v>
      </c>
      <c r="N609" s="3" t="s">
        <v>2627</v>
      </c>
    </row>
    <row r="610" spans="1:14" ht="27.75">
      <c r="A610" s="5">
        <v>604</v>
      </c>
      <c r="B610" s="5" t="str">
        <f>"201900078803"</f>
        <v>201900078803</v>
      </c>
      <c r="C610" s="5" t="str">
        <f>"143746"</f>
        <v>143746</v>
      </c>
      <c r="D610" s="5" t="s">
        <v>2629</v>
      </c>
      <c r="E610" s="5">
        <v>20516127792</v>
      </c>
      <c r="F610" s="5" t="s">
        <v>2630</v>
      </c>
      <c r="G610" s="5" t="s">
        <v>2631</v>
      </c>
      <c r="H610" s="5" t="s">
        <v>18</v>
      </c>
      <c r="I610" s="5" t="s">
        <v>18</v>
      </c>
      <c r="J610" s="5" t="s">
        <v>242</v>
      </c>
      <c r="K610" s="5" t="s">
        <v>2632</v>
      </c>
      <c r="L610" s="6">
        <v>43617</v>
      </c>
      <c r="M610" s="5" t="s">
        <v>21</v>
      </c>
      <c r="N610" s="5" t="s">
        <v>2633</v>
      </c>
    </row>
    <row r="611" spans="1:14" ht="13.5">
      <c r="A611" s="3">
        <v>605</v>
      </c>
      <c r="B611" s="3" t="str">
        <f>"201900078839"</f>
        <v>201900078839</v>
      </c>
      <c r="C611" s="3" t="str">
        <f>"144090"</f>
        <v>144090</v>
      </c>
      <c r="D611" s="3" t="s">
        <v>2634</v>
      </c>
      <c r="E611" s="3">
        <v>10015544525</v>
      </c>
      <c r="F611" s="3" t="s">
        <v>2635</v>
      </c>
      <c r="G611" s="3" t="s">
        <v>2636</v>
      </c>
      <c r="H611" s="3" t="s">
        <v>932</v>
      </c>
      <c r="I611" s="3" t="s">
        <v>933</v>
      </c>
      <c r="J611" s="3" t="s">
        <v>934</v>
      </c>
      <c r="K611" s="3" t="s">
        <v>51</v>
      </c>
      <c r="L611" s="4">
        <v>43617</v>
      </c>
      <c r="M611" s="3" t="s">
        <v>21</v>
      </c>
      <c r="N611" s="3" t="s">
        <v>2635</v>
      </c>
    </row>
    <row r="612" spans="1:14" ht="27.75">
      <c r="A612" s="5">
        <v>606</v>
      </c>
      <c r="B612" s="5" t="str">
        <f>"201900078803"</f>
        <v>201900078803</v>
      </c>
      <c r="C612" s="5" t="str">
        <f>"143745"</f>
        <v>143745</v>
      </c>
      <c r="D612" s="5" t="s">
        <v>2637</v>
      </c>
      <c r="E612" s="5">
        <v>20513529806</v>
      </c>
      <c r="F612" s="5" t="s">
        <v>2638</v>
      </c>
      <c r="G612" s="5" t="s">
        <v>2639</v>
      </c>
      <c r="H612" s="5" t="s">
        <v>18</v>
      </c>
      <c r="I612" s="5" t="s">
        <v>18</v>
      </c>
      <c r="J612" s="5" t="s">
        <v>242</v>
      </c>
      <c r="K612" s="5" t="s">
        <v>137</v>
      </c>
      <c r="L612" s="6">
        <v>43617</v>
      </c>
      <c r="M612" s="5" t="s">
        <v>21</v>
      </c>
      <c r="N612" s="5" t="s">
        <v>2640</v>
      </c>
    </row>
    <row r="613" spans="1:14" ht="13.5">
      <c r="A613" s="3">
        <v>607</v>
      </c>
      <c r="B613" s="3" t="str">
        <f>"201900078839"</f>
        <v>201900078839</v>
      </c>
      <c r="C613" s="3" t="str">
        <f>"144091"</f>
        <v>144091</v>
      </c>
      <c r="D613" s="3" t="s">
        <v>2641</v>
      </c>
      <c r="E613" s="3">
        <v>10017000361</v>
      </c>
      <c r="F613" s="3" t="s">
        <v>2642</v>
      </c>
      <c r="G613" s="3" t="s">
        <v>2643</v>
      </c>
      <c r="H613" s="3" t="s">
        <v>932</v>
      </c>
      <c r="I613" s="3" t="s">
        <v>933</v>
      </c>
      <c r="J613" s="3" t="s">
        <v>934</v>
      </c>
      <c r="K613" s="3" t="s">
        <v>36</v>
      </c>
      <c r="L613" s="4">
        <v>43617</v>
      </c>
      <c r="M613" s="3" t="s">
        <v>21</v>
      </c>
      <c r="N613" s="3" t="s">
        <v>2642</v>
      </c>
    </row>
    <row r="614" spans="1:14" ht="13.5">
      <c r="A614" s="5">
        <v>608</v>
      </c>
      <c r="B614" s="5" t="str">
        <f>"201900078652"</f>
        <v>201900078652</v>
      </c>
      <c r="C614" s="5" t="str">
        <f>"143229"</f>
        <v>143229</v>
      </c>
      <c r="D614" s="5" t="s">
        <v>2644</v>
      </c>
      <c r="E614" s="5">
        <v>10457644391</v>
      </c>
      <c r="F614" s="5" t="s">
        <v>2645</v>
      </c>
      <c r="G614" s="5" t="s">
        <v>2646</v>
      </c>
      <c r="H614" s="5" t="s">
        <v>1645</v>
      </c>
      <c r="I614" s="5" t="s">
        <v>2647</v>
      </c>
      <c r="J614" s="5" t="s">
        <v>2648</v>
      </c>
      <c r="K614" s="5" t="s">
        <v>51</v>
      </c>
      <c r="L614" s="6">
        <v>43617</v>
      </c>
      <c r="M614" s="5" t="s">
        <v>21</v>
      </c>
      <c r="N614" s="5" t="s">
        <v>2645</v>
      </c>
    </row>
    <row r="615" spans="1:14" ht="153.75">
      <c r="A615" s="3">
        <v>609</v>
      </c>
      <c r="B615" s="3" t="str">
        <f>"202000080392"</f>
        <v>202000080392</v>
      </c>
      <c r="C615" s="3" t="str">
        <f>"143228"</f>
        <v>143228</v>
      </c>
      <c r="D615" s="3" t="s">
        <v>2649</v>
      </c>
      <c r="E615" s="3">
        <v>20545339006</v>
      </c>
      <c r="F615" s="3" t="s">
        <v>2650</v>
      </c>
      <c r="G615" s="3" t="s">
        <v>2651</v>
      </c>
      <c r="H615" s="3" t="s">
        <v>18</v>
      </c>
      <c r="I615" s="3" t="s">
        <v>18</v>
      </c>
      <c r="J615" s="3" t="s">
        <v>19</v>
      </c>
      <c r="K615" s="3" t="s">
        <v>75</v>
      </c>
      <c r="L615" s="4">
        <v>44041</v>
      </c>
      <c r="M615" s="3" t="s">
        <v>21</v>
      </c>
      <c r="N615" s="3" t="s">
        <v>2652</v>
      </c>
    </row>
    <row r="616" spans="1:14" ht="13.5">
      <c r="A616" s="5">
        <v>610</v>
      </c>
      <c r="B616" s="5" t="str">
        <f aca="true" t="shared" si="8" ref="B616:B621">"201900078652"</f>
        <v>201900078652</v>
      </c>
      <c r="C616" s="5" t="str">
        <f>"143231"</f>
        <v>143231</v>
      </c>
      <c r="D616" s="5" t="s">
        <v>2653</v>
      </c>
      <c r="E616" s="5">
        <v>20530666663</v>
      </c>
      <c r="F616" s="5" t="s">
        <v>2654</v>
      </c>
      <c r="G616" s="5" t="s">
        <v>2655</v>
      </c>
      <c r="H616" s="5" t="s">
        <v>1645</v>
      </c>
      <c r="I616" s="5" t="s">
        <v>2647</v>
      </c>
      <c r="J616" s="5" t="s">
        <v>2648</v>
      </c>
      <c r="K616" s="5" t="s">
        <v>51</v>
      </c>
      <c r="L616" s="6">
        <v>43617</v>
      </c>
      <c r="M616" s="5" t="s">
        <v>21</v>
      </c>
      <c r="N616" s="5" t="s">
        <v>2656</v>
      </c>
    </row>
    <row r="617" spans="1:14" ht="13.5">
      <c r="A617" s="3">
        <v>611</v>
      </c>
      <c r="B617" s="3" t="str">
        <f t="shared" si="8"/>
        <v>201900078652</v>
      </c>
      <c r="C617" s="3" t="str">
        <f>"143230"</f>
        <v>143230</v>
      </c>
      <c r="D617" s="3" t="s">
        <v>2657</v>
      </c>
      <c r="E617" s="3">
        <v>20408107653</v>
      </c>
      <c r="F617" s="3" t="s">
        <v>2658</v>
      </c>
      <c r="G617" s="3" t="s">
        <v>2659</v>
      </c>
      <c r="H617" s="3" t="s">
        <v>1645</v>
      </c>
      <c r="I617" s="3" t="s">
        <v>2647</v>
      </c>
      <c r="J617" s="3" t="s">
        <v>2648</v>
      </c>
      <c r="K617" s="3" t="s">
        <v>97</v>
      </c>
      <c r="L617" s="4">
        <v>43617</v>
      </c>
      <c r="M617" s="3" t="s">
        <v>21</v>
      </c>
      <c r="N617" s="3" t="s">
        <v>2660</v>
      </c>
    </row>
    <row r="618" spans="1:14" ht="13.5">
      <c r="A618" s="5">
        <v>612</v>
      </c>
      <c r="B618" s="5" t="str">
        <f t="shared" si="8"/>
        <v>201900078652</v>
      </c>
      <c r="C618" s="5" t="str">
        <f>"143233"</f>
        <v>143233</v>
      </c>
      <c r="D618" s="5" t="s">
        <v>2661</v>
      </c>
      <c r="E618" s="5">
        <v>20530667716</v>
      </c>
      <c r="F618" s="5" t="s">
        <v>2662</v>
      </c>
      <c r="G618" s="5" t="s">
        <v>2663</v>
      </c>
      <c r="H618" s="5" t="s">
        <v>1645</v>
      </c>
      <c r="I618" s="5" t="s">
        <v>2664</v>
      </c>
      <c r="J618" s="5" t="s">
        <v>2664</v>
      </c>
      <c r="K618" s="5" t="s">
        <v>36</v>
      </c>
      <c r="L618" s="6">
        <v>43617</v>
      </c>
      <c r="M618" s="5" t="s">
        <v>21</v>
      </c>
      <c r="N618" s="5" t="s">
        <v>2665</v>
      </c>
    </row>
    <row r="619" spans="1:14" ht="13.5">
      <c r="A619" s="3">
        <v>613</v>
      </c>
      <c r="B619" s="3" t="str">
        <f t="shared" si="8"/>
        <v>201900078652</v>
      </c>
      <c r="C619" s="3" t="str">
        <f>"143232"</f>
        <v>143232</v>
      </c>
      <c r="D619" s="3" t="s">
        <v>2666</v>
      </c>
      <c r="E619" s="3">
        <v>20407844387</v>
      </c>
      <c r="F619" s="3" t="s">
        <v>2667</v>
      </c>
      <c r="G619" s="3" t="s">
        <v>2668</v>
      </c>
      <c r="H619" s="3" t="s">
        <v>1645</v>
      </c>
      <c r="I619" s="3" t="s">
        <v>2669</v>
      </c>
      <c r="J619" s="3" t="s">
        <v>2669</v>
      </c>
      <c r="K619" s="3" t="s">
        <v>847</v>
      </c>
      <c r="L619" s="4">
        <v>43617</v>
      </c>
      <c r="M619" s="3" t="s">
        <v>21</v>
      </c>
      <c r="N619" s="3" t="s">
        <v>2670</v>
      </c>
    </row>
    <row r="620" spans="1:14" ht="13.5">
      <c r="A620" s="5">
        <v>614</v>
      </c>
      <c r="B620" s="5" t="str">
        <f t="shared" si="8"/>
        <v>201900078652</v>
      </c>
      <c r="C620" s="5" t="str">
        <f>"143235"</f>
        <v>143235</v>
      </c>
      <c r="D620" s="5" t="s">
        <v>2671</v>
      </c>
      <c r="E620" s="5">
        <v>10465807542</v>
      </c>
      <c r="F620" s="5" t="s">
        <v>2672</v>
      </c>
      <c r="G620" s="5" t="s">
        <v>2673</v>
      </c>
      <c r="H620" s="5" t="s">
        <v>1645</v>
      </c>
      <c r="I620" s="5" t="s">
        <v>2279</v>
      </c>
      <c r="J620" s="5" t="s">
        <v>2599</v>
      </c>
      <c r="K620" s="5" t="s">
        <v>97</v>
      </c>
      <c r="L620" s="6">
        <v>43617</v>
      </c>
      <c r="M620" s="5" t="s">
        <v>21</v>
      </c>
      <c r="N620" s="5" t="s">
        <v>2672</v>
      </c>
    </row>
    <row r="621" spans="1:14" ht="27.75">
      <c r="A621" s="3">
        <v>615</v>
      </c>
      <c r="B621" s="3" t="str">
        <f t="shared" si="8"/>
        <v>201900078652</v>
      </c>
      <c r="C621" s="3" t="str">
        <f>"143234"</f>
        <v>143234</v>
      </c>
      <c r="D621" s="3" t="s">
        <v>2674</v>
      </c>
      <c r="E621" s="3">
        <v>10328138960</v>
      </c>
      <c r="F621" s="3" t="s">
        <v>2675</v>
      </c>
      <c r="G621" s="3" t="s">
        <v>2676</v>
      </c>
      <c r="H621" s="3" t="s">
        <v>1645</v>
      </c>
      <c r="I621" s="3" t="s">
        <v>2279</v>
      </c>
      <c r="J621" s="3" t="s">
        <v>2599</v>
      </c>
      <c r="K621" s="3" t="s">
        <v>2677</v>
      </c>
      <c r="L621" s="4">
        <v>43617</v>
      </c>
      <c r="M621" s="3" t="s">
        <v>21</v>
      </c>
      <c r="N621" s="3" t="s">
        <v>2675</v>
      </c>
    </row>
    <row r="622" spans="1:14" ht="13.5">
      <c r="A622" s="5">
        <v>616</v>
      </c>
      <c r="B622" s="5" t="str">
        <f>"202000081663"</f>
        <v>202000081663</v>
      </c>
      <c r="C622" s="5" t="str">
        <f>"149989"</f>
        <v>149989</v>
      </c>
      <c r="D622" s="5" t="s">
        <v>2678</v>
      </c>
      <c r="E622" s="5">
        <v>20605714901</v>
      </c>
      <c r="F622" s="5" t="s">
        <v>2679</v>
      </c>
      <c r="G622" s="5" t="s">
        <v>2680</v>
      </c>
      <c r="H622" s="5" t="s">
        <v>18</v>
      </c>
      <c r="I622" s="5" t="s">
        <v>18</v>
      </c>
      <c r="J622" s="5" t="s">
        <v>2681</v>
      </c>
      <c r="K622" s="5" t="s">
        <v>36</v>
      </c>
      <c r="L622" s="6">
        <v>44075</v>
      </c>
      <c r="M622" s="5" t="s">
        <v>21</v>
      </c>
      <c r="N622" s="5" t="s">
        <v>2682</v>
      </c>
    </row>
    <row r="623" spans="1:14" ht="42">
      <c r="A623" s="3">
        <v>617</v>
      </c>
      <c r="B623" s="3" t="str">
        <f>"202000142430"</f>
        <v>202000142430</v>
      </c>
      <c r="C623" s="3" t="str">
        <f>"151862"</f>
        <v>151862</v>
      </c>
      <c r="D623" s="3" t="s">
        <v>2683</v>
      </c>
      <c r="E623" s="3">
        <v>20604353298</v>
      </c>
      <c r="F623" s="3" t="s">
        <v>2684</v>
      </c>
      <c r="G623" s="3" t="s">
        <v>2685</v>
      </c>
      <c r="H623" s="3" t="s">
        <v>18</v>
      </c>
      <c r="I623" s="3" t="s">
        <v>18</v>
      </c>
      <c r="J623" s="3" t="s">
        <v>19</v>
      </c>
      <c r="K623" s="3" t="s">
        <v>42</v>
      </c>
      <c r="L623" s="4">
        <v>44125</v>
      </c>
      <c r="M623" s="3" t="s">
        <v>21</v>
      </c>
      <c r="N623" s="3" t="s">
        <v>2686</v>
      </c>
    </row>
    <row r="624" spans="1:14" ht="27.75">
      <c r="A624" s="5">
        <v>618</v>
      </c>
      <c r="B624" s="5" t="str">
        <f>"201900078803"</f>
        <v>201900078803</v>
      </c>
      <c r="C624" s="5" t="str">
        <f>"143737"</f>
        <v>143737</v>
      </c>
      <c r="D624" s="5" t="s">
        <v>2687</v>
      </c>
      <c r="E624" s="5">
        <v>20168532246</v>
      </c>
      <c r="F624" s="5" t="s">
        <v>2688</v>
      </c>
      <c r="G624" s="5" t="s">
        <v>2689</v>
      </c>
      <c r="H624" s="5" t="s">
        <v>18</v>
      </c>
      <c r="I624" s="5" t="s">
        <v>18</v>
      </c>
      <c r="J624" s="5" t="s">
        <v>242</v>
      </c>
      <c r="K624" s="5" t="s">
        <v>137</v>
      </c>
      <c r="L624" s="6">
        <v>43617</v>
      </c>
      <c r="M624" s="5" t="s">
        <v>21</v>
      </c>
      <c r="N624" s="5" t="s">
        <v>2690</v>
      </c>
    </row>
    <row r="625" spans="1:14" ht="55.5">
      <c r="A625" s="3">
        <v>619</v>
      </c>
      <c r="B625" s="3" t="str">
        <f>"201900078803"</f>
        <v>201900078803</v>
      </c>
      <c r="C625" s="3" t="str">
        <f>"143738"</f>
        <v>143738</v>
      </c>
      <c r="D625" s="3" t="s">
        <v>2691</v>
      </c>
      <c r="E625" s="3">
        <v>20388138891</v>
      </c>
      <c r="F625" s="3" t="s">
        <v>2692</v>
      </c>
      <c r="G625" s="3" t="s">
        <v>2693</v>
      </c>
      <c r="H625" s="3" t="s">
        <v>18</v>
      </c>
      <c r="I625" s="3" t="s">
        <v>18</v>
      </c>
      <c r="J625" s="3" t="s">
        <v>242</v>
      </c>
      <c r="K625" s="3" t="s">
        <v>2694</v>
      </c>
      <c r="L625" s="4">
        <v>43617</v>
      </c>
      <c r="M625" s="3" t="s">
        <v>21</v>
      </c>
      <c r="N625" s="3" t="s">
        <v>2625</v>
      </c>
    </row>
    <row r="626" spans="1:14" ht="83.25">
      <c r="A626" s="5">
        <v>620</v>
      </c>
      <c r="B626" s="5" t="str">
        <f>"201900148691"</f>
        <v>201900148691</v>
      </c>
      <c r="C626" s="5" t="str">
        <f>"144077"</f>
        <v>144077</v>
      </c>
      <c r="D626" s="5" t="s">
        <v>2695</v>
      </c>
      <c r="E626" s="5">
        <v>20484241474</v>
      </c>
      <c r="F626" s="5" t="s">
        <v>2696</v>
      </c>
      <c r="G626" s="5" t="s">
        <v>2697</v>
      </c>
      <c r="H626" s="5" t="s">
        <v>274</v>
      </c>
      <c r="I626" s="5" t="s">
        <v>414</v>
      </c>
      <c r="J626" s="5" t="s">
        <v>415</v>
      </c>
      <c r="K626" s="5" t="s">
        <v>1004</v>
      </c>
      <c r="L626" s="6">
        <v>43725</v>
      </c>
      <c r="M626" s="5" t="s">
        <v>21</v>
      </c>
      <c r="N626" s="5" t="s">
        <v>2698</v>
      </c>
    </row>
    <row r="627" spans="1:14" ht="83.25">
      <c r="A627" s="3">
        <v>621</v>
      </c>
      <c r="B627" s="3" t="str">
        <f>"201900134841"</f>
        <v>201900134841</v>
      </c>
      <c r="C627" s="3" t="str">
        <f>"144078"</f>
        <v>144078</v>
      </c>
      <c r="D627" s="3" t="s">
        <v>2699</v>
      </c>
      <c r="E627" s="3">
        <v>20530305059</v>
      </c>
      <c r="F627" s="3" t="s">
        <v>2700</v>
      </c>
      <c r="G627" s="3" t="s">
        <v>2701</v>
      </c>
      <c r="H627" s="3" t="s">
        <v>274</v>
      </c>
      <c r="I627" s="3" t="s">
        <v>414</v>
      </c>
      <c r="J627" s="3" t="s">
        <v>415</v>
      </c>
      <c r="K627" s="3" t="s">
        <v>1004</v>
      </c>
      <c r="L627" s="4">
        <v>43700</v>
      </c>
      <c r="M627" s="3" t="s">
        <v>21</v>
      </c>
      <c r="N627" s="3" t="s">
        <v>2702</v>
      </c>
    </row>
    <row r="628" spans="1:14" ht="13.5">
      <c r="A628" s="5">
        <v>622</v>
      </c>
      <c r="B628" s="5" t="str">
        <f>"201900078839"</f>
        <v>201900078839</v>
      </c>
      <c r="C628" s="5" t="str">
        <f>"144080"</f>
        <v>144080</v>
      </c>
      <c r="D628" s="5" t="s">
        <v>2703</v>
      </c>
      <c r="E628" s="5">
        <v>20448817211</v>
      </c>
      <c r="F628" s="5" t="s">
        <v>2704</v>
      </c>
      <c r="G628" s="5" t="s">
        <v>2705</v>
      </c>
      <c r="H628" s="5" t="s">
        <v>932</v>
      </c>
      <c r="I628" s="5" t="s">
        <v>1242</v>
      </c>
      <c r="J628" s="5" t="s">
        <v>2706</v>
      </c>
      <c r="K628" s="5" t="s">
        <v>36</v>
      </c>
      <c r="L628" s="6">
        <v>43617</v>
      </c>
      <c r="M628" s="5" t="s">
        <v>21</v>
      </c>
      <c r="N628" s="5" t="s">
        <v>2707</v>
      </c>
    </row>
    <row r="629" spans="1:14" ht="27.75">
      <c r="A629" s="3">
        <v>623</v>
      </c>
      <c r="B629" s="3" t="str">
        <f>"201900078839"</f>
        <v>201900078839</v>
      </c>
      <c r="C629" s="3" t="str">
        <f>"144081"</f>
        <v>144081</v>
      </c>
      <c r="D629" s="3" t="s">
        <v>2708</v>
      </c>
      <c r="E629" s="3">
        <v>10016994974</v>
      </c>
      <c r="F629" s="3" t="s">
        <v>2709</v>
      </c>
      <c r="G629" s="3" t="s">
        <v>2710</v>
      </c>
      <c r="H629" s="3" t="s">
        <v>932</v>
      </c>
      <c r="I629" s="3" t="s">
        <v>1242</v>
      </c>
      <c r="J629" s="3" t="s">
        <v>2711</v>
      </c>
      <c r="K629" s="3" t="s">
        <v>36</v>
      </c>
      <c r="L629" s="4">
        <v>43617</v>
      </c>
      <c r="M629" s="3" t="s">
        <v>21</v>
      </c>
      <c r="N629" s="3" t="s">
        <v>2709</v>
      </c>
    </row>
    <row r="630" spans="1:14" ht="27.75">
      <c r="A630" s="5">
        <v>624</v>
      </c>
      <c r="B630" s="5" t="str">
        <f>"201900124066"</f>
        <v>201900124066</v>
      </c>
      <c r="C630" s="5" t="str">
        <f>"144082"</f>
        <v>144082</v>
      </c>
      <c r="D630" s="5" t="s">
        <v>2712</v>
      </c>
      <c r="E630" s="5">
        <v>20600576179</v>
      </c>
      <c r="F630" s="5" t="s">
        <v>185</v>
      </c>
      <c r="G630" s="5" t="s">
        <v>2713</v>
      </c>
      <c r="H630" s="5" t="s">
        <v>160</v>
      </c>
      <c r="I630" s="5" t="s">
        <v>160</v>
      </c>
      <c r="J630" s="5" t="s">
        <v>764</v>
      </c>
      <c r="K630" s="5" t="s">
        <v>36</v>
      </c>
      <c r="L630" s="6">
        <v>43684</v>
      </c>
      <c r="M630" s="5" t="s">
        <v>21</v>
      </c>
      <c r="N630" s="5" t="s">
        <v>2714</v>
      </c>
    </row>
    <row r="631" spans="1:14" ht="13.5">
      <c r="A631" s="3">
        <v>625</v>
      </c>
      <c r="B631" s="3" t="str">
        <f>"201900078839"</f>
        <v>201900078839</v>
      </c>
      <c r="C631" s="3" t="str">
        <f>"144083"</f>
        <v>144083</v>
      </c>
      <c r="D631" s="3" t="s">
        <v>2715</v>
      </c>
      <c r="E631" s="3">
        <v>20602572901</v>
      </c>
      <c r="F631" s="3" t="s">
        <v>2716</v>
      </c>
      <c r="G631" s="3" t="s">
        <v>2717</v>
      </c>
      <c r="H631" s="3" t="s">
        <v>932</v>
      </c>
      <c r="I631" s="3" t="s">
        <v>2718</v>
      </c>
      <c r="J631" s="3" t="s">
        <v>2719</v>
      </c>
      <c r="K631" s="3" t="s">
        <v>36</v>
      </c>
      <c r="L631" s="4">
        <v>43617</v>
      </c>
      <c r="M631" s="3" t="s">
        <v>21</v>
      </c>
      <c r="N631" s="3" t="s">
        <v>2720</v>
      </c>
    </row>
    <row r="632" spans="1:14" ht="13.5">
      <c r="A632" s="5">
        <v>626</v>
      </c>
      <c r="B632" s="5" t="str">
        <f>"201900078839"</f>
        <v>201900078839</v>
      </c>
      <c r="C632" s="5" t="str">
        <f>"144084"</f>
        <v>144084</v>
      </c>
      <c r="D632" s="5" t="s">
        <v>2721</v>
      </c>
      <c r="E632" s="5">
        <v>20542744244</v>
      </c>
      <c r="F632" s="5" t="s">
        <v>2722</v>
      </c>
      <c r="G632" s="5" t="s">
        <v>2723</v>
      </c>
      <c r="H632" s="5" t="s">
        <v>932</v>
      </c>
      <c r="I632" s="5" t="s">
        <v>2724</v>
      </c>
      <c r="J632" s="5" t="s">
        <v>2725</v>
      </c>
      <c r="K632" s="5" t="s">
        <v>36</v>
      </c>
      <c r="L632" s="6">
        <v>43617</v>
      </c>
      <c r="M632" s="5" t="s">
        <v>21</v>
      </c>
      <c r="N632" s="5" t="s">
        <v>2726</v>
      </c>
    </row>
    <row r="633" spans="1:14" ht="27.75">
      <c r="A633" s="3">
        <v>627</v>
      </c>
      <c r="B633" s="3" t="str">
        <f>"201900078839"</f>
        <v>201900078839</v>
      </c>
      <c r="C633" s="3" t="str">
        <f>"144085"</f>
        <v>144085</v>
      </c>
      <c r="D633" s="3" t="s">
        <v>2727</v>
      </c>
      <c r="E633" s="3">
        <v>10433308854</v>
      </c>
      <c r="F633" s="3" t="s">
        <v>2728</v>
      </c>
      <c r="G633" s="3" t="s">
        <v>2729</v>
      </c>
      <c r="H633" s="3" t="s">
        <v>932</v>
      </c>
      <c r="I633" s="3" t="s">
        <v>1708</v>
      </c>
      <c r="J633" s="3" t="s">
        <v>2730</v>
      </c>
      <c r="K633" s="3" t="s">
        <v>36</v>
      </c>
      <c r="L633" s="4">
        <v>43617</v>
      </c>
      <c r="M633" s="3" t="s">
        <v>21</v>
      </c>
      <c r="N633" s="3" t="s">
        <v>2728</v>
      </c>
    </row>
    <row r="634" spans="1:14" ht="13.5">
      <c r="A634" s="5">
        <v>628</v>
      </c>
      <c r="B634" s="5" t="str">
        <f>"201900078839"</f>
        <v>201900078839</v>
      </c>
      <c r="C634" s="5" t="str">
        <f>"144086"</f>
        <v>144086</v>
      </c>
      <c r="D634" s="5" t="s">
        <v>2731</v>
      </c>
      <c r="E634" s="5">
        <v>10025557404</v>
      </c>
      <c r="F634" s="5" t="s">
        <v>2732</v>
      </c>
      <c r="G634" s="5" t="s">
        <v>2733</v>
      </c>
      <c r="H634" s="5" t="s">
        <v>932</v>
      </c>
      <c r="I634" s="5" t="s">
        <v>932</v>
      </c>
      <c r="J634" s="5" t="s">
        <v>932</v>
      </c>
      <c r="K634" s="5" t="s">
        <v>36</v>
      </c>
      <c r="L634" s="6">
        <v>43617</v>
      </c>
      <c r="M634" s="5" t="s">
        <v>21</v>
      </c>
      <c r="N634" s="5" t="s">
        <v>2732</v>
      </c>
    </row>
    <row r="635" spans="1:14" ht="42">
      <c r="A635" s="3">
        <v>629</v>
      </c>
      <c r="B635" s="3" t="str">
        <f>"202000081846"</f>
        <v>202000081846</v>
      </c>
      <c r="C635" s="3" t="str">
        <f>"149985"</f>
        <v>149985</v>
      </c>
      <c r="D635" s="3" t="s">
        <v>2734</v>
      </c>
      <c r="E635" s="3">
        <v>20605564616</v>
      </c>
      <c r="F635" s="3" t="s">
        <v>2735</v>
      </c>
      <c r="G635" s="3" t="s">
        <v>2736</v>
      </c>
      <c r="H635" s="3" t="s">
        <v>18</v>
      </c>
      <c r="I635" s="3" t="s">
        <v>18</v>
      </c>
      <c r="J635" s="3" t="s">
        <v>303</v>
      </c>
      <c r="K635" s="3" t="s">
        <v>42</v>
      </c>
      <c r="L635" s="4">
        <v>44032</v>
      </c>
      <c r="M635" s="3" t="s">
        <v>21</v>
      </c>
      <c r="N635" s="3" t="s">
        <v>2737</v>
      </c>
    </row>
    <row r="636" spans="1:14" ht="27.75">
      <c r="A636" s="5">
        <v>630</v>
      </c>
      <c r="B636" s="5" t="str">
        <f>"201900178300"</f>
        <v>201900178300</v>
      </c>
      <c r="C636" s="5" t="str">
        <f>"147475"</f>
        <v>147475</v>
      </c>
      <c r="D636" s="5" t="s">
        <v>2738</v>
      </c>
      <c r="E636" s="5">
        <v>20605310461</v>
      </c>
      <c r="F636" s="5" t="s">
        <v>2739</v>
      </c>
      <c r="G636" s="5" t="s">
        <v>2740</v>
      </c>
      <c r="H636" s="5" t="s">
        <v>18</v>
      </c>
      <c r="I636" s="5" t="s">
        <v>18</v>
      </c>
      <c r="J636" s="5" t="s">
        <v>713</v>
      </c>
      <c r="K636" s="5" t="s">
        <v>51</v>
      </c>
      <c r="L636" s="6">
        <v>43784</v>
      </c>
      <c r="M636" s="5" t="s">
        <v>21</v>
      </c>
      <c r="N636" s="5" t="s">
        <v>2741</v>
      </c>
    </row>
    <row r="637" spans="1:14" ht="42">
      <c r="A637" s="3">
        <v>631</v>
      </c>
      <c r="B637" s="3" t="str">
        <f>"201900078830"</f>
        <v>201900078830</v>
      </c>
      <c r="C637" s="3" t="str">
        <f>"144414"</f>
        <v>144414</v>
      </c>
      <c r="D637" s="3" t="s">
        <v>2742</v>
      </c>
      <c r="E637" s="3">
        <v>20277185076</v>
      </c>
      <c r="F637" s="3" t="s">
        <v>2743</v>
      </c>
      <c r="G637" s="3" t="s">
        <v>2744</v>
      </c>
      <c r="H637" s="3" t="s">
        <v>274</v>
      </c>
      <c r="I637" s="3" t="s">
        <v>414</v>
      </c>
      <c r="J637" s="3" t="s">
        <v>1030</v>
      </c>
      <c r="K637" s="3" t="s">
        <v>2745</v>
      </c>
      <c r="L637" s="3" t="s">
        <v>1864</v>
      </c>
      <c r="M637" s="3" t="s">
        <v>21</v>
      </c>
      <c r="N637" s="3"/>
    </row>
    <row r="638" spans="1:14" ht="139.5">
      <c r="A638" s="5">
        <v>632</v>
      </c>
      <c r="B638" s="5" t="str">
        <f>"202000130109"</f>
        <v>202000130109</v>
      </c>
      <c r="C638" s="5" t="str">
        <f>"144413"</f>
        <v>144413</v>
      </c>
      <c r="D638" s="5" t="s">
        <v>2746</v>
      </c>
      <c r="E638" s="5">
        <v>20604109257</v>
      </c>
      <c r="F638" s="5" t="s">
        <v>2747</v>
      </c>
      <c r="G638" s="5" t="s">
        <v>2748</v>
      </c>
      <c r="H638" s="5" t="s">
        <v>1645</v>
      </c>
      <c r="I638" s="5" t="s">
        <v>2279</v>
      </c>
      <c r="J638" s="5" t="s">
        <v>2280</v>
      </c>
      <c r="K638" s="5" t="s">
        <v>2749</v>
      </c>
      <c r="L638" s="6">
        <v>44111</v>
      </c>
      <c r="M638" s="5" t="s">
        <v>21</v>
      </c>
      <c r="N638" s="5" t="s">
        <v>2750</v>
      </c>
    </row>
    <row r="639" spans="1:14" ht="55.5">
      <c r="A639" s="3">
        <v>633</v>
      </c>
      <c r="B639" s="3" t="str">
        <f>"201900147280"</f>
        <v>201900147280</v>
      </c>
      <c r="C639" s="3" t="str">
        <f>"146462"</f>
        <v>146462</v>
      </c>
      <c r="D639" s="3" t="s">
        <v>2751</v>
      </c>
      <c r="E639" s="3">
        <v>20605179691</v>
      </c>
      <c r="F639" s="3" t="s">
        <v>2752</v>
      </c>
      <c r="G639" s="3" t="s">
        <v>2753</v>
      </c>
      <c r="H639" s="3" t="s">
        <v>274</v>
      </c>
      <c r="I639" s="3" t="s">
        <v>348</v>
      </c>
      <c r="J639" s="3" t="s">
        <v>348</v>
      </c>
      <c r="K639" s="3" t="s">
        <v>2754</v>
      </c>
      <c r="L639" s="4">
        <v>43724</v>
      </c>
      <c r="M639" s="3" t="s">
        <v>21</v>
      </c>
      <c r="N639" s="3" t="s">
        <v>2755</v>
      </c>
    </row>
    <row r="640" spans="1:14" ht="13.5">
      <c r="A640" s="5">
        <v>634</v>
      </c>
      <c r="B640" s="5" t="str">
        <f>"201900078851"</f>
        <v>201900078851</v>
      </c>
      <c r="C640" s="5" t="str">
        <f>"144128"</f>
        <v>144128</v>
      </c>
      <c r="D640" s="5" t="s">
        <v>2756</v>
      </c>
      <c r="E640" s="5">
        <v>20409352406</v>
      </c>
      <c r="F640" s="5" t="s">
        <v>2757</v>
      </c>
      <c r="G640" s="5" t="s">
        <v>2758</v>
      </c>
      <c r="H640" s="5" t="s">
        <v>2759</v>
      </c>
      <c r="I640" s="5" t="s">
        <v>2759</v>
      </c>
      <c r="J640" s="5" t="s">
        <v>2759</v>
      </c>
      <c r="K640" s="5" t="s">
        <v>97</v>
      </c>
      <c r="L640" s="6">
        <v>43617</v>
      </c>
      <c r="M640" s="5" t="s">
        <v>21</v>
      </c>
      <c r="N640" s="5" t="s">
        <v>2760</v>
      </c>
    </row>
    <row r="641" spans="1:14" ht="13.5">
      <c r="A641" s="3">
        <v>635</v>
      </c>
      <c r="B641" s="3" t="str">
        <f>"201900078868"</f>
        <v>201900078868</v>
      </c>
      <c r="C641" s="3" t="str">
        <f>"144129"</f>
        <v>144129</v>
      </c>
      <c r="D641" s="3" t="s">
        <v>2761</v>
      </c>
      <c r="E641" s="3">
        <v>10420236463</v>
      </c>
      <c r="F641" s="3" t="s">
        <v>2762</v>
      </c>
      <c r="G641" s="3" t="s">
        <v>2763</v>
      </c>
      <c r="H641" s="3" t="s">
        <v>615</v>
      </c>
      <c r="I641" s="3" t="s">
        <v>2764</v>
      </c>
      <c r="J641" s="3" t="s">
        <v>2765</v>
      </c>
      <c r="K641" s="3" t="s">
        <v>51</v>
      </c>
      <c r="L641" s="4">
        <v>43617</v>
      </c>
      <c r="M641" s="3" t="s">
        <v>21</v>
      </c>
      <c r="N641" s="3" t="s">
        <v>2766</v>
      </c>
    </row>
    <row r="642" spans="1:14" ht="27.75">
      <c r="A642" s="5">
        <v>636</v>
      </c>
      <c r="B642" s="5" t="str">
        <f>"201900078808"</f>
        <v>201900078808</v>
      </c>
      <c r="C642" s="5" t="str">
        <f>"143925"</f>
        <v>143925</v>
      </c>
      <c r="D642" s="5" t="s">
        <v>2767</v>
      </c>
      <c r="E642" s="5">
        <v>20562943847</v>
      </c>
      <c r="F642" s="5" t="s">
        <v>2768</v>
      </c>
      <c r="G642" s="5" t="s">
        <v>2769</v>
      </c>
      <c r="H642" s="5" t="s">
        <v>18</v>
      </c>
      <c r="I642" s="5" t="s">
        <v>18</v>
      </c>
      <c r="J642" s="5" t="s">
        <v>1805</v>
      </c>
      <c r="K642" s="5" t="s">
        <v>51</v>
      </c>
      <c r="L642" s="6">
        <v>43617</v>
      </c>
      <c r="M642" s="5" t="s">
        <v>21</v>
      </c>
      <c r="N642" s="5" t="s">
        <v>2770</v>
      </c>
    </row>
    <row r="643" spans="1:14" ht="27.75">
      <c r="A643" s="3">
        <v>637</v>
      </c>
      <c r="B643" s="3" t="str">
        <f>"201900078808"</f>
        <v>201900078808</v>
      </c>
      <c r="C643" s="3" t="str">
        <f>"143926"</f>
        <v>143926</v>
      </c>
      <c r="D643" s="3" t="s">
        <v>2771</v>
      </c>
      <c r="E643" s="3">
        <v>20600828631</v>
      </c>
      <c r="F643" s="3" t="s">
        <v>2772</v>
      </c>
      <c r="G643" s="3" t="s">
        <v>2773</v>
      </c>
      <c r="H643" s="3" t="s">
        <v>18</v>
      </c>
      <c r="I643" s="3" t="s">
        <v>18</v>
      </c>
      <c r="J643" s="3" t="s">
        <v>1805</v>
      </c>
      <c r="K643" s="3" t="s">
        <v>51</v>
      </c>
      <c r="L643" s="4">
        <v>43617</v>
      </c>
      <c r="M643" s="3" t="s">
        <v>21</v>
      </c>
      <c r="N643" s="3" t="s">
        <v>2774</v>
      </c>
    </row>
    <row r="644" spans="1:14" ht="97.5">
      <c r="A644" s="5">
        <v>638</v>
      </c>
      <c r="B644" s="5" t="str">
        <f>"201900078846"</f>
        <v>201900078846</v>
      </c>
      <c r="C644" s="5" t="str">
        <f>"144127"</f>
        <v>144127</v>
      </c>
      <c r="D644" s="5" t="s">
        <v>2775</v>
      </c>
      <c r="E644" s="5">
        <v>20532726221</v>
      </c>
      <c r="F644" s="5" t="s">
        <v>2776</v>
      </c>
      <c r="G644" s="5" t="s">
        <v>2777</v>
      </c>
      <c r="H644" s="5" t="s">
        <v>743</v>
      </c>
      <c r="I644" s="5" t="s">
        <v>743</v>
      </c>
      <c r="J644" s="5" t="s">
        <v>743</v>
      </c>
      <c r="K644" s="5" t="s">
        <v>2778</v>
      </c>
      <c r="L644" s="6">
        <v>43617</v>
      </c>
      <c r="M644" s="5" t="s">
        <v>21</v>
      </c>
      <c r="N644" s="5" t="s">
        <v>2779</v>
      </c>
    </row>
    <row r="645" spans="1:14" ht="13.5">
      <c r="A645" s="3">
        <v>639</v>
      </c>
      <c r="B645" s="3" t="str">
        <f>"201900078808"</f>
        <v>201900078808</v>
      </c>
      <c r="C645" s="3" t="str">
        <f>"143923"</f>
        <v>143923</v>
      </c>
      <c r="D645" s="3" t="s">
        <v>2780</v>
      </c>
      <c r="E645" s="3">
        <v>20495802401</v>
      </c>
      <c r="F645" s="3" t="s">
        <v>2781</v>
      </c>
      <c r="G645" s="3" t="s">
        <v>2782</v>
      </c>
      <c r="H645" s="3" t="s">
        <v>18</v>
      </c>
      <c r="I645" s="3" t="s">
        <v>18</v>
      </c>
      <c r="J645" s="3" t="s">
        <v>1805</v>
      </c>
      <c r="K645" s="3" t="s">
        <v>97</v>
      </c>
      <c r="L645" s="4">
        <v>43617</v>
      </c>
      <c r="M645" s="3" t="s">
        <v>21</v>
      </c>
      <c r="N645" s="3" t="s">
        <v>2783</v>
      </c>
    </row>
    <row r="646" spans="1:14" ht="27.75">
      <c r="A646" s="5">
        <v>640</v>
      </c>
      <c r="B646" s="5" t="str">
        <f>"201900078808"</f>
        <v>201900078808</v>
      </c>
      <c r="C646" s="5" t="str">
        <f>"143924"</f>
        <v>143924</v>
      </c>
      <c r="D646" s="5" t="s">
        <v>2784</v>
      </c>
      <c r="E646" s="5">
        <v>20553222444</v>
      </c>
      <c r="F646" s="5" t="s">
        <v>2785</v>
      </c>
      <c r="G646" s="5" t="s">
        <v>2786</v>
      </c>
      <c r="H646" s="5" t="s">
        <v>18</v>
      </c>
      <c r="I646" s="5" t="s">
        <v>18</v>
      </c>
      <c r="J646" s="5" t="s">
        <v>1805</v>
      </c>
      <c r="K646" s="5" t="s">
        <v>2787</v>
      </c>
      <c r="L646" s="6">
        <v>43617</v>
      </c>
      <c r="M646" s="5" t="s">
        <v>21</v>
      </c>
      <c r="N646" s="5" t="s">
        <v>2788</v>
      </c>
    </row>
    <row r="647" spans="1:14" ht="27.75">
      <c r="A647" s="3">
        <v>641</v>
      </c>
      <c r="B647" s="3" t="str">
        <f>"201900078808"</f>
        <v>201900078808</v>
      </c>
      <c r="C647" s="3" t="str">
        <f>"143921"</f>
        <v>143921</v>
      </c>
      <c r="D647" s="3" t="s">
        <v>2789</v>
      </c>
      <c r="E647" s="3">
        <v>10452672672</v>
      </c>
      <c r="F647" s="3" t="s">
        <v>2790</v>
      </c>
      <c r="G647" s="3" t="s">
        <v>2791</v>
      </c>
      <c r="H647" s="3" t="s">
        <v>18</v>
      </c>
      <c r="I647" s="3" t="s">
        <v>18</v>
      </c>
      <c r="J647" s="3" t="s">
        <v>1805</v>
      </c>
      <c r="K647" s="3" t="s">
        <v>51</v>
      </c>
      <c r="L647" s="4">
        <v>43617</v>
      </c>
      <c r="M647" s="3" t="s">
        <v>21</v>
      </c>
      <c r="N647" s="3" t="s">
        <v>2792</v>
      </c>
    </row>
    <row r="648" spans="1:14" ht="69.75">
      <c r="A648" s="5">
        <v>642</v>
      </c>
      <c r="B648" s="5" t="str">
        <f>"201900140165"</f>
        <v>201900140165</v>
      </c>
      <c r="C648" s="5" t="str">
        <f>"146216"</f>
        <v>146216</v>
      </c>
      <c r="D648" s="5" t="s">
        <v>2793</v>
      </c>
      <c r="E648" s="5">
        <v>20601868173</v>
      </c>
      <c r="F648" s="5" t="s">
        <v>2794</v>
      </c>
      <c r="G648" s="5" t="s">
        <v>2795</v>
      </c>
      <c r="H648" s="5" t="s">
        <v>322</v>
      </c>
      <c r="I648" s="5" t="s">
        <v>323</v>
      </c>
      <c r="J648" s="5" t="s">
        <v>323</v>
      </c>
      <c r="K648" s="5" t="s">
        <v>699</v>
      </c>
      <c r="L648" s="6">
        <v>43713</v>
      </c>
      <c r="M648" s="5" t="s">
        <v>21</v>
      </c>
      <c r="N648" s="5" t="s">
        <v>2796</v>
      </c>
    </row>
    <row r="649" spans="1:14" ht="27.75">
      <c r="A649" s="3">
        <v>643</v>
      </c>
      <c r="B649" s="3" t="str">
        <f>"201900078808"</f>
        <v>201900078808</v>
      </c>
      <c r="C649" s="3" t="str">
        <f>"143922"</f>
        <v>143922</v>
      </c>
      <c r="D649" s="3" t="s">
        <v>2797</v>
      </c>
      <c r="E649" s="3">
        <v>20290661162</v>
      </c>
      <c r="F649" s="3" t="s">
        <v>2798</v>
      </c>
      <c r="G649" s="3" t="s">
        <v>2799</v>
      </c>
      <c r="H649" s="3" t="s">
        <v>18</v>
      </c>
      <c r="I649" s="3" t="s">
        <v>18</v>
      </c>
      <c r="J649" s="3" t="s">
        <v>1805</v>
      </c>
      <c r="K649" s="3" t="s">
        <v>51</v>
      </c>
      <c r="L649" s="4">
        <v>43617</v>
      </c>
      <c r="M649" s="3" t="s">
        <v>21</v>
      </c>
      <c r="N649" s="3" t="s">
        <v>2800</v>
      </c>
    </row>
    <row r="650" spans="1:14" ht="13.5">
      <c r="A650" s="5">
        <v>644</v>
      </c>
      <c r="B650" s="5" t="str">
        <f>"201900078808"</f>
        <v>201900078808</v>
      </c>
      <c r="C650" s="5" t="str">
        <f>"143931"</f>
        <v>143931</v>
      </c>
      <c r="D650" s="5" t="s">
        <v>2801</v>
      </c>
      <c r="E650" s="5">
        <v>20515797638</v>
      </c>
      <c r="F650" s="5" t="s">
        <v>2802</v>
      </c>
      <c r="G650" s="5" t="s">
        <v>2803</v>
      </c>
      <c r="H650" s="5" t="s">
        <v>18</v>
      </c>
      <c r="I650" s="5" t="s">
        <v>18</v>
      </c>
      <c r="J650" s="5" t="s">
        <v>2804</v>
      </c>
      <c r="K650" s="5" t="s">
        <v>51</v>
      </c>
      <c r="L650" s="6">
        <v>43617</v>
      </c>
      <c r="M650" s="5" t="s">
        <v>21</v>
      </c>
      <c r="N650" s="5" t="s">
        <v>2805</v>
      </c>
    </row>
    <row r="651" spans="1:14" ht="27.75">
      <c r="A651" s="3">
        <v>645</v>
      </c>
      <c r="B651" s="3" t="str">
        <f>"201900078846"</f>
        <v>201900078846</v>
      </c>
      <c r="C651" s="3" t="str">
        <f>"144126"</f>
        <v>144126</v>
      </c>
      <c r="D651" s="3" t="s">
        <v>2806</v>
      </c>
      <c r="E651" s="3">
        <v>20532515018</v>
      </c>
      <c r="F651" s="3" t="s">
        <v>2807</v>
      </c>
      <c r="G651" s="3" t="s">
        <v>2808</v>
      </c>
      <c r="H651" s="3" t="s">
        <v>743</v>
      </c>
      <c r="I651" s="3" t="s">
        <v>743</v>
      </c>
      <c r="J651" s="3" t="s">
        <v>743</v>
      </c>
      <c r="K651" s="3" t="s">
        <v>51</v>
      </c>
      <c r="L651" s="4">
        <v>43617</v>
      </c>
      <c r="M651" s="3" t="s">
        <v>21</v>
      </c>
      <c r="N651" s="3" t="s">
        <v>2809</v>
      </c>
    </row>
    <row r="652" spans="1:14" ht="13.5">
      <c r="A652" s="5">
        <v>646</v>
      </c>
      <c r="B652" s="5" t="str">
        <f>"201900078808"</f>
        <v>201900078808</v>
      </c>
      <c r="C652" s="5" t="str">
        <f>"143930"</f>
        <v>143930</v>
      </c>
      <c r="D652" s="5" t="s">
        <v>2810</v>
      </c>
      <c r="E652" s="5">
        <v>20512932313</v>
      </c>
      <c r="F652" s="5" t="s">
        <v>2811</v>
      </c>
      <c r="G652" s="5" t="s">
        <v>2812</v>
      </c>
      <c r="H652" s="5" t="s">
        <v>18</v>
      </c>
      <c r="I652" s="5" t="s">
        <v>18</v>
      </c>
      <c r="J652" s="5" t="s">
        <v>2804</v>
      </c>
      <c r="K652" s="5" t="s">
        <v>36</v>
      </c>
      <c r="L652" s="6">
        <v>43617</v>
      </c>
      <c r="M652" s="5" t="s">
        <v>21</v>
      </c>
      <c r="N652" s="5" t="s">
        <v>2813</v>
      </c>
    </row>
    <row r="653" spans="1:14" ht="13.5">
      <c r="A653" s="3">
        <v>647</v>
      </c>
      <c r="B653" s="3" t="str">
        <f>"201900078846"</f>
        <v>201900078846</v>
      </c>
      <c r="C653" s="3" t="str">
        <f>"144125"</f>
        <v>144125</v>
      </c>
      <c r="D653" s="3" t="s">
        <v>2814</v>
      </c>
      <c r="E653" s="3">
        <v>20449335784</v>
      </c>
      <c r="F653" s="3" t="s">
        <v>2815</v>
      </c>
      <c r="G653" s="3" t="s">
        <v>2816</v>
      </c>
      <c r="H653" s="3" t="s">
        <v>743</v>
      </c>
      <c r="I653" s="3" t="s">
        <v>743</v>
      </c>
      <c r="J653" s="3" t="s">
        <v>743</v>
      </c>
      <c r="K653" s="3" t="s">
        <v>97</v>
      </c>
      <c r="L653" s="4">
        <v>43617</v>
      </c>
      <c r="M653" s="3" t="s">
        <v>21</v>
      </c>
      <c r="N653" s="3" t="s">
        <v>2817</v>
      </c>
    </row>
    <row r="654" spans="1:14" ht="27.75">
      <c r="A654" s="5">
        <v>648</v>
      </c>
      <c r="B654" s="5" t="str">
        <f>"201900078846"</f>
        <v>201900078846</v>
      </c>
      <c r="C654" s="5" t="str">
        <f>"144124"</f>
        <v>144124</v>
      </c>
      <c r="D654" s="5" t="s">
        <v>2818</v>
      </c>
      <c r="E654" s="5">
        <v>20318089443</v>
      </c>
      <c r="F654" s="5" t="s">
        <v>2819</v>
      </c>
      <c r="G654" s="5" t="s">
        <v>2820</v>
      </c>
      <c r="H654" s="5" t="s">
        <v>743</v>
      </c>
      <c r="I654" s="5" t="s">
        <v>743</v>
      </c>
      <c r="J654" s="5" t="s">
        <v>743</v>
      </c>
      <c r="K654" s="5" t="s">
        <v>97</v>
      </c>
      <c r="L654" s="6">
        <v>43617</v>
      </c>
      <c r="M654" s="5" t="s">
        <v>21</v>
      </c>
      <c r="N654" s="5" t="s">
        <v>2821</v>
      </c>
    </row>
    <row r="655" spans="1:14" ht="13.5">
      <c r="A655" s="3">
        <v>649</v>
      </c>
      <c r="B655" s="3" t="str">
        <f>"201900078808"</f>
        <v>201900078808</v>
      </c>
      <c r="C655" s="3" t="str">
        <f>"143929"</f>
        <v>143929</v>
      </c>
      <c r="D655" s="3" t="s">
        <v>2822</v>
      </c>
      <c r="E655" s="3">
        <v>20511678481</v>
      </c>
      <c r="F655" s="3" t="s">
        <v>2823</v>
      </c>
      <c r="G655" s="3" t="s">
        <v>2824</v>
      </c>
      <c r="H655" s="3" t="s">
        <v>18</v>
      </c>
      <c r="I655" s="3" t="s">
        <v>18</v>
      </c>
      <c r="J655" s="3" t="s">
        <v>2804</v>
      </c>
      <c r="K655" s="3" t="s">
        <v>51</v>
      </c>
      <c r="L655" s="4">
        <v>43617</v>
      </c>
      <c r="M655" s="3" t="s">
        <v>21</v>
      </c>
      <c r="N655" s="3" t="s">
        <v>2825</v>
      </c>
    </row>
    <row r="656" spans="1:14" ht="13.5">
      <c r="A656" s="5">
        <v>650</v>
      </c>
      <c r="B656" s="5" t="str">
        <f>"202000085611"</f>
        <v>202000085611</v>
      </c>
      <c r="C656" s="5" t="str">
        <f>"150065"</f>
        <v>150065</v>
      </c>
      <c r="D656" s="5" t="s">
        <v>2826</v>
      </c>
      <c r="E656" s="5">
        <v>20538333736</v>
      </c>
      <c r="F656" s="5" t="s">
        <v>2827</v>
      </c>
      <c r="G656" s="5" t="s">
        <v>2828</v>
      </c>
      <c r="H656" s="5" t="s">
        <v>18</v>
      </c>
      <c r="I656" s="5" t="s">
        <v>18</v>
      </c>
      <c r="J656" s="5" t="s">
        <v>242</v>
      </c>
      <c r="K656" s="5" t="s">
        <v>51</v>
      </c>
      <c r="L656" s="6">
        <v>44048</v>
      </c>
      <c r="M656" s="5" t="s">
        <v>21</v>
      </c>
      <c r="N656" s="5" t="s">
        <v>2829</v>
      </c>
    </row>
    <row r="657" spans="1:14" ht="27.75">
      <c r="A657" s="3">
        <v>651</v>
      </c>
      <c r="B657" s="3" t="str">
        <f>"201900078846"</f>
        <v>201900078846</v>
      </c>
      <c r="C657" s="3" t="str">
        <f>"144123"</f>
        <v>144123</v>
      </c>
      <c r="D657" s="3" t="s">
        <v>2830</v>
      </c>
      <c r="E657" s="3">
        <v>20157029747</v>
      </c>
      <c r="F657" s="3" t="s">
        <v>2831</v>
      </c>
      <c r="G657" s="3" t="s">
        <v>2832</v>
      </c>
      <c r="H657" s="3" t="s">
        <v>743</v>
      </c>
      <c r="I657" s="3" t="s">
        <v>743</v>
      </c>
      <c r="J657" s="3" t="s">
        <v>743</v>
      </c>
      <c r="K657" s="3" t="s">
        <v>97</v>
      </c>
      <c r="L657" s="4">
        <v>43617</v>
      </c>
      <c r="M657" s="3" t="s">
        <v>21</v>
      </c>
      <c r="N657" s="3" t="s">
        <v>2833</v>
      </c>
    </row>
    <row r="658" spans="1:14" ht="13.5">
      <c r="A658" s="5">
        <v>652</v>
      </c>
      <c r="B658" s="5" t="str">
        <f>"201900078808"</f>
        <v>201900078808</v>
      </c>
      <c r="C658" s="5" t="str">
        <f>"143928"</f>
        <v>143928</v>
      </c>
      <c r="D658" s="5" t="s">
        <v>2834</v>
      </c>
      <c r="E658" s="5">
        <v>20502097921</v>
      </c>
      <c r="F658" s="5" t="s">
        <v>2835</v>
      </c>
      <c r="G658" s="5" t="s">
        <v>2836</v>
      </c>
      <c r="H658" s="5" t="s">
        <v>18</v>
      </c>
      <c r="I658" s="5" t="s">
        <v>18</v>
      </c>
      <c r="J658" s="5" t="s">
        <v>2804</v>
      </c>
      <c r="K658" s="5" t="s">
        <v>51</v>
      </c>
      <c r="L658" s="6">
        <v>43617</v>
      </c>
      <c r="M658" s="5" t="s">
        <v>21</v>
      </c>
      <c r="N658" s="5" t="s">
        <v>2837</v>
      </c>
    </row>
    <row r="659" spans="1:14" ht="13.5">
      <c r="A659" s="3">
        <v>653</v>
      </c>
      <c r="B659" s="3" t="str">
        <f>"201900078846"</f>
        <v>201900078846</v>
      </c>
      <c r="C659" s="3" t="str">
        <f>"144122"</f>
        <v>144122</v>
      </c>
      <c r="D659" s="3" t="s">
        <v>2838</v>
      </c>
      <c r="E659" s="3">
        <v>20119243522</v>
      </c>
      <c r="F659" s="3" t="s">
        <v>2839</v>
      </c>
      <c r="G659" s="3" t="s">
        <v>2840</v>
      </c>
      <c r="H659" s="3" t="s">
        <v>743</v>
      </c>
      <c r="I659" s="3" t="s">
        <v>743</v>
      </c>
      <c r="J659" s="3" t="s">
        <v>743</v>
      </c>
      <c r="K659" s="3" t="s">
        <v>36</v>
      </c>
      <c r="L659" s="4">
        <v>43617</v>
      </c>
      <c r="M659" s="3" t="s">
        <v>21</v>
      </c>
      <c r="N659" s="3" t="s">
        <v>2841</v>
      </c>
    </row>
    <row r="660" spans="1:14" ht="27.75">
      <c r="A660" s="5">
        <v>654</v>
      </c>
      <c r="B660" s="5" t="str">
        <f>"201900078808"</f>
        <v>201900078808</v>
      </c>
      <c r="C660" s="5" t="str">
        <f>"143927"</f>
        <v>143927</v>
      </c>
      <c r="D660" s="5" t="s">
        <v>2842</v>
      </c>
      <c r="E660" s="5">
        <v>20407412592</v>
      </c>
      <c r="F660" s="5" t="s">
        <v>2843</v>
      </c>
      <c r="G660" s="5" t="s">
        <v>2844</v>
      </c>
      <c r="H660" s="5" t="s">
        <v>18</v>
      </c>
      <c r="I660" s="5" t="s">
        <v>18</v>
      </c>
      <c r="J660" s="5" t="s">
        <v>2804</v>
      </c>
      <c r="K660" s="5" t="s">
        <v>31</v>
      </c>
      <c r="L660" s="6">
        <v>43617</v>
      </c>
      <c r="M660" s="5" t="s">
        <v>21</v>
      </c>
      <c r="N660" s="5" t="s">
        <v>2845</v>
      </c>
    </row>
    <row r="661" spans="1:14" ht="27.75">
      <c r="A661" s="3">
        <v>655</v>
      </c>
      <c r="B661" s="3" t="str">
        <f>"201900078846"</f>
        <v>201900078846</v>
      </c>
      <c r="C661" s="3" t="str">
        <f>"144120"</f>
        <v>144120</v>
      </c>
      <c r="D661" s="3" t="s">
        <v>2846</v>
      </c>
      <c r="E661" s="3">
        <v>20119207640</v>
      </c>
      <c r="F661" s="3" t="s">
        <v>2847</v>
      </c>
      <c r="G661" s="3" t="s">
        <v>2848</v>
      </c>
      <c r="H661" s="3" t="s">
        <v>743</v>
      </c>
      <c r="I661" s="3" t="s">
        <v>743</v>
      </c>
      <c r="J661" s="3" t="s">
        <v>743</v>
      </c>
      <c r="K661" s="3" t="s">
        <v>51</v>
      </c>
      <c r="L661" s="4">
        <v>43617</v>
      </c>
      <c r="M661" s="3" t="s">
        <v>21</v>
      </c>
      <c r="N661" s="3" t="s">
        <v>2849</v>
      </c>
    </row>
    <row r="662" spans="1:14" ht="13.5">
      <c r="A662" s="5">
        <v>656</v>
      </c>
      <c r="B662" s="5" t="str">
        <f>"201900078846"</f>
        <v>201900078846</v>
      </c>
      <c r="C662" s="5" t="str">
        <f>"144119"</f>
        <v>144119</v>
      </c>
      <c r="D662" s="5" t="s">
        <v>2850</v>
      </c>
      <c r="E662" s="5">
        <v>10004214451</v>
      </c>
      <c r="F662" s="5" t="s">
        <v>2851</v>
      </c>
      <c r="G662" s="5" t="s">
        <v>2852</v>
      </c>
      <c r="H662" s="5" t="s">
        <v>743</v>
      </c>
      <c r="I662" s="5" t="s">
        <v>743</v>
      </c>
      <c r="J662" s="5" t="s">
        <v>743</v>
      </c>
      <c r="K662" s="5" t="s">
        <v>36</v>
      </c>
      <c r="L662" s="6">
        <v>43617</v>
      </c>
      <c r="M662" s="5" t="s">
        <v>21</v>
      </c>
      <c r="N662" s="5" t="s">
        <v>2851</v>
      </c>
    </row>
    <row r="663" spans="1:14" ht="69.75">
      <c r="A663" s="3">
        <v>657</v>
      </c>
      <c r="B663" s="3" t="str">
        <f>"201900199260"</f>
        <v>201900199260</v>
      </c>
      <c r="C663" s="3" t="str">
        <f>"148090"</f>
        <v>148090</v>
      </c>
      <c r="D663" s="3" t="s">
        <v>2853</v>
      </c>
      <c r="E663" s="3">
        <v>10703174979</v>
      </c>
      <c r="F663" s="3" t="s">
        <v>2854</v>
      </c>
      <c r="G663" s="3" t="s">
        <v>2855</v>
      </c>
      <c r="H663" s="3" t="s">
        <v>274</v>
      </c>
      <c r="I663" s="3" t="s">
        <v>274</v>
      </c>
      <c r="J663" s="3" t="s">
        <v>274</v>
      </c>
      <c r="K663" s="3" t="s">
        <v>426</v>
      </c>
      <c r="L663" s="4">
        <v>43805</v>
      </c>
      <c r="M663" s="3" t="s">
        <v>21</v>
      </c>
      <c r="N663" s="3" t="s">
        <v>2854</v>
      </c>
    </row>
    <row r="664" spans="1:14" ht="13.5">
      <c r="A664" s="5">
        <v>658</v>
      </c>
      <c r="B664" s="5" t="str">
        <f>"201900117666"</f>
        <v>201900117666</v>
      </c>
      <c r="C664" s="5" t="str">
        <f>"145357"</f>
        <v>145357</v>
      </c>
      <c r="D664" s="5" t="s">
        <v>2856</v>
      </c>
      <c r="E664" s="5">
        <v>20602130259</v>
      </c>
      <c r="F664" s="5" t="s">
        <v>2857</v>
      </c>
      <c r="G664" s="5" t="s">
        <v>2858</v>
      </c>
      <c r="H664" s="5" t="s">
        <v>18</v>
      </c>
      <c r="I664" s="5" t="s">
        <v>18</v>
      </c>
      <c r="J664" s="5" t="s">
        <v>2859</v>
      </c>
      <c r="K664" s="5" t="s">
        <v>51</v>
      </c>
      <c r="L664" s="6">
        <v>43686</v>
      </c>
      <c r="M664" s="5" t="s">
        <v>21</v>
      </c>
      <c r="N664" s="5" t="s">
        <v>2860</v>
      </c>
    </row>
    <row r="665" spans="1:14" ht="153.75">
      <c r="A665" s="3">
        <v>659</v>
      </c>
      <c r="B665" s="3" t="str">
        <f>"202000063005"</f>
        <v>202000063005</v>
      </c>
      <c r="C665" s="3" t="str">
        <f>"149624"</f>
        <v>149624</v>
      </c>
      <c r="D665" s="3" t="s">
        <v>2861</v>
      </c>
      <c r="E665" s="3">
        <v>20602448615</v>
      </c>
      <c r="F665" s="3" t="s">
        <v>2862</v>
      </c>
      <c r="G665" s="3" t="s">
        <v>846</v>
      </c>
      <c r="H665" s="3" t="s">
        <v>73</v>
      </c>
      <c r="I665" s="3" t="s">
        <v>74</v>
      </c>
      <c r="J665" s="3" t="s">
        <v>784</v>
      </c>
      <c r="K665" s="3" t="s">
        <v>75</v>
      </c>
      <c r="L665" s="4">
        <v>43998</v>
      </c>
      <c r="M665" s="3" t="s">
        <v>21</v>
      </c>
      <c r="N665" s="3" t="s">
        <v>848</v>
      </c>
    </row>
    <row r="666" spans="1:14" ht="42">
      <c r="A666" s="5">
        <v>660</v>
      </c>
      <c r="B666" s="5" t="str">
        <f>"202000040880"</f>
        <v>202000040880</v>
      </c>
      <c r="C666" s="5" t="str">
        <f>"149461"</f>
        <v>149461</v>
      </c>
      <c r="D666" s="5" t="s">
        <v>2863</v>
      </c>
      <c r="E666" s="5">
        <v>20605012591</v>
      </c>
      <c r="F666" s="5" t="s">
        <v>2864</v>
      </c>
      <c r="G666" s="5" t="s">
        <v>2865</v>
      </c>
      <c r="H666" s="5" t="s">
        <v>513</v>
      </c>
      <c r="I666" s="5" t="s">
        <v>513</v>
      </c>
      <c r="J666" s="5" t="s">
        <v>1172</v>
      </c>
      <c r="K666" s="5" t="s">
        <v>42</v>
      </c>
      <c r="L666" s="6">
        <v>43907</v>
      </c>
      <c r="M666" s="5" t="s">
        <v>21</v>
      </c>
      <c r="N666" s="5" t="s">
        <v>2866</v>
      </c>
    </row>
    <row r="667" spans="1:14" ht="42">
      <c r="A667" s="3">
        <v>661</v>
      </c>
      <c r="B667" s="3" t="str">
        <f>"202000040982"</f>
        <v>202000040982</v>
      </c>
      <c r="C667" s="3" t="str">
        <f>"149465"</f>
        <v>149465</v>
      </c>
      <c r="D667" s="3" t="s">
        <v>2867</v>
      </c>
      <c r="E667" s="3">
        <v>20547386338</v>
      </c>
      <c r="F667" s="3" t="s">
        <v>2868</v>
      </c>
      <c r="G667" s="3" t="s">
        <v>2869</v>
      </c>
      <c r="H667" s="3" t="s">
        <v>18</v>
      </c>
      <c r="I667" s="3" t="s">
        <v>18</v>
      </c>
      <c r="J667" s="3" t="s">
        <v>242</v>
      </c>
      <c r="K667" s="3" t="s">
        <v>2870</v>
      </c>
      <c r="L667" s="4">
        <v>43923</v>
      </c>
      <c r="M667" s="3" t="s">
        <v>21</v>
      </c>
      <c r="N667" s="3" t="s">
        <v>2871</v>
      </c>
    </row>
    <row r="668" spans="1:14" ht="13.5">
      <c r="A668" s="5">
        <v>662</v>
      </c>
      <c r="B668" s="5" t="str">
        <f>"201900078808"</f>
        <v>201900078808</v>
      </c>
      <c r="C668" s="5" t="str">
        <f>"143936"</f>
        <v>143936</v>
      </c>
      <c r="D668" s="5" t="s">
        <v>2872</v>
      </c>
      <c r="E668" s="5">
        <v>10060893441</v>
      </c>
      <c r="F668" s="5" t="s">
        <v>2873</v>
      </c>
      <c r="G668" s="5" t="s">
        <v>2874</v>
      </c>
      <c r="H668" s="5" t="s">
        <v>18</v>
      </c>
      <c r="I668" s="5" t="s">
        <v>18</v>
      </c>
      <c r="J668" s="5" t="s">
        <v>80</v>
      </c>
      <c r="K668" s="5" t="s">
        <v>97</v>
      </c>
      <c r="L668" s="6">
        <v>43617</v>
      </c>
      <c r="M668" s="5" t="s">
        <v>21</v>
      </c>
      <c r="N668" s="5" t="s">
        <v>2875</v>
      </c>
    </row>
    <row r="669" spans="1:14" ht="69.75">
      <c r="A669" s="3">
        <v>663</v>
      </c>
      <c r="B669" s="3" t="str">
        <f>"202000041092"</f>
        <v>202000041092</v>
      </c>
      <c r="C669" s="3" t="str">
        <f>"149464"</f>
        <v>149464</v>
      </c>
      <c r="D669" s="3" t="s">
        <v>2876</v>
      </c>
      <c r="E669" s="3">
        <v>20399070971</v>
      </c>
      <c r="F669" s="3" t="s">
        <v>2877</v>
      </c>
      <c r="G669" s="3" t="s">
        <v>2878</v>
      </c>
      <c r="H669" s="3" t="s">
        <v>274</v>
      </c>
      <c r="I669" s="3" t="s">
        <v>348</v>
      </c>
      <c r="J669" s="3" t="s">
        <v>348</v>
      </c>
      <c r="K669" s="3" t="s">
        <v>2879</v>
      </c>
      <c r="L669" s="4">
        <v>43902</v>
      </c>
      <c r="M669" s="3" t="s">
        <v>21</v>
      </c>
      <c r="N669" s="3" t="s">
        <v>2880</v>
      </c>
    </row>
    <row r="670" spans="1:14" ht="13.5">
      <c r="A670" s="5">
        <v>664</v>
      </c>
      <c r="B670" s="5" t="str">
        <f>"201900107671"</f>
        <v>201900107671</v>
      </c>
      <c r="C670" s="5" t="str">
        <f>"145052"</f>
        <v>145052</v>
      </c>
      <c r="D670" s="5" t="s">
        <v>2881</v>
      </c>
      <c r="E670" s="5">
        <v>20480516851</v>
      </c>
      <c r="F670" s="5" t="s">
        <v>2882</v>
      </c>
      <c r="G670" s="5" t="s">
        <v>2883</v>
      </c>
      <c r="H670" s="5" t="s">
        <v>333</v>
      </c>
      <c r="I670" s="5" t="s">
        <v>334</v>
      </c>
      <c r="J670" s="5" t="s">
        <v>1464</v>
      </c>
      <c r="K670" s="5" t="s">
        <v>36</v>
      </c>
      <c r="L670" s="6">
        <v>43658</v>
      </c>
      <c r="M670" s="5" t="s">
        <v>21</v>
      </c>
      <c r="N670" s="5" t="s">
        <v>2884</v>
      </c>
    </row>
    <row r="671" spans="1:14" ht="13.5">
      <c r="A671" s="3">
        <v>665</v>
      </c>
      <c r="B671" s="3" t="str">
        <f>"201900078808"</f>
        <v>201900078808</v>
      </c>
      <c r="C671" s="3" t="str">
        <f>"143932"</f>
        <v>143932</v>
      </c>
      <c r="D671" s="3" t="s">
        <v>2885</v>
      </c>
      <c r="E671" s="3">
        <v>20517963900</v>
      </c>
      <c r="F671" s="3" t="s">
        <v>2886</v>
      </c>
      <c r="G671" s="3" t="s">
        <v>2887</v>
      </c>
      <c r="H671" s="3" t="s">
        <v>18</v>
      </c>
      <c r="I671" s="3" t="s">
        <v>18</v>
      </c>
      <c r="J671" s="3" t="s">
        <v>2804</v>
      </c>
      <c r="K671" s="3" t="s">
        <v>51</v>
      </c>
      <c r="L671" s="4">
        <v>43617</v>
      </c>
      <c r="M671" s="3" t="s">
        <v>21</v>
      </c>
      <c r="N671" s="3" t="s">
        <v>2888</v>
      </c>
    </row>
    <row r="672" spans="1:14" ht="27.75">
      <c r="A672" s="5">
        <v>666</v>
      </c>
      <c r="B672" s="5" t="str">
        <f>"201900078808"</f>
        <v>201900078808</v>
      </c>
      <c r="C672" s="5" t="str">
        <f>"143933"</f>
        <v>143933</v>
      </c>
      <c r="D672" s="5" t="s">
        <v>2889</v>
      </c>
      <c r="E672" s="5">
        <v>20553884315</v>
      </c>
      <c r="F672" s="5" t="s">
        <v>2890</v>
      </c>
      <c r="G672" s="5" t="s">
        <v>2891</v>
      </c>
      <c r="H672" s="5" t="s">
        <v>18</v>
      </c>
      <c r="I672" s="5" t="s">
        <v>18</v>
      </c>
      <c r="J672" s="5" t="s">
        <v>2804</v>
      </c>
      <c r="K672" s="5" t="s">
        <v>51</v>
      </c>
      <c r="L672" s="6">
        <v>43617</v>
      </c>
      <c r="M672" s="5" t="s">
        <v>21</v>
      </c>
      <c r="N672" s="5" t="s">
        <v>2892</v>
      </c>
    </row>
    <row r="673" spans="1:14" ht="42">
      <c r="A673" s="3">
        <v>667</v>
      </c>
      <c r="B673" s="3" t="str">
        <f>"201900139874"</f>
        <v>201900139874</v>
      </c>
      <c r="C673" s="3" t="str">
        <f>"146210"</f>
        <v>146210</v>
      </c>
      <c r="D673" s="3" t="s">
        <v>2893</v>
      </c>
      <c r="E673" s="3">
        <v>20554611126</v>
      </c>
      <c r="F673" s="3" t="s">
        <v>2894</v>
      </c>
      <c r="G673" s="3" t="s">
        <v>2895</v>
      </c>
      <c r="H673" s="3" t="s">
        <v>18</v>
      </c>
      <c r="I673" s="3" t="s">
        <v>18</v>
      </c>
      <c r="J673" s="3" t="s">
        <v>242</v>
      </c>
      <c r="K673" s="3" t="s">
        <v>42</v>
      </c>
      <c r="L673" s="4">
        <v>43711</v>
      </c>
      <c r="M673" s="3" t="s">
        <v>21</v>
      </c>
      <c r="N673" s="3" t="s">
        <v>2896</v>
      </c>
    </row>
    <row r="674" spans="1:14" ht="13.5">
      <c r="A674" s="5">
        <v>668</v>
      </c>
      <c r="B674" s="5" t="str">
        <f>"201900078803"</f>
        <v>201900078803</v>
      </c>
      <c r="C674" s="5" t="str">
        <f>"143934"</f>
        <v>143934</v>
      </c>
      <c r="D674" s="5" t="s">
        <v>2897</v>
      </c>
      <c r="E674" s="5">
        <v>20604576670</v>
      </c>
      <c r="F674" s="5" t="s">
        <v>2898</v>
      </c>
      <c r="G674" s="5" t="s">
        <v>2899</v>
      </c>
      <c r="H674" s="5" t="s">
        <v>513</v>
      </c>
      <c r="I674" s="5" t="s">
        <v>513</v>
      </c>
      <c r="J674" s="5" t="s">
        <v>2241</v>
      </c>
      <c r="K674" s="5" t="s">
        <v>51</v>
      </c>
      <c r="L674" s="6">
        <v>43617</v>
      </c>
      <c r="M674" s="5" t="s">
        <v>21</v>
      </c>
      <c r="N674" s="5" t="s">
        <v>2898</v>
      </c>
    </row>
    <row r="675" spans="1:14" ht="13.5">
      <c r="A675" s="3">
        <v>669</v>
      </c>
      <c r="B675" s="3" t="str">
        <f>"201900078808"</f>
        <v>201900078808</v>
      </c>
      <c r="C675" s="3" t="str">
        <f>"143935"</f>
        <v>143935</v>
      </c>
      <c r="D675" s="3" t="s">
        <v>2900</v>
      </c>
      <c r="E675" s="3">
        <v>20600393155</v>
      </c>
      <c r="F675" s="3" t="s">
        <v>2901</v>
      </c>
      <c r="G675" s="3" t="s">
        <v>2902</v>
      </c>
      <c r="H675" s="3" t="s">
        <v>18</v>
      </c>
      <c r="I675" s="3" t="s">
        <v>18</v>
      </c>
      <c r="J675" s="3" t="s">
        <v>2804</v>
      </c>
      <c r="K675" s="3" t="s">
        <v>51</v>
      </c>
      <c r="L675" s="4">
        <v>43617</v>
      </c>
      <c r="M675" s="3" t="s">
        <v>21</v>
      </c>
      <c r="N675" s="3" t="s">
        <v>2903</v>
      </c>
    </row>
    <row r="676" spans="1:14" ht="13.5">
      <c r="A676" s="5">
        <v>670</v>
      </c>
      <c r="B676" s="5" t="str">
        <f>"201900078868"</f>
        <v>201900078868</v>
      </c>
      <c r="C676" s="5" t="str">
        <f>"144135"</f>
        <v>144135</v>
      </c>
      <c r="D676" s="5" t="s">
        <v>2904</v>
      </c>
      <c r="E676" s="5">
        <v>20393065495</v>
      </c>
      <c r="F676" s="5" t="s">
        <v>2905</v>
      </c>
      <c r="G676" s="5" t="s">
        <v>2906</v>
      </c>
      <c r="H676" s="5" t="s">
        <v>615</v>
      </c>
      <c r="I676" s="5" t="s">
        <v>616</v>
      </c>
      <c r="J676" s="5" t="s">
        <v>617</v>
      </c>
      <c r="K676" s="5" t="s">
        <v>51</v>
      </c>
      <c r="L676" s="6">
        <v>43617</v>
      </c>
      <c r="M676" s="5" t="s">
        <v>21</v>
      </c>
      <c r="N676" s="5" t="s">
        <v>2907</v>
      </c>
    </row>
    <row r="677" spans="1:14" ht="13.5">
      <c r="A677" s="3">
        <v>671</v>
      </c>
      <c r="B677" s="3" t="str">
        <f>"201900078868"</f>
        <v>201900078868</v>
      </c>
      <c r="C677" s="3" t="str">
        <f>"144134"</f>
        <v>144134</v>
      </c>
      <c r="D677" s="3" t="s">
        <v>2908</v>
      </c>
      <c r="E677" s="3">
        <v>20309893680</v>
      </c>
      <c r="F677" s="3" t="s">
        <v>2909</v>
      </c>
      <c r="G677" s="3" t="s">
        <v>2910</v>
      </c>
      <c r="H677" s="3" t="s">
        <v>615</v>
      </c>
      <c r="I677" s="3" t="s">
        <v>616</v>
      </c>
      <c r="J677" s="3" t="s">
        <v>617</v>
      </c>
      <c r="K677" s="3" t="s">
        <v>51</v>
      </c>
      <c r="L677" s="4">
        <v>43617</v>
      </c>
      <c r="M677" s="3" t="s">
        <v>21</v>
      </c>
      <c r="N677" s="3" t="s">
        <v>2911</v>
      </c>
    </row>
    <row r="678" spans="1:14" ht="27.75">
      <c r="A678" s="5">
        <v>672</v>
      </c>
      <c r="B678" s="5" t="str">
        <f>"201900135325"</f>
        <v>201900135325</v>
      </c>
      <c r="C678" s="5" t="str">
        <f>"146051"</f>
        <v>146051</v>
      </c>
      <c r="D678" s="5" t="s">
        <v>2912</v>
      </c>
      <c r="E678" s="5">
        <v>10040431883</v>
      </c>
      <c r="F678" s="5" t="s">
        <v>2913</v>
      </c>
      <c r="G678" s="5" t="s">
        <v>2914</v>
      </c>
      <c r="H678" s="5" t="s">
        <v>215</v>
      </c>
      <c r="I678" s="5" t="s">
        <v>215</v>
      </c>
      <c r="J678" s="5" t="s">
        <v>216</v>
      </c>
      <c r="K678" s="5" t="s">
        <v>774</v>
      </c>
      <c r="L678" s="6">
        <v>43710</v>
      </c>
      <c r="M678" s="5" t="s">
        <v>21</v>
      </c>
      <c r="N678" s="5" t="s">
        <v>2915</v>
      </c>
    </row>
    <row r="679" spans="1:14" ht="13.5">
      <c r="A679" s="3">
        <v>673</v>
      </c>
      <c r="B679" s="3" t="str">
        <f>"201900078868"</f>
        <v>201900078868</v>
      </c>
      <c r="C679" s="3" t="str">
        <f>"144136"</f>
        <v>144136</v>
      </c>
      <c r="D679" s="3" t="s">
        <v>2916</v>
      </c>
      <c r="E679" s="3">
        <v>20393230526</v>
      </c>
      <c r="F679" s="3" t="s">
        <v>2917</v>
      </c>
      <c r="G679" s="3" t="s">
        <v>2918</v>
      </c>
      <c r="H679" s="3" t="s">
        <v>615</v>
      </c>
      <c r="I679" s="3" t="s">
        <v>616</v>
      </c>
      <c r="J679" s="3" t="s">
        <v>617</v>
      </c>
      <c r="K679" s="3" t="s">
        <v>51</v>
      </c>
      <c r="L679" s="4">
        <v>43617</v>
      </c>
      <c r="M679" s="3" t="s">
        <v>21</v>
      </c>
      <c r="N679" s="3" t="s">
        <v>2919</v>
      </c>
    </row>
    <row r="680" spans="1:14" ht="27.75">
      <c r="A680" s="5">
        <v>674</v>
      </c>
      <c r="B680" s="5" t="str">
        <f>"201900078868"</f>
        <v>201900078868</v>
      </c>
      <c r="C680" s="5" t="str">
        <f>"144131"</f>
        <v>144131</v>
      </c>
      <c r="D680" s="5" t="s">
        <v>2920</v>
      </c>
      <c r="E680" s="5">
        <v>10436152774</v>
      </c>
      <c r="F680" s="5" t="s">
        <v>2921</v>
      </c>
      <c r="G680" s="5" t="s">
        <v>2922</v>
      </c>
      <c r="H680" s="5" t="s">
        <v>615</v>
      </c>
      <c r="I680" s="5" t="s">
        <v>616</v>
      </c>
      <c r="J680" s="5" t="s">
        <v>617</v>
      </c>
      <c r="K680" s="5" t="s">
        <v>51</v>
      </c>
      <c r="L680" s="6">
        <v>43617</v>
      </c>
      <c r="M680" s="5" t="s">
        <v>21</v>
      </c>
      <c r="N680" s="5" t="s">
        <v>2921</v>
      </c>
    </row>
    <row r="681" spans="1:14" ht="13.5">
      <c r="A681" s="3">
        <v>675</v>
      </c>
      <c r="B681" s="3" t="str">
        <f>"201900078868"</f>
        <v>201900078868</v>
      </c>
      <c r="C681" s="3" t="str">
        <f>"144130"</f>
        <v>144130</v>
      </c>
      <c r="D681" s="3" t="s">
        <v>2923</v>
      </c>
      <c r="E681" s="3">
        <v>10000953003</v>
      </c>
      <c r="F681" s="3" t="s">
        <v>2911</v>
      </c>
      <c r="G681" s="3" t="s">
        <v>2924</v>
      </c>
      <c r="H681" s="3" t="s">
        <v>615</v>
      </c>
      <c r="I681" s="3" t="s">
        <v>616</v>
      </c>
      <c r="J681" s="3" t="s">
        <v>617</v>
      </c>
      <c r="K681" s="3" t="s">
        <v>51</v>
      </c>
      <c r="L681" s="4">
        <v>43617</v>
      </c>
      <c r="M681" s="3" t="s">
        <v>21</v>
      </c>
      <c r="N681" s="3" t="s">
        <v>2911</v>
      </c>
    </row>
    <row r="682" spans="1:14" ht="42">
      <c r="A682" s="5">
        <v>676</v>
      </c>
      <c r="B682" s="5" t="str">
        <f>"201900078868"</f>
        <v>201900078868</v>
      </c>
      <c r="C682" s="5" t="str">
        <f>"144133"</f>
        <v>144133</v>
      </c>
      <c r="D682" s="5" t="s">
        <v>2925</v>
      </c>
      <c r="E682" s="5">
        <v>20309757662</v>
      </c>
      <c r="F682" s="5" t="s">
        <v>2926</v>
      </c>
      <c r="G682" s="5" t="s">
        <v>2927</v>
      </c>
      <c r="H682" s="5" t="s">
        <v>615</v>
      </c>
      <c r="I682" s="5" t="s">
        <v>616</v>
      </c>
      <c r="J682" s="5" t="s">
        <v>617</v>
      </c>
      <c r="K682" s="5" t="s">
        <v>2928</v>
      </c>
      <c r="L682" s="6">
        <v>43617</v>
      </c>
      <c r="M682" s="5" t="s">
        <v>21</v>
      </c>
      <c r="N682" s="5" t="s">
        <v>2929</v>
      </c>
    </row>
    <row r="683" spans="1:14" ht="27.75">
      <c r="A683" s="3">
        <v>677</v>
      </c>
      <c r="B683" s="3" t="str">
        <f>"201900078868"</f>
        <v>201900078868</v>
      </c>
      <c r="C683" s="3" t="str">
        <f>"144132"</f>
        <v>144132</v>
      </c>
      <c r="D683" s="3" t="s">
        <v>2930</v>
      </c>
      <c r="E683" s="3">
        <v>10456574900</v>
      </c>
      <c r="F683" s="3" t="s">
        <v>2931</v>
      </c>
      <c r="G683" s="3" t="s">
        <v>2932</v>
      </c>
      <c r="H683" s="3" t="s">
        <v>615</v>
      </c>
      <c r="I683" s="3" t="s">
        <v>616</v>
      </c>
      <c r="J683" s="3" t="s">
        <v>617</v>
      </c>
      <c r="K683" s="3" t="s">
        <v>2933</v>
      </c>
      <c r="L683" s="4">
        <v>43617</v>
      </c>
      <c r="M683" s="3" t="s">
        <v>21</v>
      </c>
      <c r="N683" s="3" t="s">
        <v>2931</v>
      </c>
    </row>
    <row r="684" spans="1:14" ht="83.25">
      <c r="A684" s="5">
        <v>678</v>
      </c>
      <c r="B684" s="5" t="str">
        <f>"201900199512"</f>
        <v>201900199512</v>
      </c>
      <c r="C684" s="5" t="str">
        <f>"148099"</f>
        <v>148099</v>
      </c>
      <c r="D684" s="5" t="s">
        <v>2934</v>
      </c>
      <c r="E684" s="5">
        <v>10027399776</v>
      </c>
      <c r="F684" s="5" t="s">
        <v>2935</v>
      </c>
      <c r="G684" s="5" t="s">
        <v>2936</v>
      </c>
      <c r="H684" s="5" t="s">
        <v>274</v>
      </c>
      <c r="I684" s="5" t="s">
        <v>1473</v>
      </c>
      <c r="J684" s="5" t="s">
        <v>1473</v>
      </c>
      <c r="K684" s="5" t="s">
        <v>2937</v>
      </c>
      <c r="L684" s="6">
        <v>43805</v>
      </c>
      <c r="M684" s="5" t="s">
        <v>21</v>
      </c>
      <c r="N684" s="5" t="s">
        <v>2935</v>
      </c>
    </row>
    <row r="685" spans="1:14" ht="42">
      <c r="A685" s="3">
        <v>679</v>
      </c>
      <c r="B685" s="3" t="str">
        <f>"201900078808"</f>
        <v>201900078808</v>
      </c>
      <c r="C685" s="3" t="str">
        <f>"143901"</f>
        <v>143901</v>
      </c>
      <c r="D685" s="3" t="s">
        <v>2938</v>
      </c>
      <c r="E685" s="3">
        <v>20602933106</v>
      </c>
      <c r="F685" s="3" t="s">
        <v>2939</v>
      </c>
      <c r="G685" s="3" t="s">
        <v>2940</v>
      </c>
      <c r="H685" s="3" t="s">
        <v>18</v>
      </c>
      <c r="I685" s="3" t="s">
        <v>18</v>
      </c>
      <c r="J685" s="3" t="s">
        <v>248</v>
      </c>
      <c r="K685" s="3" t="s">
        <v>42</v>
      </c>
      <c r="L685" s="4">
        <v>43617</v>
      </c>
      <c r="M685" s="3" t="s">
        <v>21</v>
      </c>
      <c r="N685" s="3" t="s">
        <v>2941</v>
      </c>
    </row>
    <row r="686" spans="1:14" ht="27.75">
      <c r="A686" s="5">
        <v>680</v>
      </c>
      <c r="B686" s="5" t="str">
        <f>"201900078808"</f>
        <v>201900078808</v>
      </c>
      <c r="C686" s="5" t="str">
        <f>"143902"</f>
        <v>143902</v>
      </c>
      <c r="D686" s="5" t="s">
        <v>2942</v>
      </c>
      <c r="E686" s="5">
        <v>20475262647</v>
      </c>
      <c r="F686" s="5" t="s">
        <v>2943</v>
      </c>
      <c r="G686" s="5" t="s">
        <v>2944</v>
      </c>
      <c r="H686" s="5" t="s">
        <v>18</v>
      </c>
      <c r="I686" s="5" t="s">
        <v>18</v>
      </c>
      <c r="J686" s="5" t="s">
        <v>2859</v>
      </c>
      <c r="K686" s="5" t="s">
        <v>51</v>
      </c>
      <c r="L686" s="6">
        <v>43617</v>
      </c>
      <c r="M686" s="5" t="s">
        <v>21</v>
      </c>
      <c r="N686" s="5" t="s">
        <v>2945</v>
      </c>
    </row>
    <row r="687" spans="1:14" ht="13.5">
      <c r="A687" s="3">
        <v>681</v>
      </c>
      <c r="B687" s="3" t="str">
        <f>"202000015335"</f>
        <v>202000015335</v>
      </c>
      <c r="C687" s="3" t="str">
        <f>"143899"</f>
        <v>143899</v>
      </c>
      <c r="D687" s="3" t="s">
        <v>2946</v>
      </c>
      <c r="E687" s="3">
        <v>20522173933</v>
      </c>
      <c r="F687" s="3" t="s">
        <v>2947</v>
      </c>
      <c r="G687" s="3" t="s">
        <v>2948</v>
      </c>
      <c r="H687" s="3" t="s">
        <v>18</v>
      </c>
      <c r="I687" s="3" t="s">
        <v>18</v>
      </c>
      <c r="J687" s="3" t="s">
        <v>2949</v>
      </c>
      <c r="K687" s="3" t="s">
        <v>618</v>
      </c>
      <c r="L687" s="4">
        <v>43864</v>
      </c>
      <c r="M687" s="3" t="s">
        <v>21</v>
      </c>
      <c r="N687" s="3" t="s">
        <v>2950</v>
      </c>
    </row>
    <row r="688" spans="1:14" ht="13.5">
      <c r="A688" s="5">
        <v>682</v>
      </c>
      <c r="B688" s="5" t="str">
        <f>"201900078808"</f>
        <v>201900078808</v>
      </c>
      <c r="C688" s="5" t="str">
        <f>"143900"</f>
        <v>143900</v>
      </c>
      <c r="D688" s="5" t="s">
        <v>2951</v>
      </c>
      <c r="E688" s="5">
        <v>20602904858</v>
      </c>
      <c r="F688" s="5" t="s">
        <v>2952</v>
      </c>
      <c r="G688" s="5" t="s">
        <v>2953</v>
      </c>
      <c r="H688" s="5" t="s">
        <v>18</v>
      </c>
      <c r="I688" s="5" t="s">
        <v>18</v>
      </c>
      <c r="J688" s="5" t="s">
        <v>248</v>
      </c>
      <c r="K688" s="5" t="s">
        <v>97</v>
      </c>
      <c r="L688" s="6">
        <v>43617</v>
      </c>
      <c r="M688" s="5" t="s">
        <v>21</v>
      </c>
      <c r="N688" s="5" t="s">
        <v>2954</v>
      </c>
    </row>
    <row r="689" spans="1:14" ht="27.75">
      <c r="A689" s="3">
        <v>683</v>
      </c>
      <c r="B689" s="3" t="str">
        <f>"201900078808"</f>
        <v>201900078808</v>
      </c>
      <c r="C689" s="3" t="str">
        <f>"143905"</f>
        <v>143905</v>
      </c>
      <c r="D689" s="3" t="s">
        <v>2955</v>
      </c>
      <c r="E689" s="3">
        <v>20512718150</v>
      </c>
      <c r="F689" s="3" t="s">
        <v>2956</v>
      </c>
      <c r="G689" s="3" t="s">
        <v>2957</v>
      </c>
      <c r="H689" s="3" t="s">
        <v>18</v>
      </c>
      <c r="I689" s="3" t="s">
        <v>18</v>
      </c>
      <c r="J689" s="3" t="s">
        <v>2859</v>
      </c>
      <c r="K689" s="3" t="s">
        <v>51</v>
      </c>
      <c r="L689" s="4">
        <v>43617</v>
      </c>
      <c r="M689" s="3" t="s">
        <v>21</v>
      </c>
      <c r="N689" s="3" t="s">
        <v>2958</v>
      </c>
    </row>
    <row r="690" spans="1:14" ht="42">
      <c r="A690" s="5">
        <v>684</v>
      </c>
      <c r="B690" s="5" t="str">
        <f>"202000040696"</f>
        <v>202000040696</v>
      </c>
      <c r="C690" s="5" t="str">
        <f>"149459"</f>
        <v>149459</v>
      </c>
      <c r="D690" s="5" t="s">
        <v>2959</v>
      </c>
      <c r="E690" s="5">
        <v>10422711720</v>
      </c>
      <c r="F690" s="5" t="s">
        <v>2960</v>
      </c>
      <c r="G690" s="5" t="s">
        <v>2961</v>
      </c>
      <c r="H690" s="5" t="s">
        <v>333</v>
      </c>
      <c r="I690" s="5" t="s">
        <v>334</v>
      </c>
      <c r="J690" s="5" t="s">
        <v>1545</v>
      </c>
      <c r="K690" s="5" t="s">
        <v>2962</v>
      </c>
      <c r="L690" s="6">
        <v>43934</v>
      </c>
      <c r="M690" s="5" t="s">
        <v>21</v>
      </c>
      <c r="N690" s="5" t="s">
        <v>2960</v>
      </c>
    </row>
    <row r="691" spans="1:14" ht="13.5">
      <c r="A691" s="3">
        <v>685</v>
      </c>
      <c r="B691" s="3" t="str">
        <f>"201900078844"</f>
        <v>201900078844</v>
      </c>
      <c r="C691" s="3" t="str">
        <f>"144107"</f>
        <v>144107</v>
      </c>
      <c r="D691" s="3" t="s">
        <v>2963</v>
      </c>
      <c r="E691" s="3">
        <v>20231266993</v>
      </c>
      <c r="F691" s="3" t="s">
        <v>2964</v>
      </c>
      <c r="G691" s="3" t="s">
        <v>2965</v>
      </c>
      <c r="H691" s="3" t="s">
        <v>102</v>
      </c>
      <c r="I691" s="3" t="s">
        <v>102</v>
      </c>
      <c r="J691" s="3" t="s">
        <v>103</v>
      </c>
      <c r="K691" s="3" t="s">
        <v>97</v>
      </c>
      <c r="L691" s="4">
        <v>43617</v>
      </c>
      <c r="M691" s="3" t="s">
        <v>21</v>
      </c>
      <c r="N691" s="3" t="s">
        <v>98</v>
      </c>
    </row>
    <row r="692" spans="1:14" ht="27.75">
      <c r="A692" s="5">
        <v>686</v>
      </c>
      <c r="B692" s="5" t="str">
        <f>"201900078808"</f>
        <v>201900078808</v>
      </c>
      <c r="C692" s="5" t="str">
        <f>"143906"</f>
        <v>143906</v>
      </c>
      <c r="D692" s="5" t="s">
        <v>2966</v>
      </c>
      <c r="E692" s="5">
        <v>20517215351</v>
      </c>
      <c r="F692" s="5" t="s">
        <v>2967</v>
      </c>
      <c r="G692" s="5" t="s">
        <v>2968</v>
      </c>
      <c r="H692" s="5" t="s">
        <v>18</v>
      </c>
      <c r="I692" s="5" t="s">
        <v>18</v>
      </c>
      <c r="J692" s="5" t="s">
        <v>2859</v>
      </c>
      <c r="K692" s="5" t="s">
        <v>443</v>
      </c>
      <c r="L692" s="6">
        <v>43617</v>
      </c>
      <c r="M692" s="5" t="s">
        <v>21</v>
      </c>
      <c r="N692" s="5" t="s">
        <v>2969</v>
      </c>
    </row>
    <row r="693" spans="1:14" ht="27.75">
      <c r="A693" s="3">
        <v>687</v>
      </c>
      <c r="B693" s="3" t="str">
        <f>"201900078808"</f>
        <v>201900078808</v>
      </c>
      <c r="C693" s="3" t="str">
        <f>"143903"</f>
        <v>143903</v>
      </c>
      <c r="D693" s="3" t="s">
        <v>2970</v>
      </c>
      <c r="E693" s="3">
        <v>20493141598</v>
      </c>
      <c r="F693" s="3" t="s">
        <v>2971</v>
      </c>
      <c r="G693" s="3" t="s">
        <v>2972</v>
      </c>
      <c r="H693" s="3" t="s">
        <v>18</v>
      </c>
      <c r="I693" s="3" t="s">
        <v>18</v>
      </c>
      <c r="J693" s="3" t="s">
        <v>2859</v>
      </c>
      <c r="K693" s="3" t="s">
        <v>97</v>
      </c>
      <c r="L693" s="4">
        <v>43617</v>
      </c>
      <c r="M693" s="3" t="s">
        <v>21</v>
      </c>
      <c r="N693" s="3" t="s">
        <v>2973</v>
      </c>
    </row>
    <row r="694" spans="1:14" ht="27.75">
      <c r="A694" s="5">
        <v>688</v>
      </c>
      <c r="B694" s="5" t="str">
        <f>"201900078808"</f>
        <v>201900078808</v>
      </c>
      <c r="C694" s="5" t="str">
        <f>"143904"</f>
        <v>143904</v>
      </c>
      <c r="D694" s="5" t="s">
        <v>2974</v>
      </c>
      <c r="E694" s="5">
        <v>20511550255</v>
      </c>
      <c r="F694" s="5" t="s">
        <v>2975</v>
      </c>
      <c r="G694" s="5" t="s">
        <v>2976</v>
      </c>
      <c r="H694" s="5" t="s">
        <v>18</v>
      </c>
      <c r="I694" s="5" t="s">
        <v>18</v>
      </c>
      <c r="J694" s="5" t="s">
        <v>2859</v>
      </c>
      <c r="K694" s="5" t="s">
        <v>68</v>
      </c>
      <c r="L694" s="6">
        <v>43617</v>
      </c>
      <c r="M694" s="5" t="s">
        <v>21</v>
      </c>
      <c r="N694" s="5" t="s">
        <v>2977</v>
      </c>
    </row>
    <row r="695" spans="1:14" ht="27.75">
      <c r="A695" s="3">
        <v>689</v>
      </c>
      <c r="B695" s="3" t="str">
        <f>"201900078839"</f>
        <v>201900078839</v>
      </c>
      <c r="C695" s="3" t="str">
        <f>"144100"</f>
        <v>144100</v>
      </c>
      <c r="D695" s="3" t="s">
        <v>2978</v>
      </c>
      <c r="E695" s="3">
        <v>20448516017</v>
      </c>
      <c r="F695" s="3" t="s">
        <v>2979</v>
      </c>
      <c r="G695" s="3" t="s">
        <v>2980</v>
      </c>
      <c r="H695" s="3" t="s">
        <v>932</v>
      </c>
      <c r="I695" s="3" t="s">
        <v>933</v>
      </c>
      <c r="J695" s="3" t="s">
        <v>934</v>
      </c>
      <c r="K695" s="3" t="s">
        <v>36</v>
      </c>
      <c r="L695" s="4">
        <v>43617</v>
      </c>
      <c r="M695" s="3" t="s">
        <v>21</v>
      </c>
      <c r="N695" s="3" t="s">
        <v>2981</v>
      </c>
    </row>
    <row r="696" spans="1:14" ht="13.5">
      <c r="A696" s="5">
        <v>690</v>
      </c>
      <c r="B696" s="5" t="str">
        <f>"201900078839"</f>
        <v>201900078839</v>
      </c>
      <c r="C696" s="5" t="str">
        <f>"144099"</f>
        <v>144099</v>
      </c>
      <c r="D696" s="5" t="s">
        <v>2982</v>
      </c>
      <c r="E696" s="5">
        <v>20448333362</v>
      </c>
      <c r="F696" s="5" t="s">
        <v>2983</v>
      </c>
      <c r="G696" s="5" t="s">
        <v>2984</v>
      </c>
      <c r="H696" s="5" t="s">
        <v>932</v>
      </c>
      <c r="I696" s="5" t="s">
        <v>933</v>
      </c>
      <c r="J696" s="5" t="s">
        <v>934</v>
      </c>
      <c r="K696" s="5" t="s">
        <v>36</v>
      </c>
      <c r="L696" s="6">
        <v>43617</v>
      </c>
      <c r="M696" s="5" t="s">
        <v>21</v>
      </c>
      <c r="N696" s="5" t="s">
        <v>2985</v>
      </c>
    </row>
    <row r="697" spans="1:14" ht="13.5">
      <c r="A697" s="3">
        <v>691</v>
      </c>
      <c r="B697" s="3" t="str">
        <f>"201900078839"</f>
        <v>201900078839</v>
      </c>
      <c r="C697" s="3" t="str">
        <f>"144098"</f>
        <v>144098</v>
      </c>
      <c r="D697" s="3" t="s">
        <v>2986</v>
      </c>
      <c r="E697" s="3">
        <v>20448073352</v>
      </c>
      <c r="F697" s="3" t="s">
        <v>2987</v>
      </c>
      <c r="G697" s="3" t="s">
        <v>2988</v>
      </c>
      <c r="H697" s="3" t="s">
        <v>932</v>
      </c>
      <c r="I697" s="3" t="s">
        <v>933</v>
      </c>
      <c r="J697" s="3" t="s">
        <v>934</v>
      </c>
      <c r="K697" s="3" t="s">
        <v>36</v>
      </c>
      <c r="L697" s="4">
        <v>43617</v>
      </c>
      <c r="M697" s="3" t="s">
        <v>21</v>
      </c>
      <c r="N697" s="3" t="s">
        <v>2989</v>
      </c>
    </row>
    <row r="698" spans="1:14" ht="153.75">
      <c r="A698" s="5">
        <v>692</v>
      </c>
      <c r="B698" s="5" t="str">
        <f>"202000061516"</f>
        <v>202000061516</v>
      </c>
      <c r="C698" s="5" t="str">
        <f>"149614"</f>
        <v>149614</v>
      </c>
      <c r="D698" s="5" t="s">
        <v>2990</v>
      </c>
      <c r="E698" s="5">
        <v>20559835693</v>
      </c>
      <c r="F698" s="5" t="s">
        <v>2991</v>
      </c>
      <c r="G698" s="5" t="s">
        <v>2992</v>
      </c>
      <c r="H698" s="5" t="s">
        <v>73</v>
      </c>
      <c r="I698" s="5" t="s">
        <v>74</v>
      </c>
      <c r="J698" s="5" t="s">
        <v>74</v>
      </c>
      <c r="K698" s="5" t="s">
        <v>75</v>
      </c>
      <c r="L698" s="6">
        <v>43998</v>
      </c>
      <c r="M698" s="5" t="s">
        <v>21</v>
      </c>
      <c r="N698" s="5" t="s">
        <v>2993</v>
      </c>
    </row>
    <row r="699" spans="1:14" ht="13.5">
      <c r="A699" s="3">
        <v>693</v>
      </c>
      <c r="B699" s="3" t="str">
        <f>"201900078839"</f>
        <v>201900078839</v>
      </c>
      <c r="C699" s="3" t="str">
        <f>"144097"</f>
        <v>144097</v>
      </c>
      <c r="D699" s="3" t="s">
        <v>2994</v>
      </c>
      <c r="E699" s="3">
        <v>10701349798</v>
      </c>
      <c r="F699" s="3" t="s">
        <v>2995</v>
      </c>
      <c r="G699" s="3" t="s">
        <v>2996</v>
      </c>
      <c r="H699" s="3" t="s">
        <v>932</v>
      </c>
      <c r="I699" s="3" t="s">
        <v>933</v>
      </c>
      <c r="J699" s="3" t="s">
        <v>934</v>
      </c>
      <c r="K699" s="3" t="s">
        <v>36</v>
      </c>
      <c r="L699" s="4">
        <v>43617</v>
      </c>
      <c r="M699" s="3" t="s">
        <v>21</v>
      </c>
      <c r="N699" s="3" t="s">
        <v>2995</v>
      </c>
    </row>
    <row r="700" spans="1:14" ht="27.75">
      <c r="A700" s="5">
        <v>694</v>
      </c>
      <c r="B700" s="5" t="str">
        <f>"201900078844"</f>
        <v>201900078844</v>
      </c>
      <c r="C700" s="5" t="str">
        <f>"144104"</f>
        <v>144104</v>
      </c>
      <c r="D700" s="5" t="s">
        <v>2997</v>
      </c>
      <c r="E700" s="5">
        <v>10008357272</v>
      </c>
      <c r="F700" s="5" t="s">
        <v>2998</v>
      </c>
      <c r="G700" s="5" t="s">
        <v>2999</v>
      </c>
      <c r="H700" s="5" t="s">
        <v>102</v>
      </c>
      <c r="I700" s="5" t="s">
        <v>3000</v>
      </c>
      <c r="J700" s="5" t="s">
        <v>3001</v>
      </c>
      <c r="K700" s="5" t="s">
        <v>97</v>
      </c>
      <c r="L700" s="6">
        <v>43617</v>
      </c>
      <c r="M700" s="5" t="s">
        <v>21</v>
      </c>
      <c r="N700" s="5" t="s">
        <v>2998</v>
      </c>
    </row>
    <row r="701" spans="1:14" ht="13.5">
      <c r="A701" s="3">
        <v>695</v>
      </c>
      <c r="B701" s="3" t="str">
        <f>"201900078808"</f>
        <v>201900078808</v>
      </c>
      <c r="C701" s="3" t="str">
        <f>"143909"</f>
        <v>143909</v>
      </c>
      <c r="D701" s="3" t="s">
        <v>3002</v>
      </c>
      <c r="E701" s="3">
        <v>20544030974</v>
      </c>
      <c r="F701" s="3" t="s">
        <v>3003</v>
      </c>
      <c r="G701" s="3" t="s">
        <v>3004</v>
      </c>
      <c r="H701" s="3" t="s">
        <v>18</v>
      </c>
      <c r="I701" s="3" t="s">
        <v>18</v>
      </c>
      <c r="J701" s="3" t="s">
        <v>2859</v>
      </c>
      <c r="K701" s="3" t="s">
        <v>36</v>
      </c>
      <c r="L701" s="4">
        <v>43617</v>
      </c>
      <c r="M701" s="3" t="s">
        <v>21</v>
      </c>
      <c r="N701" s="3" t="s">
        <v>3005</v>
      </c>
    </row>
    <row r="702" spans="1:14" ht="13.5">
      <c r="A702" s="5">
        <v>696</v>
      </c>
      <c r="B702" s="5" t="str">
        <f>"201900078839"</f>
        <v>201900078839</v>
      </c>
      <c r="C702" s="5" t="str">
        <f>"144103"</f>
        <v>144103</v>
      </c>
      <c r="D702" s="5" t="s">
        <v>3006</v>
      </c>
      <c r="E702" s="5">
        <v>10013345908</v>
      </c>
      <c r="F702" s="5" t="s">
        <v>3007</v>
      </c>
      <c r="G702" s="5" t="s">
        <v>3008</v>
      </c>
      <c r="H702" s="5" t="s">
        <v>932</v>
      </c>
      <c r="I702" s="5" t="s">
        <v>3009</v>
      </c>
      <c r="J702" s="5" t="s">
        <v>3010</v>
      </c>
      <c r="K702" s="5" t="s">
        <v>36</v>
      </c>
      <c r="L702" s="6">
        <v>43617</v>
      </c>
      <c r="M702" s="5" t="s">
        <v>21</v>
      </c>
      <c r="N702" s="5" t="s">
        <v>3007</v>
      </c>
    </row>
    <row r="703" spans="1:14" ht="27.75">
      <c r="A703" s="3">
        <v>697</v>
      </c>
      <c r="B703" s="3" t="str">
        <f>"201900078808"</f>
        <v>201900078808</v>
      </c>
      <c r="C703" s="3" t="str">
        <f>"143908"</f>
        <v>143908</v>
      </c>
      <c r="D703" s="3" t="s">
        <v>3011</v>
      </c>
      <c r="E703" s="3">
        <v>20524279160</v>
      </c>
      <c r="F703" s="3" t="s">
        <v>3012</v>
      </c>
      <c r="G703" s="3" t="s">
        <v>3013</v>
      </c>
      <c r="H703" s="3" t="s">
        <v>18</v>
      </c>
      <c r="I703" s="3" t="s">
        <v>18</v>
      </c>
      <c r="J703" s="3" t="s">
        <v>2859</v>
      </c>
      <c r="K703" s="3" t="s">
        <v>51</v>
      </c>
      <c r="L703" s="4">
        <v>43617</v>
      </c>
      <c r="M703" s="3" t="s">
        <v>21</v>
      </c>
      <c r="N703" s="3" t="s">
        <v>3014</v>
      </c>
    </row>
    <row r="704" spans="1:14" ht="27.75">
      <c r="A704" s="5">
        <v>698</v>
      </c>
      <c r="B704" s="5" t="str">
        <f>"202000086650"</f>
        <v>202000086650</v>
      </c>
      <c r="C704" s="5" t="str">
        <f>"150078"</f>
        <v>150078</v>
      </c>
      <c r="D704" s="5" t="s">
        <v>3015</v>
      </c>
      <c r="E704" s="5">
        <v>20605082611</v>
      </c>
      <c r="F704" s="5" t="s">
        <v>3016</v>
      </c>
      <c r="G704" s="5" t="s">
        <v>3017</v>
      </c>
      <c r="H704" s="5" t="s">
        <v>18</v>
      </c>
      <c r="I704" s="5" t="s">
        <v>18</v>
      </c>
      <c r="J704" s="5" t="s">
        <v>303</v>
      </c>
      <c r="K704" s="5" t="s">
        <v>36</v>
      </c>
      <c r="L704" s="6">
        <v>44039</v>
      </c>
      <c r="M704" s="5" t="s">
        <v>21</v>
      </c>
      <c r="N704" s="5" t="s">
        <v>3018</v>
      </c>
    </row>
    <row r="705" spans="1:14" ht="13.5">
      <c r="A705" s="3">
        <v>699</v>
      </c>
      <c r="B705" s="3" t="str">
        <f>"201900078839"</f>
        <v>201900078839</v>
      </c>
      <c r="C705" s="3" t="str">
        <f>"144102"</f>
        <v>144102</v>
      </c>
      <c r="D705" s="3" t="s">
        <v>3019</v>
      </c>
      <c r="E705" s="3">
        <v>20169040231</v>
      </c>
      <c r="F705" s="3" t="s">
        <v>3020</v>
      </c>
      <c r="G705" s="3" t="s">
        <v>3020</v>
      </c>
      <c r="H705" s="3" t="s">
        <v>932</v>
      </c>
      <c r="I705" s="3" t="s">
        <v>3009</v>
      </c>
      <c r="J705" s="3" t="s">
        <v>3021</v>
      </c>
      <c r="K705" s="3" t="s">
        <v>36</v>
      </c>
      <c r="L705" s="4">
        <v>43617</v>
      </c>
      <c r="M705" s="3" t="s">
        <v>21</v>
      </c>
      <c r="N705" s="3" t="s">
        <v>3022</v>
      </c>
    </row>
    <row r="706" spans="1:14" ht="13.5">
      <c r="A706" s="5">
        <v>700</v>
      </c>
      <c r="B706" s="5" t="str">
        <f>"201900078808"</f>
        <v>201900078808</v>
      </c>
      <c r="C706" s="5" t="str">
        <f>"143907"</f>
        <v>143907</v>
      </c>
      <c r="D706" s="5" t="s">
        <v>3023</v>
      </c>
      <c r="E706" s="5">
        <v>20518583108</v>
      </c>
      <c r="F706" s="5" t="s">
        <v>3024</v>
      </c>
      <c r="G706" s="5" t="s">
        <v>3025</v>
      </c>
      <c r="H706" s="5" t="s">
        <v>18</v>
      </c>
      <c r="I706" s="5" t="s">
        <v>18</v>
      </c>
      <c r="J706" s="5" t="s">
        <v>2859</v>
      </c>
      <c r="K706" s="5" t="s">
        <v>51</v>
      </c>
      <c r="L706" s="6">
        <v>43617</v>
      </c>
      <c r="M706" s="5" t="s">
        <v>21</v>
      </c>
      <c r="N706" s="5" t="s">
        <v>3026</v>
      </c>
    </row>
    <row r="707" spans="1:14" ht="13.5">
      <c r="A707" s="3">
        <v>701</v>
      </c>
      <c r="B707" s="3" t="str">
        <f>"201900078839"</f>
        <v>201900078839</v>
      </c>
      <c r="C707" s="3" t="str">
        <f>"144101"</f>
        <v>144101</v>
      </c>
      <c r="D707" s="3" t="s">
        <v>3027</v>
      </c>
      <c r="E707" s="3">
        <v>20601171903</v>
      </c>
      <c r="F707" s="3" t="s">
        <v>3028</v>
      </c>
      <c r="G707" s="3" t="s">
        <v>3029</v>
      </c>
      <c r="H707" s="3" t="s">
        <v>932</v>
      </c>
      <c r="I707" s="3" t="s">
        <v>933</v>
      </c>
      <c r="J707" s="3" t="s">
        <v>934</v>
      </c>
      <c r="K707" s="3" t="s">
        <v>36</v>
      </c>
      <c r="L707" s="4">
        <v>43617</v>
      </c>
      <c r="M707" s="3" t="s">
        <v>21</v>
      </c>
      <c r="N707" s="3" t="s">
        <v>3030</v>
      </c>
    </row>
    <row r="708" spans="1:14" ht="27.75">
      <c r="A708" s="5">
        <v>702</v>
      </c>
      <c r="B708" s="5" t="str">
        <f>"201900078844"</f>
        <v>201900078844</v>
      </c>
      <c r="C708" s="5" t="str">
        <f>"144106"</f>
        <v>144106</v>
      </c>
      <c r="D708" s="5" t="s">
        <v>3031</v>
      </c>
      <c r="E708" s="5">
        <v>20600536983</v>
      </c>
      <c r="F708" s="5" t="s">
        <v>3032</v>
      </c>
      <c r="G708" s="5" t="s">
        <v>3033</v>
      </c>
      <c r="H708" s="5" t="s">
        <v>102</v>
      </c>
      <c r="I708" s="5" t="s">
        <v>3034</v>
      </c>
      <c r="J708" s="5" t="s">
        <v>3034</v>
      </c>
      <c r="K708" s="5" t="s">
        <v>51</v>
      </c>
      <c r="L708" s="6">
        <v>43617</v>
      </c>
      <c r="M708" s="5" t="s">
        <v>21</v>
      </c>
      <c r="N708" s="5" t="s">
        <v>3035</v>
      </c>
    </row>
    <row r="709" spans="1:14" ht="27.75">
      <c r="A709" s="3">
        <v>703</v>
      </c>
      <c r="B709" s="3" t="str">
        <f>"201900078844"</f>
        <v>201900078844</v>
      </c>
      <c r="C709" s="3" t="str">
        <f>"144105"</f>
        <v>144105</v>
      </c>
      <c r="D709" s="3" t="s">
        <v>3036</v>
      </c>
      <c r="E709" s="3">
        <v>20602082831</v>
      </c>
      <c r="F709" s="3" t="s">
        <v>3037</v>
      </c>
      <c r="G709" s="3" t="s">
        <v>3038</v>
      </c>
      <c r="H709" s="3" t="s">
        <v>102</v>
      </c>
      <c r="I709" s="3" t="s">
        <v>2029</v>
      </c>
      <c r="J709" s="3" t="s">
        <v>2030</v>
      </c>
      <c r="K709" s="3" t="s">
        <v>225</v>
      </c>
      <c r="L709" s="4">
        <v>43617</v>
      </c>
      <c r="M709" s="3" t="s">
        <v>21</v>
      </c>
      <c r="N709" s="3" t="s">
        <v>3039</v>
      </c>
    </row>
    <row r="710" spans="1:14" ht="42">
      <c r="A710" s="5">
        <v>704</v>
      </c>
      <c r="B710" s="5" t="str">
        <f>"202000061384"</f>
        <v>202000061384</v>
      </c>
      <c r="C710" s="5" t="str">
        <f>"149609"</f>
        <v>149609</v>
      </c>
      <c r="D710" s="5" t="s">
        <v>3040</v>
      </c>
      <c r="E710" s="5">
        <v>20601304334</v>
      </c>
      <c r="F710" s="5" t="s">
        <v>3041</v>
      </c>
      <c r="G710" s="5" t="s">
        <v>3042</v>
      </c>
      <c r="H710" s="5" t="s">
        <v>18</v>
      </c>
      <c r="I710" s="5" t="s">
        <v>18</v>
      </c>
      <c r="J710" s="5" t="s">
        <v>2859</v>
      </c>
      <c r="K710" s="5" t="s">
        <v>1606</v>
      </c>
      <c r="L710" s="6">
        <v>44006</v>
      </c>
      <c r="M710" s="5" t="s">
        <v>21</v>
      </c>
      <c r="N710" s="5" t="s">
        <v>3043</v>
      </c>
    </row>
    <row r="711" spans="1:14" ht="13.5">
      <c r="A711" s="3">
        <v>705</v>
      </c>
      <c r="B711" s="3" t="str">
        <f>"202000039308"</f>
        <v>202000039308</v>
      </c>
      <c r="C711" s="3" t="str">
        <f>"149444"</f>
        <v>149444</v>
      </c>
      <c r="D711" s="3" t="s">
        <v>3044</v>
      </c>
      <c r="E711" s="3">
        <v>20601584973</v>
      </c>
      <c r="F711" s="3" t="s">
        <v>3045</v>
      </c>
      <c r="G711" s="3" t="s">
        <v>3046</v>
      </c>
      <c r="H711" s="3" t="s">
        <v>85</v>
      </c>
      <c r="I711" s="3" t="s">
        <v>86</v>
      </c>
      <c r="J711" s="3" t="s">
        <v>87</v>
      </c>
      <c r="K711" s="3" t="s">
        <v>51</v>
      </c>
      <c r="L711" s="4">
        <v>43900</v>
      </c>
      <c r="M711" s="3" t="s">
        <v>21</v>
      </c>
      <c r="N711" s="3" t="s">
        <v>3047</v>
      </c>
    </row>
    <row r="712" spans="1:14" ht="13.5">
      <c r="A712" s="5">
        <v>706</v>
      </c>
      <c r="B712" s="5" t="str">
        <f>"202000039293"</f>
        <v>202000039293</v>
      </c>
      <c r="C712" s="5" t="str">
        <f>"149443"</f>
        <v>149443</v>
      </c>
      <c r="D712" s="5" t="s">
        <v>3048</v>
      </c>
      <c r="E712" s="5">
        <v>20601244145</v>
      </c>
      <c r="F712" s="5" t="s">
        <v>3049</v>
      </c>
      <c r="G712" s="5" t="s">
        <v>3050</v>
      </c>
      <c r="H712" s="5" t="s">
        <v>102</v>
      </c>
      <c r="I712" s="5" t="s">
        <v>102</v>
      </c>
      <c r="J712" s="5" t="s">
        <v>3051</v>
      </c>
      <c r="K712" s="5" t="s">
        <v>51</v>
      </c>
      <c r="L712" s="6">
        <v>43901</v>
      </c>
      <c r="M712" s="5" t="s">
        <v>21</v>
      </c>
      <c r="N712" s="5" t="s">
        <v>3052</v>
      </c>
    </row>
    <row r="713" spans="1:14" ht="13.5">
      <c r="A713" s="3">
        <v>707</v>
      </c>
      <c r="B713" s="3" t="str">
        <f>"202000067896"</f>
        <v>202000067896</v>
      </c>
      <c r="C713" s="3" t="str">
        <f>"149445"</f>
        <v>149445</v>
      </c>
      <c r="D713" s="3" t="s">
        <v>3053</v>
      </c>
      <c r="E713" s="3">
        <v>20603640340</v>
      </c>
      <c r="F713" s="3" t="s">
        <v>3054</v>
      </c>
      <c r="G713" s="3" t="s">
        <v>3055</v>
      </c>
      <c r="H713" s="3" t="s">
        <v>615</v>
      </c>
      <c r="I713" s="3" t="s">
        <v>616</v>
      </c>
      <c r="J713" s="3" t="s">
        <v>3056</v>
      </c>
      <c r="K713" s="3" t="s">
        <v>3057</v>
      </c>
      <c r="L713" s="4">
        <v>44012</v>
      </c>
      <c r="M713" s="3" t="s">
        <v>21</v>
      </c>
      <c r="N713" s="3" t="s">
        <v>3058</v>
      </c>
    </row>
    <row r="714" spans="1:14" ht="153.75">
      <c r="A714" s="5">
        <v>708</v>
      </c>
      <c r="B714" s="5" t="str">
        <f>"202000039808"</f>
        <v>202000039808</v>
      </c>
      <c r="C714" s="5" t="str">
        <f>"149451"</f>
        <v>149451</v>
      </c>
      <c r="D714" s="5" t="s">
        <v>3059</v>
      </c>
      <c r="E714" s="5">
        <v>20505183534</v>
      </c>
      <c r="F714" s="5" t="s">
        <v>3060</v>
      </c>
      <c r="G714" s="5" t="s">
        <v>3061</v>
      </c>
      <c r="H714" s="5" t="s">
        <v>18</v>
      </c>
      <c r="I714" s="5" t="s">
        <v>18</v>
      </c>
      <c r="J714" s="5" t="s">
        <v>739</v>
      </c>
      <c r="K714" s="5" t="s">
        <v>3062</v>
      </c>
      <c r="L714" s="6">
        <v>43913</v>
      </c>
      <c r="M714" s="5" t="s">
        <v>21</v>
      </c>
      <c r="N714" s="5" t="s">
        <v>3063</v>
      </c>
    </row>
    <row r="715" spans="1:14" ht="13.5">
      <c r="A715" s="3">
        <v>709</v>
      </c>
      <c r="B715" s="3" t="str">
        <f aca="true" t="shared" si="9" ref="B715:B720">"201900078808"</f>
        <v>201900078808</v>
      </c>
      <c r="C715" s="3" t="str">
        <f>"143910"</f>
        <v>143910</v>
      </c>
      <c r="D715" s="3" t="s">
        <v>3064</v>
      </c>
      <c r="E715" s="3">
        <v>20602477402</v>
      </c>
      <c r="F715" s="3" t="s">
        <v>3065</v>
      </c>
      <c r="G715" s="3" t="s">
        <v>3066</v>
      </c>
      <c r="H715" s="3" t="s">
        <v>18</v>
      </c>
      <c r="I715" s="3" t="s">
        <v>18</v>
      </c>
      <c r="J715" s="3" t="s">
        <v>2859</v>
      </c>
      <c r="K715" s="3" t="s">
        <v>1448</v>
      </c>
      <c r="L715" s="4">
        <v>43617</v>
      </c>
      <c r="M715" s="3" t="s">
        <v>21</v>
      </c>
      <c r="N715" s="3" t="s">
        <v>3067</v>
      </c>
    </row>
    <row r="716" spans="1:14" ht="13.5">
      <c r="A716" s="5">
        <v>710</v>
      </c>
      <c r="B716" s="5" t="str">
        <f t="shared" si="9"/>
        <v>201900078808</v>
      </c>
      <c r="C716" s="5" t="str">
        <f>"143911"</f>
        <v>143911</v>
      </c>
      <c r="D716" s="5" t="s">
        <v>3068</v>
      </c>
      <c r="E716" s="5">
        <v>20100136741</v>
      </c>
      <c r="F716" s="5" t="s">
        <v>3069</v>
      </c>
      <c r="G716" s="5" t="s">
        <v>3070</v>
      </c>
      <c r="H716" s="5" t="s">
        <v>18</v>
      </c>
      <c r="I716" s="5" t="s">
        <v>18</v>
      </c>
      <c r="J716" s="5" t="s">
        <v>1742</v>
      </c>
      <c r="K716" s="5" t="s">
        <v>97</v>
      </c>
      <c r="L716" s="6">
        <v>43617</v>
      </c>
      <c r="M716" s="5" t="s">
        <v>21</v>
      </c>
      <c r="N716" s="5" t="s">
        <v>3071</v>
      </c>
    </row>
    <row r="717" spans="1:14" ht="13.5">
      <c r="A717" s="3">
        <v>711</v>
      </c>
      <c r="B717" s="3" t="str">
        <f t="shared" si="9"/>
        <v>201900078808</v>
      </c>
      <c r="C717" s="3" t="str">
        <f>"143912"</f>
        <v>143912</v>
      </c>
      <c r="D717" s="3" t="s">
        <v>3072</v>
      </c>
      <c r="E717" s="3">
        <v>20259033072</v>
      </c>
      <c r="F717" s="3" t="s">
        <v>3073</v>
      </c>
      <c r="G717" s="3" t="s">
        <v>3074</v>
      </c>
      <c r="H717" s="3" t="s">
        <v>18</v>
      </c>
      <c r="I717" s="3" t="s">
        <v>18</v>
      </c>
      <c r="J717" s="3" t="s">
        <v>1742</v>
      </c>
      <c r="K717" s="3" t="s">
        <v>36</v>
      </c>
      <c r="L717" s="4">
        <v>43617</v>
      </c>
      <c r="M717" s="3" t="s">
        <v>21</v>
      </c>
      <c r="N717" s="3" t="s">
        <v>3075</v>
      </c>
    </row>
    <row r="718" spans="1:14" ht="13.5">
      <c r="A718" s="5">
        <v>712</v>
      </c>
      <c r="B718" s="5" t="str">
        <f t="shared" si="9"/>
        <v>201900078808</v>
      </c>
      <c r="C718" s="5" t="str">
        <f>"143913"</f>
        <v>143913</v>
      </c>
      <c r="D718" s="5" t="s">
        <v>3076</v>
      </c>
      <c r="E718" s="5">
        <v>20298506581</v>
      </c>
      <c r="F718" s="5" t="s">
        <v>3077</v>
      </c>
      <c r="G718" s="5" t="s">
        <v>3078</v>
      </c>
      <c r="H718" s="5" t="s">
        <v>18</v>
      </c>
      <c r="I718" s="5" t="s">
        <v>18</v>
      </c>
      <c r="J718" s="5" t="s">
        <v>1742</v>
      </c>
      <c r="K718" s="5" t="s">
        <v>3079</v>
      </c>
      <c r="L718" s="6">
        <v>43617</v>
      </c>
      <c r="M718" s="5" t="s">
        <v>21</v>
      </c>
      <c r="N718" s="5" t="s">
        <v>3080</v>
      </c>
    </row>
    <row r="719" spans="1:14" ht="27.75">
      <c r="A719" s="3">
        <v>713</v>
      </c>
      <c r="B719" s="3" t="str">
        <f t="shared" si="9"/>
        <v>201900078808</v>
      </c>
      <c r="C719" s="3" t="str">
        <f>"143914"</f>
        <v>143914</v>
      </c>
      <c r="D719" s="3" t="s">
        <v>3081</v>
      </c>
      <c r="E719" s="3">
        <v>20379340114</v>
      </c>
      <c r="F719" s="3" t="s">
        <v>3082</v>
      </c>
      <c r="G719" s="3" t="s">
        <v>3083</v>
      </c>
      <c r="H719" s="3" t="s">
        <v>18</v>
      </c>
      <c r="I719" s="3" t="s">
        <v>18</v>
      </c>
      <c r="J719" s="3" t="s">
        <v>1742</v>
      </c>
      <c r="K719" s="3" t="s">
        <v>97</v>
      </c>
      <c r="L719" s="4">
        <v>43617</v>
      </c>
      <c r="M719" s="3" t="s">
        <v>21</v>
      </c>
      <c r="N719" s="3" t="s">
        <v>3084</v>
      </c>
    </row>
    <row r="720" spans="1:14" ht="27.75">
      <c r="A720" s="5">
        <v>714</v>
      </c>
      <c r="B720" s="5" t="str">
        <f t="shared" si="9"/>
        <v>201900078808</v>
      </c>
      <c r="C720" s="5" t="str">
        <f>"143915"</f>
        <v>143915</v>
      </c>
      <c r="D720" s="5" t="s">
        <v>3085</v>
      </c>
      <c r="E720" s="5">
        <v>20506151547</v>
      </c>
      <c r="F720" s="5" t="s">
        <v>3086</v>
      </c>
      <c r="G720" s="5" t="s">
        <v>3087</v>
      </c>
      <c r="H720" s="5" t="s">
        <v>18</v>
      </c>
      <c r="I720" s="5" t="s">
        <v>18</v>
      </c>
      <c r="J720" s="5" t="s">
        <v>1742</v>
      </c>
      <c r="K720" s="5" t="s">
        <v>36</v>
      </c>
      <c r="L720" s="6">
        <v>43617</v>
      </c>
      <c r="M720" s="5" t="s">
        <v>21</v>
      </c>
      <c r="N720" s="5" t="s">
        <v>3088</v>
      </c>
    </row>
    <row r="721" spans="1:14" ht="13.5">
      <c r="A721" s="3">
        <v>715</v>
      </c>
      <c r="B721" s="3" t="str">
        <f>"201900078846"</f>
        <v>201900078846</v>
      </c>
      <c r="C721" s="3" t="str">
        <f>"144117"</f>
        <v>144117</v>
      </c>
      <c r="D721" s="3" t="s">
        <v>3089</v>
      </c>
      <c r="E721" s="3">
        <v>10005015516</v>
      </c>
      <c r="F721" s="3" t="s">
        <v>3090</v>
      </c>
      <c r="G721" s="3" t="s">
        <v>3091</v>
      </c>
      <c r="H721" s="3" t="s">
        <v>743</v>
      </c>
      <c r="I721" s="3" t="s">
        <v>743</v>
      </c>
      <c r="J721" s="3" t="s">
        <v>3092</v>
      </c>
      <c r="K721" s="3" t="s">
        <v>97</v>
      </c>
      <c r="L721" s="4">
        <v>43617</v>
      </c>
      <c r="M721" s="3" t="s">
        <v>21</v>
      </c>
      <c r="N721" s="3" t="s">
        <v>3090</v>
      </c>
    </row>
    <row r="722" spans="1:14" ht="27.75">
      <c r="A722" s="5">
        <v>716</v>
      </c>
      <c r="B722" s="5" t="str">
        <f>"201900078808"</f>
        <v>201900078808</v>
      </c>
      <c r="C722" s="5" t="str">
        <f>"143916"</f>
        <v>143916</v>
      </c>
      <c r="D722" s="5" t="s">
        <v>3093</v>
      </c>
      <c r="E722" s="5">
        <v>20536377019</v>
      </c>
      <c r="F722" s="5" t="s">
        <v>3094</v>
      </c>
      <c r="G722" s="5" t="s">
        <v>3095</v>
      </c>
      <c r="H722" s="5" t="s">
        <v>18</v>
      </c>
      <c r="I722" s="5" t="s">
        <v>18</v>
      </c>
      <c r="J722" s="5" t="s">
        <v>1742</v>
      </c>
      <c r="K722" s="5" t="s">
        <v>137</v>
      </c>
      <c r="L722" s="6">
        <v>43617</v>
      </c>
      <c r="M722" s="5" t="s">
        <v>21</v>
      </c>
      <c r="N722" s="5" t="s">
        <v>3096</v>
      </c>
    </row>
    <row r="723" spans="1:14" ht="42">
      <c r="A723" s="3">
        <v>717</v>
      </c>
      <c r="B723" s="3" t="str">
        <f>"202000087064"</f>
        <v>202000087064</v>
      </c>
      <c r="C723" s="3" t="str">
        <f>"150084"</f>
        <v>150084</v>
      </c>
      <c r="D723" s="3" t="s">
        <v>3097</v>
      </c>
      <c r="E723" s="3">
        <v>20604466467</v>
      </c>
      <c r="F723" s="3" t="s">
        <v>3098</v>
      </c>
      <c r="G723" s="3" t="s">
        <v>3099</v>
      </c>
      <c r="H723" s="3" t="s">
        <v>18</v>
      </c>
      <c r="I723" s="3" t="s">
        <v>18</v>
      </c>
      <c r="J723" s="3" t="s">
        <v>168</v>
      </c>
      <c r="K723" s="3" t="s">
        <v>42</v>
      </c>
      <c r="L723" s="4">
        <v>44041</v>
      </c>
      <c r="M723" s="3" t="s">
        <v>21</v>
      </c>
      <c r="N723" s="3" t="s">
        <v>3100</v>
      </c>
    </row>
    <row r="724" spans="1:14" ht="13.5">
      <c r="A724" s="5">
        <v>718</v>
      </c>
      <c r="B724" s="5" t="str">
        <f>"201900078846"</f>
        <v>201900078846</v>
      </c>
      <c r="C724" s="5" t="str">
        <f>"144118"</f>
        <v>144118</v>
      </c>
      <c r="D724" s="5" t="s">
        <v>3101</v>
      </c>
      <c r="E724" s="5">
        <v>20325811880</v>
      </c>
      <c r="F724" s="5" t="s">
        <v>3102</v>
      </c>
      <c r="G724" s="5" t="s">
        <v>3103</v>
      </c>
      <c r="H724" s="5" t="s">
        <v>743</v>
      </c>
      <c r="I724" s="5" t="s">
        <v>743</v>
      </c>
      <c r="J724" s="5" t="s">
        <v>3092</v>
      </c>
      <c r="K724" s="5" t="s">
        <v>97</v>
      </c>
      <c r="L724" s="6">
        <v>43617</v>
      </c>
      <c r="M724" s="5" t="s">
        <v>21</v>
      </c>
      <c r="N724" s="5" t="s">
        <v>3104</v>
      </c>
    </row>
    <row r="725" spans="1:14" ht="13.5">
      <c r="A725" s="3">
        <v>719</v>
      </c>
      <c r="B725" s="3" t="str">
        <f>"201900078844"</f>
        <v>201900078844</v>
      </c>
      <c r="C725" s="3" t="str">
        <f>"144109"</f>
        <v>144109</v>
      </c>
      <c r="D725" s="3" t="s">
        <v>3105</v>
      </c>
      <c r="E725" s="3">
        <v>10011624966</v>
      </c>
      <c r="F725" s="3" t="s">
        <v>2027</v>
      </c>
      <c r="G725" s="3" t="s">
        <v>3106</v>
      </c>
      <c r="H725" s="3" t="s">
        <v>102</v>
      </c>
      <c r="I725" s="3" t="s">
        <v>102</v>
      </c>
      <c r="J725" s="3" t="s">
        <v>3107</v>
      </c>
      <c r="K725" s="3" t="s">
        <v>51</v>
      </c>
      <c r="L725" s="4">
        <v>43617</v>
      </c>
      <c r="M725" s="3" t="s">
        <v>21</v>
      </c>
      <c r="N725" s="3" t="s">
        <v>2027</v>
      </c>
    </row>
    <row r="726" spans="1:14" ht="13.5">
      <c r="A726" s="5">
        <v>720</v>
      </c>
      <c r="B726" s="5" t="str">
        <f>"201900078844"</f>
        <v>201900078844</v>
      </c>
      <c r="C726" s="5" t="str">
        <f>"144108"</f>
        <v>144108</v>
      </c>
      <c r="D726" s="5" t="s">
        <v>3108</v>
      </c>
      <c r="E726" s="5">
        <v>20572281729</v>
      </c>
      <c r="F726" s="5" t="s">
        <v>3109</v>
      </c>
      <c r="G726" s="5" t="s">
        <v>3110</v>
      </c>
      <c r="H726" s="5" t="s">
        <v>102</v>
      </c>
      <c r="I726" s="5" t="s">
        <v>102</v>
      </c>
      <c r="J726" s="5" t="s">
        <v>3051</v>
      </c>
      <c r="K726" s="5" t="s">
        <v>51</v>
      </c>
      <c r="L726" s="6">
        <v>43617</v>
      </c>
      <c r="M726" s="5" t="s">
        <v>21</v>
      </c>
      <c r="N726" s="5" t="s">
        <v>3111</v>
      </c>
    </row>
    <row r="727" spans="1:14" ht="83.25">
      <c r="A727" s="3">
        <v>721</v>
      </c>
      <c r="B727" s="3" t="str">
        <f>"201900103907"</f>
        <v>201900103907</v>
      </c>
      <c r="C727" s="3" t="str">
        <f>"144111"</f>
        <v>144111</v>
      </c>
      <c r="D727" s="3" t="s">
        <v>3112</v>
      </c>
      <c r="E727" s="3">
        <v>20572168086</v>
      </c>
      <c r="F727" s="3" t="s">
        <v>3113</v>
      </c>
      <c r="G727" s="3" t="s">
        <v>3114</v>
      </c>
      <c r="H727" s="3" t="s">
        <v>102</v>
      </c>
      <c r="I727" s="3" t="s">
        <v>102</v>
      </c>
      <c r="J727" s="3" t="s">
        <v>3051</v>
      </c>
      <c r="K727" s="3" t="s">
        <v>3115</v>
      </c>
      <c r="L727" s="4">
        <v>43650</v>
      </c>
      <c r="M727" s="3" t="s">
        <v>21</v>
      </c>
      <c r="N727" s="3" t="s">
        <v>3116</v>
      </c>
    </row>
    <row r="728" spans="1:14" ht="13.5">
      <c r="A728" s="5">
        <v>722</v>
      </c>
      <c r="B728" s="5" t="str">
        <f>"201900078844"</f>
        <v>201900078844</v>
      </c>
      <c r="C728" s="5" t="str">
        <f>"144110"</f>
        <v>144110</v>
      </c>
      <c r="D728" s="5" t="s">
        <v>3117</v>
      </c>
      <c r="E728" s="5">
        <v>20531485905</v>
      </c>
      <c r="F728" s="5" t="s">
        <v>3118</v>
      </c>
      <c r="G728" s="5" t="s">
        <v>3119</v>
      </c>
      <c r="H728" s="5" t="s">
        <v>102</v>
      </c>
      <c r="I728" s="5" t="s">
        <v>102</v>
      </c>
      <c r="J728" s="5" t="s">
        <v>3107</v>
      </c>
      <c r="K728" s="5" t="s">
        <v>51</v>
      </c>
      <c r="L728" s="6">
        <v>43617</v>
      </c>
      <c r="M728" s="5" t="s">
        <v>21</v>
      </c>
      <c r="N728" s="5" t="s">
        <v>3120</v>
      </c>
    </row>
    <row r="729" spans="1:14" ht="13.5">
      <c r="A729" s="3">
        <v>723</v>
      </c>
      <c r="B729" s="3" t="str">
        <f>"201900078808"</f>
        <v>201900078808</v>
      </c>
      <c r="C729" s="3" t="str">
        <f>"143918"</f>
        <v>143918</v>
      </c>
      <c r="D729" s="3" t="s">
        <v>3121</v>
      </c>
      <c r="E729" s="3">
        <v>20546121250</v>
      </c>
      <c r="F729" s="3" t="s">
        <v>3122</v>
      </c>
      <c r="G729" s="3" t="s">
        <v>3123</v>
      </c>
      <c r="H729" s="3" t="s">
        <v>18</v>
      </c>
      <c r="I729" s="3" t="s">
        <v>18</v>
      </c>
      <c r="J729" s="3" t="s">
        <v>1742</v>
      </c>
      <c r="K729" s="3" t="s">
        <v>51</v>
      </c>
      <c r="L729" s="4">
        <v>43617</v>
      </c>
      <c r="M729" s="3" t="s">
        <v>21</v>
      </c>
      <c r="N729" s="3" t="s">
        <v>3124</v>
      </c>
    </row>
    <row r="730" spans="1:14" ht="13.5">
      <c r="A730" s="5">
        <v>724</v>
      </c>
      <c r="B730" s="5" t="str">
        <f>"202000085585"</f>
        <v>202000085585</v>
      </c>
      <c r="C730" s="5" t="str">
        <f>"150088"</f>
        <v>150088</v>
      </c>
      <c r="D730" s="5" t="s">
        <v>3125</v>
      </c>
      <c r="E730" s="5">
        <v>20514380270</v>
      </c>
      <c r="F730" s="5" t="s">
        <v>3126</v>
      </c>
      <c r="G730" s="5" t="s">
        <v>3127</v>
      </c>
      <c r="H730" s="5" t="s">
        <v>18</v>
      </c>
      <c r="I730" s="5" t="s">
        <v>18</v>
      </c>
      <c r="J730" s="5" t="s">
        <v>537</v>
      </c>
      <c r="K730" s="5" t="s">
        <v>51</v>
      </c>
      <c r="L730" s="6">
        <v>44105</v>
      </c>
      <c r="M730" s="5" t="s">
        <v>21</v>
      </c>
      <c r="N730" s="5" t="s">
        <v>3128</v>
      </c>
    </row>
    <row r="731" spans="1:14" ht="13.5">
      <c r="A731" s="3">
        <v>725</v>
      </c>
      <c r="B731" s="3" t="str">
        <f>"201900078844"</f>
        <v>201900078844</v>
      </c>
      <c r="C731" s="3" t="str">
        <f>"144113"</f>
        <v>144113</v>
      </c>
      <c r="D731" s="3" t="s">
        <v>3129</v>
      </c>
      <c r="E731" s="3">
        <v>20516430622</v>
      </c>
      <c r="F731" s="3" t="s">
        <v>3130</v>
      </c>
      <c r="G731" s="3" t="s">
        <v>3131</v>
      </c>
      <c r="H731" s="3" t="s">
        <v>102</v>
      </c>
      <c r="I731" s="3" t="s">
        <v>112</v>
      </c>
      <c r="J731" s="3" t="s">
        <v>112</v>
      </c>
      <c r="K731" s="3" t="s">
        <v>51</v>
      </c>
      <c r="L731" s="4">
        <v>43617</v>
      </c>
      <c r="M731" s="3" t="s">
        <v>21</v>
      </c>
      <c r="N731" s="3" t="s">
        <v>3132</v>
      </c>
    </row>
    <row r="732" spans="1:14" ht="139.5">
      <c r="A732" s="5">
        <v>726</v>
      </c>
      <c r="B732" s="5" t="str">
        <f>"201900200445"</f>
        <v>201900200445</v>
      </c>
      <c r="C732" s="5" t="str">
        <f>"148121"</f>
        <v>148121</v>
      </c>
      <c r="D732" s="5" t="s">
        <v>3133</v>
      </c>
      <c r="E732" s="5">
        <v>20604989087</v>
      </c>
      <c r="F732" s="5" t="s">
        <v>3134</v>
      </c>
      <c r="G732" s="5" t="s">
        <v>3135</v>
      </c>
      <c r="H732" s="5" t="s">
        <v>18</v>
      </c>
      <c r="I732" s="5" t="s">
        <v>18</v>
      </c>
      <c r="J732" s="5" t="s">
        <v>3136</v>
      </c>
      <c r="K732" s="5" t="s">
        <v>3137</v>
      </c>
      <c r="L732" s="6">
        <v>43809</v>
      </c>
      <c r="M732" s="5" t="s">
        <v>21</v>
      </c>
      <c r="N732" s="5" t="s">
        <v>3138</v>
      </c>
    </row>
    <row r="733" spans="1:14" ht="13.5">
      <c r="A733" s="3">
        <v>727</v>
      </c>
      <c r="B733" s="3" t="str">
        <f>"201900078808"</f>
        <v>201900078808</v>
      </c>
      <c r="C733" s="3" t="str">
        <f>"143917"</f>
        <v>143917</v>
      </c>
      <c r="D733" s="3" t="s">
        <v>3139</v>
      </c>
      <c r="E733" s="3">
        <v>20543206718</v>
      </c>
      <c r="F733" s="3" t="s">
        <v>3140</v>
      </c>
      <c r="G733" s="3" t="s">
        <v>3141</v>
      </c>
      <c r="H733" s="3" t="s">
        <v>18</v>
      </c>
      <c r="I733" s="3" t="s">
        <v>18</v>
      </c>
      <c r="J733" s="3" t="s">
        <v>1742</v>
      </c>
      <c r="K733" s="3" t="s">
        <v>97</v>
      </c>
      <c r="L733" s="4">
        <v>43617</v>
      </c>
      <c r="M733" s="3" t="s">
        <v>21</v>
      </c>
      <c r="N733" s="3" t="s">
        <v>3142</v>
      </c>
    </row>
    <row r="734" spans="1:14" ht="13.5">
      <c r="A734" s="5">
        <v>728</v>
      </c>
      <c r="B734" s="5" t="str">
        <f>"201900078844"</f>
        <v>201900078844</v>
      </c>
      <c r="C734" s="5" t="str">
        <f>"144112"</f>
        <v>144112</v>
      </c>
      <c r="D734" s="5" t="s">
        <v>3143</v>
      </c>
      <c r="E734" s="5">
        <v>20450302610</v>
      </c>
      <c r="F734" s="5" t="s">
        <v>3144</v>
      </c>
      <c r="G734" s="5" t="s">
        <v>3145</v>
      </c>
      <c r="H734" s="5" t="s">
        <v>102</v>
      </c>
      <c r="I734" s="5" t="s">
        <v>112</v>
      </c>
      <c r="J734" s="5" t="s">
        <v>112</v>
      </c>
      <c r="K734" s="5" t="s">
        <v>51</v>
      </c>
      <c r="L734" s="6">
        <v>43617</v>
      </c>
      <c r="M734" s="5" t="s">
        <v>21</v>
      </c>
      <c r="N734" s="5" t="s">
        <v>3146</v>
      </c>
    </row>
    <row r="735" spans="1:14" ht="42">
      <c r="A735" s="3">
        <v>729</v>
      </c>
      <c r="B735" s="3" t="str">
        <f>"201900078808"</f>
        <v>201900078808</v>
      </c>
      <c r="C735" s="3" t="str">
        <f>"143920"</f>
        <v>143920</v>
      </c>
      <c r="D735" s="3" t="s">
        <v>3147</v>
      </c>
      <c r="E735" s="3">
        <v>10065705538</v>
      </c>
      <c r="F735" s="3" t="s">
        <v>3148</v>
      </c>
      <c r="G735" s="3" t="s">
        <v>3149</v>
      </c>
      <c r="H735" s="3" t="s">
        <v>18</v>
      </c>
      <c r="I735" s="3" t="s">
        <v>18</v>
      </c>
      <c r="J735" s="3" t="s">
        <v>1805</v>
      </c>
      <c r="K735" s="3" t="s">
        <v>3150</v>
      </c>
      <c r="L735" s="4">
        <v>43617</v>
      </c>
      <c r="M735" s="3" t="s">
        <v>21</v>
      </c>
      <c r="N735" s="3" t="s">
        <v>3151</v>
      </c>
    </row>
    <row r="736" spans="1:14" ht="13.5">
      <c r="A736" s="5">
        <v>730</v>
      </c>
      <c r="B736" s="5" t="str">
        <f>"201900078846"</f>
        <v>201900078846</v>
      </c>
      <c r="C736" s="5" t="str">
        <f>"144115"</f>
        <v>144115</v>
      </c>
      <c r="D736" s="5" t="s">
        <v>3152</v>
      </c>
      <c r="E736" s="5">
        <v>20519754054</v>
      </c>
      <c r="F736" s="5" t="s">
        <v>3153</v>
      </c>
      <c r="G736" s="5" t="s">
        <v>3154</v>
      </c>
      <c r="H736" s="5" t="s">
        <v>743</v>
      </c>
      <c r="I736" s="5" t="s">
        <v>743</v>
      </c>
      <c r="J736" s="5" t="s">
        <v>3155</v>
      </c>
      <c r="K736" s="5" t="s">
        <v>97</v>
      </c>
      <c r="L736" s="6">
        <v>43617</v>
      </c>
      <c r="M736" s="5" t="s">
        <v>21</v>
      </c>
      <c r="N736" s="5" t="s">
        <v>3156</v>
      </c>
    </row>
    <row r="737" spans="1:14" ht="13.5">
      <c r="A737" s="3">
        <v>731</v>
      </c>
      <c r="B737" s="3" t="str">
        <f>"201900078846"</f>
        <v>201900078846</v>
      </c>
      <c r="C737" s="3" t="str">
        <f>"144114"</f>
        <v>144114</v>
      </c>
      <c r="D737" s="3" t="s">
        <v>3157</v>
      </c>
      <c r="E737" s="3">
        <v>10006659981</v>
      </c>
      <c r="F737" s="3" t="s">
        <v>3158</v>
      </c>
      <c r="G737" s="3" t="s">
        <v>3159</v>
      </c>
      <c r="H737" s="3" t="s">
        <v>743</v>
      </c>
      <c r="I737" s="3" t="s">
        <v>3160</v>
      </c>
      <c r="J737" s="3" t="s">
        <v>3160</v>
      </c>
      <c r="K737" s="3" t="s">
        <v>97</v>
      </c>
      <c r="L737" s="4">
        <v>43617</v>
      </c>
      <c r="M737" s="3" t="s">
        <v>21</v>
      </c>
      <c r="N737" s="3" t="s">
        <v>3161</v>
      </c>
    </row>
    <row r="738" spans="1:14" ht="42">
      <c r="A738" s="5">
        <v>732</v>
      </c>
      <c r="B738" s="5" t="str">
        <f>"201900078808"</f>
        <v>201900078808</v>
      </c>
      <c r="C738" s="5" t="str">
        <f>"143919"</f>
        <v>143919</v>
      </c>
      <c r="D738" s="5" t="s">
        <v>3162</v>
      </c>
      <c r="E738" s="5">
        <v>20563701537</v>
      </c>
      <c r="F738" s="5" t="s">
        <v>3163</v>
      </c>
      <c r="G738" s="5" t="s">
        <v>3164</v>
      </c>
      <c r="H738" s="5" t="s">
        <v>18</v>
      </c>
      <c r="I738" s="5" t="s">
        <v>18</v>
      </c>
      <c r="J738" s="5" t="s">
        <v>1742</v>
      </c>
      <c r="K738" s="5" t="s">
        <v>3165</v>
      </c>
      <c r="L738" s="6">
        <v>43617</v>
      </c>
      <c r="M738" s="5" t="s">
        <v>21</v>
      </c>
      <c r="N738" s="5" t="s">
        <v>3166</v>
      </c>
    </row>
    <row r="739" spans="1:14" ht="13.5">
      <c r="A739" s="3">
        <v>733</v>
      </c>
      <c r="B739" s="3" t="str">
        <f>"201900078846"</f>
        <v>201900078846</v>
      </c>
      <c r="C739" s="3" t="str">
        <f>"144116"</f>
        <v>144116</v>
      </c>
      <c r="D739" s="3" t="s">
        <v>3167</v>
      </c>
      <c r="E739" s="3">
        <v>20519968445</v>
      </c>
      <c r="F739" s="3" t="s">
        <v>3168</v>
      </c>
      <c r="G739" s="3" t="s">
        <v>3169</v>
      </c>
      <c r="H739" s="3" t="s">
        <v>743</v>
      </c>
      <c r="I739" s="3" t="s">
        <v>743</v>
      </c>
      <c r="J739" s="3" t="s">
        <v>3155</v>
      </c>
      <c r="K739" s="3" t="s">
        <v>51</v>
      </c>
      <c r="L739" s="4">
        <v>43617</v>
      </c>
      <c r="M739" s="3" t="s">
        <v>21</v>
      </c>
      <c r="N739" s="3" t="s">
        <v>3170</v>
      </c>
    </row>
    <row r="740" spans="1:14" ht="13.5">
      <c r="A740" s="5">
        <v>734</v>
      </c>
      <c r="B740" s="5" t="str">
        <f>"201900117226"</f>
        <v>201900117226</v>
      </c>
      <c r="C740" s="5" t="str">
        <f>"145351"</f>
        <v>145351</v>
      </c>
      <c r="D740" s="5" t="s">
        <v>3171</v>
      </c>
      <c r="E740" s="5">
        <v>20451423704</v>
      </c>
      <c r="F740" s="5" t="s">
        <v>3172</v>
      </c>
      <c r="G740" s="5" t="s">
        <v>3173</v>
      </c>
      <c r="H740" s="5" t="s">
        <v>85</v>
      </c>
      <c r="I740" s="5" t="s">
        <v>197</v>
      </c>
      <c r="J740" s="5" t="s">
        <v>198</v>
      </c>
      <c r="K740" s="5" t="s">
        <v>97</v>
      </c>
      <c r="L740" s="6">
        <v>43665</v>
      </c>
      <c r="M740" s="5" t="s">
        <v>21</v>
      </c>
      <c r="N740" s="5" t="s">
        <v>3174</v>
      </c>
    </row>
    <row r="741" spans="1:14" ht="13.5">
      <c r="A741" s="3">
        <v>735</v>
      </c>
      <c r="B741" s="3" t="str">
        <f>"202000039360"</f>
        <v>202000039360</v>
      </c>
      <c r="C741" s="3" t="str">
        <f>"149438"</f>
        <v>149438</v>
      </c>
      <c r="D741" s="3" t="s">
        <v>3175</v>
      </c>
      <c r="E741" s="3">
        <v>10310411383</v>
      </c>
      <c r="F741" s="3" t="s">
        <v>3176</v>
      </c>
      <c r="G741" s="3" t="s">
        <v>3177</v>
      </c>
      <c r="H741" s="3" t="s">
        <v>1830</v>
      </c>
      <c r="I741" s="3" t="s">
        <v>3178</v>
      </c>
      <c r="J741" s="3" t="s">
        <v>3178</v>
      </c>
      <c r="K741" s="3" t="s">
        <v>36</v>
      </c>
      <c r="L741" s="4">
        <v>43903</v>
      </c>
      <c r="M741" s="3" t="s">
        <v>21</v>
      </c>
      <c r="N741" s="3" t="s">
        <v>3176</v>
      </c>
    </row>
    <row r="742" spans="1:14" ht="13.5">
      <c r="A742" s="5">
        <v>736</v>
      </c>
      <c r="B742" s="5" t="str">
        <f>"201900078808"</f>
        <v>201900078808</v>
      </c>
      <c r="C742" s="5" t="str">
        <f>"143884"</f>
        <v>143884</v>
      </c>
      <c r="D742" s="5" t="s">
        <v>3179</v>
      </c>
      <c r="E742" s="5">
        <v>20509798819</v>
      </c>
      <c r="F742" s="5" t="s">
        <v>3180</v>
      </c>
      <c r="G742" s="5" t="s">
        <v>3181</v>
      </c>
      <c r="H742" s="5" t="s">
        <v>18</v>
      </c>
      <c r="I742" s="5" t="s">
        <v>18</v>
      </c>
      <c r="J742" s="5" t="s">
        <v>168</v>
      </c>
      <c r="K742" s="5" t="s">
        <v>3182</v>
      </c>
      <c r="L742" s="6">
        <v>43617</v>
      </c>
      <c r="M742" s="5" t="s">
        <v>21</v>
      </c>
      <c r="N742" s="5" t="s">
        <v>3183</v>
      </c>
    </row>
    <row r="743" spans="1:14" ht="42">
      <c r="A743" s="3">
        <v>737</v>
      </c>
      <c r="B743" s="3" t="str">
        <f>"201900078808"</f>
        <v>201900078808</v>
      </c>
      <c r="C743" s="3" t="str">
        <f>"143883"</f>
        <v>143883</v>
      </c>
      <c r="D743" s="3" t="s">
        <v>3184</v>
      </c>
      <c r="E743" s="3">
        <v>20503934885</v>
      </c>
      <c r="F743" s="3" t="s">
        <v>3185</v>
      </c>
      <c r="G743" s="3" t="s">
        <v>3186</v>
      </c>
      <c r="H743" s="3" t="s">
        <v>18</v>
      </c>
      <c r="I743" s="3" t="s">
        <v>18</v>
      </c>
      <c r="J743" s="3" t="s">
        <v>168</v>
      </c>
      <c r="K743" s="3" t="s">
        <v>51</v>
      </c>
      <c r="L743" s="4">
        <v>43617</v>
      </c>
      <c r="M743" s="3" t="s">
        <v>21</v>
      </c>
      <c r="N743" s="3" t="s">
        <v>3187</v>
      </c>
    </row>
    <row r="744" spans="1:14" ht="13.5">
      <c r="A744" s="5">
        <v>738</v>
      </c>
      <c r="B744" s="5" t="str">
        <f>"201900078808"</f>
        <v>201900078808</v>
      </c>
      <c r="C744" s="5" t="str">
        <f>"143882"</f>
        <v>143882</v>
      </c>
      <c r="D744" s="5" t="s">
        <v>3188</v>
      </c>
      <c r="E744" s="5">
        <v>20392677489</v>
      </c>
      <c r="F744" s="5" t="s">
        <v>3189</v>
      </c>
      <c r="G744" s="5" t="s">
        <v>3190</v>
      </c>
      <c r="H744" s="5" t="s">
        <v>18</v>
      </c>
      <c r="I744" s="5" t="s">
        <v>18</v>
      </c>
      <c r="J744" s="5" t="s">
        <v>168</v>
      </c>
      <c r="K744" s="5" t="s">
        <v>51</v>
      </c>
      <c r="L744" s="6">
        <v>43617</v>
      </c>
      <c r="M744" s="5" t="s">
        <v>21</v>
      </c>
      <c r="N744" s="5" t="s">
        <v>3191</v>
      </c>
    </row>
    <row r="745" spans="1:14" ht="27.75">
      <c r="A745" s="3">
        <v>739</v>
      </c>
      <c r="B745" s="3" t="str">
        <f>"201900078808"</f>
        <v>201900078808</v>
      </c>
      <c r="C745" s="3" t="str">
        <f>"143881"</f>
        <v>143881</v>
      </c>
      <c r="D745" s="3" t="s">
        <v>3192</v>
      </c>
      <c r="E745" s="3">
        <v>10423965288</v>
      </c>
      <c r="F745" s="3" t="s">
        <v>3193</v>
      </c>
      <c r="G745" s="3" t="s">
        <v>3194</v>
      </c>
      <c r="H745" s="3" t="s">
        <v>18</v>
      </c>
      <c r="I745" s="3" t="s">
        <v>18</v>
      </c>
      <c r="J745" s="3" t="s">
        <v>168</v>
      </c>
      <c r="K745" s="3" t="s">
        <v>51</v>
      </c>
      <c r="L745" s="4">
        <v>43617</v>
      </c>
      <c r="M745" s="3" t="s">
        <v>21</v>
      </c>
      <c r="N745" s="3" t="s">
        <v>3195</v>
      </c>
    </row>
    <row r="746" spans="1:14" ht="13.5">
      <c r="A746" s="5">
        <v>740</v>
      </c>
      <c r="B746" s="5" t="str">
        <f>"202000039201"</f>
        <v>202000039201</v>
      </c>
      <c r="C746" s="5" t="str">
        <f>"149437"</f>
        <v>149437</v>
      </c>
      <c r="D746" s="5" t="s">
        <v>3196</v>
      </c>
      <c r="E746" s="5">
        <v>20321656219</v>
      </c>
      <c r="F746" s="5" t="s">
        <v>3197</v>
      </c>
      <c r="G746" s="5" t="s">
        <v>3198</v>
      </c>
      <c r="H746" s="5" t="s">
        <v>150</v>
      </c>
      <c r="I746" s="5" t="s">
        <v>260</v>
      </c>
      <c r="J746" s="5" t="s">
        <v>150</v>
      </c>
      <c r="K746" s="5" t="s">
        <v>36</v>
      </c>
      <c r="L746" s="6">
        <v>43901</v>
      </c>
      <c r="M746" s="5" t="s">
        <v>21</v>
      </c>
      <c r="N746" s="5" t="s">
        <v>3199</v>
      </c>
    </row>
    <row r="747" spans="1:14" ht="27.75">
      <c r="A747" s="3">
        <v>741</v>
      </c>
      <c r="B747" s="3" t="str">
        <f aca="true" t="shared" si="10" ref="B747:B755">"201900078808"</f>
        <v>201900078808</v>
      </c>
      <c r="C747" s="3" t="str">
        <f>"143880"</f>
        <v>143880</v>
      </c>
      <c r="D747" s="3" t="s">
        <v>3200</v>
      </c>
      <c r="E747" s="3">
        <v>10333442189</v>
      </c>
      <c r="F747" s="3" t="s">
        <v>3201</v>
      </c>
      <c r="G747" s="3" t="s">
        <v>3202</v>
      </c>
      <c r="H747" s="3" t="s">
        <v>18</v>
      </c>
      <c r="I747" s="3" t="s">
        <v>18</v>
      </c>
      <c r="J747" s="3" t="s">
        <v>168</v>
      </c>
      <c r="K747" s="3" t="s">
        <v>51</v>
      </c>
      <c r="L747" s="4">
        <v>43617</v>
      </c>
      <c r="M747" s="3" t="s">
        <v>21</v>
      </c>
      <c r="N747" s="3" t="s">
        <v>3201</v>
      </c>
    </row>
    <row r="748" spans="1:14" ht="27.75">
      <c r="A748" s="5">
        <v>742</v>
      </c>
      <c r="B748" s="5" t="str">
        <f t="shared" si="10"/>
        <v>201900078808</v>
      </c>
      <c r="C748" s="5" t="str">
        <f>"143879"</f>
        <v>143879</v>
      </c>
      <c r="D748" s="5" t="s">
        <v>3203</v>
      </c>
      <c r="E748" s="5">
        <v>20603378092</v>
      </c>
      <c r="F748" s="5" t="s">
        <v>3204</v>
      </c>
      <c r="G748" s="5" t="s">
        <v>3205</v>
      </c>
      <c r="H748" s="5" t="s">
        <v>18</v>
      </c>
      <c r="I748" s="5" t="s">
        <v>18</v>
      </c>
      <c r="J748" s="5" t="s">
        <v>3206</v>
      </c>
      <c r="K748" s="5" t="s">
        <v>51</v>
      </c>
      <c r="L748" s="6">
        <v>43617</v>
      </c>
      <c r="M748" s="5" t="s">
        <v>21</v>
      </c>
      <c r="N748" s="5" t="s">
        <v>3207</v>
      </c>
    </row>
    <row r="749" spans="1:14" ht="13.5">
      <c r="A749" s="3">
        <v>743</v>
      </c>
      <c r="B749" s="3" t="str">
        <f t="shared" si="10"/>
        <v>201900078808</v>
      </c>
      <c r="C749" s="3" t="str">
        <f>"143878"</f>
        <v>143878</v>
      </c>
      <c r="D749" s="3" t="s">
        <v>3208</v>
      </c>
      <c r="E749" s="3">
        <v>20600873947</v>
      </c>
      <c r="F749" s="3" t="s">
        <v>3209</v>
      </c>
      <c r="G749" s="3" t="s">
        <v>3210</v>
      </c>
      <c r="H749" s="3" t="s">
        <v>18</v>
      </c>
      <c r="I749" s="3" t="s">
        <v>18</v>
      </c>
      <c r="J749" s="3" t="s">
        <v>3206</v>
      </c>
      <c r="K749" s="3" t="s">
        <v>51</v>
      </c>
      <c r="L749" s="4">
        <v>43617</v>
      </c>
      <c r="M749" s="3" t="s">
        <v>21</v>
      </c>
      <c r="N749" s="3" t="s">
        <v>3211</v>
      </c>
    </row>
    <row r="750" spans="1:14" ht="13.5">
      <c r="A750" s="5">
        <v>744</v>
      </c>
      <c r="B750" s="5" t="str">
        <f t="shared" si="10"/>
        <v>201900078808</v>
      </c>
      <c r="C750" s="5" t="str">
        <f>"143877"</f>
        <v>143877</v>
      </c>
      <c r="D750" s="5" t="s">
        <v>3212</v>
      </c>
      <c r="E750" s="5">
        <v>20562954962</v>
      </c>
      <c r="F750" s="5" t="s">
        <v>3213</v>
      </c>
      <c r="G750" s="5" t="s">
        <v>3214</v>
      </c>
      <c r="H750" s="5" t="s">
        <v>18</v>
      </c>
      <c r="I750" s="5" t="s">
        <v>18</v>
      </c>
      <c r="J750" s="5" t="s">
        <v>3206</v>
      </c>
      <c r="K750" s="5" t="s">
        <v>36</v>
      </c>
      <c r="L750" s="6">
        <v>43617</v>
      </c>
      <c r="M750" s="5" t="s">
        <v>21</v>
      </c>
      <c r="N750" s="5" t="s">
        <v>3215</v>
      </c>
    </row>
    <row r="751" spans="1:14" ht="27.75">
      <c r="A751" s="3">
        <v>745</v>
      </c>
      <c r="B751" s="3" t="str">
        <f t="shared" si="10"/>
        <v>201900078808</v>
      </c>
      <c r="C751" s="3" t="str">
        <f>"143886"</f>
        <v>143886</v>
      </c>
      <c r="D751" s="3" t="s">
        <v>3216</v>
      </c>
      <c r="E751" s="3">
        <v>20516082918</v>
      </c>
      <c r="F751" s="3" t="s">
        <v>3217</v>
      </c>
      <c r="G751" s="3" t="s">
        <v>3218</v>
      </c>
      <c r="H751" s="3" t="s">
        <v>18</v>
      </c>
      <c r="I751" s="3" t="s">
        <v>18</v>
      </c>
      <c r="J751" s="3" t="s">
        <v>168</v>
      </c>
      <c r="K751" s="3" t="s">
        <v>3219</v>
      </c>
      <c r="L751" s="4">
        <v>43617</v>
      </c>
      <c r="M751" s="3" t="s">
        <v>21</v>
      </c>
      <c r="N751" s="3" t="s">
        <v>3220</v>
      </c>
    </row>
    <row r="752" spans="1:14" ht="27.75">
      <c r="A752" s="5">
        <v>746</v>
      </c>
      <c r="B752" s="5" t="str">
        <f t="shared" si="10"/>
        <v>201900078808</v>
      </c>
      <c r="C752" s="5" t="str">
        <f>"143885"</f>
        <v>143885</v>
      </c>
      <c r="D752" s="5" t="s">
        <v>3221</v>
      </c>
      <c r="E752" s="5">
        <v>20512081372</v>
      </c>
      <c r="F752" s="5" t="s">
        <v>3222</v>
      </c>
      <c r="G752" s="5" t="s">
        <v>3223</v>
      </c>
      <c r="H752" s="5" t="s">
        <v>18</v>
      </c>
      <c r="I752" s="5" t="s">
        <v>18</v>
      </c>
      <c r="J752" s="5" t="s">
        <v>168</v>
      </c>
      <c r="K752" s="5" t="s">
        <v>51</v>
      </c>
      <c r="L752" s="6">
        <v>43617</v>
      </c>
      <c r="M752" s="5" t="s">
        <v>21</v>
      </c>
      <c r="N752" s="5" t="s">
        <v>3224</v>
      </c>
    </row>
    <row r="753" spans="1:14" ht="27.75">
      <c r="A753" s="3">
        <v>747</v>
      </c>
      <c r="B753" s="3" t="str">
        <f t="shared" si="10"/>
        <v>201900078808</v>
      </c>
      <c r="C753" s="3" t="str">
        <f>"143887"</f>
        <v>143887</v>
      </c>
      <c r="D753" s="3" t="s">
        <v>3225</v>
      </c>
      <c r="E753" s="3">
        <v>20545067596</v>
      </c>
      <c r="F753" s="3" t="s">
        <v>3226</v>
      </c>
      <c r="G753" s="3" t="s">
        <v>3227</v>
      </c>
      <c r="H753" s="3" t="s">
        <v>18</v>
      </c>
      <c r="I753" s="3" t="s">
        <v>18</v>
      </c>
      <c r="J753" s="3" t="s">
        <v>168</v>
      </c>
      <c r="K753" s="3" t="s">
        <v>20</v>
      </c>
      <c r="L753" s="4">
        <v>43617</v>
      </c>
      <c r="M753" s="3" t="s">
        <v>21</v>
      </c>
      <c r="N753" s="3" t="s">
        <v>3228</v>
      </c>
    </row>
    <row r="754" spans="1:14" ht="13.5">
      <c r="A754" s="5">
        <v>748</v>
      </c>
      <c r="B754" s="5" t="str">
        <f t="shared" si="10"/>
        <v>201900078808</v>
      </c>
      <c r="C754" s="5" t="str">
        <f>"143893"</f>
        <v>143893</v>
      </c>
      <c r="D754" s="5" t="s">
        <v>3229</v>
      </c>
      <c r="E754" s="5">
        <v>20506120315</v>
      </c>
      <c r="F754" s="5" t="s">
        <v>3230</v>
      </c>
      <c r="G754" s="5" t="s">
        <v>3231</v>
      </c>
      <c r="H754" s="5" t="s">
        <v>18</v>
      </c>
      <c r="I754" s="5" t="s">
        <v>18</v>
      </c>
      <c r="J754" s="5" t="s">
        <v>248</v>
      </c>
      <c r="K754" s="5" t="s">
        <v>51</v>
      </c>
      <c r="L754" s="6">
        <v>43617</v>
      </c>
      <c r="M754" s="5" t="s">
        <v>21</v>
      </c>
      <c r="N754" s="5" t="s">
        <v>3232</v>
      </c>
    </row>
    <row r="755" spans="1:14" ht="27.75">
      <c r="A755" s="3">
        <v>749</v>
      </c>
      <c r="B755" s="3" t="str">
        <f t="shared" si="10"/>
        <v>201900078808</v>
      </c>
      <c r="C755" s="3" t="str">
        <f>"143892"</f>
        <v>143892</v>
      </c>
      <c r="D755" s="3" t="s">
        <v>3233</v>
      </c>
      <c r="E755" s="3">
        <v>20467137612</v>
      </c>
      <c r="F755" s="3" t="s">
        <v>3234</v>
      </c>
      <c r="G755" s="3" t="s">
        <v>3235</v>
      </c>
      <c r="H755" s="3" t="s">
        <v>18</v>
      </c>
      <c r="I755" s="3" t="s">
        <v>18</v>
      </c>
      <c r="J755" s="3" t="s">
        <v>248</v>
      </c>
      <c r="K755" s="3" t="s">
        <v>2677</v>
      </c>
      <c r="L755" s="4">
        <v>43617</v>
      </c>
      <c r="M755" s="3" t="s">
        <v>21</v>
      </c>
      <c r="N755" s="3" t="s">
        <v>3236</v>
      </c>
    </row>
    <row r="756" spans="1:14" ht="69.75">
      <c r="A756" s="5">
        <v>750</v>
      </c>
      <c r="B756" s="5" t="str">
        <f>"202000123290"</f>
        <v>202000123290</v>
      </c>
      <c r="C756" s="5" t="str">
        <f>"151239"</f>
        <v>151239</v>
      </c>
      <c r="D756" s="5" t="s">
        <v>3237</v>
      </c>
      <c r="E756" s="5">
        <v>10403118261</v>
      </c>
      <c r="F756" s="5" t="s">
        <v>3238</v>
      </c>
      <c r="G756" s="5" t="s">
        <v>3239</v>
      </c>
      <c r="H756" s="5" t="s">
        <v>274</v>
      </c>
      <c r="I756" s="5" t="s">
        <v>400</v>
      </c>
      <c r="J756" s="5" t="s">
        <v>400</v>
      </c>
      <c r="K756" s="5" t="s">
        <v>556</v>
      </c>
      <c r="L756" s="6">
        <v>44092</v>
      </c>
      <c r="M756" s="5" t="s">
        <v>21</v>
      </c>
      <c r="N756" s="5" t="s">
        <v>3238</v>
      </c>
    </row>
    <row r="757" spans="1:14" ht="13.5">
      <c r="A757" s="3">
        <v>751</v>
      </c>
      <c r="B757" s="3" t="str">
        <f>"201900078808"</f>
        <v>201900078808</v>
      </c>
      <c r="C757" s="3" t="str">
        <f>"143895"</f>
        <v>143895</v>
      </c>
      <c r="D757" s="3" t="s">
        <v>3240</v>
      </c>
      <c r="E757" s="3">
        <v>20510392036</v>
      </c>
      <c r="F757" s="3" t="s">
        <v>3241</v>
      </c>
      <c r="G757" s="3" t="s">
        <v>3242</v>
      </c>
      <c r="H757" s="3" t="s">
        <v>18</v>
      </c>
      <c r="I757" s="3" t="s">
        <v>18</v>
      </c>
      <c r="J757" s="3" t="s">
        <v>248</v>
      </c>
      <c r="K757" s="3" t="s">
        <v>51</v>
      </c>
      <c r="L757" s="4">
        <v>43617</v>
      </c>
      <c r="M757" s="3" t="s">
        <v>21</v>
      </c>
      <c r="N757" s="3" t="s">
        <v>3243</v>
      </c>
    </row>
    <row r="758" spans="1:14" ht="42">
      <c r="A758" s="5">
        <v>752</v>
      </c>
      <c r="B758" s="5" t="str">
        <f>"201900078808"</f>
        <v>201900078808</v>
      </c>
      <c r="C758" s="5" t="str">
        <f>"143894"</f>
        <v>143894</v>
      </c>
      <c r="D758" s="5" t="s">
        <v>3244</v>
      </c>
      <c r="E758" s="5">
        <v>20510298366</v>
      </c>
      <c r="F758" s="5" t="s">
        <v>3245</v>
      </c>
      <c r="G758" s="5" t="s">
        <v>3246</v>
      </c>
      <c r="H758" s="5" t="s">
        <v>18</v>
      </c>
      <c r="I758" s="5" t="s">
        <v>18</v>
      </c>
      <c r="J758" s="5" t="s">
        <v>248</v>
      </c>
      <c r="K758" s="5" t="s">
        <v>3247</v>
      </c>
      <c r="L758" s="6">
        <v>43617</v>
      </c>
      <c r="M758" s="5" t="s">
        <v>21</v>
      </c>
      <c r="N758" s="5" t="s">
        <v>3248</v>
      </c>
    </row>
    <row r="759" spans="1:14" ht="27.75">
      <c r="A759" s="3">
        <v>753</v>
      </c>
      <c r="B759" s="3" t="str">
        <f>"201900078808"</f>
        <v>201900078808</v>
      </c>
      <c r="C759" s="3" t="str">
        <f>"143889"</f>
        <v>143889</v>
      </c>
      <c r="D759" s="3" t="s">
        <v>3249</v>
      </c>
      <c r="E759" s="3">
        <v>20546920136</v>
      </c>
      <c r="F759" s="3" t="s">
        <v>3250</v>
      </c>
      <c r="G759" s="3" t="s">
        <v>3251</v>
      </c>
      <c r="H759" s="3" t="s">
        <v>18</v>
      </c>
      <c r="I759" s="3" t="s">
        <v>18</v>
      </c>
      <c r="J759" s="3" t="s">
        <v>168</v>
      </c>
      <c r="K759" s="3" t="s">
        <v>97</v>
      </c>
      <c r="L759" s="4">
        <v>43617</v>
      </c>
      <c r="M759" s="3" t="s">
        <v>21</v>
      </c>
      <c r="N759" s="3" t="s">
        <v>3252</v>
      </c>
    </row>
    <row r="760" spans="1:14" ht="27.75">
      <c r="A760" s="5">
        <v>754</v>
      </c>
      <c r="B760" s="5" t="str">
        <f>"201900078808"</f>
        <v>201900078808</v>
      </c>
      <c r="C760" s="5" t="str">
        <f>"143888"</f>
        <v>143888</v>
      </c>
      <c r="D760" s="5" t="s">
        <v>3253</v>
      </c>
      <c r="E760" s="5">
        <v>20546464378</v>
      </c>
      <c r="F760" s="5" t="s">
        <v>3254</v>
      </c>
      <c r="G760" s="5" t="s">
        <v>3255</v>
      </c>
      <c r="H760" s="5" t="s">
        <v>18</v>
      </c>
      <c r="I760" s="5" t="s">
        <v>18</v>
      </c>
      <c r="J760" s="5" t="s">
        <v>168</v>
      </c>
      <c r="K760" s="5" t="s">
        <v>36</v>
      </c>
      <c r="L760" s="6">
        <v>43617</v>
      </c>
      <c r="M760" s="5" t="s">
        <v>21</v>
      </c>
      <c r="N760" s="5" t="s">
        <v>3256</v>
      </c>
    </row>
    <row r="761" spans="1:14" ht="83.25">
      <c r="A761" s="3">
        <v>755</v>
      </c>
      <c r="B761" s="3" t="str">
        <f>"202000117614"</f>
        <v>202000117614</v>
      </c>
      <c r="C761" s="3" t="str">
        <f>"151014"</f>
        <v>151014</v>
      </c>
      <c r="D761" s="3" t="s">
        <v>3257</v>
      </c>
      <c r="E761" s="3">
        <v>20543936872</v>
      </c>
      <c r="F761" s="3" t="s">
        <v>3258</v>
      </c>
      <c r="G761" s="3" t="s">
        <v>3259</v>
      </c>
      <c r="H761" s="3" t="s">
        <v>18</v>
      </c>
      <c r="I761" s="3" t="s">
        <v>18</v>
      </c>
      <c r="J761" s="3" t="s">
        <v>713</v>
      </c>
      <c r="K761" s="3" t="s">
        <v>3260</v>
      </c>
      <c r="L761" s="4">
        <v>44091</v>
      </c>
      <c r="M761" s="3" t="s">
        <v>21</v>
      </c>
      <c r="N761" s="3" t="s">
        <v>3261</v>
      </c>
    </row>
    <row r="762" spans="1:14" ht="27.75">
      <c r="A762" s="5">
        <v>756</v>
      </c>
      <c r="B762" s="5" t="str">
        <f>"201900078808"</f>
        <v>201900078808</v>
      </c>
      <c r="C762" s="5" t="str">
        <f>"143891"</f>
        <v>143891</v>
      </c>
      <c r="D762" s="5" t="s">
        <v>3262</v>
      </c>
      <c r="E762" s="5">
        <v>20603781644</v>
      </c>
      <c r="F762" s="5" t="s">
        <v>3263</v>
      </c>
      <c r="G762" s="5" t="s">
        <v>3264</v>
      </c>
      <c r="H762" s="5" t="s">
        <v>18</v>
      </c>
      <c r="I762" s="5" t="s">
        <v>18</v>
      </c>
      <c r="J762" s="5" t="s">
        <v>168</v>
      </c>
      <c r="K762" s="5" t="s">
        <v>3265</v>
      </c>
      <c r="L762" s="6">
        <v>43617</v>
      </c>
      <c r="M762" s="5" t="s">
        <v>21</v>
      </c>
      <c r="N762" s="5" t="s">
        <v>3266</v>
      </c>
    </row>
    <row r="763" spans="1:14" ht="27.75">
      <c r="A763" s="3">
        <v>757</v>
      </c>
      <c r="B763" s="3" t="str">
        <f>"201900078808"</f>
        <v>201900078808</v>
      </c>
      <c r="C763" s="3" t="str">
        <f>"143890"</f>
        <v>143890</v>
      </c>
      <c r="D763" s="3" t="s">
        <v>3267</v>
      </c>
      <c r="E763" s="3">
        <v>20602350801</v>
      </c>
      <c r="F763" s="3" t="s">
        <v>3268</v>
      </c>
      <c r="G763" s="3" t="s">
        <v>3269</v>
      </c>
      <c r="H763" s="3" t="s">
        <v>18</v>
      </c>
      <c r="I763" s="3" t="s">
        <v>18</v>
      </c>
      <c r="J763" s="3" t="s">
        <v>168</v>
      </c>
      <c r="K763" s="3" t="s">
        <v>51</v>
      </c>
      <c r="L763" s="4">
        <v>43617</v>
      </c>
      <c r="M763" s="3" t="s">
        <v>21</v>
      </c>
      <c r="N763" s="3" t="s">
        <v>3270</v>
      </c>
    </row>
    <row r="764" spans="1:14" ht="13.5">
      <c r="A764" s="5">
        <v>758</v>
      </c>
      <c r="B764" s="5" t="str">
        <f>"201900078808"</f>
        <v>201900078808</v>
      </c>
      <c r="C764" s="5" t="str">
        <f>"143896"</f>
        <v>143896</v>
      </c>
      <c r="D764" s="5" t="s">
        <v>3271</v>
      </c>
      <c r="E764" s="5">
        <v>20513679875</v>
      </c>
      <c r="F764" s="5" t="s">
        <v>3272</v>
      </c>
      <c r="G764" s="5" t="s">
        <v>3273</v>
      </c>
      <c r="H764" s="5" t="s">
        <v>18</v>
      </c>
      <c r="I764" s="5" t="s">
        <v>18</v>
      </c>
      <c r="J764" s="5" t="s">
        <v>248</v>
      </c>
      <c r="K764" s="5" t="s">
        <v>36</v>
      </c>
      <c r="L764" s="6">
        <v>43617</v>
      </c>
      <c r="M764" s="5" t="s">
        <v>21</v>
      </c>
      <c r="N764" s="5" t="s">
        <v>3274</v>
      </c>
    </row>
    <row r="765" spans="1:14" ht="13.5">
      <c r="A765" s="3">
        <v>759</v>
      </c>
      <c r="B765" s="3" t="str">
        <f>"202000116359"</f>
        <v>202000116359</v>
      </c>
      <c r="C765" s="3" t="str">
        <f>"151008"</f>
        <v>151008</v>
      </c>
      <c r="D765" s="3" t="s">
        <v>3275</v>
      </c>
      <c r="E765" s="3">
        <v>10421407806</v>
      </c>
      <c r="F765" s="3" t="s">
        <v>3276</v>
      </c>
      <c r="G765" s="3" t="s">
        <v>3277</v>
      </c>
      <c r="H765" s="3" t="s">
        <v>160</v>
      </c>
      <c r="I765" s="3" t="s">
        <v>160</v>
      </c>
      <c r="J765" s="3" t="s">
        <v>669</v>
      </c>
      <c r="K765" s="3" t="s">
        <v>36</v>
      </c>
      <c r="L765" s="4">
        <v>44081</v>
      </c>
      <c r="M765" s="3" t="s">
        <v>21</v>
      </c>
      <c r="N765" s="3" t="s">
        <v>3276</v>
      </c>
    </row>
    <row r="766" spans="1:14" ht="83.25">
      <c r="A766" s="5">
        <v>760</v>
      </c>
      <c r="B766" s="5" t="str">
        <f>"202000037782"</f>
        <v>202000037782</v>
      </c>
      <c r="C766" s="5" t="str">
        <f>"149426"</f>
        <v>149426</v>
      </c>
      <c r="D766" s="5" t="s">
        <v>3278</v>
      </c>
      <c r="E766" s="5">
        <v>20605594710</v>
      </c>
      <c r="F766" s="5" t="s">
        <v>3279</v>
      </c>
      <c r="G766" s="5" t="s">
        <v>3280</v>
      </c>
      <c r="H766" s="5" t="s">
        <v>333</v>
      </c>
      <c r="I766" s="5" t="s">
        <v>334</v>
      </c>
      <c r="J766" s="5" t="s">
        <v>334</v>
      </c>
      <c r="K766" s="5" t="s">
        <v>3281</v>
      </c>
      <c r="L766" s="6">
        <v>43895</v>
      </c>
      <c r="M766" s="5" t="s">
        <v>21</v>
      </c>
      <c r="N766" s="5" t="s">
        <v>354</v>
      </c>
    </row>
    <row r="767" spans="1:14" ht="97.5">
      <c r="A767" s="3">
        <v>761</v>
      </c>
      <c r="B767" s="3" t="str">
        <f>"202000038215"</f>
        <v>202000038215</v>
      </c>
      <c r="C767" s="3" t="str">
        <f>"149427"</f>
        <v>149427</v>
      </c>
      <c r="D767" s="3" t="s">
        <v>3282</v>
      </c>
      <c r="E767" s="3">
        <v>20525873367</v>
      </c>
      <c r="F767" s="3" t="s">
        <v>3283</v>
      </c>
      <c r="G767" s="3" t="s">
        <v>3284</v>
      </c>
      <c r="H767" s="3" t="s">
        <v>274</v>
      </c>
      <c r="I767" s="3" t="s">
        <v>348</v>
      </c>
      <c r="J767" s="3" t="s">
        <v>348</v>
      </c>
      <c r="K767" s="3" t="s">
        <v>3285</v>
      </c>
      <c r="L767" s="4">
        <v>43896</v>
      </c>
      <c r="M767" s="3" t="s">
        <v>21</v>
      </c>
      <c r="N767" s="3" t="s">
        <v>3286</v>
      </c>
    </row>
    <row r="768" spans="1:14" ht="27.75">
      <c r="A768" s="5">
        <v>762</v>
      </c>
      <c r="B768" s="5" t="str">
        <f aca="true" t="shared" si="11" ref="B768:B774">"201900078797"</f>
        <v>201900078797</v>
      </c>
      <c r="C768" s="5" t="str">
        <f>"143536"</f>
        <v>143536</v>
      </c>
      <c r="D768" s="5" t="s">
        <v>3287</v>
      </c>
      <c r="E768" s="5">
        <v>10445045549</v>
      </c>
      <c r="F768" s="5" t="s">
        <v>3288</v>
      </c>
      <c r="G768" s="5" t="s">
        <v>3289</v>
      </c>
      <c r="H768" s="5" t="s">
        <v>73</v>
      </c>
      <c r="I768" s="5" t="s">
        <v>74</v>
      </c>
      <c r="J768" s="5" t="s">
        <v>74</v>
      </c>
      <c r="K768" s="5" t="s">
        <v>3290</v>
      </c>
      <c r="L768" s="6">
        <v>43617</v>
      </c>
      <c r="M768" s="5" t="s">
        <v>21</v>
      </c>
      <c r="N768" s="5" t="s">
        <v>3288</v>
      </c>
    </row>
    <row r="769" spans="1:14" ht="13.5">
      <c r="A769" s="3">
        <v>763</v>
      </c>
      <c r="B769" s="3" t="str">
        <f t="shared" si="11"/>
        <v>201900078797</v>
      </c>
      <c r="C769" s="3" t="str">
        <f>"143535"</f>
        <v>143535</v>
      </c>
      <c r="D769" s="3" t="s">
        <v>3291</v>
      </c>
      <c r="E769" s="3">
        <v>10416436407</v>
      </c>
      <c r="F769" s="3" t="s">
        <v>3292</v>
      </c>
      <c r="G769" s="3" t="s">
        <v>3293</v>
      </c>
      <c r="H769" s="3" t="s">
        <v>73</v>
      </c>
      <c r="I769" s="3" t="s">
        <v>74</v>
      </c>
      <c r="J769" s="3" t="s">
        <v>74</v>
      </c>
      <c r="K769" s="3" t="s">
        <v>51</v>
      </c>
      <c r="L769" s="4">
        <v>43617</v>
      </c>
      <c r="M769" s="3" t="s">
        <v>21</v>
      </c>
      <c r="N769" s="3" t="s">
        <v>3292</v>
      </c>
    </row>
    <row r="770" spans="1:14" ht="13.5">
      <c r="A770" s="5">
        <v>764</v>
      </c>
      <c r="B770" s="5" t="str">
        <f t="shared" si="11"/>
        <v>201900078797</v>
      </c>
      <c r="C770" s="5" t="str">
        <f>"143534"</f>
        <v>143534</v>
      </c>
      <c r="D770" s="5" t="s">
        <v>3294</v>
      </c>
      <c r="E770" s="5">
        <v>10410518614</v>
      </c>
      <c r="F770" s="5" t="s">
        <v>3295</v>
      </c>
      <c r="G770" s="5" t="s">
        <v>3296</v>
      </c>
      <c r="H770" s="5" t="s">
        <v>73</v>
      </c>
      <c r="I770" s="5" t="s">
        <v>74</v>
      </c>
      <c r="J770" s="5" t="s">
        <v>74</v>
      </c>
      <c r="K770" s="5" t="s">
        <v>51</v>
      </c>
      <c r="L770" s="6">
        <v>43617</v>
      </c>
      <c r="M770" s="5" t="s">
        <v>21</v>
      </c>
      <c r="N770" s="5" t="s">
        <v>3295</v>
      </c>
    </row>
    <row r="771" spans="1:14" ht="13.5">
      <c r="A771" s="3">
        <v>765</v>
      </c>
      <c r="B771" s="3" t="str">
        <f t="shared" si="11"/>
        <v>201900078797</v>
      </c>
      <c r="C771" s="3" t="str">
        <f>"143533"</f>
        <v>143533</v>
      </c>
      <c r="D771" s="3" t="s">
        <v>3297</v>
      </c>
      <c r="E771" s="3">
        <v>10403673159</v>
      </c>
      <c r="F771" s="3" t="s">
        <v>3298</v>
      </c>
      <c r="G771" s="3" t="s">
        <v>3299</v>
      </c>
      <c r="H771" s="3" t="s">
        <v>73</v>
      </c>
      <c r="I771" s="3" t="s">
        <v>74</v>
      </c>
      <c r="J771" s="3" t="s">
        <v>74</v>
      </c>
      <c r="K771" s="3" t="s">
        <v>51</v>
      </c>
      <c r="L771" s="4">
        <v>43617</v>
      </c>
      <c r="M771" s="3" t="s">
        <v>21</v>
      </c>
      <c r="N771" s="3" t="s">
        <v>3298</v>
      </c>
    </row>
    <row r="772" spans="1:14" ht="13.5">
      <c r="A772" s="5">
        <v>766</v>
      </c>
      <c r="B772" s="5" t="str">
        <f t="shared" si="11"/>
        <v>201900078797</v>
      </c>
      <c r="C772" s="5" t="str">
        <f>"143532"</f>
        <v>143532</v>
      </c>
      <c r="D772" s="5" t="s">
        <v>3300</v>
      </c>
      <c r="E772" s="5">
        <v>10327730199</v>
      </c>
      <c r="F772" s="5" t="s">
        <v>3301</v>
      </c>
      <c r="G772" s="5" t="s">
        <v>3302</v>
      </c>
      <c r="H772" s="5" t="s">
        <v>73</v>
      </c>
      <c r="I772" s="5" t="s">
        <v>74</v>
      </c>
      <c r="J772" s="5" t="s">
        <v>74</v>
      </c>
      <c r="K772" s="5" t="s">
        <v>51</v>
      </c>
      <c r="L772" s="6">
        <v>43617</v>
      </c>
      <c r="M772" s="5" t="s">
        <v>21</v>
      </c>
      <c r="N772" s="5" t="s">
        <v>3301</v>
      </c>
    </row>
    <row r="773" spans="1:14" ht="13.5">
      <c r="A773" s="3">
        <v>767</v>
      </c>
      <c r="B773" s="3" t="str">
        <f t="shared" si="11"/>
        <v>201900078797</v>
      </c>
      <c r="C773" s="3" t="str">
        <f>"143531"</f>
        <v>143531</v>
      </c>
      <c r="D773" s="3" t="s">
        <v>3303</v>
      </c>
      <c r="E773" s="3">
        <v>10235251031</v>
      </c>
      <c r="F773" s="3" t="s">
        <v>3304</v>
      </c>
      <c r="G773" s="3" t="s">
        <v>1061</v>
      </c>
      <c r="H773" s="3" t="s">
        <v>73</v>
      </c>
      <c r="I773" s="3" t="s">
        <v>74</v>
      </c>
      <c r="J773" s="3" t="s">
        <v>74</v>
      </c>
      <c r="K773" s="3" t="s">
        <v>51</v>
      </c>
      <c r="L773" s="4">
        <v>43617</v>
      </c>
      <c r="M773" s="3" t="s">
        <v>21</v>
      </c>
      <c r="N773" s="3" t="s">
        <v>3304</v>
      </c>
    </row>
    <row r="774" spans="1:14" ht="27.75">
      <c r="A774" s="5">
        <v>768</v>
      </c>
      <c r="B774" s="5" t="str">
        <f t="shared" si="11"/>
        <v>201900078797</v>
      </c>
      <c r="C774" s="5" t="str">
        <f>"143530"</f>
        <v>143530</v>
      </c>
      <c r="D774" s="5" t="s">
        <v>3305</v>
      </c>
      <c r="E774" s="5">
        <v>10181330088</v>
      </c>
      <c r="F774" s="5" t="s">
        <v>3306</v>
      </c>
      <c r="G774" s="5" t="s">
        <v>3307</v>
      </c>
      <c r="H774" s="5" t="s">
        <v>73</v>
      </c>
      <c r="I774" s="5" t="s">
        <v>74</v>
      </c>
      <c r="J774" s="5" t="s">
        <v>74</v>
      </c>
      <c r="K774" s="5" t="s">
        <v>51</v>
      </c>
      <c r="L774" s="6">
        <v>43617</v>
      </c>
      <c r="M774" s="5" t="s">
        <v>21</v>
      </c>
      <c r="N774" s="5" t="s">
        <v>3306</v>
      </c>
    </row>
    <row r="775" spans="1:14" ht="42">
      <c r="A775" s="3">
        <v>769</v>
      </c>
      <c r="B775" s="3" t="str">
        <f>"201900124532"</f>
        <v>201900124532</v>
      </c>
      <c r="C775" s="3" t="str">
        <f>"145584"</f>
        <v>145584</v>
      </c>
      <c r="D775" s="3" t="s">
        <v>3308</v>
      </c>
      <c r="E775" s="3">
        <v>20600769244</v>
      </c>
      <c r="F775" s="3" t="s">
        <v>3309</v>
      </c>
      <c r="G775" s="3" t="s">
        <v>3310</v>
      </c>
      <c r="H775" s="3" t="s">
        <v>160</v>
      </c>
      <c r="I775" s="3" t="s">
        <v>160</v>
      </c>
      <c r="J775" s="3" t="s">
        <v>764</v>
      </c>
      <c r="K775" s="3" t="s">
        <v>3311</v>
      </c>
      <c r="L775" s="4">
        <v>43684</v>
      </c>
      <c r="M775" s="3" t="s">
        <v>21</v>
      </c>
      <c r="N775" s="3" t="s">
        <v>3312</v>
      </c>
    </row>
    <row r="776" spans="1:14" ht="13.5">
      <c r="A776" s="5">
        <v>770</v>
      </c>
      <c r="B776" s="5" t="str">
        <f>"201900078808"</f>
        <v>201900078808</v>
      </c>
      <c r="C776" s="5" t="str">
        <f>"143897"</f>
        <v>143897</v>
      </c>
      <c r="D776" s="5" t="s">
        <v>3313</v>
      </c>
      <c r="E776" s="5">
        <v>20517849368</v>
      </c>
      <c r="F776" s="5" t="s">
        <v>3314</v>
      </c>
      <c r="G776" s="5" t="s">
        <v>3315</v>
      </c>
      <c r="H776" s="5" t="s">
        <v>18</v>
      </c>
      <c r="I776" s="5" t="s">
        <v>18</v>
      </c>
      <c r="J776" s="5" t="s">
        <v>248</v>
      </c>
      <c r="K776" s="5" t="s">
        <v>36</v>
      </c>
      <c r="L776" s="6">
        <v>43617</v>
      </c>
      <c r="M776" s="5" t="s">
        <v>21</v>
      </c>
      <c r="N776" s="5" t="s">
        <v>3316</v>
      </c>
    </row>
    <row r="777" spans="1:14" ht="69.75">
      <c r="A777" s="3">
        <v>771</v>
      </c>
      <c r="B777" s="3" t="str">
        <f>"202000084111"</f>
        <v>202000084111</v>
      </c>
      <c r="C777" s="3" t="str">
        <f>"150038"</f>
        <v>150038</v>
      </c>
      <c r="D777" s="3" t="s">
        <v>3317</v>
      </c>
      <c r="E777" s="3">
        <v>10744705733</v>
      </c>
      <c r="F777" s="3" t="s">
        <v>3318</v>
      </c>
      <c r="G777" s="3" t="s">
        <v>3319</v>
      </c>
      <c r="H777" s="3" t="s">
        <v>274</v>
      </c>
      <c r="I777" s="3" t="s">
        <v>274</v>
      </c>
      <c r="J777" s="3" t="s">
        <v>2217</v>
      </c>
      <c r="K777" s="3" t="s">
        <v>1317</v>
      </c>
      <c r="L777" s="4">
        <v>44036</v>
      </c>
      <c r="M777" s="3" t="s">
        <v>21</v>
      </c>
      <c r="N777" s="3" t="s">
        <v>3318</v>
      </c>
    </row>
    <row r="778" spans="1:14" ht="13.5">
      <c r="A778" s="5">
        <v>772</v>
      </c>
      <c r="B778" s="5" t="str">
        <f>"201900078797"</f>
        <v>201900078797</v>
      </c>
      <c r="C778" s="5" t="str">
        <f>"143529"</f>
        <v>143529</v>
      </c>
      <c r="D778" s="5" t="s">
        <v>3320</v>
      </c>
      <c r="E778" s="5">
        <v>10167281911</v>
      </c>
      <c r="F778" s="5" t="s">
        <v>3321</v>
      </c>
      <c r="G778" s="5" t="s">
        <v>3322</v>
      </c>
      <c r="H778" s="5" t="s">
        <v>73</v>
      </c>
      <c r="I778" s="5" t="s">
        <v>74</v>
      </c>
      <c r="J778" s="5" t="s">
        <v>74</v>
      </c>
      <c r="K778" s="5" t="s">
        <v>847</v>
      </c>
      <c r="L778" s="6">
        <v>43617</v>
      </c>
      <c r="M778" s="5" t="s">
        <v>21</v>
      </c>
      <c r="N778" s="5" t="s">
        <v>3321</v>
      </c>
    </row>
    <row r="779" spans="1:14" ht="55.5">
      <c r="A779" s="3">
        <v>773</v>
      </c>
      <c r="B779" s="3" t="str">
        <f>"201900078808"</f>
        <v>201900078808</v>
      </c>
      <c r="C779" s="3" t="str">
        <f>"143898"</f>
        <v>143898</v>
      </c>
      <c r="D779" s="3" t="s">
        <v>3323</v>
      </c>
      <c r="E779" s="3">
        <v>20520550241</v>
      </c>
      <c r="F779" s="3" t="s">
        <v>3324</v>
      </c>
      <c r="G779" s="3" t="s">
        <v>3325</v>
      </c>
      <c r="H779" s="3" t="s">
        <v>18</v>
      </c>
      <c r="I779" s="3" t="s">
        <v>18</v>
      </c>
      <c r="J779" s="3" t="s">
        <v>248</v>
      </c>
      <c r="K779" s="3" t="s">
        <v>3326</v>
      </c>
      <c r="L779" s="4">
        <v>43617</v>
      </c>
      <c r="M779" s="3" t="s">
        <v>21</v>
      </c>
      <c r="N779" s="3" t="s">
        <v>3327</v>
      </c>
    </row>
    <row r="780" spans="1:14" ht="13.5">
      <c r="A780" s="5">
        <v>774</v>
      </c>
      <c r="B780" s="5" t="str">
        <f>"201900078797"</f>
        <v>201900078797</v>
      </c>
      <c r="C780" s="5" t="str">
        <f>"143528"</f>
        <v>143528</v>
      </c>
      <c r="D780" s="5" t="s">
        <v>3328</v>
      </c>
      <c r="E780" s="5">
        <v>10180242193</v>
      </c>
      <c r="F780" s="5" t="s">
        <v>3329</v>
      </c>
      <c r="G780" s="5" t="s">
        <v>3330</v>
      </c>
      <c r="H780" s="5" t="s">
        <v>73</v>
      </c>
      <c r="I780" s="5" t="s">
        <v>74</v>
      </c>
      <c r="J780" s="5" t="s">
        <v>3331</v>
      </c>
      <c r="K780" s="5" t="s">
        <v>51</v>
      </c>
      <c r="L780" s="6">
        <v>43617</v>
      </c>
      <c r="M780" s="5" t="s">
        <v>21</v>
      </c>
      <c r="N780" s="5" t="s">
        <v>3329</v>
      </c>
    </row>
    <row r="781" spans="1:14" ht="27.75">
      <c r="A781" s="3">
        <v>775</v>
      </c>
      <c r="B781" s="3" t="str">
        <f>"201900078797"</f>
        <v>201900078797</v>
      </c>
      <c r="C781" s="3" t="str">
        <f>"143527"</f>
        <v>143527</v>
      </c>
      <c r="D781" s="3" t="s">
        <v>3332</v>
      </c>
      <c r="E781" s="3">
        <v>20354514631</v>
      </c>
      <c r="F781" s="3" t="s">
        <v>3333</v>
      </c>
      <c r="G781" s="3" t="s">
        <v>3334</v>
      </c>
      <c r="H781" s="3" t="s">
        <v>73</v>
      </c>
      <c r="I781" s="3" t="s">
        <v>74</v>
      </c>
      <c r="J781" s="3" t="s">
        <v>1583</v>
      </c>
      <c r="K781" s="3" t="s">
        <v>97</v>
      </c>
      <c r="L781" s="4">
        <v>43617</v>
      </c>
      <c r="M781" s="3" t="s">
        <v>21</v>
      </c>
      <c r="N781" s="3" t="s">
        <v>3335</v>
      </c>
    </row>
    <row r="782" spans="1:14" ht="153.75">
      <c r="A782" s="5">
        <v>776</v>
      </c>
      <c r="B782" s="5" t="str">
        <f>"201900124096"</f>
        <v>201900124096</v>
      </c>
      <c r="C782" s="5" t="str">
        <f>"145586"</f>
        <v>145586</v>
      </c>
      <c r="D782" s="5" t="s">
        <v>3336</v>
      </c>
      <c r="E782" s="5">
        <v>20538941272</v>
      </c>
      <c r="F782" s="5" t="s">
        <v>3337</v>
      </c>
      <c r="G782" s="5" t="s">
        <v>3338</v>
      </c>
      <c r="H782" s="5" t="s">
        <v>333</v>
      </c>
      <c r="I782" s="5" t="s">
        <v>334</v>
      </c>
      <c r="J782" s="5" t="s">
        <v>1545</v>
      </c>
      <c r="K782" s="5" t="s">
        <v>880</v>
      </c>
      <c r="L782" s="6">
        <v>43683</v>
      </c>
      <c r="M782" s="5" t="s">
        <v>21</v>
      </c>
      <c r="N782" s="5" t="s">
        <v>3339</v>
      </c>
    </row>
    <row r="783" spans="1:14" ht="27.75">
      <c r="A783" s="3">
        <v>777</v>
      </c>
      <c r="B783" s="3" t="str">
        <f aca="true" t="shared" si="12" ref="B783:B790">"201900078808"</f>
        <v>201900078808</v>
      </c>
      <c r="C783" s="3" t="str">
        <f>"143858"</f>
        <v>143858</v>
      </c>
      <c r="D783" s="3" t="s">
        <v>3340</v>
      </c>
      <c r="E783" s="3">
        <v>20518685954</v>
      </c>
      <c r="F783" s="3" t="s">
        <v>3341</v>
      </c>
      <c r="G783" s="3" t="s">
        <v>3342</v>
      </c>
      <c r="H783" s="3" t="s">
        <v>18</v>
      </c>
      <c r="I783" s="3" t="s">
        <v>18</v>
      </c>
      <c r="J783" s="3" t="s">
        <v>3343</v>
      </c>
      <c r="K783" s="3" t="s">
        <v>51</v>
      </c>
      <c r="L783" s="4">
        <v>43617</v>
      </c>
      <c r="M783" s="3" t="s">
        <v>21</v>
      </c>
      <c r="N783" s="3" t="s">
        <v>3344</v>
      </c>
    </row>
    <row r="784" spans="1:14" ht="13.5">
      <c r="A784" s="5">
        <v>778</v>
      </c>
      <c r="B784" s="5" t="str">
        <f t="shared" si="12"/>
        <v>201900078808</v>
      </c>
      <c r="C784" s="5" t="str">
        <f>"143857"</f>
        <v>143857</v>
      </c>
      <c r="D784" s="5" t="s">
        <v>3345</v>
      </c>
      <c r="E784" s="5">
        <v>10403296754</v>
      </c>
      <c r="F784" s="5" t="s">
        <v>3346</v>
      </c>
      <c r="G784" s="5" t="s">
        <v>3347</v>
      </c>
      <c r="H784" s="5" t="s">
        <v>18</v>
      </c>
      <c r="I784" s="5" t="s">
        <v>18</v>
      </c>
      <c r="J784" s="5" t="s">
        <v>3343</v>
      </c>
      <c r="K784" s="5" t="s">
        <v>51</v>
      </c>
      <c r="L784" s="6">
        <v>43617</v>
      </c>
      <c r="M784" s="5" t="s">
        <v>21</v>
      </c>
      <c r="N784" s="5" t="s">
        <v>3346</v>
      </c>
    </row>
    <row r="785" spans="1:14" ht="27.75">
      <c r="A785" s="3">
        <v>779</v>
      </c>
      <c r="B785" s="3" t="str">
        <f t="shared" si="12"/>
        <v>201900078808</v>
      </c>
      <c r="C785" s="3" t="str">
        <f>"143862"</f>
        <v>143862</v>
      </c>
      <c r="D785" s="3" t="s">
        <v>3348</v>
      </c>
      <c r="E785" s="3">
        <v>20548397317</v>
      </c>
      <c r="F785" s="3" t="s">
        <v>3349</v>
      </c>
      <c r="G785" s="3" t="s">
        <v>3350</v>
      </c>
      <c r="H785" s="3" t="s">
        <v>18</v>
      </c>
      <c r="I785" s="3" t="s">
        <v>18</v>
      </c>
      <c r="J785" s="3" t="s">
        <v>3351</v>
      </c>
      <c r="K785" s="3" t="s">
        <v>51</v>
      </c>
      <c r="L785" s="4">
        <v>43617</v>
      </c>
      <c r="M785" s="3" t="s">
        <v>21</v>
      </c>
      <c r="N785" s="3" t="s">
        <v>3352</v>
      </c>
    </row>
    <row r="786" spans="1:14" ht="13.5">
      <c r="A786" s="5">
        <v>780</v>
      </c>
      <c r="B786" s="5" t="str">
        <f t="shared" si="12"/>
        <v>201900078808</v>
      </c>
      <c r="C786" s="5" t="str">
        <f>"143861"</f>
        <v>143861</v>
      </c>
      <c r="D786" s="5" t="s">
        <v>3353</v>
      </c>
      <c r="E786" s="5">
        <v>20547034571</v>
      </c>
      <c r="F786" s="5" t="s">
        <v>3354</v>
      </c>
      <c r="G786" s="5" t="s">
        <v>3355</v>
      </c>
      <c r="H786" s="5" t="s">
        <v>18</v>
      </c>
      <c r="I786" s="5" t="s">
        <v>18</v>
      </c>
      <c r="J786" s="5" t="s">
        <v>3351</v>
      </c>
      <c r="K786" s="5" t="s">
        <v>51</v>
      </c>
      <c r="L786" s="6">
        <v>43617</v>
      </c>
      <c r="M786" s="5" t="s">
        <v>21</v>
      </c>
      <c r="N786" s="5" t="s">
        <v>3356</v>
      </c>
    </row>
    <row r="787" spans="1:14" ht="27.75">
      <c r="A787" s="3">
        <v>781</v>
      </c>
      <c r="B787" s="3" t="str">
        <f t="shared" si="12"/>
        <v>201900078808</v>
      </c>
      <c r="C787" s="3" t="str">
        <f>"143860"</f>
        <v>143860</v>
      </c>
      <c r="D787" s="3" t="s">
        <v>3357</v>
      </c>
      <c r="E787" s="3">
        <v>20486419971</v>
      </c>
      <c r="F787" s="3" t="s">
        <v>3358</v>
      </c>
      <c r="G787" s="3" t="s">
        <v>3359</v>
      </c>
      <c r="H787" s="3" t="s">
        <v>18</v>
      </c>
      <c r="I787" s="3" t="s">
        <v>18</v>
      </c>
      <c r="J787" s="3" t="s">
        <v>3351</v>
      </c>
      <c r="K787" s="3" t="s">
        <v>20</v>
      </c>
      <c r="L787" s="4">
        <v>43617</v>
      </c>
      <c r="M787" s="3" t="s">
        <v>21</v>
      </c>
      <c r="N787" s="3" t="s">
        <v>3360</v>
      </c>
    </row>
    <row r="788" spans="1:14" ht="27.75">
      <c r="A788" s="5">
        <v>782</v>
      </c>
      <c r="B788" s="5" t="str">
        <f t="shared" si="12"/>
        <v>201900078808</v>
      </c>
      <c r="C788" s="5" t="str">
        <f>"143859"</f>
        <v>143859</v>
      </c>
      <c r="D788" s="5" t="s">
        <v>3361</v>
      </c>
      <c r="E788" s="5">
        <v>20538499898</v>
      </c>
      <c r="F788" s="5" t="s">
        <v>3362</v>
      </c>
      <c r="G788" s="5" t="s">
        <v>3363</v>
      </c>
      <c r="H788" s="5" t="s">
        <v>18</v>
      </c>
      <c r="I788" s="5" t="s">
        <v>18</v>
      </c>
      <c r="J788" s="5" t="s">
        <v>3343</v>
      </c>
      <c r="K788" s="5" t="s">
        <v>51</v>
      </c>
      <c r="L788" s="6">
        <v>43617</v>
      </c>
      <c r="M788" s="5" t="s">
        <v>21</v>
      </c>
      <c r="N788" s="5" t="s">
        <v>3364</v>
      </c>
    </row>
    <row r="789" spans="1:14" ht="13.5">
      <c r="A789" s="3">
        <v>783</v>
      </c>
      <c r="B789" s="3" t="str">
        <f t="shared" si="12"/>
        <v>201900078808</v>
      </c>
      <c r="C789" s="3" t="str">
        <f>"143866"</f>
        <v>143866</v>
      </c>
      <c r="D789" s="3" t="s">
        <v>3365</v>
      </c>
      <c r="E789" s="3">
        <v>10478324737</v>
      </c>
      <c r="F789" s="3" t="s">
        <v>3366</v>
      </c>
      <c r="G789" s="3" t="s">
        <v>3367</v>
      </c>
      <c r="H789" s="3" t="s">
        <v>18</v>
      </c>
      <c r="I789" s="3" t="s">
        <v>18</v>
      </c>
      <c r="J789" s="3" t="s">
        <v>1464</v>
      </c>
      <c r="K789" s="3" t="s">
        <v>1883</v>
      </c>
      <c r="L789" s="4">
        <v>43617</v>
      </c>
      <c r="M789" s="3" t="s">
        <v>21</v>
      </c>
      <c r="N789" s="3" t="s">
        <v>3368</v>
      </c>
    </row>
    <row r="790" spans="1:14" ht="13.5">
      <c r="A790" s="5">
        <v>784</v>
      </c>
      <c r="B790" s="5" t="str">
        <f t="shared" si="12"/>
        <v>201900078808</v>
      </c>
      <c r="C790" s="5" t="str">
        <f>"143865"</f>
        <v>143865</v>
      </c>
      <c r="D790" s="5" t="s">
        <v>3369</v>
      </c>
      <c r="E790" s="5">
        <v>20600079698</v>
      </c>
      <c r="F790" s="5" t="s">
        <v>3370</v>
      </c>
      <c r="G790" s="5" t="s">
        <v>3371</v>
      </c>
      <c r="H790" s="5" t="s">
        <v>18</v>
      </c>
      <c r="I790" s="5" t="s">
        <v>18</v>
      </c>
      <c r="J790" s="5" t="s">
        <v>3351</v>
      </c>
      <c r="K790" s="5" t="s">
        <v>51</v>
      </c>
      <c r="L790" s="6">
        <v>43617</v>
      </c>
      <c r="M790" s="5" t="s">
        <v>21</v>
      </c>
      <c r="N790" s="5" t="s">
        <v>3372</v>
      </c>
    </row>
    <row r="791" spans="1:14" ht="27.75">
      <c r="A791" s="3">
        <v>785</v>
      </c>
      <c r="B791" s="3" t="str">
        <f>"201900104414"</f>
        <v>201900104414</v>
      </c>
      <c r="C791" s="3" t="str">
        <f>"145012"</f>
        <v>145012</v>
      </c>
      <c r="D791" s="3" t="s">
        <v>3373</v>
      </c>
      <c r="E791" s="3">
        <v>20522011445</v>
      </c>
      <c r="F791" s="3" t="s">
        <v>3374</v>
      </c>
      <c r="G791" s="3" t="s">
        <v>3375</v>
      </c>
      <c r="H791" s="3" t="s">
        <v>18</v>
      </c>
      <c r="I791" s="3" t="s">
        <v>18</v>
      </c>
      <c r="J791" s="3" t="s">
        <v>739</v>
      </c>
      <c r="K791" s="3" t="s">
        <v>36</v>
      </c>
      <c r="L791" s="4">
        <v>43657</v>
      </c>
      <c r="M791" s="3" t="s">
        <v>21</v>
      </c>
      <c r="N791" s="3" t="s">
        <v>3376</v>
      </c>
    </row>
    <row r="792" spans="1:14" ht="27.75">
      <c r="A792" s="5">
        <v>786</v>
      </c>
      <c r="B792" s="5" t="str">
        <f>"201900078808"</f>
        <v>201900078808</v>
      </c>
      <c r="C792" s="5" t="str">
        <f>"143864"</f>
        <v>143864</v>
      </c>
      <c r="D792" s="5" t="s">
        <v>3377</v>
      </c>
      <c r="E792" s="5">
        <v>20549740198</v>
      </c>
      <c r="F792" s="5" t="s">
        <v>3378</v>
      </c>
      <c r="G792" s="5" t="s">
        <v>3379</v>
      </c>
      <c r="H792" s="5" t="s">
        <v>18</v>
      </c>
      <c r="I792" s="5" t="s">
        <v>18</v>
      </c>
      <c r="J792" s="5" t="s">
        <v>3351</v>
      </c>
      <c r="K792" s="5" t="s">
        <v>3380</v>
      </c>
      <c r="L792" s="6">
        <v>43617</v>
      </c>
      <c r="M792" s="5" t="s">
        <v>21</v>
      </c>
      <c r="N792" s="5" t="s">
        <v>3381</v>
      </c>
    </row>
    <row r="793" spans="1:14" ht="27.75">
      <c r="A793" s="3">
        <v>787</v>
      </c>
      <c r="B793" s="3" t="str">
        <f>"201900078808"</f>
        <v>201900078808</v>
      </c>
      <c r="C793" s="3" t="str">
        <f>"143863"</f>
        <v>143863</v>
      </c>
      <c r="D793" s="3" t="s">
        <v>3382</v>
      </c>
      <c r="E793" s="3">
        <v>20549713620</v>
      </c>
      <c r="F793" s="3" t="s">
        <v>3383</v>
      </c>
      <c r="G793" s="3" t="s">
        <v>3384</v>
      </c>
      <c r="H793" s="3" t="s">
        <v>18</v>
      </c>
      <c r="I793" s="3" t="s">
        <v>18</v>
      </c>
      <c r="J793" s="3" t="s">
        <v>3351</v>
      </c>
      <c r="K793" s="3" t="s">
        <v>36</v>
      </c>
      <c r="L793" s="4">
        <v>43617</v>
      </c>
      <c r="M793" s="3" t="s">
        <v>21</v>
      </c>
      <c r="N793" s="3" t="s">
        <v>3385</v>
      </c>
    </row>
    <row r="794" spans="1:14" ht="83.25">
      <c r="A794" s="5">
        <v>788</v>
      </c>
      <c r="B794" s="5" t="str">
        <f>"201900114134"</f>
        <v>201900114134</v>
      </c>
      <c r="C794" s="5" t="str">
        <f>"145234"</f>
        <v>145234</v>
      </c>
      <c r="D794" s="5" t="s">
        <v>3386</v>
      </c>
      <c r="E794" s="5">
        <v>20603191481</v>
      </c>
      <c r="F794" s="5" t="s">
        <v>3387</v>
      </c>
      <c r="G794" s="5" t="s">
        <v>3388</v>
      </c>
      <c r="H794" s="5" t="s">
        <v>274</v>
      </c>
      <c r="I794" s="5" t="s">
        <v>274</v>
      </c>
      <c r="J794" s="5" t="s">
        <v>274</v>
      </c>
      <c r="K794" s="5" t="s">
        <v>1004</v>
      </c>
      <c r="L794" s="6">
        <v>43668</v>
      </c>
      <c r="M794" s="5" t="s">
        <v>21</v>
      </c>
      <c r="N794" s="5" t="s">
        <v>3389</v>
      </c>
    </row>
    <row r="795" spans="1:14" ht="27.75">
      <c r="A795" s="3">
        <v>789</v>
      </c>
      <c r="B795" s="3" t="str">
        <f>"201900138229"</f>
        <v>201900138229</v>
      </c>
      <c r="C795" s="3" t="str">
        <f>"145239"</f>
        <v>145239</v>
      </c>
      <c r="D795" s="3" t="s">
        <v>3390</v>
      </c>
      <c r="E795" s="3">
        <v>20605125817</v>
      </c>
      <c r="F795" s="3" t="s">
        <v>3391</v>
      </c>
      <c r="G795" s="3" t="s">
        <v>3392</v>
      </c>
      <c r="H795" s="3" t="s">
        <v>253</v>
      </c>
      <c r="I795" s="3" t="s">
        <v>1423</v>
      </c>
      <c r="J795" s="3" t="s">
        <v>1429</v>
      </c>
      <c r="K795" s="3" t="s">
        <v>51</v>
      </c>
      <c r="L795" s="4">
        <v>43705</v>
      </c>
      <c r="M795" s="3" t="s">
        <v>21</v>
      </c>
      <c r="N795" s="3" t="s">
        <v>3393</v>
      </c>
    </row>
    <row r="796" spans="1:14" ht="27.75">
      <c r="A796" s="5">
        <v>790</v>
      </c>
      <c r="B796" s="5" t="str">
        <f>"202000084797"</f>
        <v>202000084797</v>
      </c>
      <c r="C796" s="5" t="str">
        <f>"150047"</f>
        <v>150047</v>
      </c>
      <c r="D796" s="5" t="s">
        <v>3394</v>
      </c>
      <c r="E796" s="5">
        <v>20552418728</v>
      </c>
      <c r="F796" s="5" t="s">
        <v>3395</v>
      </c>
      <c r="G796" s="5" t="s">
        <v>3396</v>
      </c>
      <c r="H796" s="5" t="s">
        <v>18</v>
      </c>
      <c r="I796" s="5" t="s">
        <v>18</v>
      </c>
      <c r="J796" s="5" t="s">
        <v>41</v>
      </c>
      <c r="K796" s="5" t="s">
        <v>36</v>
      </c>
      <c r="L796" s="6">
        <v>44033</v>
      </c>
      <c r="M796" s="5" t="s">
        <v>21</v>
      </c>
      <c r="N796" s="5" t="s">
        <v>3397</v>
      </c>
    </row>
    <row r="797" spans="1:14" ht="13.5">
      <c r="A797" s="3">
        <v>791</v>
      </c>
      <c r="B797" s="3" t="str">
        <f aca="true" t="shared" si="13" ref="B797:B806">"201900078808"</f>
        <v>201900078808</v>
      </c>
      <c r="C797" s="3" t="str">
        <f>"143867"</f>
        <v>143867</v>
      </c>
      <c r="D797" s="3" t="s">
        <v>3398</v>
      </c>
      <c r="E797" s="3">
        <v>20108866277</v>
      </c>
      <c r="F797" s="3" t="s">
        <v>3399</v>
      </c>
      <c r="G797" s="3" t="s">
        <v>3400</v>
      </c>
      <c r="H797" s="3" t="s">
        <v>18</v>
      </c>
      <c r="I797" s="3" t="s">
        <v>18</v>
      </c>
      <c r="J797" s="3" t="s">
        <v>1464</v>
      </c>
      <c r="K797" s="3" t="s">
        <v>51</v>
      </c>
      <c r="L797" s="4">
        <v>43617</v>
      </c>
      <c r="M797" s="3" t="s">
        <v>21</v>
      </c>
      <c r="N797" s="3" t="s">
        <v>3401</v>
      </c>
    </row>
    <row r="798" spans="1:14" ht="27.75">
      <c r="A798" s="5">
        <v>792</v>
      </c>
      <c r="B798" s="5" t="str">
        <f t="shared" si="13"/>
        <v>201900078808</v>
      </c>
      <c r="C798" s="5" t="str">
        <f>"143869"</f>
        <v>143869</v>
      </c>
      <c r="D798" s="5" t="s">
        <v>3402</v>
      </c>
      <c r="E798" s="5">
        <v>20518889444</v>
      </c>
      <c r="F798" s="5" t="s">
        <v>3403</v>
      </c>
      <c r="G798" s="5" t="s">
        <v>3404</v>
      </c>
      <c r="H798" s="5" t="s">
        <v>18</v>
      </c>
      <c r="I798" s="5" t="s">
        <v>18</v>
      </c>
      <c r="J798" s="5" t="s">
        <v>1464</v>
      </c>
      <c r="K798" s="5" t="s">
        <v>51</v>
      </c>
      <c r="L798" s="6">
        <v>43617</v>
      </c>
      <c r="M798" s="5" t="s">
        <v>21</v>
      </c>
      <c r="N798" s="5" t="s">
        <v>3405</v>
      </c>
    </row>
    <row r="799" spans="1:14" ht="42">
      <c r="A799" s="3">
        <v>793</v>
      </c>
      <c r="B799" s="3" t="str">
        <f t="shared" si="13"/>
        <v>201900078808</v>
      </c>
      <c r="C799" s="3" t="str">
        <f>"143868"</f>
        <v>143868</v>
      </c>
      <c r="D799" s="3" t="s">
        <v>3406</v>
      </c>
      <c r="E799" s="3">
        <v>20502445805</v>
      </c>
      <c r="F799" s="3" t="s">
        <v>3407</v>
      </c>
      <c r="G799" s="3" t="s">
        <v>3408</v>
      </c>
      <c r="H799" s="3" t="s">
        <v>18</v>
      </c>
      <c r="I799" s="3" t="s">
        <v>18</v>
      </c>
      <c r="J799" s="3" t="s">
        <v>1464</v>
      </c>
      <c r="K799" s="3" t="s">
        <v>42</v>
      </c>
      <c r="L799" s="4">
        <v>43617</v>
      </c>
      <c r="M799" s="3" t="s">
        <v>21</v>
      </c>
      <c r="N799" s="3" t="s">
        <v>3409</v>
      </c>
    </row>
    <row r="800" spans="1:14" ht="13.5">
      <c r="A800" s="5">
        <v>794</v>
      </c>
      <c r="B800" s="5" t="str">
        <f t="shared" si="13"/>
        <v>201900078808</v>
      </c>
      <c r="C800" s="5" t="str">
        <f>"143871"</f>
        <v>143871</v>
      </c>
      <c r="D800" s="5" t="s">
        <v>3410</v>
      </c>
      <c r="E800" s="5">
        <v>20601437954</v>
      </c>
      <c r="F800" s="5" t="s">
        <v>3411</v>
      </c>
      <c r="G800" s="5" t="s">
        <v>3412</v>
      </c>
      <c r="H800" s="5" t="s">
        <v>18</v>
      </c>
      <c r="I800" s="5" t="s">
        <v>18</v>
      </c>
      <c r="J800" s="5" t="s">
        <v>1464</v>
      </c>
      <c r="K800" s="5" t="s">
        <v>36</v>
      </c>
      <c r="L800" s="6">
        <v>43617</v>
      </c>
      <c r="M800" s="5" t="s">
        <v>21</v>
      </c>
      <c r="N800" s="5" t="s">
        <v>3413</v>
      </c>
    </row>
    <row r="801" spans="1:14" ht="27.75">
      <c r="A801" s="3">
        <v>795</v>
      </c>
      <c r="B801" s="3" t="str">
        <f t="shared" si="13"/>
        <v>201900078808</v>
      </c>
      <c r="C801" s="3" t="str">
        <f>"143870"</f>
        <v>143870</v>
      </c>
      <c r="D801" s="3" t="s">
        <v>3414</v>
      </c>
      <c r="E801" s="3">
        <v>20557468693</v>
      </c>
      <c r="F801" s="3" t="s">
        <v>3415</v>
      </c>
      <c r="G801" s="3" t="s">
        <v>3416</v>
      </c>
      <c r="H801" s="3" t="s">
        <v>18</v>
      </c>
      <c r="I801" s="3" t="s">
        <v>18</v>
      </c>
      <c r="J801" s="3" t="s">
        <v>1464</v>
      </c>
      <c r="K801" s="3" t="s">
        <v>51</v>
      </c>
      <c r="L801" s="4">
        <v>43617</v>
      </c>
      <c r="M801" s="3" t="s">
        <v>21</v>
      </c>
      <c r="N801" s="3" t="s">
        <v>3417</v>
      </c>
    </row>
    <row r="802" spans="1:14" ht="27.75">
      <c r="A802" s="5">
        <v>796</v>
      </c>
      <c r="B802" s="5" t="str">
        <f t="shared" si="13"/>
        <v>201900078808</v>
      </c>
      <c r="C802" s="5" t="str">
        <f>"143873"</f>
        <v>143873</v>
      </c>
      <c r="D802" s="5" t="s">
        <v>3418</v>
      </c>
      <c r="E802" s="5">
        <v>20518633482</v>
      </c>
      <c r="F802" s="5" t="s">
        <v>3419</v>
      </c>
      <c r="G802" s="5" t="s">
        <v>3420</v>
      </c>
      <c r="H802" s="5" t="s">
        <v>18</v>
      </c>
      <c r="I802" s="5" t="s">
        <v>18</v>
      </c>
      <c r="J802" s="5" t="s">
        <v>3206</v>
      </c>
      <c r="K802" s="5" t="s">
        <v>51</v>
      </c>
      <c r="L802" s="6">
        <v>43617</v>
      </c>
      <c r="M802" s="5" t="s">
        <v>21</v>
      </c>
      <c r="N802" s="5" t="s">
        <v>3421</v>
      </c>
    </row>
    <row r="803" spans="1:14" ht="13.5">
      <c r="A803" s="3">
        <v>797</v>
      </c>
      <c r="B803" s="3" t="str">
        <f t="shared" si="13"/>
        <v>201900078808</v>
      </c>
      <c r="C803" s="3" t="str">
        <f>"143872"</f>
        <v>143872</v>
      </c>
      <c r="D803" s="3" t="s">
        <v>3422</v>
      </c>
      <c r="E803" s="3">
        <v>20502669401</v>
      </c>
      <c r="F803" s="3" t="s">
        <v>3423</v>
      </c>
      <c r="G803" s="3" t="s">
        <v>3424</v>
      </c>
      <c r="H803" s="3" t="s">
        <v>18</v>
      </c>
      <c r="I803" s="3" t="s">
        <v>18</v>
      </c>
      <c r="J803" s="3" t="s">
        <v>3206</v>
      </c>
      <c r="K803" s="3" t="s">
        <v>51</v>
      </c>
      <c r="L803" s="4">
        <v>43617</v>
      </c>
      <c r="M803" s="3" t="s">
        <v>21</v>
      </c>
      <c r="N803" s="3" t="s">
        <v>3425</v>
      </c>
    </row>
    <row r="804" spans="1:14" ht="27.75">
      <c r="A804" s="5">
        <v>798</v>
      </c>
      <c r="B804" s="5" t="str">
        <f t="shared" si="13"/>
        <v>201900078808</v>
      </c>
      <c r="C804" s="5" t="str">
        <f>"143875"</f>
        <v>143875</v>
      </c>
      <c r="D804" s="5" t="s">
        <v>3426</v>
      </c>
      <c r="E804" s="5">
        <v>20554120220</v>
      </c>
      <c r="F804" s="5" t="s">
        <v>3427</v>
      </c>
      <c r="G804" s="5" t="s">
        <v>3428</v>
      </c>
      <c r="H804" s="5" t="s">
        <v>18</v>
      </c>
      <c r="I804" s="5" t="s">
        <v>18</v>
      </c>
      <c r="J804" s="5" t="s">
        <v>3206</v>
      </c>
      <c r="K804" s="5" t="s">
        <v>36</v>
      </c>
      <c r="L804" s="6">
        <v>43617</v>
      </c>
      <c r="M804" s="5" t="s">
        <v>21</v>
      </c>
      <c r="N804" s="5" t="s">
        <v>3429</v>
      </c>
    </row>
    <row r="805" spans="1:14" ht="55.5">
      <c r="A805" s="3">
        <v>799</v>
      </c>
      <c r="B805" s="3" t="str">
        <f t="shared" si="13"/>
        <v>201900078808</v>
      </c>
      <c r="C805" s="3" t="str">
        <f>"143874"</f>
        <v>143874</v>
      </c>
      <c r="D805" s="3" t="s">
        <v>3430</v>
      </c>
      <c r="E805" s="3">
        <v>20548554510</v>
      </c>
      <c r="F805" s="3" t="s">
        <v>3431</v>
      </c>
      <c r="G805" s="3" t="s">
        <v>3432</v>
      </c>
      <c r="H805" s="3" t="s">
        <v>18</v>
      </c>
      <c r="I805" s="3" t="s">
        <v>18</v>
      </c>
      <c r="J805" s="3" t="s">
        <v>3206</v>
      </c>
      <c r="K805" s="3" t="s">
        <v>3433</v>
      </c>
      <c r="L805" s="4">
        <v>43617</v>
      </c>
      <c r="M805" s="3" t="s">
        <v>21</v>
      </c>
      <c r="N805" s="3" t="s">
        <v>3434</v>
      </c>
    </row>
    <row r="806" spans="1:14" ht="13.5">
      <c r="A806" s="5">
        <v>800</v>
      </c>
      <c r="B806" s="5" t="str">
        <f t="shared" si="13"/>
        <v>201900078808</v>
      </c>
      <c r="C806" s="5" t="str">
        <f>"143876"</f>
        <v>143876</v>
      </c>
      <c r="D806" s="5" t="s">
        <v>3435</v>
      </c>
      <c r="E806" s="5">
        <v>20556668061</v>
      </c>
      <c r="F806" s="5" t="s">
        <v>3436</v>
      </c>
      <c r="G806" s="5" t="s">
        <v>3437</v>
      </c>
      <c r="H806" s="5" t="s">
        <v>18</v>
      </c>
      <c r="I806" s="5" t="s">
        <v>18</v>
      </c>
      <c r="J806" s="5" t="s">
        <v>3206</v>
      </c>
      <c r="K806" s="5" t="s">
        <v>51</v>
      </c>
      <c r="L806" s="6">
        <v>43617</v>
      </c>
      <c r="M806" s="5" t="s">
        <v>21</v>
      </c>
      <c r="N806" s="5" t="s">
        <v>3438</v>
      </c>
    </row>
    <row r="807" spans="1:14" ht="13.5">
      <c r="A807" s="3">
        <v>801</v>
      </c>
      <c r="B807" s="3" t="str">
        <f>"201900164566"</f>
        <v>201900164566</v>
      </c>
      <c r="C807" s="3" t="str">
        <f>"145571"</f>
        <v>145571</v>
      </c>
      <c r="D807" s="3" t="s">
        <v>3439</v>
      </c>
      <c r="E807" s="3">
        <v>10800628381</v>
      </c>
      <c r="F807" s="3" t="s">
        <v>3440</v>
      </c>
      <c r="G807" s="3" t="s">
        <v>3441</v>
      </c>
      <c r="H807" s="3" t="s">
        <v>932</v>
      </c>
      <c r="I807" s="3" t="s">
        <v>3009</v>
      </c>
      <c r="J807" s="3" t="s">
        <v>3009</v>
      </c>
      <c r="K807" s="3" t="s">
        <v>36</v>
      </c>
      <c r="L807" s="4">
        <v>43755</v>
      </c>
      <c r="M807" s="3" t="s">
        <v>21</v>
      </c>
      <c r="N807" s="3" t="s">
        <v>3440</v>
      </c>
    </row>
    <row r="808" spans="1:14" ht="27.75">
      <c r="A808" s="5">
        <v>802</v>
      </c>
      <c r="B808" s="5" t="str">
        <f>"202000037683"</f>
        <v>202000037683</v>
      </c>
      <c r="C808" s="5" t="str">
        <f>"149417"</f>
        <v>149417</v>
      </c>
      <c r="D808" s="5" t="s">
        <v>3442</v>
      </c>
      <c r="E808" s="5">
        <v>20603163398</v>
      </c>
      <c r="F808" s="5" t="s">
        <v>3443</v>
      </c>
      <c r="G808" s="5" t="s">
        <v>3444</v>
      </c>
      <c r="H808" s="5" t="s">
        <v>932</v>
      </c>
      <c r="I808" s="5" t="s">
        <v>933</v>
      </c>
      <c r="J808" s="5" t="s">
        <v>934</v>
      </c>
      <c r="K808" s="5" t="s">
        <v>36</v>
      </c>
      <c r="L808" s="6">
        <v>43895</v>
      </c>
      <c r="M808" s="5" t="s">
        <v>21</v>
      </c>
      <c r="N808" s="5" t="s">
        <v>3445</v>
      </c>
    </row>
    <row r="809" spans="1:14" ht="13.5">
      <c r="A809" s="3">
        <v>803</v>
      </c>
      <c r="B809" s="3" t="str">
        <f>"201900078789"</f>
        <v>201900078789</v>
      </c>
      <c r="C809" s="3" t="str">
        <f>"143498"</f>
        <v>143498</v>
      </c>
      <c r="D809" s="3" t="s">
        <v>3446</v>
      </c>
      <c r="E809" s="3">
        <v>20281453492</v>
      </c>
      <c r="F809" s="3" t="s">
        <v>3447</v>
      </c>
      <c r="G809" s="3" t="s">
        <v>3448</v>
      </c>
      <c r="H809" s="3" t="s">
        <v>322</v>
      </c>
      <c r="I809" s="3" t="s">
        <v>323</v>
      </c>
      <c r="J809" s="3" t="s">
        <v>323</v>
      </c>
      <c r="K809" s="3" t="s">
        <v>36</v>
      </c>
      <c r="L809" s="4">
        <v>43617</v>
      </c>
      <c r="M809" s="3" t="s">
        <v>21</v>
      </c>
      <c r="N809" s="3" t="s">
        <v>3449</v>
      </c>
    </row>
    <row r="810" spans="1:14" ht="83.25">
      <c r="A810" s="5">
        <v>804</v>
      </c>
      <c r="B810" s="5" t="str">
        <f>"201900078789"</f>
        <v>201900078789</v>
      </c>
      <c r="C810" s="5" t="str">
        <f>"143499"</f>
        <v>143499</v>
      </c>
      <c r="D810" s="5" t="s">
        <v>3450</v>
      </c>
      <c r="E810" s="5">
        <v>20486255171</v>
      </c>
      <c r="F810" s="5" t="s">
        <v>3451</v>
      </c>
      <c r="G810" s="5" t="s">
        <v>3452</v>
      </c>
      <c r="H810" s="5" t="s">
        <v>322</v>
      </c>
      <c r="I810" s="5" t="s">
        <v>323</v>
      </c>
      <c r="J810" s="5" t="s">
        <v>2050</v>
      </c>
      <c r="K810" s="5" t="s">
        <v>3453</v>
      </c>
      <c r="L810" s="6">
        <v>43617</v>
      </c>
      <c r="M810" s="5" t="s">
        <v>21</v>
      </c>
      <c r="N810" s="5" t="s">
        <v>3454</v>
      </c>
    </row>
    <row r="811" spans="1:14" ht="13.5">
      <c r="A811" s="3">
        <v>805</v>
      </c>
      <c r="B811" s="3" t="str">
        <f>"201900078789"</f>
        <v>201900078789</v>
      </c>
      <c r="C811" s="3" t="str">
        <f>"143497"</f>
        <v>143497</v>
      </c>
      <c r="D811" s="3" t="s">
        <v>3455</v>
      </c>
      <c r="E811" s="3">
        <v>10199410976</v>
      </c>
      <c r="F811" s="3" t="s">
        <v>3456</v>
      </c>
      <c r="G811" s="3" t="s">
        <v>3457</v>
      </c>
      <c r="H811" s="3" t="s">
        <v>322</v>
      </c>
      <c r="I811" s="3" t="s">
        <v>323</v>
      </c>
      <c r="J811" s="3" t="s">
        <v>323</v>
      </c>
      <c r="K811" s="3" t="s">
        <v>97</v>
      </c>
      <c r="L811" s="4">
        <v>43617</v>
      </c>
      <c r="M811" s="3" t="s">
        <v>21</v>
      </c>
      <c r="N811" s="3" t="s">
        <v>3458</v>
      </c>
    </row>
    <row r="812" spans="1:14" ht="27.75">
      <c r="A812" s="5">
        <v>806</v>
      </c>
      <c r="B812" s="5" t="str">
        <f>"201900078797"</f>
        <v>201900078797</v>
      </c>
      <c r="C812" s="5" t="str">
        <f>"143506"</f>
        <v>143506</v>
      </c>
      <c r="D812" s="5" t="s">
        <v>3459</v>
      </c>
      <c r="E812" s="5">
        <v>20481331855</v>
      </c>
      <c r="F812" s="5" t="s">
        <v>3460</v>
      </c>
      <c r="G812" s="5" t="s">
        <v>3461</v>
      </c>
      <c r="H812" s="5" t="s">
        <v>73</v>
      </c>
      <c r="I812" s="5" t="s">
        <v>835</v>
      </c>
      <c r="J812" s="5" t="s">
        <v>3462</v>
      </c>
      <c r="K812" s="5" t="s">
        <v>3463</v>
      </c>
      <c r="L812" s="6">
        <v>43617</v>
      </c>
      <c r="M812" s="5" t="s">
        <v>21</v>
      </c>
      <c r="N812" s="5" t="s">
        <v>3464</v>
      </c>
    </row>
    <row r="813" spans="1:14" ht="13.5">
      <c r="A813" s="3">
        <v>807</v>
      </c>
      <c r="B813" s="3" t="str">
        <f>"201900078789"</f>
        <v>201900078789</v>
      </c>
      <c r="C813" s="3" t="str">
        <f>"143504"</f>
        <v>143504</v>
      </c>
      <c r="D813" s="3" t="s">
        <v>3465</v>
      </c>
      <c r="E813" s="3">
        <v>20511193711</v>
      </c>
      <c r="F813" s="3" t="s">
        <v>3466</v>
      </c>
      <c r="G813" s="3" t="s">
        <v>3467</v>
      </c>
      <c r="H813" s="3" t="s">
        <v>322</v>
      </c>
      <c r="I813" s="3" t="s">
        <v>531</v>
      </c>
      <c r="J813" s="3" t="s">
        <v>532</v>
      </c>
      <c r="K813" s="3" t="s">
        <v>51</v>
      </c>
      <c r="L813" s="4">
        <v>43617</v>
      </c>
      <c r="M813" s="3" t="s">
        <v>21</v>
      </c>
      <c r="N813" s="3" t="s">
        <v>533</v>
      </c>
    </row>
    <row r="814" spans="1:14" ht="27.75">
      <c r="A814" s="5">
        <v>808</v>
      </c>
      <c r="B814" s="5" t="str">
        <f>"201900078789"</f>
        <v>201900078789</v>
      </c>
      <c r="C814" s="5" t="str">
        <f>"143505"</f>
        <v>143505</v>
      </c>
      <c r="D814" s="5" t="s">
        <v>3468</v>
      </c>
      <c r="E814" s="5">
        <v>20603502028</v>
      </c>
      <c r="F814" s="5" t="s">
        <v>3469</v>
      </c>
      <c r="G814" s="5" t="s">
        <v>3470</v>
      </c>
      <c r="H814" s="5" t="s">
        <v>322</v>
      </c>
      <c r="I814" s="5" t="s">
        <v>531</v>
      </c>
      <c r="J814" s="5" t="s">
        <v>532</v>
      </c>
      <c r="K814" s="5" t="s">
        <v>847</v>
      </c>
      <c r="L814" s="6">
        <v>43617</v>
      </c>
      <c r="M814" s="5" t="s">
        <v>21</v>
      </c>
      <c r="N814" s="5" t="s">
        <v>3471</v>
      </c>
    </row>
    <row r="815" spans="1:14" ht="13.5">
      <c r="A815" s="3">
        <v>809</v>
      </c>
      <c r="B815" s="3" t="str">
        <f>"201900078789"</f>
        <v>201900078789</v>
      </c>
      <c r="C815" s="3" t="str">
        <f>"143502"</f>
        <v>143502</v>
      </c>
      <c r="D815" s="3" t="s">
        <v>3472</v>
      </c>
      <c r="E815" s="3">
        <v>20551985513</v>
      </c>
      <c r="F815" s="3" t="s">
        <v>3473</v>
      </c>
      <c r="G815" s="3" t="s">
        <v>3474</v>
      </c>
      <c r="H815" s="3" t="s">
        <v>322</v>
      </c>
      <c r="I815" s="3" t="s">
        <v>322</v>
      </c>
      <c r="J815" s="3" t="s">
        <v>3475</v>
      </c>
      <c r="K815" s="3" t="s">
        <v>51</v>
      </c>
      <c r="L815" s="4">
        <v>43617</v>
      </c>
      <c r="M815" s="3" t="s">
        <v>21</v>
      </c>
      <c r="N815" s="3" t="s">
        <v>3476</v>
      </c>
    </row>
    <row r="816" spans="1:14" ht="13.5">
      <c r="A816" s="5">
        <v>810</v>
      </c>
      <c r="B816" s="5" t="str">
        <f>"201900078789"</f>
        <v>201900078789</v>
      </c>
      <c r="C816" s="5" t="str">
        <f>"143503"</f>
        <v>143503</v>
      </c>
      <c r="D816" s="5" t="s">
        <v>3477</v>
      </c>
      <c r="E816" s="5">
        <v>10210873835</v>
      </c>
      <c r="F816" s="5" t="s">
        <v>3478</v>
      </c>
      <c r="G816" s="5" t="s">
        <v>3479</v>
      </c>
      <c r="H816" s="5" t="s">
        <v>322</v>
      </c>
      <c r="I816" s="5" t="s">
        <v>3480</v>
      </c>
      <c r="J816" s="5" t="s">
        <v>3481</v>
      </c>
      <c r="K816" s="5" t="s">
        <v>51</v>
      </c>
      <c r="L816" s="6">
        <v>43617</v>
      </c>
      <c r="M816" s="5" t="s">
        <v>21</v>
      </c>
      <c r="N816" s="5" t="s">
        <v>3478</v>
      </c>
    </row>
    <row r="817" spans="1:14" ht="153.75">
      <c r="A817" s="3">
        <v>811</v>
      </c>
      <c r="B817" s="3" t="str">
        <f>"201900142722"</f>
        <v>201900142722</v>
      </c>
      <c r="C817" s="3" t="str">
        <f>"146318"</f>
        <v>146318</v>
      </c>
      <c r="D817" s="3" t="s">
        <v>3482</v>
      </c>
      <c r="E817" s="3">
        <v>20481173095</v>
      </c>
      <c r="F817" s="3" t="s">
        <v>3483</v>
      </c>
      <c r="G817" s="3" t="s">
        <v>3484</v>
      </c>
      <c r="H817" s="3" t="s">
        <v>73</v>
      </c>
      <c r="I817" s="3" t="s">
        <v>74</v>
      </c>
      <c r="J817" s="3" t="s">
        <v>74</v>
      </c>
      <c r="K817" s="3" t="s">
        <v>75</v>
      </c>
      <c r="L817" s="4">
        <v>43713</v>
      </c>
      <c r="M817" s="3" t="s">
        <v>21</v>
      </c>
      <c r="N817" s="3" t="s">
        <v>3485</v>
      </c>
    </row>
    <row r="818" spans="1:14" ht="55.5">
      <c r="A818" s="5">
        <v>812</v>
      </c>
      <c r="B818" s="5" t="str">
        <f>"201900078803"</f>
        <v>201900078803</v>
      </c>
      <c r="C818" s="5" t="str">
        <f>"143706"</f>
        <v>143706</v>
      </c>
      <c r="D818" s="5" t="s">
        <v>3486</v>
      </c>
      <c r="E818" s="5">
        <v>10198536348</v>
      </c>
      <c r="F818" s="5" t="s">
        <v>3487</v>
      </c>
      <c r="G818" s="5" t="s">
        <v>3488</v>
      </c>
      <c r="H818" s="5" t="s">
        <v>18</v>
      </c>
      <c r="I818" s="5" t="s">
        <v>18</v>
      </c>
      <c r="J818" s="5" t="s">
        <v>1286</v>
      </c>
      <c r="K818" s="5" t="s">
        <v>949</v>
      </c>
      <c r="L818" s="6">
        <v>43617</v>
      </c>
      <c r="M818" s="5" t="s">
        <v>21</v>
      </c>
      <c r="N818" s="5" t="s">
        <v>3487</v>
      </c>
    </row>
    <row r="819" spans="1:14" ht="13.5">
      <c r="A819" s="3">
        <v>813</v>
      </c>
      <c r="B819" s="3" t="str">
        <f>"201900078789"</f>
        <v>201900078789</v>
      </c>
      <c r="C819" s="3" t="str">
        <f>"143500"</f>
        <v>143500</v>
      </c>
      <c r="D819" s="3" t="s">
        <v>3489</v>
      </c>
      <c r="E819" s="3">
        <v>20601613370</v>
      </c>
      <c r="F819" s="3" t="s">
        <v>3490</v>
      </c>
      <c r="G819" s="3" t="s">
        <v>3491</v>
      </c>
      <c r="H819" s="3" t="s">
        <v>322</v>
      </c>
      <c r="I819" s="3" t="s">
        <v>323</v>
      </c>
      <c r="J819" s="3" t="s">
        <v>3492</v>
      </c>
      <c r="K819" s="3" t="s">
        <v>97</v>
      </c>
      <c r="L819" s="4">
        <v>43617</v>
      </c>
      <c r="M819" s="3" t="s">
        <v>21</v>
      </c>
      <c r="N819" s="3" t="s">
        <v>3493</v>
      </c>
    </row>
    <row r="820" spans="1:14" ht="13.5">
      <c r="A820" s="5">
        <v>814</v>
      </c>
      <c r="B820" s="5" t="str">
        <f>"201900078789"</f>
        <v>201900078789</v>
      </c>
      <c r="C820" s="5" t="str">
        <f>"143501"</f>
        <v>143501</v>
      </c>
      <c r="D820" s="5" t="s">
        <v>3494</v>
      </c>
      <c r="E820" s="5">
        <v>20568304480</v>
      </c>
      <c r="F820" s="5" t="s">
        <v>3495</v>
      </c>
      <c r="G820" s="5" t="s">
        <v>3496</v>
      </c>
      <c r="H820" s="5" t="s">
        <v>322</v>
      </c>
      <c r="I820" s="5" t="s">
        <v>323</v>
      </c>
      <c r="J820" s="5" t="s">
        <v>3497</v>
      </c>
      <c r="K820" s="5" t="s">
        <v>97</v>
      </c>
      <c r="L820" s="6">
        <v>43617</v>
      </c>
      <c r="M820" s="5" t="s">
        <v>21</v>
      </c>
      <c r="N820" s="5" t="s">
        <v>3498</v>
      </c>
    </row>
    <row r="821" spans="1:14" ht="13.5">
      <c r="A821" s="3">
        <v>815</v>
      </c>
      <c r="B821" s="3" t="str">
        <f>"201900078803"</f>
        <v>201900078803</v>
      </c>
      <c r="C821" s="3" t="str">
        <f>"143705"</f>
        <v>143705</v>
      </c>
      <c r="D821" s="3" t="s">
        <v>3499</v>
      </c>
      <c r="E821" s="3">
        <v>10079095392</v>
      </c>
      <c r="F821" s="3" t="s">
        <v>3500</v>
      </c>
      <c r="G821" s="3" t="s">
        <v>3501</v>
      </c>
      <c r="H821" s="3" t="s">
        <v>18</v>
      </c>
      <c r="I821" s="3" t="s">
        <v>18</v>
      </c>
      <c r="J821" s="3" t="s">
        <v>1286</v>
      </c>
      <c r="K821" s="3" t="s">
        <v>51</v>
      </c>
      <c r="L821" s="4">
        <v>43617</v>
      </c>
      <c r="M821" s="3" t="s">
        <v>21</v>
      </c>
      <c r="N821" s="3" t="s">
        <v>3502</v>
      </c>
    </row>
    <row r="822" spans="1:14" ht="13.5">
      <c r="A822" s="5">
        <v>816</v>
      </c>
      <c r="B822" s="5" t="str">
        <f>"201900078803"</f>
        <v>201900078803</v>
      </c>
      <c r="C822" s="5" t="str">
        <f>"143704"</f>
        <v>143704</v>
      </c>
      <c r="D822" s="5" t="s">
        <v>3503</v>
      </c>
      <c r="E822" s="5">
        <v>20550633621</v>
      </c>
      <c r="F822" s="5" t="s">
        <v>3504</v>
      </c>
      <c r="G822" s="5" t="s">
        <v>3505</v>
      </c>
      <c r="H822" s="5" t="s">
        <v>18</v>
      </c>
      <c r="I822" s="5" t="s">
        <v>18</v>
      </c>
      <c r="J822" s="5" t="s">
        <v>2681</v>
      </c>
      <c r="K822" s="5" t="s">
        <v>51</v>
      </c>
      <c r="L822" s="6">
        <v>43617</v>
      </c>
      <c r="M822" s="5" t="s">
        <v>21</v>
      </c>
      <c r="N822" s="5" t="s">
        <v>3506</v>
      </c>
    </row>
    <row r="823" spans="1:14" ht="27.75">
      <c r="A823" s="3">
        <v>817</v>
      </c>
      <c r="B823" s="3" t="str">
        <f>"201900078803"</f>
        <v>201900078803</v>
      </c>
      <c r="C823" s="3" t="str">
        <f>"143703"</f>
        <v>143703</v>
      </c>
      <c r="D823" s="3" t="s">
        <v>3507</v>
      </c>
      <c r="E823" s="3">
        <v>20602378196</v>
      </c>
      <c r="F823" s="3" t="s">
        <v>3508</v>
      </c>
      <c r="G823" s="3" t="s">
        <v>3509</v>
      </c>
      <c r="H823" s="3" t="s">
        <v>18</v>
      </c>
      <c r="I823" s="3" t="s">
        <v>18</v>
      </c>
      <c r="J823" s="3" t="s">
        <v>779</v>
      </c>
      <c r="K823" s="3" t="s">
        <v>51</v>
      </c>
      <c r="L823" s="4">
        <v>43617</v>
      </c>
      <c r="M823" s="3" t="s">
        <v>21</v>
      </c>
      <c r="N823" s="3" t="s">
        <v>3510</v>
      </c>
    </row>
    <row r="824" spans="1:14" ht="125.25">
      <c r="A824" s="5">
        <v>818</v>
      </c>
      <c r="B824" s="5" t="str">
        <f>"201900204096"</f>
        <v>201900204096</v>
      </c>
      <c r="C824" s="5" t="str">
        <f>"148230"</f>
        <v>148230</v>
      </c>
      <c r="D824" s="5" t="s">
        <v>3511</v>
      </c>
      <c r="E824" s="5">
        <v>10329279508</v>
      </c>
      <c r="F824" s="5" t="s">
        <v>3512</v>
      </c>
      <c r="G824" s="5" t="s">
        <v>3513</v>
      </c>
      <c r="H824" s="5" t="s">
        <v>1645</v>
      </c>
      <c r="I824" s="5" t="s">
        <v>2279</v>
      </c>
      <c r="J824" s="5" t="s">
        <v>2280</v>
      </c>
      <c r="K824" s="5" t="s">
        <v>3514</v>
      </c>
      <c r="L824" s="6">
        <v>43823</v>
      </c>
      <c r="M824" s="5" t="s">
        <v>21</v>
      </c>
      <c r="N824" s="5" t="s">
        <v>3512</v>
      </c>
    </row>
    <row r="825" spans="1:14" ht="13.5">
      <c r="A825" s="3">
        <v>819</v>
      </c>
      <c r="B825" s="3" t="str">
        <f>"201900078803"</f>
        <v>201900078803</v>
      </c>
      <c r="C825" s="3" t="str">
        <f>"143701"</f>
        <v>143701</v>
      </c>
      <c r="D825" s="3" t="s">
        <v>3515</v>
      </c>
      <c r="E825" s="3">
        <v>20600066944</v>
      </c>
      <c r="F825" s="3" t="s">
        <v>3516</v>
      </c>
      <c r="G825" s="3" t="s">
        <v>3517</v>
      </c>
      <c r="H825" s="3" t="s">
        <v>18</v>
      </c>
      <c r="I825" s="3" t="s">
        <v>18</v>
      </c>
      <c r="J825" s="3" t="s">
        <v>779</v>
      </c>
      <c r="K825" s="3" t="s">
        <v>36</v>
      </c>
      <c r="L825" s="4">
        <v>43617</v>
      </c>
      <c r="M825" s="3" t="s">
        <v>21</v>
      </c>
      <c r="N825" s="3" t="s">
        <v>3518</v>
      </c>
    </row>
    <row r="826" spans="1:14" ht="27.75">
      <c r="A826" s="5">
        <v>820</v>
      </c>
      <c r="B826" s="5" t="str">
        <f>"201900078803"</f>
        <v>201900078803</v>
      </c>
      <c r="C826" s="5" t="str">
        <f>"143700"</f>
        <v>143700</v>
      </c>
      <c r="D826" s="5" t="s">
        <v>3519</v>
      </c>
      <c r="E826" s="5">
        <v>20552314868</v>
      </c>
      <c r="F826" s="5" t="s">
        <v>3520</v>
      </c>
      <c r="G826" s="5" t="s">
        <v>3521</v>
      </c>
      <c r="H826" s="5" t="s">
        <v>18</v>
      </c>
      <c r="I826" s="5" t="s">
        <v>18</v>
      </c>
      <c r="J826" s="5" t="s">
        <v>779</v>
      </c>
      <c r="K826" s="5" t="s">
        <v>51</v>
      </c>
      <c r="L826" s="6">
        <v>43617</v>
      </c>
      <c r="M826" s="5" t="s">
        <v>21</v>
      </c>
      <c r="N826" s="5" t="s">
        <v>3522</v>
      </c>
    </row>
    <row r="827" spans="1:14" ht="13.5">
      <c r="A827" s="3">
        <v>821</v>
      </c>
      <c r="B827" s="3" t="str">
        <f>"201900078803"</f>
        <v>201900078803</v>
      </c>
      <c r="C827" s="3" t="str">
        <f>"143699"</f>
        <v>143699</v>
      </c>
      <c r="D827" s="3" t="s">
        <v>3523</v>
      </c>
      <c r="E827" s="3">
        <v>20547142625</v>
      </c>
      <c r="F827" s="3" t="s">
        <v>3524</v>
      </c>
      <c r="G827" s="3" t="s">
        <v>3525</v>
      </c>
      <c r="H827" s="3" t="s">
        <v>18</v>
      </c>
      <c r="I827" s="3" t="s">
        <v>18</v>
      </c>
      <c r="J827" s="3" t="s">
        <v>779</v>
      </c>
      <c r="K827" s="3" t="s">
        <v>36</v>
      </c>
      <c r="L827" s="4">
        <v>43617</v>
      </c>
      <c r="M827" s="3" t="s">
        <v>21</v>
      </c>
      <c r="N827" s="3" t="s">
        <v>3526</v>
      </c>
    </row>
    <row r="828" spans="1:14" ht="13.5">
      <c r="A828" s="5">
        <v>822</v>
      </c>
      <c r="B828" s="5" t="str">
        <f>"201900078803"</f>
        <v>201900078803</v>
      </c>
      <c r="C828" s="5" t="str">
        <f>"143698"</f>
        <v>143698</v>
      </c>
      <c r="D828" s="5" t="s">
        <v>3527</v>
      </c>
      <c r="E828" s="5">
        <v>20536323865</v>
      </c>
      <c r="F828" s="5" t="s">
        <v>3528</v>
      </c>
      <c r="G828" s="5" t="s">
        <v>3529</v>
      </c>
      <c r="H828" s="5" t="s">
        <v>18</v>
      </c>
      <c r="I828" s="5" t="s">
        <v>18</v>
      </c>
      <c r="J828" s="5" t="s">
        <v>779</v>
      </c>
      <c r="K828" s="5" t="s">
        <v>36</v>
      </c>
      <c r="L828" s="6">
        <v>43617</v>
      </c>
      <c r="M828" s="5" t="s">
        <v>21</v>
      </c>
      <c r="N828" s="5" t="s">
        <v>3530</v>
      </c>
    </row>
    <row r="829" spans="1:14" ht="13.5">
      <c r="A829" s="3">
        <v>823</v>
      </c>
      <c r="B829" s="3" t="str">
        <f>"201900078803"</f>
        <v>201900078803</v>
      </c>
      <c r="C829" s="3" t="str">
        <f>"143697"</f>
        <v>143697</v>
      </c>
      <c r="D829" s="3" t="s">
        <v>3531</v>
      </c>
      <c r="E829" s="3">
        <v>20532588597</v>
      </c>
      <c r="F829" s="3" t="s">
        <v>3532</v>
      </c>
      <c r="G829" s="3" t="s">
        <v>3533</v>
      </c>
      <c r="H829" s="3" t="s">
        <v>18</v>
      </c>
      <c r="I829" s="3" t="s">
        <v>18</v>
      </c>
      <c r="J829" s="3" t="s">
        <v>779</v>
      </c>
      <c r="K829" s="3" t="s">
        <v>51</v>
      </c>
      <c r="L829" s="4">
        <v>43617</v>
      </c>
      <c r="M829" s="3" t="s">
        <v>21</v>
      </c>
      <c r="N829" s="3" t="s">
        <v>3534</v>
      </c>
    </row>
    <row r="830" spans="1:14" ht="153.75">
      <c r="A830" s="5">
        <v>824</v>
      </c>
      <c r="B830" s="5" t="str">
        <f>"201900171996"</f>
        <v>201900171996</v>
      </c>
      <c r="C830" s="5" t="str">
        <f>"147284"</f>
        <v>147284</v>
      </c>
      <c r="D830" s="5" t="s">
        <v>3535</v>
      </c>
      <c r="E830" s="5">
        <v>20600476301</v>
      </c>
      <c r="F830" s="5" t="s">
        <v>3536</v>
      </c>
      <c r="G830" s="5" t="s">
        <v>3537</v>
      </c>
      <c r="H830" s="5" t="s">
        <v>73</v>
      </c>
      <c r="I830" s="5" t="s">
        <v>74</v>
      </c>
      <c r="J830" s="5" t="s">
        <v>1294</v>
      </c>
      <c r="K830" s="5" t="s">
        <v>1136</v>
      </c>
      <c r="L830" s="6">
        <v>43805</v>
      </c>
      <c r="M830" s="5" t="s">
        <v>21</v>
      </c>
      <c r="N830" s="5" t="s">
        <v>3538</v>
      </c>
    </row>
    <row r="831" spans="1:14" ht="13.5">
      <c r="A831" s="3">
        <v>825</v>
      </c>
      <c r="B831" s="3" t="str">
        <f>"201900078789"</f>
        <v>201900078789</v>
      </c>
      <c r="C831" s="3" t="str">
        <f>"143487"</f>
        <v>143487</v>
      </c>
      <c r="D831" s="3" t="s">
        <v>3539</v>
      </c>
      <c r="E831" s="3">
        <v>10071529661</v>
      </c>
      <c r="F831" s="3" t="s">
        <v>3540</v>
      </c>
      <c r="G831" s="3" t="s">
        <v>3541</v>
      </c>
      <c r="H831" s="3" t="s">
        <v>322</v>
      </c>
      <c r="I831" s="3" t="s">
        <v>323</v>
      </c>
      <c r="J831" s="3" t="s">
        <v>889</v>
      </c>
      <c r="K831" s="3" t="s">
        <v>51</v>
      </c>
      <c r="L831" s="4">
        <v>43617</v>
      </c>
      <c r="M831" s="3" t="s">
        <v>21</v>
      </c>
      <c r="N831" s="3" t="s">
        <v>3540</v>
      </c>
    </row>
    <row r="832" spans="1:14" ht="27.75">
      <c r="A832" s="5">
        <v>826</v>
      </c>
      <c r="B832" s="5" t="str">
        <f>"201900078789"</f>
        <v>201900078789</v>
      </c>
      <c r="C832" s="5" t="str">
        <f>"143488"</f>
        <v>143488</v>
      </c>
      <c r="D832" s="5" t="s">
        <v>3542</v>
      </c>
      <c r="E832" s="5">
        <v>10199215952</v>
      </c>
      <c r="F832" s="5" t="s">
        <v>3543</v>
      </c>
      <c r="G832" s="5" t="s">
        <v>3544</v>
      </c>
      <c r="H832" s="5" t="s">
        <v>322</v>
      </c>
      <c r="I832" s="5" t="s">
        <v>323</v>
      </c>
      <c r="J832" s="5" t="s">
        <v>889</v>
      </c>
      <c r="K832" s="5" t="s">
        <v>20</v>
      </c>
      <c r="L832" s="6">
        <v>43617</v>
      </c>
      <c r="M832" s="5" t="s">
        <v>21</v>
      </c>
      <c r="N832" s="5" t="s">
        <v>3543</v>
      </c>
    </row>
    <row r="833" spans="1:14" ht="83.25">
      <c r="A833" s="3">
        <v>827</v>
      </c>
      <c r="B833" s="3" t="str">
        <f>"201900125049"</f>
        <v>201900125049</v>
      </c>
      <c r="C833" s="3" t="str">
        <f>"145628"</f>
        <v>145628</v>
      </c>
      <c r="D833" s="3" t="s">
        <v>3545</v>
      </c>
      <c r="E833" s="3">
        <v>20542902338</v>
      </c>
      <c r="F833" s="3" t="s">
        <v>3546</v>
      </c>
      <c r="G833" s="3" t="s">
        <v>3547</v>
      </c>
      <c r="H833" s="3" t="s">
        <v>333</v>
      </c>
      <c r="I833" s="3" t="s">
        <v>334</v>
      </c>
      <c r="J833" s="3" t="s">
        <v>334</v>
      </c>
      <c r="K833" s="3" t="s">
        <v>3548</v>
      </c>
      <c r="L833" s="4">
        <v>43684</v>
      </c>
      <c r="M833" s="3" t="s">
        <v>21</v>
      </c>
      <c r="N833" s="3" t="s">
        <v>3549</v>
      </c>
    </row>
    <row r="834" spans="1:14" ht="13.5">
      <c r="A834" s="5">
        <v>828</v>
      </c>
      <c r="B834" s="5" t="str">
        <f>"201900078789"</f>
        <v>201900078789</v>
      </c>
      <c r="C834" s="5" t="str">
        <f>"143493"</f>
        <v>143493</v>
      </c>
      <c r="D834" s="5" t="s">
        <v>3550</v>
      </c>
      <c r="E834" s="5">
        <v>20511869588</v>
      </c>
      <c r="F834" s="5" t="s">
        <v>3551</v>
      </c>
      <c r="G834" s="5" t="s">
        <v>3552</v>
      </c>
      <c r="H834" s="5" t="s">
        <v>322</v>
      </c>
      <c r="I834" s="5" t="s">
        <v>323</v>
      </c>
      <c r="J834" s="5" t="s">
        <v>889</v>
      </c>
      <c r="K834" s="5" t="s">
        <v>97</v>
      </c>
      <c r="L834" s="6">
        <v>43617</v>
      </c>
      <c r="M834" s="5" t="s">
        <v>21</v>
      </c>
      <c r="N834" s="5" t="s">
        <v>3553</v>
      </c>
    </row>
    <row r="835" spans="1:14" ht="13.5">
      <c r="A835" s="3">
        <v>829</v>
      </c>
      <c r="B835" s="3" t="str">
        <f>"201900078789"</f>
        <v>201900078789</v>
      </c>
      <c r="C835" s="3" t="str">
        <f>"143494"</f>
        <v>143494</v>
      </c>
      <c r="D835" s="3" t="s">
        <v>3554</v>
      </c>
      <c r="E835" s="3">
        <v>20552874570</v>
      </c>
      <c r="F835" s="3" t="s">
        <v>3555</v>
      </c>
      <c r="G835" s="3" t="s">
        <v>3556</v>
      </c>
      <c r="H835" s="3" t="s">
        <v>322</v>
      </c>
      <c r="I835" s="3" t="s">
        <v>323</v>
      </c>
      <c r="J835" s="3" t="s">
        <v>889</v>
      </c>
      <c r="K835" s="3" t="s">
        <v>51</v>
      </c>
      <c r="L835" s="4">
        <v>43617</v>
      </c>
      <c r="M835" s="3" t="s">
        <v>21</v>
      </c>
      <c r="N835" s="3" t="s">
        <v>3557</v>
      </c>
    </row>
    <row r="836" spans="1:14" ht="13.5">
      <c r="A836" s="5">
        <v>830</v>
      </c>
      <c r="B836" s="5" t="str">
        <f>"201900078789"</f>
        <v>201900078789</v>
      </c>
      <c r="C836" s="5" t="str">
        <f>"143495"</f>
        <v>143495</v>
      </c>
      <c r="D836" s="5" t="s">
        <v>3558</v>
      </c>
      <c r="E836" s="5">
        <v>20568204264</v>
      </c>
      <c r="F836" s="5" t="s">
        <v>3559</v>
      </c>
      <c r="G836" s="5" t="s">
        <v>3560</v>
      </c>
      <c r="H836" s="5" t="s">
        <v>322</v>
      </c>
      <c r="I836" s="5" t="s">
        <v>323</v>
      </c>
      <c r="J836" s="5" t="s">
        <v>889</v>
      </c>
      <c r="K836" s="5" t="s">
        <v>1883</v>
      </c>
      <c r="L836" s="6">
        <v>43617</v>
      </c>
      <c r="M836" s="5" t="s">
        <v>21</v>
      </c>
      <c r="N836" s="5" t="s">
        <v>3561</v>
      </c>
    </row>
    <row r="837" spans="1:14" ht="13.5">
      <c r="A837" s="3">
        <v>831</v>
      </c>
      <c r="B837" s="3" t="str">
        <f>"201900078789"</f>
        <v>201900078789</v>
      </c>
      <c r="C837" s="3" t="str">
        <f>"143496"</f>
        <v>143496</v>
      </c>
      <c r="D837" s="3" t="s">
        <v>3562</v>
      </c>
      <c r="E837" s="3">
        <v>20568924437</v>
      </c>
      <c r="F837" s="3" t="s">
        <v>3563</v>
      </c>
      <c r="G837" s="3" t="s">
        <v>3564</v>
      </c>
      <c r="H837" s="3" t="s">
        <v>322</v>
      </c>
      <c r="I837" s="3" t="s">
        <v>323</v>
      </c>
      <c r="J837" s="3" t="s">
        <v>889</v>
      </c>
      <c r="K837" s="3" t="s">
        <v>51</v>
      </c>
      <c r="L837" s="4">
        <v>43617</v>
      </c>
      <c r="M837" s="3" t="s">
        <v>21</v>
      </c>
      <c r="N837" s="3" t="s">
        <v>3565</v>
      </c>
    </row>
    <row r="838" spans="1:14" ht="27.75">
      <c r="A838" s="5">
        <v>832</v>
      </c>
      <c r="B838" s="5" t="str">
        <f>"201900078789"</f>
        <v>201900078789</v>
      </c>
      <c r="C838" s="5" t="str">
        <f>"143489"</f>
        <v>143489</v>
      </c>
      <c r="D838" s="5" t="s">
        <v>3566</v>
      </c>
      <c r="E838" s="5">
        <v>20486042932</v>
      </c>
      <c r="F838" s="5" t="s">
        <v>3567</v>
      </c>
      <c r="G838" s="5" t="s">
        <v>3568</v>
      </c>
      <c r="H838" s="5" t="s">
        <v>322</v>
      </c>
      <c r="I838" s="5" t="s">
        <v>323</v>
      </c>
      <c r="J838" s="5" t="s">
        <v>889</v>
      </c>
      <c r="K838" s="5" t="s">
        <v>20</v>
      </c>
      <c r="L838" s="6">
        <v>43617</v>
      </c>
      <c r="M838" s="5" t="s">
        <v>21</v>
      </c>
      <c r="N838" s="5" t="s">
        <v>3569</v>
      </c>
    </row>
    <row r="839" spans="1:14" ht="42">
      <c r="A839" s="3">
        <v>833</v>
      </c>
      <c r="B839" s="3" t="str">
        <f>"201900078803"</f>
        <v>201900078803</v>
      </c>
      <c r="C839" s="3" t="str">
        <f>"143695"</f>
        <v>143695</v>
      </c>
      <c r="D839" s="3" t="s">
        <v>3570</v>
      </c>
      <c r="E839" s="3">
        <v>20524889669</v>
      </c>
      <c r="F839" s="3" t="s">
        <v>3571</v>
      </c>
      <c r="G839" s="3" t="s">
        <v>3572</v>
      </c>
      <c r="H839" s="3" t="s">
        <v>18</v>
      </c>
      <c r="I839" s="3" t="s">
        <v>18</v>
      </c>
      <c r="J839" s="3" t="s">
        <v>779</v>
      </c>
      <c r="K839" s="3" t="s">
        <v>108</v>
      </c>
      <c r="L839" s="4">
        <v>43617</v>
      </c>
      <c r="M839" s="3" t="s">
        <v>21</v>
      </c>
      <c r="N839" s="3" t="s">
        <v>3573</v>
      </c>
    </row>
    <row r="840" spans="1:14" ht="27.75">
      <c r="A840" s="5">
        <v>834</v>
      </c>
      <c r="B840" s="5" t="str">
        <f>"201900184355"</f>
        <v>201900184355</v>
      </c>
      <c r="C840" s="5" t="str">
        <f>"146327"</f>
        <v>146327</v>
      </c>
      <c r="D840" s="5" t="s">
        <v>3574</v>
      </c>
      <c r="E840" s="5">
        <v>20557735489</v>
      </c>
      <c r="F840" s="5" t="s">
        <v>3575</v>
      </c>
      <c r="G840" s="5" t="s">
        <v>3576</v>
      </c>
      <c r="H840" s="5" t="s">
        <v>18</v>
      </c>
      <c r="I840" s="5" t="s">
        <v>18</v>
      </c>
      <c r="J840" s="5" t="s">
        <v>2859</v>
      </c>
      <c r="K840" s="5" t="s">
        <v>51</v>
      </c>
      <c r="L840" s="6">
        <v>43783</v>
      </c>
      <c r="M840" s="5" t="s">
        <v>21</v>
      </c>
      <c r="N840" s="5" t="s">
        <v>714</v>
      </c>
    </row>
    <row r="841" spans="1:14" ht="13.5">
      <c r="A841" s="3">
        <v>835</v>
      </c>
      <c r="B841" s="3" t="str">
        <f>"201900078803"</f>
        <v>201900078803</v>
      </c>
      <c r="C841" s="3" t="str">
        <f>"143696"</f>
        <v>143696</v>
      </c>
      <c r="D841" s="3" t="s">
        <v>3577</v>
      </c>
      <c r="E841" s="3">
        <v>20530832423</v>
      </c>
      <c r="F841" s="3" t="s">
        <v>3578</v>
      </c>
      <c r="G841" s="3" t="s">
        <v>3579</v>
      </c>
      <c r="H841" s="3" t="s">
        <v>18</v>
      </c>
      <c r="I841" s="3" t="s">
        <v>18</v>
      </c>
      <c r="J841" s="3" t="s">
        <v>779</v>
      </c>
      <c r="K841" s="3" t="s">
        <v>97</v>
      </c>
      <c r="L841" s="4">
        <v>43617</v>
      </c>
      <c r="M841" s="3" t="s">
        <v>21</v>
      </c>
      <c r="N841" s="3" t="s">
        <v>3580</v>
      </c>
    </row>
    <row r="842" spans="1:14" ht="13.5">
      <c r="A842" s="5">
        <v>836</v>
      </c>
      <c r="B842" s="5" t="str">
        <f>"201900078789"</f>
        <v>201900078789</v>
      </c>
      <c r="C842" s="5" t="str">
        <f>"143490"</f>
        <v>143490</v>
      </c>
      <c r="D842" s="5" t="s">
        <v>3581</v>
      </c>
      <c r="E842" s="5">
        <v>20486109603</v>
      </c>
      <c r="F842" s="5" t="s">
        <v>3582</v>
      </c>
      <c r="G842" s="5" t="s">
        <v>3583</v>
      </c>
      <c r="H842" s="5" t="s">
        <v>322</v>
      </c>
      <c r="I842" s="5" t="s">
        <v>323</v>
      </c>
      <c r="J842" s="5" t="s">
        <v>889</v>
      </c>
      <c r="K842" s="5" t="s">
        <v>36</v>
      </c>
      <c r="L842" s="6">
        <v>43617</v>
      </c>
      <c r="M842" s="5" t="s">
        <v>21</v>
      </c>
      <c r="N842" s="5" t="s">
        <v>3584</v>
      </c>
    </row>
    <row r="843" spans="1:14" ht="42">
      <c r="A843" s="3">
        <v>837</v>
      </c>
      <c r="B843" s="3" t="str">
        <f>"201900078789"</f>
        <v>201900078789</v>
      </c>
      <c r="C843" s="3" t="str">
        <f>"143491"</f>
        <v>143491</v>
      </c>
      <c r="D843" s="3" t="s">
        <v>3585</v>
      </c>
      <c r="E843" s="3">
        <v>20486495724</v>
      </c>
      <c r="F843" s="3" t="s">
        <v>3586</v>
      </c>
      <c r="G843" s="3" t="s">
        <v>3587</v>
      </c>
      <c r="H843" s="3" t="s">
        <v>322</v>
      </c>
      <c r="I843" s="3" t="s">
        <v>323</v>
      </c>
      <c r="J843" s="3" t="s">
        <v>889</v>
      </c>
      <c r="K843" s="3" t="s">
        <v>3588</v>
      </c>
      <c r="L843" s="4">
        <v>43617</v>
      </c>
      <c r="M843" s="3" t="s">
        <v>21</v>
      </c>
      <c r="N843" s="3" t="s">
        <v>3589</v>
      </c>
    </row>
    <row r="844" spans="1:14" ht="13.5">
      <c r="A844" s="5">
        <v>838</v>
      </c>
      <c r="B844" s="5" t="str">
        <f>"201900078789"</f>
        <v>201900078789</v>
      </c>
      <c r="C844" s="5" t="str">
        <f>"143492"</f>
        <v>143492</v>
      </c>
      <c r="D844" s="5" t="s">
        <v>3590</v>
      </c>
      <c r="E844" s="5">
        <v>20490340751</v>
      </c>
      <c r="F844" s="5" t="s">
        <v>3591</v>
      </c>
      <c r="G844" s="5" t="s">
        <v>3592</v>
      </c>
      <c r="H844" s="5" t="s">
        <v>322</v>
      </c>
      <c r="I844" s="5" t="s">
        <v>323</v>
      </c>
      <c r="J844" s="5" t="s">
        <v>889</v>
      </c>
      <c r="K844" s="5" t="s">
        <v>51</v>
      </c>
      <c r="L844" s="6">
        <v>43617</v>
      </c>
      <c r="M844" s="5" t="s">
        <v>21</v>
      </c>
      <c r="N844" s="5" t="s">
        <v>3593</v>
      </c>
    </row>
    <row r="845" spans="1:14" ht="42">
      <c r="A845" s="3">
        <v>839</v>
      </c>
      <c r="B845" s="3" t="str">
        <f aca="true" t="shared" si="14" ref="B845:B852">"201900078803"</f>
        <v>201900078803</v>
      </c>
      <c r="C845" s="3" t="str">
        <f>"143692"</f>
        <v>143692</v>
      </c>
      <c r="D845" s="3" t="s">
        <v>3594</v>
      </c>
      <c r="E845" s="3">
        <v>20508992336</v>
      </c>
      <c r="F845" s="3" t="s">
        <v>3595</v>
      </c>
      <c r="G845" s="3" t="s">
        <v>3596</v>
      </c>
      <c r="H845" s="3" t="s">
        <v>18</v>
      </c>
      <c r="I845" s="3" t="s">
        <v>18</v>
      </c>
      <c r="J845" s="3" t="s">
        <v>779</v>
      </c>
      <c r="K845" s="3" t="s">
        <v>2024</v>
      </c>
      <c r="L845" s="4">
        <v>43617</v>
      </c>
      <c r="M845" s="3" t="s">
        <v>21</v>
      </c>
      <c r="N845" s="3" t="s">
        <v>3597</v>
      </c>
    </row>
    <row r="846" spans="1:14" ht="13.5">
      <c r="A846" s="5">
        <v>840</v>
      </c>
      <c r="B846" s="5" t="str">
        <f t="shared" si="14"/>
        <v>201900078803</v>
      </c>
      <c r="C846" s="5" t="str">
        <f>"143691"</f>
        <v>143691</v>
      </c>
      <c r="D846" s="5" t="s">
        <v>3598</v>
      </c>
      <c r="E846" s="5">
        <v>20489328861</v>
      </c>
      <c r="F846" s="5" t="s">
        <v>3599</v>
      </c>
      <c r="G846" s="5" t="s">
        <v>3600</v>
      </c>
      <c r="H846" s="5" t="s">
        <v>18</v>
      </c>
      <c r="I846" s="5" t="s">
        <v>18</v>
      </c>
      <c r="J846" s="5" t="s">
        <v>779</v>
      </c>
      <c r="K846" s="5" t="s">
        <v>97</v>
      </c>
      <c r="L846" s="6">
        <v>43617</v>
      </c>
      <c r="M846" s="5" t="s">
        <v>21</v>
      </c>
      <c r="N846" s="5" t="s">
        <v>3601</v>
      </c>
    </row>
    <row r="847" spans="1:14" ht="13.5">
      <c r="A847" s="3">
        <v>841</v>
      </c>
      <c r="B847" s="3" t="str">
        <f t="shared" si="14"/>
        <v>201900078803</v>
      </c>
      <c r="C847" s="3" t="str">
        <f>"143694"</f>
        <v>143694</v>
      </c>
      <c r="D847" s="3" t="s">
        <v>3602</v>
      </c>
      <c r="E847" s="3">
        <v>20515746219</v>
      </c>
      <c r="F847" s="3" t="s">
        <v>3603</v>
      </c>
      <c r="G847" s="3" t="s">
        <v>3604</v>
      </c>
      <c r="H847" s="3" t="s">
        <v>18</v>
      </c>
      <c r="I847" s="3" t="s">
        <v>18</v>
      </c>
      <c r="J847" s="3" t="s">
        <v>779</v>
      </c>
      <c r="K847" s="3" t="s">
        <v>36</v>
      </c>
      <c r="L847" s="4">
        <v>43617</v>
      </c>
      <c r="M847" s="3" t="s">
        <v>21</v>
      </c>
      <c r="N847" s="3" t="s">
        <v>3605</v>
      </c>
    </row>
    <row r="848" spans="1:14" ht="27.75">
      <c r="A848" s="5">
        <v>842</v>
      </c>
      <c r="B848" s="5" t="str">
        <f t="shared" si="14"/>
        <v>201900078803</v>
      </c>
      <c r="C848" s="5" t="str">
        <f>"143693"</f>
        <v>143693</v>
      </c>
      <c r="D848" s="5" t="s">
        <v>3606</v>
      </c>
      <c r="E848" s="5">
        <v>20514304689</v>
      </c>
      <c r="F848" s="5" t="s">
        <v>3607</v>
      </c>
      <c r="G848" s="5" t="s">
        <v>3608</v>
      </c>
      <c r="H848" s="5" t="s">
        <v>18</v>
      </c>
      <c r="I848" s="5" t="s">
        <v>18</v>
      </c>
      <c r="J848" s="5" t="s">
        <v>779</v>
      </c>
      <c r="K848" s="5" t="s">
        <v>97</v>
      </c>
      <c r="L848" s="6">
        <v>43617</v>
      </c>
      <c r="M848" s="5" t="s">
        <v>21</v>
      </c>
      <c r="N848" s="5" t="s">
        <v>3609</v>
      </c>
    </row>
    <row r="849" spans="1:14" ht="27.75">
      <c r="A849" s="3">
        <v>843</v>
      </c>
      <c r="B849" s="3" t="str">
        <f t="shared" si="14"/>
        <v>201900078803</v>
      </c>
      <c r="C849" s="3" t="str">
        <f>"143688"</f>
        <v>143688</v>
      </c>
      <c r="D849" s="3" t="s">
        <v>3610</v>
      </c>
      <c r="E849" s="3">
        <v>20414928138</v>
      </c>
      <c r="F849" s="3" t="s">
        <v>3611</v>
      </c>
      <c r="G849" s="3" t="s">
        <v>3612</v>
      </c>
      <c r="H849" s="3" t="s">
        <v>18</v>
      </c>
      <c r="I849" s="3" t="s">
        <v>18</v>
      </c>
      <c r="J849" s="3" t="s">
        <v>779</v>
      </c>
      <c r="K849" s="3" t="s">
        <v>137</v>
      </c>
      <c r="L849" s="4">
        <v>43617</v>
      </c>
      <c r="M849" s="3" t="s">
        <v>21</v>
      </c>
      <c r="N849" s="3" t="s">
        <v>2595</v>
      </c>
    </row>
    <row r="850" spans="1:14" ht="13.5">
      <c r="A850" s="5">
        <v>844</v>
      </c>
      <c r="B850" s="5" t="str">
        <f t="shared" si="14"/>
        <v>201900078803</v>
      </c>
      <c r="C850" s="5" t="str">
        <f>"143687"</f>
        <v>143687</v>
      </c>
      <c r="D850" s="5" t="s">
        <v>3613</v>
      </c>
      <c r="E850" s="5">
        <v>20392534882</v>
      </c>
      <c r="F850" s="5" t="s">
        <v>3614</v>
      </c>
      <c r="G850" s="5" t="s">
        <v>3615</v>
      </c>
      <c r="H850" s="5" t="s">
        <v>18</v>
      </c>
      <c r="I850" s="5" t="s">
        <v>18</v>
      </c>
      <c r="J850" s="5" t="s">
        <v>779</v>
      </c>
      <c r="K850" s="5" t="s">
        <v>36</v>
      </c>
      <c r="L850" s="6">
        <v>43617</v>
      </c>
      <c r="M850" s="5" t="s">
        <v>21</v>
      </c>
      <c r="N850" s="5" t="s">
        <v>3616</v>
      </c>
    </row>
    <row r="851" spans="1:14" ht="42">
      <c r="A851" s="3">
        <v>845</v>
      </c>
      <c r="B851" s="3" t="str">
        <f t="shared" si="14"/>
        <v>201900078803</v>
      </c>
      <c r="C851" s="3" t="str">
        <f>"143690"</f>
        <v>143690</v>
      </c>
      <c r="D851" s="3" t="s">
        <v>3617</v>
      </c>
      <c r="E851" s="3">
        <v>20456976493</v>
      </c>
      <c r="F851" s="3" t="s">
        <v>3618</v>
      </c>
      <c r="G851" s="3" t="s">
        <v>3619</v>
      </c>
      <c r="H851" s="3" t="s">
        <v>18</v>
      </c>
      <c r="I851" s="3" t="s">
        <v>18</v>
      </c>
      <c r="J851" s="3" t="s">
        <v>779</v>
      </c>
      <c r="K851" s="3" t="s">
        <v>3620</v>
      </c>
      <c r="L851" s="4">
        <v>43617</v>
      </c>
      <c r="M851" s="3" t="s">
        <v>21</v>
      </c>
      <c r="N851" s="3" t="s">
        <v>3621</v>
      </c>
    </row>
    <row r="852" spans="1:14" ht="13.5">
      <c r="A852" s="5">
        <v>846</v>
      </c>
      <c r="B852" s="5" t="str">
        <f t="shared" si="14"/>
        <v>201900078803</v>
      </c>
      <c r="C852" s="5" t="str">
        <f>"143689"</f>
        <v>143689</v>
      </c>
      <c r="D852" s="5" t="s">
        <v>3622</v>
      </c>
      <c r="E852" s="5">
        <v>20420244909</v>
      </c>
      <c r="F852" s="5" t="s">
        <v>3623</v>
      </c>
      <c r="G852" s="5" t="s">
        <v>3612</v>
      </c>
      <c r="H852" s="5" t="s">
        <v>18</v>
      </c>
      <c r="I852" s="5" t="s">
        <v>18</v>
      </c>
      <c r="J852" s="5" t="s">
        <v>779</v>
      </c>
      <c r="K852" s="5" t="s">
        <v>36</v>
      </c>
      <c r="L852" s="6">
        <v>43617</v>
      </c>
      <c r="M852" s="5" t="s">
        <v>21</v>
      </c>
      <c r="N852" s="5" t="s">
        <v>2595</v>
      </c>
    </row>
    <row r="853" spans="1:14" ht="153.75">
      <c r="A853" s="3">
        <v>847</v>
      </c>
      <c r="B853" s="3" t="str">
        <f>"202000148704"</f>
        <v>202000148704</v>
      </c>
      <c r="C853" s="3" t="str">
        <f>"152065"</f>
        <v>152065</v>
      </c>
      <c r="D853" s="3" t="s">
        <v>3624</v>
      </c>
      <c r="E853" s="3">
        <v>10267047605</v>
      </c>
      <c r="F853" s="3" t="s">
        <v>3625</v>
      </c>
      <c r="G853" s="3" t="s">
        <v>3626</v>
      </c>
      <c r="H853" s="3" t="s">
        <v>73</v>
      </c>
      <c r="I853" s="3" t="s">
        <v>74</v>
      </c>
      <c r="J853" s="3" t="s">
        <v>74</v>
      </c>
      <c r="K853" s="3" t="s">
        <v>75</v>
      </c>
      <c r="L853" s="4">
        <v>44130</v>
      </c>
      <c r="M853" s="3" t="s">
        <v>21</v>
      </c>
      <c r="N853" s="3" t="s">
        <v>3625</v>
      </c>
    </row>
    <row r="854" spans="1:14" ht="69.75">
      <c r="A854" s="5">
        <v>848</v>
      </c>
      <c r="B854" s="5" t="str">
        <f>"202000122761"</f>
        <v>202000122761</v>
      </c>
      <c r="C854" s="5" t="str">
        <f>"151205"</f>
        <v>151205</v>
      </c>
      <c r="D854" s="5" t="s">
        <v>3627</v>
      </c>
      <c r="E854" s="5">
        <v>10032349001</v>
      </c>
      <c r="F854" s="5" t="s">
        <v>3628</v>
      </c>
      <c r="G854" s="5" t="s">
        <v>3629</v>
      </c>
      <c r="H854" s="5" t="s">
        <v>274</v>
      </c>
      <c r="I854" s="5" t="s">
        <v>400</v>
      </c>
      <c r="J854" s="5" t="s">
        <v>400</v>
      </c>
      <c r="K854" s="5" t="s">
        <v>556</v>
      </c>
      <c r="L854" s="6">
        <v>44089</v>
      </c>
      <c r="M854" s="5" t="s">
        <v>21</v>
      </c>
      <c r="N854" s="5" t="s">
        <v>3628</v>
      </c>
    </row>
    <row r="855" spans="1:14" ht="27.75">
      <c r="A855" s="3">
        <v>849</v>
      </c>
      <c r="B855" s="3" t="str">
        <f>"201900078797"</f>
        <v>201900078797</v>
      </c>
      <c r="C855" s="3" t="str">
        <f>"143517"</f>
        <v>143517</v>
      </c>
      <c r="D855" s="3" t="s">
        <v>3630</v>
      </c>
      <c r="E855" s="3">
        <v>10188725266</v>
      </c>
      <c r="F855" s="3" t="s">
        <v>1196</v>
      </c>
      <c r="G855" s="3" t="s">
        <v>3631</v>
      </c>
      <c r="H855" s="3" t="s">
        <v>73</v>
      </c>
      <c r="I855" s="3" t="s">
        <v>74</v>
      </c>
      <c r="J855" s="3" t="s">
        <v>879</v>
      </c>
      <c r="K855" s="3" t="s">
        <v>2787</v>
      </c>
      <c r="L855" s="4">
        <v>43617</v>
      </c>
      <c r="M855" s="3" t="s">
        <v>21</v>
      </c>
      <c r="N855" s="3" t="s">
        <v>1196</v>
      </c>
    </row>
    <row r="856" spans="1:14" ht="13.5">
      <c r="A856" s="5">
        <v>850</v>
      </c>
      <c r="B856" s="5" t="str">
        <f>"201900078797"</f>
        <v>201900078797</v>
      </c>
      <c r="C856" s="5" t="str">
        <f>"143520"</f>
        <v>143520</v>
      </c>
      <c r="D856" s="5" t="s">
        <v>3632</v>
      </c>
      <c r="E856" s="5">
        <v>20477267271</v>
      </c>
      <c r="F856" s="5" t="s">
        <v>3633</v>
      </c>
      <c r="G856" s="5" t="s">
        <v>3634</v>
      </c>
      <c r="H856" s="5" t="s">
        <v>73</v>
      </c>
      <c r="I856" s="5" t="s">
        <v>74</v>
      </c>
      <c r="J856" s="5" t="s">
        <v>879</v>
      </c>
      <c r="K856" s="5" t="s">
        <v>51</v>
      </c>
      <c r="L856" s="6">
        <v>43617</v>
      </c>
      <c r="M856" s="5" t="s">
        <v>21</v>
      </c>
      <c r="N856" s="5" t="s">
        <v>3635</v>
      </c>
    </row>
    <row r="857" spans="1:14" ht="55.5">
      <c r="A857" s="3">
        <v>851</v>
      </c>
      <c r="B857" s="3" t="str">
        <f>"201900078797"</f>
        <v>201900078797</v>
      </c>
      <c r="C857" s="3" t="str">
        <f>"143521"</f>
        <v>143521</v>
      </c>
      <c r="D857" s="3" t="s">
        <v>3636</v>
      </c>
      <c r="E857" s="3">
        <v>20481598851</v>
      </c>
      <c r="F857" s="3" t="s">
        <v>3637</v>
      </c>
      <c r="G857" s="3" t="s">
        <v>3638</v>
      </c>
      <c r="H857" s="3" t="s">
        <v>73</v>
      </c>
      <c r="I857" s="3" t="s">
        <v>74</v>
      </c>
      <c r="J857" s="3" t="s">
        <v>879</v>
      </c>
      <c r="K857" s="3" t="s">
        <v>3639</v>
      </c>
      <c r="L857" s="4">
        <v>43617</v>
      </c>
      <c r="M857" s="3" t="s">
        <v>21</v>
      </c>
      <c r="N857" s="3" t="s">
        <v>3640</v>
      </c>
    </row>
    <row r="858" spans="1:14" ht="83.25">
      <c r="A858" s="5">
        <v>852</v>
      </c>
      <c r="B858" s="5" t="str">
        <f>"202000101598"</f>
        <v>202000101598</v>
      </c>
      <c r="C858" s="5" t="str">
        <f>"150523"</f>
        <v>150523</v>
      </c>
      <c r="D858" s="5" t="s">
        <v>3641</v>
      </c>
      <c r="E858" s="5">
        <v>10035000513</v>
      </c>
      <c r="F858" s="5" t="s">
        <v>3642</v>
      </c>
      <c r="G858" s="5" t="s">
        <v>3643</v>
      </c>
      <c r="H858" s="5" t="s">
        <v>274</v>
      </c>
      <c r="I858" s="5" t="s">
        <v>348</v>
      </c>
      <c r="J858" s="5" t="s">
        <v>348</v>
      </c>
      <c r="K858" s="5" t="s">
        <v>1004</v>
      </c>
      <c r="L858" s="6">
        <v>44057</v>
      </c>
      <c r="M858" s="5" t="s">
        <v>21</v>
      </c>
      <c r="N858" s="5" t="s">
        <v>3642</v>
      </c>
    </row>
    <row r="859" spans="1:14" ht="13.5">
      <c r="A859" s="3">
        <v>853</v>
      </c>
      <c r="B859" s="3" t="str">
        <f>"201900078797"</f>
        <v>201900078797</v>
      </c>
      <c r="C859" s="3" t="str">
        <f>"143518"</f>
        <v>143518</v>
      </c>
      <c r="D859" s="3" t="s">
        <v>3644</v>
      </c>
      <c r="E859" s="3">
        <v>10401422621</v>
      </c>
      <c r="F859" s="3" t="s">
        <v>3645</v>
      </c>
      <c r="G859" s="3" t="s">
        <v>3646</v>
      </c>
      <c r="H859" s="3" t="s">
        <v>73</v>
      </c>
      <c r="I859" s="3" t="s">
        <v>74</v>
      </c>
      <c r="J859" s="3" t="s">
        <v>879</v>
      </c>
      <c r="K859" s="3" t="s">
        <v>36</v>
      </c>
      <c r="L859" s="4">
        <v>43617</v>
      </c>
      <c r="M859" s="3" t="s">
        <v>21</v>
      </c>
      <c r="N859" s="3" t="s">
        <v>3647</v>
      </c>
    </row>
    <row r="860" spans="1:14" ht="27.75">
      <c r="A860" s="5">
        <v>854</v>
      </c>
      <c r="B860" s="5" t="str">
        <f>"201900078797"</f>
        <v>201900078797</v>
      </c>
      <c r="C860" s="5" t="str">
        <f>"143519"</f>
        <v>143519</v>
      </c>
      <c r="D860" s="5" t="s">
        <v>3648</v>
      </c>
      <c r="E860" s="5">
        <v>20477261826</v>
      </c>
      <c r="F860" s="5" t="s">
        <v>1194</v>
      </c>
      <c r="G860" s="5" t="s">
        <v>3649</v>
      </c>
      <c r="H860" s="5" t="s">
        <v>73</v>
      </c>
      <c r="I860" s="5" t="s">
        <v>74</v>
      </c>
      <c r="J860" s="5" t="s">
        <v>879</v>
      </c>
      <c r="K860" s="5" t="s">
        <v>3650</v>
      </c>
      <c r="L860" s="6">
        <v>43617</v>
      </c>
      <c r="M860" s="5" t="s">
        <v>21</v>
      </c>
      <c r="N860" s="5" t="s">
        <v>1196</v>
      </c>
    </row>
    <row r="861" spans="1:14" ht="27.75">
      <c r="A861" s="3">
        <v>855</v>
      </c>
      <c r="B861" s="3" t="str">
        <f>"201900078797"</f>
        <v>201900078797</v>
      </c>
      <c r="C861" s="3" t="str">
        <f>"143524"</f>
        <v>143524</v>
      </c>
      <c r="D861" s="3" t="s">
        <v>3651</v>
      </c>
      <c r="E861" s="3">
        <v>20482397906</v>
      </c>
      <c r="F861" s="3" t="s">
        <v>3652</v>
      </c>
      <c r="G861" s="3" t="s">
        <v>3653</v>
      </c>
      <c r="H861" s="3" t="s">
        <v>73</v>
      </c>
      <c r="I861" s="3" t="s">
        <v>74</v>
      </c>
      <c r="J861" s="3" t="s">
        <v>879</v>
      </c>
      <c r="K861" s="3" t="s">
        <v>1674</v>
      </c>
      <c r="L861" s="4">
        <v>43617</v>
      </c>
      <c r="M861" s="3" t="s">
        <v>21</v>
      </c>
      <c r="N861" s="3" t="s">
        <v>3654</v>
      </c>
    </row>
    <row r="862" spans="1:14" ht="97.5">
      <c r="A862" s="5">
        <v>856</v>
      </c>
      <c r="B862" s="5" t="str">
        <f>"201900137457"</f>
        <v>201900137457</v>
      </c>
      <c r="C862" s="5" t="str">
        <f>"143525"</f>
        <v>143525</v>
      </c>
      <c r="D862" s="5" t="s">
        <v>3655</v>
      </c>
      <c r="E862" s="5">
        <v>20559517055</v>
      </c>
      <c r="F862" s="5" t="s">
        <v>3656</v>
      </c>
      <c r="G862" s="5" t="s">
        <v>3657</v>
      </c>
      <c r="H862" s="5" t="s">
        <v>73</v>
      </c>
      <c r="I862" s="5" t="s">
        <v>74</v>
      </c>
      <c r="J862" s="5" t="s">
        <v>879</v>
      </c>
      <c r="K862" s="5" t="s">
        <v>3658</v>
      </c>
      <c r="L862" s="6">
        <v>43711</v>
      </c>
      <c r="M862" s="5" t="s">
        <v>21</v>
      </c>
      <c r="N862" s="5" t="s">
        <v>3645</v>
      </c>
    </row>
    <row r="863" spans="1:14" ht="27.75">
      <c r="A863" s="3">
        <v>857</v>
      </c>
      <c r="B863" s="3" t="str">
        <f>"201900078797"</f>
        <v>201900078797</v>
      </c>
      <c r="C863" s="3" t="str">
        <f>"143522"</f>
        <v>143522</v>
      </c>
      <c r="D863" s="3" t="s">
        <v>3659</v>
      </c>
      <c r="E863" s="3">
        <v>20482035745</v>
      </c>
      <c r="F863" s="3" t="s">
        <v>3660</v>
      </c>
      <c r="G863" s="3" t="s">
        <v>3661</v>
      </c>
      <c r="H863" s="3" t="s">
        <v>73</v>
      </c>
      <c r="I863" s="3" t="s">
        <v>74</v>
      </c>
      <c r="J863" s="3" t="s">
        <v>879</v>
      </c>
      <c r="K863" s="3" t="s">
        <v>199</v>
      </c>
      <c r="L863" s="4">
        <v>43617</v>
      </c>
      <c r="M863" s="3" t="s">
        <v>21</v>
      </c>
      <c r="N863" s="3" t="s">
        <v>3662</v>
      </c>
    </row>
    <row r="864" spans="1:14" ht="27.75">
      <c r="A864" s="5">
        <v>858</v>
      </c>
      <c r="B864" s="5" t="str">
        <f>"201900078797"</f>
        <v>201900078797</v>
      </c>
      <c r="C864" s="5" t="str">
        <f>"143523"</f>
        <v>143523</v>
      </c>
      <c r="D864" s="5" t="s">
        <v>3663</v>
      </c>
      <c r="E864" s="5">
        <v>20482386882</v>
      </c>
      <c r="F864" s="5" t="s">
        <v>3664</v>
      </c>
      <c r="G864" s="5" t="s">
        <v>3665</v>
      </c>
      <c r="H864" s="5" t="s">
        <v>73</v>
      </c>
      <c r="I864" s="5" t="s">
        <v>74</v>
      </c>
      <c r="J864" s="5" t="s">
        <v>879</v>
      </c>
      <c r="K864" s="5" t="s">
        <v>3666</v>
      </c>
      <c r="L864" s="6">
        <v>43617</v>
      </c>
      <c r="M864" s="5" t="s">
        <v>21</v>
      </c>
      <c r="N864" s="5" t="s">
        <v>3667</v>
      </c>
    </row>
    <row r="865" spans="1:14" ht="13.5">
      <c r="A865" s="3">
        <v>859</v>
      </c>
      <c r="B865" s="3" t="str">
        <f>"201900078797"</f>
        <v>201900078797</v>
      </c>
      <c r="C865" s="3" t="str">
        <f>"143526"</f>
        <v>143526</v>
      </c>
      <c r="D865" s="3" t="s">
        <v>3668</v>
      </c>
      <c r="E865" s="3">
        <v>20602060811</v>
      </c>
      <c r="F865" s="3" t="s">
        <v>3669</v>
      </c>
      <c r="G865" s="3" t="s">
        <v>3670</v>
      </c>
      <c r="H865" s="3" t="s">
        <v>73</v>
      </c>
      <c r="I865" s="3" t="s">
        <v>74</v>
      </c>
      <c r="J865" s="3" t="s">
        <v>879</v>
      </c>
      <c r="K865" s="3" t="s">
        <v>51</v>
      </c>
      <c r="L865" s="4">
        <v>43617</v>
      </c>
      <c r="M865" s="3" t="s">
        <v>21</v>
      </c>
      <c r="N865" s="3" t="s">
        <v>3671</v>
      </c>
    </row>
    <row r="866" spans="1:14" ht="27.75">
      <c r="A866" s="5">
        <v>860</v>
      </c>
      <c r="B866" s="5" t="str">
        <f>"201900078803"</f>
        <v>201900078803</v>
      </c>
      <c r="C866" s="5" t="str">
        <f>"143723"</f>
        <v>143723</v>
      </c>
      <c r="D866" s="5" t="s">
        <v>3672</v>
      </c>
      <c r="E866" s="5">
        <v>20538611132</v>
      </c>
      <c r="F866" s="5" t="s">
        <v>1170</v>
      </c>
      <c r="G866" s="5" t="s">
        <v>3673</v>
      </c>
      <c r="H866" s="5" t="s">
        <v>18</v>
      </c>
      <c r="I866" s="5" t="s">
        <v>18</v>
      </c>
      <c r="J866" s="5" t="s">
        <v>1514</v>
      </c>
      <c r="K866" s="5" t="s">
        <v>51</v>
      </c>
      <c r="L866" s="6">
        <v>43617</v>
      </c>
      <c r="M866" s="5" t="s">
        <v>21</v>
      </c>
      <c r="N866" s="5" t="s">
        <v>1164</v>
      </c>
    </row>
    <row r="867" spans="1:14" ht="42">
      <c r="A867" s="3">
        <v>861</v>
      </c>
      <c r="B867" s="3" t="str">
        <f>"201900194483"</f>
        <v>201900194483</v>
      </c>
      <c r="C867" s="3" t="str">
        <f>"147950"</f>
        <v>147950</v>
      </c>
      <c r="D867" s="3" t="s">
        <v>3674</v>
      </c>
      <c r="E867" s="3">
        <v>20604854530</v>
      </c>
      <c r="F867" s="3" t="s">
        <v>3675</v>
      </c>
      <c r="G867" s="3" t="s">
        <v>3676</v>
      </c>
      <c r="H867" s="3" t="s">
        <v>18</v>
      </c>
      <c r="I867" s="3" t="s">
        <v>18</v>
      </c>
      <c r="J867" s="3" t="s">
        <v>779</v>
      </c>
      <c r="K867" s="3" t="s">
        <v>42</v>
      </c>
      <c r="L867" s="4">
        <v>43796</v>
      </c>
      <c r="M867" s="3" t="s">
        <v>21</v>
      </c>
      <c r="N867" s="3" t="s">
        <v>3677</v>
      </c>
    </row>
    <row r="868" spans="1:14" ht="13.5">
      <c r="A868" s="5">
        <v>862</v>
      </c>
      <c r="B868" s="5" t="str">
        <f aca="true" t="shared" si="15" ref="B868:B873">"201900078803"</f>
        <v>201900078803</v>
      </c>
      <c r="C868" s="5" t="str">
        <f>"143722"</f>
        <v>143722</v>
      </c>
      <c r="D868" s="5" t="s">
        <v>3678</v>
      </c>
      <c r="E868" s="5">
        <v>20524226805</v>
      </c>
      <c r="F868" s="5" t="s">
        <v>3679</v>
      </c>
      <c r="G868" s="5" t="s">
        <v>3680</v>
      </c>
      <c r="H868" s="5" t="s">
        <v>18</v>
      </c>
      <c r="I868" s="5" t="s">
        <v>18</v>
      </c>
      <c r="J868" s="5" t="s">
        <v>1514</v>
      </c>
      <c r="K868" s="5" t="s">
        <v>36</v>
      </c>
      <c r="L868" s="6">
        <v>43617</v>
      </c>
      <c r="M868" s="5" t="s">
        <v>21</v>
      </c>
      <c r="N868" s="5" t="s">
        <v>3681</v>
      </c>
    </row>
    <row r="869" spans="1:14" ht="13.5">
      <c r="A869" s="3">
        <v>863</v>
      </c>
      <c r="B869" s="3" t="str">
        <f t="shared" si="15"/>
        <v>201900078803</v>
      </c>
      <c r="C869" s="3" t="str">
        <f>"143721"</f>
        <v>143721</v>
      </c>
      <c r="D869" s="3" t="s">
        <v>3682</v>
      </c>
      <c r="E869" s="3">
        <v>20521346419</v>
      </c>
      <c r="F869" s="3" t="s">
        <v>3683</v>
      </c>
      <c r="G869" s="3" t="s">
        <v>3684</v>
      </c>
      <c r="H869" s="3" t="s">
        <v>18</v>
      </c>
      <c r="I869" s="3" t="s">
        <v>18</v>
      </c>
      <c r="J869" s="3" t="s">
        <v>1514</v>
      </c>
      <c r="K869" s="3" t="s">
        <v>36</v>
      </c>
      <c r="L869" s="4">
        <v>43617</v>
      </c>
      <c r="M869" s="3" t="s">
        <v>21</v>
      </c>
      <c r="N869" s="3" t="s">
        <v>3685</v>
      </c>
    </row>
    <row r="870" spans="1:14" ht="13.5">
      <c r="A870" s="5">
        <v>864</v>
      </c>
      <c r="B870" s="5" t="str">
        <f t="shared" si="15"/>
        <v>201900078803</v>
      </c>
      <c r="C870" s="5" t="str">
        <f>"143720"</f>
        <v>143720</v>
      </c>
      <c r="D870" s="5" t="s">
        <v>3686</v>
      </c>
      <c r="E870" s="5">
        <v>20507179178</v>
      </c>
      <c r="F870" s="5" t="s">
        <v>3687</v>
      </c>
      <c r="G870" s="5" t="s">
        <v>3688</v>
      </c>
      <c r="H870" s="5" t="s">
        <v>18</v>
      </c>
      <c r="I870" s="5" t="s">
        <v>18</v>
      </c>
      <c r="J870" s="5" t="s">
        <v>1514</v>
      </c>
      <c r="K870" s="5" t="s">
        <v>36</v>
      </c>
      <c r="L870" s="6">
        <v>43617</v>
      </c>
      <c r="M870" s="5" t="s">
        <v>21</v>
      </c>
      <c r="N870" s="5" t="s">
        <v>3689</v>
      </c>
    </row>
    <row r="871" spans="1:14" ht="13.5">
      <c r="A871" s="3">
        <v>865</v>
      </c>
      <c r="B871" s="3" t="str">
        <f t="shared" si="15"/>
        <v>201900078803</v>
      </c>
      <c r="C871" s="3" t="str">
        <f>"143726"</f>
        <v>143726</v>
      </c>
      <c r="D871" s="3" t="s">
        <v>3690</v>
      </c>
      <c r="E871" s="3">
        <v>20557034855</v>
      </c>
      <c r="F871" s="3" t="s">
        <v>3691</v>
      </c>
      <c r="G871" s="3" t="s">
        <v>3692</v>
      </c>
      <c r="H871" s="3" t="s">
        <v>18</v>
      </c>
      <c r="I871" s="3" t="s">
        <v>18</v>
      </c>
      <c r="J871" s="3" t="s">
        <v>1514</v>
      </c>
      <c r="K871" s="3" t="s">
        <v>1883</v>
      </c>
      <c r="L871" s="4">
        <v>43617</v>
      </c>
      <c r="M871" s="3" t="s">
        <v>21</v>
      </c>
      <c r="N871" s="3" t="s">
        <v>3693</v>
      </c>
    </row>
    <row r="872" spans="1:14" ht="27.75">
      <c r="A872" s="5">
        <v>866</v>
      </c>
      <c r="B872" s="5" t="str">
        <f t="shared" si="15"/>
        <v>201900078803</v>
      </c>
      <c r="C872" s="5" t="str">
        <f>"143725"</f>
        <v>143725</v>
      </c>
      <c r="D872" s="5" t="s">
        <v>3694</v>
      </c>
      <c r="E872" s="5">
        <v>20549045686</v>
      </c>
      <c r="F872" s="5" t="s">
        <v>3695</v>
      </c>
      <c r="G872" s="5" t="s">
        <v>3696</v>
      </c>
      <c r="H872" s="5" t="s">
        <v>18</v>
      </c>
      <c r="I872" s="5" t="s">
        <v>18</v>
      </c>
      <c r="J872" s="5" t="s">
        <v>1514</v>
      </c>
      <c r="K872" s="5" t="s">
        <v>51</v>
      </c>
      <c r="L872" s="6">
        <v>43617</v>
      </c>
      <c r="M872" s="5" t="s">
        <v>21</v>
      </c>
      <c r="N872" s="5" t="s">
        <v>3697</v>
      </c>
    </row>
    <row r="873" spans="1:14" ht="13.5">
      <c r="A873" s="3">
        <v>867</v>
      </c>
      <c r="B873" s="3" t="str">
        <f t="shared" si="15"/>
        <v>201900078803</v>
      </c>
      <c r="C873" s="3" t="str">
        <f>"143724"</f>
        <v>143724</v>
      </c>
      <c r="D873" s="3" t="s">
        <v>3698</v>
      </c>
      <c r="E873" s="3">
        <v>20545490677</v>
      </c>
      <c r="F873" s="3" t="s">
        <v>3699</v>
      </c>
      <c r="G873" s="3" t="s">
        <v>3700</v>
      </c>
      <c r="H873" s="3" t="s">
        <v>18</v>
      </c>
      <c r="I873" s="3" t="s">
        <v>18</v>
      </c>
      <c r="J873" s="3" t="s">
        <v>1514</v>
      </c>
      <c r="K873" s="3" t="s">
        <v>542</v>
      </c>
      <c r="L873" s="4">
        <v>43617</v>
      </c>
      <c r="M873" s="3" t="s">
        <v>21</v>
      </c>
      <c r="N873" s="3" t="s">
        <v>3701</v>
      </c>
    </row>
    <row r="874" spans="1:14" ht="13.5">
      <c r="A874" s="5">
        <v>868</v>
      </c>
      <c r="B874" s="5" t="str">
        <f>"201900172596"</f>
        <v>201900172596</v>
      </c>
      <c r="C874" s="5" t="str">
        <f>"147300"</f>
        <v>147300</v>
      </c>
      <c r="D874" s="5" t="s">
        <v>3702</v>
      </c>
      <c r="E874" s="5">
        <v>20601649137</v>
      </c>
      <c r="F874" s="5" t="s">
        <v>3703</v>
      </c>
      <c r="G874" s="5" t="s">
        <v>3704</v>
      </c>
      <c r="H874" s="5" t="s">
        <v>1017</v>
      </c>
      <c r="I874" s="5" t="s">
        <v>1017</v>
      </c>
      <c r="J874" s="5" t="s">
        <v>1017</v>
      </c>
      <c r="K874" s="5" t="s">
        <v>727</v>
      </c>
      <c r="L874" s="6">
        <v>43759</v>
      </c>
      <c r="M874" s="5" t="s">
        <v>21</v>
      </c>
      <c r="N874" s="5" t="s">
        <v>3705</v>
      </c>
    </row>
    <row r="875" spans="1:14" ht="27.75">
      <c r="A875" s="3">
        <v>869</v>
      </c>
      <c r="B875" s="3" t="str">
        <f>"201900078803"</f>
        <v>201900078803</v>
      </c>
      <c r="C875" s="3" t="str">
        <f>"143719"</f>
        <v>143719</v>
      </c>
      <c r="D875" s="3" t="s">
        <v>3706</v>
      </c>
      <c r="E875" s="3">
        <v>10429684396</v>
      </c>
      <c r="F875" s="3" t="s">
        <v>3707</v>
      </c>
      <c r="G875" s="3" t="s">
        <v>3708</v>
      </c>
      <c r="H875" s="3" t="s">
        <v>18</v>
      </c>
      <c r="I875" s="3" t="s">
        <v>18</v>
      </c>
      <c r="J875" s="3" t="s">
        <v>1514</v>
      </c>
      <c r="K875" s="3" t="s">
        <v>36</v>
      </c>
      <c r="L875" s="4">
        <v>43617</v>
      </c>
      <c r="M875" s="3" t="s">
        <v>21</v>
      </c>
      <c r="N875" s="3" t="s">
        <v>3707</v>
      </c>
    </row>
    <row r="876" spans="1:14" ht="13.5">
      <c r="A876" s="5">
        <v>870</v>
      </c>
      <c r="B876" s="5" t="str">
        <f>"201900078803"</f>
        <v>201900078803</v>
      </c>
      <c r="C876" s="5" t="str">
        <f>"143718"</f>
        <v>143718</v>
      </c>
      <c r="D876" s="5" t="s">
        <v>3709</v>
      </c>
      <c r="E876" s="5">
        <v>10101269146</v>
      </c>
      <c r="F876" s="5" t="s">
        <v>3710</v>
      </c>
      <c r="G876" s="5" t="s">
        <v>3711</v>
      </c>
      <c r="H876" s="5" t="s">
        <v>18</v>
      </c>
      <c r="I876" s="5" t="s">
        <v>18</v>
      </c>
      <c r="J876" s="5" t="s">
        <v>1514</v>
      </c>
      <c r="K876" s="5" t="s">
        <v>68</v>
      </c>
      <c r="L876" s="6">
        <v>43617</v>
      </c>
      <c r="M876" s="5" t="s">
        <v>21</v>
      </c>
      <c r="N876" s="5" t="s">
        <v>3712</v>
      </c>
    </row>
    <row r="877" spans="1:14" ht="13.5">
      <c r="A877" s="3">
        <v>871</v>
      </c>
      <c r="B877" s="3" t="str">
        <f>"201900078803"</f>
        <v>201900078803</v>
      </c>
      <c r="C877" s="3" t="str">
        <f>"143717"</f>
        <v>143717</v>
      </c>
      <c r="D877" s="3" t="s">
        <v>3713</v>
      </c>
      <c r="E877" s="3">
        <v>10040203139</v>
      </c>
      <c r="F877" s="3" t="s">
        <v>3714</v>
      </c>
      <c r="G877" s="3" t="s">
        <v>3715</v>
      </c>
      <c r="H877" s="3" t="s">
        <v>18</v>
      </c>
      <c r="I877" s="3" t="s">
        <v>18</v>
      </c>
      <c r="J877" s="3" t="s">
        <v>1514</v>
      </c>
      <c r="K877" s="3" t="s">
        <v>51</v>
      </c>
      <c r="L877" s="4">
        <v>43617</v>
      </c>
      <c r="M877" s="3" t="s">
        <v>21</v>
      </c>
      <c r="N877" s="3" t="s">
        <v>3714</v>
      </c>
    </row>
    <row r="878" spans="1:14" ht="83.25">
      <c r="A878" s="5">
        <v>872</v>
      </c>
      <c r="B878" s="5" t="str">
        <f>"202000030652"</f>
        <v>202000030652</v>
      </c>
      <c r="C878" s="5" t="str">
        <f>"149275"</f>
        <v>149275</v>
      </c>
      <c r="D878" s="5" t="s">
        <v>3716</v>
      </c>
      <c r="E878" s="5">
        <v>20603690029</v>
      </c>
      <c r="F878" s="5" t="s">
        <v>3717</v>
      </c>
      <c r="G878" s="5" t="s">
        <v>3718</v>
      </c>
      <c r="H878" s="5" t="s">
        <v>274</v>
      </c>
      <c r="I878" s="5" t="s">
        <v>274</v>
      </c>
      <c r="J878" s="5" t="s">
        <v>1316</v>
      </c>
      <c r="K878" s="5" t="s">
        <v>1004</v>
      </c>
      <c r="L878" s="6">
        <v>43888</v>
      </c>
      <c r="M878" s="5" t="s">
        <v>21</v>
      </c>
      <c r="N878" s="5" t="s">
        <v>3719</v>
      </c>
    </row>
    <row r="879" spans="1:14" ht="83.25">
      <c r="A879" s="3">
        <v>873</v>
      </c>
      <c r="B879" s="3" t="str">
        <f>"202000030678"</f>
        <v>202000030678</v>
      </c>
      <c r="C879" s="3" t="str">
        <f>"149276"</f>
        <v>149276</v>
      </c>
      <c r="D879" s="3" t="s">
        <v>3720</v>
      </c>
      <c r="E879" s="3">
        <v>20529755652</v>
      </c>
      <c r="F879" s="3" t="s">
        <v>3721</v>
      </c>
      <c r="G879" s="3" t="s">
        <v>3722</v>
      </c>
      <c r="H879" s="3" t="s">
        <v>274</v>
      </c>
      <c r="I879" s="3" t="s">
        <v>274</v>
      </c>
      <c r="J879" s="3" t="s">
        <v>274</v>
      </c>
      <c r="K879" s="3" t="s">
        <v>1004</v>
      </c>
      <c r="L879" s="4">
        <v>43888</v>
      </c>
      <c r="M879" s="3" t="s">
        <v>21</v>
      </c>
      <c r="N879" s="3" t="s">
        <v>3723</v>
      </c>
    </row>
    <row r="880" spans="1:14" ht="69.75">
      <c r="A880" s="5">
        <v>874</v>
      </c>
      <c r="B880" s="5" t="str">
        <f>"201900172557"</f>
        <v>201900172557</v>
      </c>
      <c r="C880" s="5" t="str">
        <f>"147295"</f>
        <v>147295</v>
      </c>
      <c r="D880" s="5" t="s">
        <v>3724</v>
      </c>
      <c r="E880" s="5">
        <v>10478010988</v>
      </c>
      <c r="F880" s="5" t="s">
        <v>3725</v>
      </c>
      <c r="G880" s="5" t="s">
        <v>3726</v>
      </c>
      <c r="H880" s="5" t="s">
        <v>274</v>
      </c>
      <c r="I880" s="5" t="s">
        <v>274</v>
      </c>
      <c r="J880" s="5" t="s">
        <v>1003</v>
      </c>
      <c r="K880" s="5" t="s">
        <v>426</v>
      </c>
      <c r="L880" s="6">
        <v>43762</v>
      </c>
      <c r="M880" s="5" t="s">
        <v>21</v>
      </c>
      <c r="N880" s="5" t="s">
        <v>3725</v>
      </c>
    </row>
    <row r="881" spans="1:14" ht="13.5">
      <c r="A881" s="3">
        <v>875</v>
      </c>
      <c r="B881" s="3" t="str">
        <f>"201900078797"</f>
        <v>201900078797</v>
      </c>
      <c r="C881" s="3" t="str">
        <f>"143507"</f>
        <v>143507</v>
      </c>
      <c r="D881" s="3" t="s">
        <v>3727</v>
      </c>
      <c r="E881" s="3">
        <v>10192018876</v>
      </c>
      <c r="F881" s="3" t="s">
        <v>3728</v>
      </c>
      <c r="G881" s="3" t="s">
        <v>3729</v>
      </c>
      <c r="H881" s="3" t="s">
        <v>73</v>
      </c>
      <c r="I881" s="3" t="s">
        <v>503</v>
      </c>
      <c r="J881" s="3" t="s">
        <v>503</v>
      </c>
      <c r="K881" s="3" t="s">
        <v>97</v>
      </c>
      <c r="L881" s="4">
        <v>43617</v>
      </c>
      <c r="M881" s="3" t="s">
        <v>21</v>
      </c>
      <c r="N881" s="3" t="s">
        <v>3730</v>
      </c>
    </row>
    <row r="882" spans="1:14" ht="13.5">
      <c r="A882" s="5">
        <v>876</v>
      </c>
      <c r="B882" s="5" t="str">
        <f>"201900078797"</f>
        <v>201900078797</v>
      </c>
      <c r="C882" s="5" t="str">
        <f>"143508"</f>
        <v>143508</v>
      </c>
      <c r="D882" s="5" t="s">
        <v>3731</v>
      </c>
      <c r="E882" s="5">
        <v>20274491583</v>
      </c>
      <c r="F882" s="5" t="s">
        <v>3732</v>
      </c>
      <c r="G882" s="5" t="s">
        <v>3733</v>
      </c>
      <c r="H882" s="5" t="s">
        <v>73</v>
      </c>
      <c r="I882" s="5" t="s">
        <v>503</v>
      </c>
      <c r="J882" s="5" t="s">
        <v>3734</v>
      </c>
      <c r="K882" s="5" t="s">
        <v>97</v>
      </c>
      <c r="L882" s="6">
        <v>43617</v>
      </c>
      <c r="M882" s="5" t="s">
        <v>21</v>
      </c>
      <c r="N882" s="5" t="s">
        <v>3735</v>
      </c>
    </row>
    <row r="883" spans="1:14" ht="13.5">
      <c r="A883" s="3">
        <v>877</v>
      </c>
      <c r="B883" s="3" t="str">
        <f>"201900078797"</f>
        <v>201900078797</v>
      </c>
      <c r="C883" s="3" t="str">
        <f>"143509"</f>
        <v>143509</v>
      </c>
      <c r="D883" s="3" t="s">
        <v>3736</v>
      </c>
      <c r="E883" s="3">
        <v>10190852810</v>
      </c>
      <c r="F883" s="3" t="s">
        <v>3737</v>
      </c>
      <c r="G883" s="3" t="s">
        <v>3738</v>
      </c>
      <c r="H883" s="3" t="s">
        <v>73</v>
      </c>
      <c r="I883" s="3" t="s">
        <v>3739</v>
      </c>
      <c r="J883" s="3" t="s">
        <v>3740</v>
      </c>
      <c r="K883" s="3" t="s">
        <v>51</v>
      </c>
      <c r="L883" s="4">
        <v>43617</v>
      </c>
      <c r="M883" s="3" t="s">
        <v>21</v>
      </c>
      <c r="N883" s="3" t="s">
        <v>3737</v>
      </c>
    </row>
    <row r="884" spans="1:14" ht="13.5">
      <c r="A884" s="5">
        <v>878</v>
      </c>
      <c r="B884" s="5" t="str">
        <f>"201900078797"</f>
        <v>201900078797</v>
      </c>
      <c r="C884" s="5" t="str">
        <f>"143510"</f>
        <v>143510</v>
      </c>
      <c r="D884" s="5" t="s">
        <v>3741</v>
      </c>
      <c r="E884" s="5">
        <v>20482140298</v>
      </c>
      <c r="F884" s="5" t="s">
        <v>3742</v>
      </c>
      <c r="G884" s="5" t="s">
        <v>3743</v>
      </c>
      <c r="H884" s="5" t="s">
        <v>73</v>
      </c>
      <c r="I884" s="5" t="s">
        <v>3744</v>
      </c>
      <c r="J884" s="5" t="s">
        <v>3744</v>
      </c>
      <c r="K884" s="5" t="s">
        <v>51</v>
      </c>
      <c r="L884" s="6">
        <v>43617</v>
      </c>
      <c r="M884" s="5" t="s">
        <v>21</v>
      </c>
      <c r="N884" s="5" t="s">
        <v>3745</v>
      </c>
    </row>
    <row r="885" spans="1:14" ht="42">
      <c r="A885" s="3">
        <v>879</v>
      </c>
      <c r="B885" s="3" t="str">
        <f>"201900172719"</f>
        <v>201900172719</v>
      </c>
      <c r="C885" s="3" t="str">
        <f>"147302"</f>
        <v>147302</v>
      </c>
      <c r="D885" s="3" t="s">
        <v>3746</v>
      </c>
      <c r="E885" s="3">
        <v>10401607566</v>
      </c>
      <c r="F885" s="3" t="s">
        <v>3747</v>
      </c>
      <c r="G885" s="3" t="s">
        <v>3748</v>
      </c>
      <c r="H885" s="3" t="s">
        <v>1017</v>
      </c>
      <c r="I885" s="3" t="s">
        <v>1877</v>
      </c>
      <c r="J885" s="3" t="s">
        <v>1878</v>
      </c>
      <c r="K885" s="3" t="s">
        <v>3749</v>
      </c>
      <c r="L885" s="4">
        <v>43759</v>
      </c>
      <c r="M885" s="3" t="s">
        <v>21</v>
      </c>
      <c r="N885" s="3" t="s">
        <v>3750</v>
      </c>
    </row>
    <row r="886" spans="1:14" ht="13.5">
      <c r="A886" s="5">
        <v>880</v>
      </c>
      <c r="B886" s="5" t="str">
        <f>"201900078797"</f>
        <v>201900078797</v>
      </c>
      <c r="C886" s="5" t="str">
        <f>"143511"</f>
        <v>143511</v>
      </c>
      <c r="D886" s="5" t="s">
        <v>3751</v>
      </c>
      <c r="E886" s="5">
        <v>20560154349</v>
      </c>
      <c r="F886" s="5" t="s">
        <v>3752</v>
      </c>
      <c r="G886" s="5" t="s">
        <v>3753</v>
      </c>
      <c r="H886" s="5" t="s">
        <v>73</v>
      </c>
      <c r="I886" s="5" t="s">
        <v>3754</v>
      </c>
      <c r="J886" s="5" t="s">
        <v>3755</v>
      </c>
      <c r="K886" s="5" t="s">
        <v>97</v>
      </c>
      <c r="L886" s="6">
        <v>43617</v>
      </c>
      <c r="M886" s="5" t="s">
        <v>21</v>
      </c>
      <c r="N886" s="5" t="s">
        <v>3756</v>
      </c>
    </row>
    <row r="887" spans="1:14" ht="13.5">
      <c r="A887" s="3">
        <v>881</v>
      </c>
      <c r="B887" s="3" t="str">
        <f>"201900078797"</f>
        <v>201900078797</v>
      </c>
      <c r="C887" s="3" t="str">
        <f>"143512"</f>
        <v>143512</v>
      </c>
      <c r="D887" s="3" t="s">
        <v>3757</v>
      </c>
      <c r="E887" s="3">
        <v>20602186319</v>
      </c>
      <c r="F887" s="3" t="s">
        <v>3758</v>
      </c>
      <c r="G887" s="3" t="s">
        <v>3759</v>
      </c>
      <c r="H887" s="3" t="s">
        <v>73</v>
      </c>
      <c r="I887" s="3" t="s">
        <v>3754</v>
      </c>
      <c r="J887" s="3" t="s">
        <v>3755</v>
      </c>
      <c r="K887" s="3" t="s">
        <v>51</v>
      </c>
      <c r="L887" s="4">
        <v>43617</v>
      </c>
      <c r="M887" s="3" t="s">
        <v>21</v>
      </c>
      <c r="N887" s="3" t="s">
        <v>3760</v>
      </c>
    </row>
    <row r="888" spans="1:14" ht="13.5">
      <c r="A888" s="5">
        <v>882</v>
      </c>
      <c r="B888" s="5" t="str">
        <f>"201900175767"</f>
        <v>201900175767</v>
      </c>
      <c r="C888" s="5" t="str">
        <f>"146095"</f>
        <v>146095</v>
      </c>
      <c r="D888" s="5" t="s">
        <v>3761</v>
      </c>
      <c r="E888" s="5">
        <v>20553778639</v>
      </c>
      <c r="F888" s="5" t="s">
        <v>3762</v>
      </c>
      <c r="G888" s="5" t="s">
        <v>3763</v>
      </c>
      <c r="H888" s="5" t="s">
        <v>18</v>
      </c>
      <c r="I888" s="5" t="s">
        <v>18</v>
      </c>
      <c r="J888" s="5" t="s">
        <v>713</v>
      </c>
      <c r="K888" s="5" t="s">
        <v>51</v>
      </c>
      <c r="L888" s="6">
        <v>43773</v>
      </c>
      <c r="M888" s="5" t="s">
        <v>21</v>
      </c>
      <c r="N888" s="5" t="s">
        <v>3764</v>
      </c>
    </row>
    <row r="889" spans="1:14" ht="13.5">
      <c r="A889" s="3">
        <v>883</v>
      </c>
      <c r="B889" s="3" t="str">
        <f>"201900078797"</f>
        <v>201900078797</v>
      </c>
      <c r="C889" s="3" t="str">
        <f>"143513"</f>
        <v>143513</v>
      </c>
      <c r="D889" s="3" t="s">
        <v>3765</v>
      </c>
      <c r="E889" s="3">
        <v>10195215311</v>
      </c>
      <c r="F889" s="3" t="s">
        <v>3766</v>
      </c>
      <c r="G889" s="3" t="s">
        <v>3767</v>
      </c>
      <c r="H889" s="3" t="s">
        <v>73</v>
      </c>
      <c r="I889" s="3" t="s">
        <v>74</v>
      </c>
      <c r="J889" s="3" t="s">
        <v>3768</v>
      </c>
      <c r="K889" s="3" t="s">
        <v>51</v>
      </c>
      <c r="L889" s="4">
        <v>43617</v>
      </c>
      <c r="M889" s="3" t="s">
        <v>21</v>
      </c>
      <c r="N889" s="3" t="s">
        <v>3766</v>
      </c>
    </row>
    <row r="890" spans="1:14" ht="97.5">
      <c r="A890" s="5">
        <v>884</v>
      </c>
      <c r="B890" s="5" t="str">
        <f>"202000101906"</f>
        <v>202000101906</v>
      </c>
      <c r="C890" s="5" t="str">
        <f>"150511"</f>
        <v>150511</v>
      </c>
      <c r="D890" s="5" t="s">
        <v>3769</v>
      </c>
      <c r="E890" s="5">
        <v>10206493424</v>
      </c>
      <c r="F890" s="5" t="s">
        <v>3770</v>
      </c>
      <c r="G890" s="5" t="s">
        <v>3771</v>
      </c>
      <c r="H890" s="5" t="s">
        <v>322</v>
      </c>
      <c r="I890" s="5" t="s">
        <v>322</v>
      </c>
      <c r="J890" s="5" t="s">
        <v>3475</v>
      </c>
      <c r="K890" s="5" t="s">
        <v>2051</v>
      </c>
      <c r="L890" s="6">
        <v>44060</v>
      </c>
      <c r="M890" s="5" t="s">
        <v>21</v>
      </c>
      <c r="N890" s="5" t="s">
        <v>3770</v>
      </c>
    </row>
    <row r="891" spans="1:14" ht="13.5">
      <c r="A891" s="3">
        <v>885</v>
      </c>
      <c r="B891" s="3" t="str">
        <f>"201900078797"</f>
        <v>201900078797</v>
      </c>
      <c r="C891" s="3" t="str">
        <f>"143514"</f>
        <v>143514</v>
      </c>
      <c r="D891" s="3" t="s">
        <v>3772</v>
      </c>
      <c r="E891" s="3">
        <v>20481623392</v>
      </c>
      <c r="F891" s="3" t="s">
        <v>3773</v>
      </c>
      <c r="G891" s="3" t="s">
        <v>3774</v>
      </c>
      <c r="H891" s="3" t="s">
        <v>73</v>
      </c>
      <c r="I891" s="3" t="s">
        <v>74</v>
      </c>
      <c r="J891" s="3" t="s">
        <v>3768</v>
      </c>
      <c r="K891" s="3" t="s">
        <v>847</v>
      </c>
      <c r="L891" s="4">
        <v>43617</v>
      </c>
      <c r="M891" s="3" t="s">
        <v>21</v>
      </c>
      <c r="N891" s="3" t="s">
        <v>3775</v>
      </c>
    </row>
    <row r="892" spans="1:14" ht="13.5">
      <c r="A892" s="5">
        <v>886</v>
      </c>
      <c r="B892" s="5" t="str">
        <f>"201900078797"</f>
        <v>201900078797</v>
      </c>
      <c r="C892" s="5" t="str">
        <f>"143515"</f>
        <v>143515</v>
      </c>
      <c r="D892" s="5" t="s">
        <v>3776</v>
      </c>
      <c r="E892" s="5">
        <v>20600643399</v>
      </c>
      <c r="F892" s="5" t="s">
        <v>3777</v>
      </c>
      <c r="G892" s="5" t="s">
        <v>3778</v>
      </c>
      <c r="H892" s="5" t="s">
        <v>73</v>
      </c>
      <c r="I892" s="5" t="s">
        <v>74</v>
      </c>
      <c r="J892" s="5" t="s">
        <v>3768</v>
      </c>
      <c r="K892" s="5" t="s">
        <v>51</v>
      </c>
      <c r="L892" s="6">
        <v>43617</v>
      </c>
      <c r="M892" s="5" t="s">
        <v>21</v>
      </c>
      <c r="N892" s="5" t="s">
        <v>3779</v>
      </c>
    </row>
    <row r="893" spans="1:14" ht="13.5">
      <c r="A893" s="3">
        <v>887</v>
      </c>
      <c r="B893" s="3" t="str">
        <f>"201900078797"</f>
        <v>201900078797</v>
      </c>
      <c r="C893" s="3" t="str">
        <f>"143516"</f>
        <v>143516</v>
      </c>
      <c r="D893" s="3" t="s">
        <v>3780</v>
      </c>
      <c r="E893" s="3">
        <v>20601864097</v>
      </c>
      <c r="F893" s="3" t="s">
        <v>3781</v>
      </c>
      <c r="G893" s="3" t="s">
        <v>3782</v>
      </c>
      <c r="H893" s="3" t="s">
        <v>73</v>
      </c>
      <c r="I893" s="3" t="s">
        <v>74</v>
      </c>
      <c r="J893" s="3" t="s">
        <v>3768</v>
      </c>
      <c r="K893" s="3" t="s">
        <v>51</v>
      </c>
      <c r="L893" s="4">
        <v>43617</v>
      </c>
      <c r="M893" s="3" t="s">
        <v>21</v>
      </c>
      <c r="N893" s="3" t="s">
        <v>3783</v>
      </c>
    </row>
    <row r="894" spans="1:14" ht="27.75">
      <c r="A894" s="5">
        <v>888</v>
      </c>
      <c r="B894" s="5" t="str">
        <f>"202000122377"</f>
        <v>202000122377</v>
      </c>
      <c r="C894" s="5" t="str">
        <f>"151193"</f>
        <v>151193</v>
      </c>
      <c r="D894" s="5" t="s">
        <v>3784</v>
      </c>
      <c r="E894" s="5">
        <v>20455661707</v>
      </c>
      <c r="F894" s="5" t="s">
        <v>3785</v>
      </c>
      <c r="G894" s="5" t="s">
        <v>3786</v>
      </c>
      <c r="H894" s="5" t="s">
        <v>253</v>
      </c>
      <c r="I894" s="5" t="s">
        <v>253</v>
      </c>
      <c r="J894" s="5" t="s">
        <v>3787</v>
      </c>
      <c r="K894" s="5" t="s">
        <v>36</v>
      </c>
      <c r="L894" s="6">
        <v>44090</v>
      </c>
      <c r="M894" s="5" t="s">
        <v>21</v>
      </c>
      <c r="N894" s="5" t="s">
        <v>3788</v>
      </c>
    </row>
    <row r="895" spans="1:14" ht="27.75">
      <c r="A895" s="3">
        <v>889</v>
      </c>
      <c r="B895" s="3" t="str">
        <f>"201900078803"</f>
        <v>201900078803</v>
      </c>
      <c r="C895" s="3" t="str">
        <f>"143710"</f>
        <v>143710</v>
      </c>
      <c r="D895" s="3" t="s">
        <v>3789</v>
      </c>
      <c r="E895" s="3">
        <v>20566435838</v>
      </c>
      <c r="F895" s="3" t="s">
        <v>3790</v>
      </c>
      <c r="G895" s="3" t="s">
        <v>3791</v>
      </c>
      <c r="H895" s="3" t="s">
        <v>18</v>
      </c>
      <c r="I895" s="3" t="s">
        <v>18</v>
      </c>
      <c r="J895" s="3" t="s">
        <v>41</v>
      </c>
      <c r="K895" s="3" t="s">
        <v>51</v>
      </c>
      <c r="L895" s="4">
        <v>43617</v>
      </c>
      <c r="M895" s="3" t="s">
        <v>21</v>
      </c>
      <c r="N895" s="3" t="s">
        <v>3792</v>
      </c>
    </row>
    <row r="896" spans="1:14" ht="13.5">
      <c r="A896" s="5">
        <v>890</v>
      </c>
      <c r="B896" s="5" t="str">
        <f>"201900078803"</f>
        <v>201900078803</v>
      </c>
      <c r="C896" s="5" t="str">
        <f>"143709"</f>
        <v>143709</v>
      </c>
      <c r="D896" s="5" t="s">
        <v>3793</v>
      </c>
      <c r="E896" s="5">
        <v>20565213131</v>
      </c>
      <c r="F896" s="5" t="s">
        <v>3794</v>
      </c>
      <c r="G896" s="5" t="s">
        <v>3795</v>
      </c>
      <c r="H896" s="5" t="s">
        <v>18</v>
      </c>
      <c r="I896" s="5" t="s">
        <v>18</v>
      </c>
      <c r="J896" s="5" t="s">
        <v>41</v>
      </c>
      <c r="K896" s="5" t="s">
        <v>36</v>
      </c>
      <c r="L896" s="6">
        <v>43617</v>
      </c>
      <c r="M896" s="5" t="s">
        <v>21</v>
      </c>
      <c r="N896" s="5" t="s">
        <v>1164</v>
      </c>
    </row>
    <row r="897" spans="1:14" ht="13.5">
      <c r="A897" s="3">
        <v>891</v>
      </c>
      <c r="B897" s="3" t="str">
        <f>"201900078803"</f>
        <v>201900078803</v>
      </c>
      <c r="C897" s="3" t="str">
        <f>"143712"</f>
        <v>143712</v>
      </c>
      <c r="D897" s="3" t="s">
        <v>3796</v>
      </c>
      <c r="E897" s="3">
        <v>20602198741</v>
      </c>
      <c r="F897" s="3" t="s">
        <v>3797</v>
      </c>
      <c r="G897" s="3" t="s">
        <v>3798</v>
      </c>
      <c r="H897" s="3" t="s">
        <v>18</v>
      </c>
      <c r="I897" s="3" t="s">
        <v>18</v>
      </c>
      <c r="J897" s="3" t="s">
        <v>41</v>
      </c>
      <c r="K897" s="3" t="s">
        <v>51</v>
      </c>
      <c r="L897" s="4">
        <v>43617</v>
      </c>
      <c r="M897" s="3" t="s">
        <v>21</v>
      </c>
      <c r="N897" s="3" t="s">
        <v>3799</v>
      </c>
    </row>
    <row r="898" spans="1:14" ht="27.75">
      <c r="A898" s="5">
        <v>892</v>
      </c>
      <c r="B898" s="5" t="str">
        <f>"201900078803"</f>
        <v>201900078803</v>
      </c>
      <c r="C898" s="5" t="str">
        <f>"143711"</f>
        <v>143711</v>
      </c>
      <c r="D898" s="5" t="s">
        <v>3800</v>
      </c>
      <c r="E898" s="5">
        <v>20601059232</v>
      </c>
      <c r="F898" s="5" t="s">
        <v>3801</v>
      </c>
      <c r="G898" s="5" t="s">
        <v>3802</v>
      </c>
      <c r="H898" s="5" t="s">
        <v>18</v>
      </c>
      <c r="I898" s="5" t="s">
        <v>18</v>
      </c>
      <c r="J898" s="5" t="s">
        <v>41</v>
      </c>
      <c r="K898" s="5" t="s">
        <v>36</v>
      </c>
      <c r="L898" s="6">
        <v>43617</v>
      </c>
      <c r="M898" s="5" t="s">
        <v>21</v>
      </c>
      <c r="N898" s="5" t="s">
        <v>3803</v>
      </c>
    </row>
    <row r="899" spans="1:14" ht="27.75">
      <c r="A899" s="3">
        <v>893</v>
      </c>
      <c r="B899" s="3" t="str">
        <f>"201900078803"</f>
        <v>201900078803</v>
      </c>
      <c r="C899" s="3" t="str">
        <f>"143714"</f>
        <v>143714</v>
      </c>
      <c r="D899" s="3" t="s">
        <v>3804</v>
      </c>
      <c r="E899" s="3">
        <v>20602868711</v>
      </c>
      <c r="F899" s="3" t="s">
        <v>3805</v>
      </c>
      <c r="G899" s="3" t="s">
        <v>3806</v>
      </c>
      <c r="H899" s="3" t="s">
        <v>18</v>
      </c>
      <c r="I899" s="3" t="s">
        <v>18</v>
      </c>
      <c r="J899" s="3" t="s">
        <v>41</v>
      </c>
      <c r="K899" s="3" t="s">
        <v>97</v>
      </c>
      <c r="L899" s="4">
        <v>43617</v>
      </c>
      <c r="M899" s="3" t="s">
        <v>21</v>
      </c>
      <c r="N899" s="3" t="s">
        <v>3807</v>
      </c>
    </row>
    <row r="900" spans="1:14" ht="125.25">
      <c r="A900" s="5">
        <v>894</v>
      </c>
      <c r="B900" s="5" t="str">
        <f>"202000127483"</f>
        <v>202000127483</v>
      </c>
      <c r="C900" s="5" t="str">
        <f>"151367"</f>
        <v>151367</v>
      </c>
      <c r="D900" s="5" t="s">
        <v>3808</v>
      </c>
      <c r="E900" s="5">
        <v>20539966988</v>
      </c>
      <c r="F900" s="5" t="s">
        <v>3809</v>
      </c>
      <c r="G900" s="5" t="s">
        <v>3810</v>
      </c>
      <c r="H900" s="5" t="s">
        <v>73</v>
      </c>
      <c r="I900" s="5" t="s">
        <v>74</v>
      </c>
      <c r="J900" s="5" t="s">
        <v>74</v>
      </c>
      <c r="K900" s="5" t="s">
        <v>837</v>
      </c>
      <c r="L900" s="6">
        <v>44109</v>
      </c>
      <c r="M900" s="5" t="s">
        <v>21</v>
      </c>
      <c r="N900" s="5" t="s">
        <v>3811</v>
      </c>
    </row>
    <row r="901" spans="1:14" ht="13.5">
      <c r="A901" s="3">
        <v>895</v>
      </c>
      <c r="B901" s="3" t="str">
        <f>"201900078803"</f>
        <v>201900078803</v>
      </c>
      <c r="C901" s="3" t="str">
        <f>"143713"</f>
        <v>143713</v>
      </c>
      <c r="D901" s="3" t="s">
        <v>3812</v>
      </c>
      <c r="E901" s="3">
        <v>20602397654</v>
      </c>
      <c r="F901" s="3" t="s">
        <v>3813</v>
      </c>
      <c r="G901" s="3" t="s">
        <v>3814</v>
      </c>
      <c r="H901" s="3" t="s">
        <v>18</v>
      </c>
      <c r="I901" s="3" t="s">
        <v>18</v>
      </c>
      <c r="J901" s="3" t="s">
        <v>41</v>
      </c>
      <c r="K901" s="3" t="s">
        <v>51</v>
      </c>
      <c r="L901" s="4">
        <v>43617</v>
      </c>
      <c r="M901" s="3" t="s">
        <v>21</v>
      </c>
      <c r="N901" s="3" t="s">
        <v>3815</v>
      </c>
    </row>
    <row r="902" spans="1:14" ht="13.5">
      <c r="A902" s="5">
        <v>896</v>
      </c>
      <c r="B902" s="5" t="str">
        <f>"202000041585"</f>
        <v>202000041585</v>
      </c>
      <c r="C902" s="5" t="str">
        <f>"149263"</f>
        <v>149263</v>
      </c>
      <c r="D902" s="5" t="s">
        <v>3816</v>
      </c>
      <c r="E902" s="5">
        <v>20394055396</v>
      </c>
      <c r="F902" s="5" t="s">
        <v>3817</v>
      </c>
      <c r="G902" s="5" t="s">
        <v>3818</v>
      </c>
      <c r="H902" s="5" t="s">
        <v>615</v>
      </c>
      <c r="I902" s="5" t="s">
        <v>616</v>
      </c>
      <c r="J902" s="5" t="s">
        <v>3819</v>
      </c>
      <c r="K902" s="5" t="s">
        <v>97</v>
      </c>
      <c r="L902" s="6">
        <v>43902</v>
      </c>
      <c r="M902" s="5" t="s">
        <v>21</v>
      </c>
      <c r="N902" s="5" t="s">
        <v>3820</v>
      </c>
    </row>
    <row r="903" spans="1:14" ht="27.75">
      <c r="A903" s="3">
        <v>897</v>
      </c>
      <c r="B903" s="3" t="str">
        <f>"201900078803"</f>
        <v>201900078803</v>
      </c>
      <c r="C903" s="3" t="str">
        <f>"143716"</f>
        <v>143716</v>
      </c>
      <c r="D903" s="3" t="s">
        <v>3821</v>
      </c>
      <c r="E903" s="3">
        <v>20101933891</v>
      </c>
      <c r="F903" s="3" t="s">
        <v>3822</v>
      </c>
      <c r="G903" s="3" t="s">
        <v>3823</v>
      </c>
      <c r="H903" s="3" t="s">
        <v>18</v>
      </c>
      <c r="I903" s="3" t="s">
        <v>18</v>
      </c>
      <c r="J903" s="3" t="s">
        <v>3824</v>
      </c>
      <c r="K903" s="3" t="s">
        <v>137</v>
      </c>
      <c r="L903" s="4">
        <v>43617</v>
      </c>
      <c r="M903" s="3" t="s">
        <v>21</v>
      </c>
      <c r="N903" s="3" t="s">
        <v>3825</v>
      </c>
    </row>
    <row r="904" spans="1:14" ht="27.75">
      <c r="A904" s="5">
        <v>898</v>
      </c>
      <c r="B904" s="5" t="str">
        <f>"201900078803"</f>
        <v>201900078803</v>
      </c>
      <c r="C904" s="5" t="str">
        <f>"143715"</f>
        <v>143715</v>
      </c>
      <c r="D904" s="5" t="s">
        <v>3826</v>
      </c>
      <c r="E904" s="5">
        <v>20602898378</v>
      </c>
      <c r="F904" s="5" t="s">
        <v>3827</v>
      </c>
      <c r="G904" s="5" t="s">
        <v>3828</v>
      </c>
      <c r="H904" s="5" t="s">
        <v>18</v>
      </c>
      <c r="I904" s="5" t="s">
        <v>18</v>
      </c>
      <c r="J904" s="5" t="s">
        <v>41</v>
      </c>
      <c r="K904" s="5" t="s">
        <v>36</v>
      </c>
      <c r="L904" s="6">
        <v>43617</v>
      </c>
      <c r="M904" s="5" t="s">
        <v>21</v>
      </c>
      <c r="N904" s="5" t="s">
        <v>3829</v>
      </c>
    </row>
    <row r="905" spans="1:14" ht="13.5">
      <c r="A905" s="3">
        <v>899</v>
      </c>
      <c r="B905" s="3" t="str">
        <f>"202000028619"</f>
        <v>202000028619</v>
      </c>
      <c r="C905" s="3" t="str">
        <f>"149267"</f>
        <v>149267</v>
      </c>
      <c r="D905" s="3" t="s">
        <v>3830</v>
      </c>
      <c r="E905" s="3">
        <v>10295769519</v>
      </c>
      <c r="F905" s="3" t="s">
        <v>3831</v>
      </c>
      <c r="G905" s="3" t="s">
        <v>3832</v>
      </c>
      <c r="H905" s="3" t="s">
        <v>253</v>
      </c>
      <c r="I905" s="3" t="s">
        <v>253</v>
      </c>
      <c r="J905" s="3" t="s">
        <v>1588</v>
      </c>
      <c r="K905" s="3" t="s">
        <v>36</v>
      </c>
      <c r="L905" s="4">
        <v>43885</v>
      </c>
      <c r="M905" s="3" t="s">
        <v>21</v>
      </c>
      <c r="N905" s="3" t="s">
        <v>3831</v>
      </c>
    </row>
    <row r="906" spans="1:14" ht="55.5">
      <c r="A906" s="5">
        <v>900</v>
      </c>
      <c r="B906" s="5" t="str">
        <f>"202000120830"</f>
        <v>202000120830</v>
      </c>
      <c r="C906" s="5" t="str">
        <f>"151189"</f>
        <v>151189</v>
      </c>
      <c r="D906" s="5" t="s">
        <v>3833</v>
      </c>
      <c r="E906" s="5">
        <v>20605948597</v>
      </c>
      <c r="F906" s="5" t="s">
        <v>3834</v>
      </c>
      <c r="G906" s="5" t="s">
        <v>3835</v>
      </c>
      <c r="H906" s="5" t="s">
        <v>1645</v>
      </c>
      <c r="I906" s="5" t="s">
        <v>2279</v>
      </c>
      <c r="J906" s="5" t="s">
        <v>2599</v>
      </c>
      <c r="K906" s="5" t="s">
        <v>3836</v>
      </c>
      <c r="L906" s="6">
        <v>44105</v>
      </c>
      <c r="M906" s="5" t="s">
        <v>21</v>
      </c>
      <c r="N906" s="5" t="s">
        <v>3837</v>
      </c>
    </row>
    <row r="907" spans="1:14" ht="69.75">
      <c r="A907" s="3">
        <v>901</v>
      </c>
      <c r="B907" s="3" t="str">
        <f>"201900078803"</f>
        <v>201900078803</v>
      </c>
      <c r="C907" s="3" t="str">
        <f>"143708"</f>
        <v>143708</v>
      </c>
      <c r="D907" s="3" t="s">
        <v>3838</v>
      </c>
      <c r="E907" s="3">
        <v>20506147353</v>
      </c>
      <c r="F907" s="3" t="s">
        <v>3839</v>
      </c>
      <c r="G907" s="3" t="s">
        <v>3840</v>
      </c>
      <c r="H907" s="3" t="s">
        <v>18</v>
      </c>
      <c r="I907" s="3" t="s">
        <v>18</v>
      </c>
      <c r="J907" s="3" t="s">
        <v>41</v>
      </c>
      <c r="K907" s="3" t="s">
        <v>3841</v>
      </c>
      <c r="L907" s="4">
        <v>43617</v>
      </c>
      <c r="M907" s="3" t="s">
        <v>21</v>
      </c>
      <c r="N907" s="3" t="s">
        <v>3842</v>
      </c>
    </row>
    <row r="908" spans="1:14" ht="42">
      <c r="A908" s="5">
        <v>902</v>
      </c>
      <c r="B908" s="5" t="str">
        <f>"201900165152"</f>
        <v>201900165152</v>
      </c>
      <c r="C908" s="5" t="str">
        <f>"147061"</f>
        <v>147061</v>
      </c>
      <c r="D908" s="5" t="s">
        <v>3843</v>
      </c>
      <c r="E908" s="5">
        <v>20603761597</v>
      </c>
      <c r="F908" s="5" t="s">
        <v>3844</v>
      </c>
      <c r="G908" s="5" t="s">
        <v>3845</v>
      </c>
      <c r="H908" s="5" t="s">
        <v>513</v>
      </c>
      <c r="I908" s="5" t="s">
        <v>513</v>
      </c>
      <c r="J908" s="5" t="s">
        <v>3846</v>
      </c>
      <c r="K908" s="5" t="s">
        <v>3847</v>
      </c>
      <c r="L908" s="6">
        <v>43755</v>
      </c>
      <c r="M908" s="5" t="s">
        <v>21</v>
      </c>
      <c r="N908" s="5" t="s">
        <v>3848</v>
      </c>
    </row>
    <row r="909" spans="1:14" ht="27.75">
      <c r="A909" s="3">
        <v>903</v>
      </c>
      <c r="B909" s="3" t="str">
        <f>"201900078803"</f>
        <v>201900078803</v>
      </c>
      <c r="C909" s="3" t="str">
        <f>"143707"</f>
        <v>143707</v>
      </c>
      <c r="D909" s="3" t="s">
        <v>3849</v>
      </c>
      <c r="E909" s="3">
        <v>20565915089</v>
      </c>
      <c r="F909" s="3" t="s">
        <v>3850</v>
      </c>
      <c r="G909" s="3" t="s">
        <v>3851</v>
      </c>
      <c r="H909" s="3" t="s">
        <v>18</v>
      </c>
      <c r="I909" s="3" t="s">
        <v>18</v>
      </c>
      <c r="J909" s="3" t="s">
        <v>1286</v>
      </c>
      <c r="K909" s="3" t="s">
        <v>3852</v>
      </c>
      <c r="L909" s="4">
        <v>43617</v>
      </c>
      <c r="M909" s="3" t="s">
        <v>21</v>
      </c>
      <c r="N909" s="3" t="s">
        <v>3853</v>
      </c>
    </row>
    <row r="910" spans="1:14" ht="42">
      <c r="A910" s="5">
        <v>904</v>
      </c>
      <c r="B910" s="5" t="str">
        <f aca="true" t="shared" si="16" ref="B910:B916">"201900078735"</f>
        <v>201900078735</v>
      </c>
      <c r="C910" s="5" t="str">
        <f>"143463"</f>
        <v>143463</v>
      </c>
      <c r="D910" s="5" t="s">
        <v>3854</v>
      </c>
      <c r="E910" s="5">
        <v>20601458315</v>
      </c>
      <c r="F910" s="5" t="s">
        <v>3855</v>
      </c>
      <c r="G910" s="5" t="s">
        <v>3856</v>
      </c>
      <c r="H910" s="5" t="s">
        <v>1017</v>
      </c>
      <c r="I910" s="5" t="s">
        <v>1017</v>
      </c>
      <c r="J910" s="5" t="s">
        <v>1017</v>
      </c>
      <c r="K910" s="5" t="s">
        <v>42</v>
      </c>
      <c r="L910" s="6">
        <v>43617</v>
      </c>
      <c r="M910" s="5" t="s">
        <v>21</v>
      </c>
      <c r="N910" s="5" t="s">
        <v>3857</v>
      </c>
    </row>
    <row r="911" spans="1:14" ht="27.75">
      <c r="A911" s="3">
        <v>905</v>
      </c>
      <c r="B911" s="3" t="str">
        <f t="shared" si="16"/>
        <v>201900078735</v>
      </c>
      <c r="C911" s="3" t="str">
        <f>"143462"</f>
        <v>143462</v>
      </c>
      <c r="D911" s="3" t="s">
        <v>3858</v>
      </c>
      <c r="E911" s="3">
        <v>20600493818</v>
      </c>
      <c r="F911" s="3" t="s">
        <v>3859</v>
      </c>
      <c r="G911" s="3" t="s">
        <v>3860</v>
      </c>
      <c r="H911" s="3" t="s">
        <v>1017</v>
      </c>
      <c r="I911" s="3" t="s">
        <v>1017</v>
      </c>
      <c r="J911" s="3" t="s">
        <v>1017</v>
      </c>
      <c r="K911" s="3" t="s">
        <v>774</v>
      </c>
      <c r="L911" s="4">
        <v>43617</v>
      </c>
      <c r="M911" s="3" t="s">
        <v>21</v>
      </c>
      <c r="N911" s="3" t="s">
        <v>3861</v>
      </c>
    </row>
    <row r="912" spans="1:14" ht="27.75">
      <c r="A912" s="5">
        <v>906</v>
      </c>
      <c r="B912" s="5" t="str">
        <f t="shared" si="16"/>
        <v>201900078735</v>
      </c>
      <c r="C912" s="5" t="str">
        <f>"143461"</f>
        <v>143461</v>
      </c>
      <c r="D912" s="5" t="s">
        <v>3862</v>
      </c>
      <c r="E912" s="5">
        <v>20566214823</v>
      </c>
      <c r="F912" s="5" t="s">
        <v>3863</v>
      </c>
      <c r="G912" s="5" t="s">
        <v>3864</v>
      </c>
      <c r="H912" s="5" t="s">
        <v>1017</v>
      </c>
      <c r="I912" s="5" t="s">
        <v>1017</v>
      </c>
      <c r="J912" s="5" t="s">
        <v>1017</v>
      </c>
      <c r="K912" s="5" t="s">
        <v>51</v>
      </c>
      <c r="L912" s="6">
        <v>43617</v>
      </c>
      <c r="M912" s="5" t="s">
        <v>21</v>
      </c>
      <c r="N912" s="5" t="s">
        <v>3865</v>
      </c>
    </row>
    <row r="913" spans="1:14" ht="42">
      <c r="A913" s="3">
        <v>907</v>
      </c>
      <c r="B913" s="3" t="str">
        <f t="shared" si="16"/>
        <v>201900078735</v>
      </c>
      <c r="C913" s="3" t="str">
        <f>"143460"</f>
        <v>143460</v>
      </c>
      <c r="D913" s="3" t="s">
        <v>3866</v>
      </c>
      <c r="E913" s="3">
        <v>20551261353</v>
      </c>
      <c r="F913" s="3" t="s">
        <v>3867</v>
      </c>
      <c r="G913" s="3" t="s">
        <v>3868</v>
      </c>
      <c r="H913" s="3" t="s">
        <v>1017</v>
      </c>
      <c r="I913" s="3" t="s">
        <v>1017</v>
      </c>
      <c r="J913" s="3" t="s">
        <v>1017</v>
      </c>
      <c r="K913" s="3" t="s">
        <v>42</v>
      </c>
      <c r="L913" s="4">
        <v>43617</v>
      </c>
      <c r="M913" s="3" t="s">
        <v>21</v>
      </c>
      <c r="N913" s="3" t="s">
        <v>3869</v>
      </c>
    </row>
    <row r="914" spans="1:14" ht="42">
      <c r="A914" s="5">
        <v>908</v>
      </c>
      <c r="B914" s="5" t="str">
        <f t="shared" si="16"/>
        <v>201900078735</v>
      </c>
      <c r="C914" s="5" t="str">
        <f>"143459"</f>
        <v>143459</v>
      </c>
      <c r="D914" s="5" t="s">
        <v>3870</v>
      </c>
      <c r="E914" s="5">
        <v>20520536761</v>
      </c>
      <c r="F914" s="5" t="s">
        <v>3871</v>
      </c>
      <c r="G914" s="5" t="s">
        <v>3872</v>
      </c>
      <c r="H914" s="5" t="s">
        <v>1017</v>
      </c>
      <c r="I914" s="5" t="s">
        <v>1017</v>
      </c>
      <c r="J914" s="5" t="s">
        <v>1017</v>
      </c>
      <c r="K914" s="5" t="s">
        <v>42</v>
      </c>
      <c r="L914" s="6">
        <v>43617</v>
      </c>
      <c r="M914" s="5" t="s">
        <v>21</v>
      </c>
      <c r="N914" s="5" t="s">
        <v>3873</v>
      </c>
    </row>
    <row r="915" spans="1:14" ht="69.75">
      <c r="A915" s="3">
        <v>909</v>
      </c>
      <c r="B915" s="3" t="str">
        <f t="shared" si="16"/>
        <v>201900078735</v>
      </c>
      <c r="C915" s="3" t="str">
        <f>"143458"</f>
        <v>143458</v>
      </c>
      <c r="D915" s="3" t="s">
        <v>3874</v>
      </c>
      <c r="E915" s="3">
        <v>20506626910</v>
      </c>
      <c r="F915" s="3" t="s">
        <v>3875</v>
      </c>
      <c r="G915" s="3" t="s">
        <v>3876</v>
      </c>
      <c r="H915" s="3" t="s">
        <v>1017</v>
      </c>
      <c r="I915" s="3" t="s">
        <v>1017</v>
      </c>
      <c r="J915" s="3" t="s">
        <v>1017</v>
      </c>
      <c r="K915" s="3" t="s">
        <v>3877</v>
      </c>
      <c r="L915" s="4">
        <v>43617</v>
      </c>
      <c r="M915" s="3" t="s">
        <v>21</v>
      </c>
      <c r="N915" s="3" t="s">
        <v>3878</v>
      </c>
    </row>
    <row r="916" spans="1:14" ht="42">
      <c r="A916" s="5">
        <v>910</v>
      </c>
      <c r="B916" s="5" t="str">
        <f t="shared" si="16"/>
        <v>201900078735</v>
      </c>
      <c r="C916" s="5" t="str">
        <f>"143457"</f>
        <v>143457</v>
      </c>
      <c r="D916" s="5" t="s">
        <v>3879</v>
      </c>
      <c r="E916" s="5">
        <v>20358896121</v>
      </c>
      <c r="F916" s="5" t="s">
        <v>3880</v>
      </c>
      <c r="G916" s="5" t="s">
        <v>3881</v>
      </c>
      <c r="H916" s="5" t="s">
        <v>1017</v>
      </c>
      <c r="I916" s="5" t="s">
        <v>1017</v>
      </c>
      <c r="J916" s="5" t="s">
        <v>1017</v>
      </c>
      <c r="K916" s="5" t="s">
        <v>42</v>
      </c>
      <c r="L916" s="6">
        <v>43617</v>
      </c>
      <c r="M916" s="5" t="s">
        <v>21</v>
      </c>
      <c r="N916" s="5" t="s">
        <v>3882</v>
      </c>
    </row>
    <row r="917" spans="1:14" ht="97.5">
      <c r="A917" s="3">
        <v>911</v>
      </c>
      <c r="B917" s="3" t="str">
        <f>"202000101496"</f>
        <v>202000101496</v>
      </c>
      <c r="C917" s="3" t="str">
        <f>"150505"</f>
        <v>150505</v>
      </c>
      <c r="D917" s="3" t="s">
        <v>3883</v>
      </c>
      <c r="E917" s="3">
        <v>20604051429</v>
      </c>
      <c r="F917" s="3" t="s">
        <v>3884</v>
      </c>
      <c r="G917" s="3" t="s">
        <v>3885</v>
      </c>
      <c r="H917" s="3" t="s">
        <v>18</v>
      </c>
      <c r="I917" s="3" t="s">
        <v>18</v>
      </c>
      <c r="J917" s="3" t="s">
        <v>3886</v>
      </c>
      <c r="K917" s="3" t="s">
        <v>3887</v>
      </c>
      <c r="L917" s="4">
        <v>44078</v>
      </c>
      <c r="M917" s="3" t="s">
        <v>21</v>
      </c>
      <c r="N917" s="3" t="s">
        <v>3888</v>
      </c>
    </row>
    <row r="918" spans="1:14" ht="13.5">
      <c r="A918" s="5">
        <v>912</v>
      </c>
      <c r="B918" s="5" t="str">
        <f>"201900112331"</f>
        <v>201900112331</v>
      </c>
      <c r="C918" s="5" t="str">
        <f>"145184"</f>
        <v>145184</v>
      </c>
      <c r="D918" s="5" t="s">
        <v>3889</v>
      </c>
      <c r="E918" s="5">
        <v>10410302956</v>
      </c>
      <c r="F918" s="5" t="s">
        <v>3890</v>
      </c>
      <c r="G918" s="5" t="s">
        <v>3891</v>
      </c>
      <c r="H918" s="5" t="s">
        <v>18</v>
      </c>
      <c r="I918" s="5" t="s">
        <v>18</v>
      </c>
      <c r="J918" s="5" t="s">
        <v>242</v>
      </c>
      <c r="K918" s="5" t="s">
        <v>51</v>
      </c>
      <c r="L918" s="6">
        <v>43662</v>
      </c>
      <c r="M918" s="5" t="s">
        <v>21</v>
      </c>
      <c r="N918" s="5" t="s">
        <v>3890</v>
      </c>
    </row>
    <row r="919" spans="1:14" ht="27.75">
      <c r="A919" s="3">
        <v>913</v>
      </c>
      <c r="B919" s="3" t="str">
        <f>"202000102837"</f>
        <v>202000102837</v>
      </c>
      <c r="C919" s="3" t="str">
        <f>"150506"</f>
        <v>150506</v>
      </c>
      <c r="D919" s="3" t="s">
        <v>3892</v>
      </c>
      <c r="E919" s="3">
        <v>10452589511</v>
      </c>
      <c r="F919" s="3" t="s">
        <v>3893</v>
      </c>
      <c r="G919" s="3" t="s">
        <v>3894</v>
      </c>
      <c r="H919" s="3" t="s">
        <v>18</v>
      </c>
      <c r="I919" s="3" t="s">
        <v>18</v>
      </c>
      <c r="J919" s="3" t="s">
        <v>303</v>
      </c>
      <c r="K919" s="3" t="s">
        <v>51</v>
      </c>
      <c r="L919" s="4">
        <v>44063</v>
      </c>
      <c r="M919" s="3" t="s">
        <v>21</v>
      </c>
      <c r="N919" s="3" t="s">
        <v>3893</v>
      </c>
    </row>
    <row r="920" spans="1:14" ht="42">
      <c r="A920" s="5">
        <v>914</v>
      </c>
      <c r="B920" s="5" t="str">
        <f>"202000135903"</f>
        <v>202000135903</v>
      </c>
      <c r="C920" s="5" t="str">
        <f>"151637"</f>
        <v>151637</v>
      </c>
      <c r="D920" s="5" t="s">
        <v>3895</v>
      </c>
      <c r="E920" s="5">
        <v>20509475483</v>
      </c>
      <c r="F920" s="5" t="s">
        <v>3896</v>
      </c>
      <c r="G920" s="5" t="s">
        <v>3897</v>
      </c>
      <c r="H920" s="5" t="s">
        <v>18</v>
      </c>
      <c r="I920" s="5" t="s">
        <v>18</v>
      </c>
      <c r="J920" s="5" t="s">
        <v>3898</v>
      </c>
      <c r="K920" s="5" t="s">
        <v>42</v>
      </c>
      <c r="L920" s="6">
        <v>44116</v>
      </c>
      <c r="M920" s="5" t="s">
        <v>21</v>
      </c>
      <c r="N920" s="5" t="s">
        <v>3899</v>
      </c>
    </row>
    <row r="921" spans="1:14" ht="69.75">
      <c r="A921" s="3">
        <v>915</v>
      </c>
      <c r="B921" s="3" t="str">
        <f>"202000087434"</f>
        <v>202000087434</v>
      </c>
      <c r="C921" s="3" t="str">
        <f>"150092"</f>
        <v>150092</v>
      </c>
      <c r="D921" s="3" t="s">
        <v>3900</v>
      </c>
      <c r="E921" s="3">
        <v>10176407471</v>
      </c>
      <c r="F921" s="3" t="s">
        <v>3901</v>
      </c>
      <c r="G921" s="3" t="s">
        <v>3902</v>
      </c>
      <c r="H921" s="3" t="s">
        <v>274</v>
      </c>
      <c r="I921" s="3" t="s">
        <v>274</v>
      </c>
      <c r="J921" s="3" t="s">
        <v>274</v>
      </c>
      <c r="K921" s="3" t="s">
        <v>556</v>
      </c>
      <c r="L921" s="4">
        <v>44039</v>
      </c>
      <c r="M921" s="3" t="s">
        <v>21</v>
      </c>
      <c r="N921" s="3" t="s">
        <v>3901</v>
      </c>
    </row>
    <row r="922" spans="1:14" ht="27.75">
      <c r="A922" s="5">
        <v>916</v>
      </c>
      <c r="B922" s="5" t="str">
        <f>"201900191494"</f>
        <v>201900191494</v>
      </c>
      <c r="C922" s="5" t="str">
        <f>"146659"</f>
        <v>146659</v>
      </c>
      <c r="D922" s="5" t="s">
        <v>3903</v>
      </c>
      <c r="E922" s="5">
        <v>20502754263</v>
      </c>
      <c r="F922" s="5" t="s">
        <v>3904</v>
      </c>
      <c r="G922" s="5" t="s">
        <v>3905</v>
      </c>
      <c r="H922" s="5" t="s">
        <v>18</v>
      </c>
      <c r="I922" s="5" t="s">
        <v>18</v>
      </c>
      <c r="J922" s="5" t="s">
        <v>1805</v>
      </c>
      <c r="K922" s="5" t="s">
        <v>3906</v>
      </c>
      <c r="L922" s="6">
        <v>43789</v>
      </c>
      <c r="M922" s="5" t="s">
        <v>21</v>
      </c>
      <c r="N922" s="5" t="s">
        <v>3907</v>
      </c>
    </row>
    <row r="923" spans="1:14" ht="42">
      <c r="A923" s="3">
        <v>917</v>
      </c>
      <c r="B923" s="3" t="str">
        <f>"202000037005"</f>
        <v>202000037005</v>
      </c>
      <c r="C923" s="3" t="str">
        <f>"148449"</f>
        <v>148449</v>
      </c>
      <c r="D923" s="3" t="s">
        <v>3908</v>
      </c>
      <c r="E923" s="3">
        <v>20601814057</v>
      </c>
      <c r="F923" s="3" t="s">
        <v>3909</v>
      </c>
      <c r="G923" s="3" t="s">
        <v>3910</v>
      </c>
      <c r="H923" s="3" t="s">
        <v>513</v>
      </c>
      <c r="I923" s="3" t="s">
        <v>513</v>
      </c>
      <c r="J923" s="3" t="s">
        <v>514</v>
      </c>
      <c r="K923" s="3" t="s">
        <v>3911</v>
      </c>
      <c r="L923" s="4">
        <v>43900</v>
      </c>
      <c r="M923" s="3" t="s">
        <v>21</v>
      </c>
      <c r="N923" s="3" t="s">
        <v>3912</v>
      </c>
    </row>
    <row r="924" spans="1:14" ht="13.5">
      <c r="A924" s="5">
        <v>918</v>
      </c>
      <c r="B924" s="5" t="str">
        <f>"201900078735"</f>
        <v>201900078735</v>
      </c>
      <c r="C924" s="5" t="str">
        <f>"143466"</f>
        <v>143466</v>
      </c>
      <c r="D924" s="5" t="s">
        <v>3913</v>
      </c>
      <c r="E924" s="5">
        <v>10215437561</v>
      </c>
      <c r="F924" s="5" t="s">
        <v>3914</v>
      </c>
      <c r="G924" s="5" t="s">
        <v>3915</v>
      </c>
      <c r="H924" s="5" t="s">
        <v>1017</v>
      </c>
      <c r="I924" s="5" t="s">
        <v>1017</v>
      </c>
      <c r="J924" s="5" t="s">
        <v>3916</v>
      </c>
      <c r="K924" s="5" t="s">
        <v>51</v>
      </c>
      <c r="L924" s="6">
        <v>43617</v>
      </c>
      <c r="M924" s="5" t="s">
        <v>21</v>
      </c>
      <c r="N924" s="5" t="s">
        <v>3914</v>
      </c>
    </row>
    <row r="925" spans="1:14" ht="42">
      <c r="A925" s="3">
        <v>919</v>
      </c>
      <c r="B925" s="3" t="str">
        <f>"201900078735"</f>
        <v>201900078735</v>
      </c>
      <c r="C925" s="3" t="str">
        <f>"143464"</f>
        <v>143464</v>
      </c>
      <c r="D925" s="3" t="s">
        <v>3917</v>
      </c>
      <c r="E925" s="3">
        <v>20602683096</v>
      </c>
      <c r="F925" s="3" t="s">
        <v>3918</v>
      </c>
      <c r="G925" s="3" t="s">
        <v>3919</v>
      </c>
      <c r="H925" s="3" t="s">
        <v>1017</v>
      </c>
      <c r="I925" s="3" t="s">
        <v>1017</v>
      </c>
      <c r="J925" s="3" t="s">
        <v>1017</v>
      </c>
      <c r="K925" s="3" t="s">
        <v>42</v>
      </c>
      <c r="L925" s="4">
        <v>43617</v>
      </c>
      <c r="M925" s="3" t="s">
        <v>21</v>
      </c>
      <c r="N925" s="3" t="s">
        <v>3920</v>
      </c>
    </row>
    <row r="926" spans="1:14" ht="27.75">
      <c r="A926" s="5">
        <v>920</v>
      </c>
      <c r="B926" s="5" t="str">
        <f>"201900078732"</f>
        <v>201900078732</v>
      </c>
      <c r="C926" s="5" t="str">
        <f>"143450"</f>
        <v>143450</v>
      </c>
      <c r="D926" s="5" t="s">
        <v>3921</v>
      </c>
      <c r="E926" s="5">
        <v>10230940792</v>
      </c>
      <c r="F926" s="5" t="s">
        <v>3922</v>
      </c>
      <c r="G926" s="5" t="s">
        <v>3923</v>
      </c>
      <c r="H926" s="5" t="s">
        <v>1620</v>
      </c>
      <c r="I926" s="5" t="s">
        <v>3924</v>
      </c>
      <c r="J926" s="5" t="s">
        <v>3925</v>
      </c>
      <c r="K926" s="5" t="s">
        <v>51</v>
      </c>
      <c r="L926" s="6">
        <v>43617</v>
      </c>
      <c r="M926" s="5" t="s">
        <v>21</v>
      </c>
      <c r="N926" s="5" t="s">
        <v>3922</v>
      </c>
    </row>
    <row r="927" spans="1:14" ht="13.5">
      <c r="A927" s="3">
        <v>921</v>
      </c>
      <c r="B927" s="3" t="str">
        <f>"201900078732"</f>
        <v>201900078732</v>
      </c>
      <c r="C927" s="3" t="str">
        <f>"143449"</f>
        <v>143449</v>
      </c>
      <c r="D927" s="3" t="s">
        <v>3926</v>
      </c>
      <c r="E927" s="3">
        <v>20573175744</v>
      </c>
      <c r="F927" s="3" t="s">
        <v>3927</v>
      </c>
      <c r="G927" s="3" t="s">
        <v>3928</v>
      </c>
      <c r="H927" s="3" t="s">
        <v>1620</v>
      </c>
      <c r="I927" s="3" t="s">
        <v>1620</v>
      </c>
      <c r="J927" s="3" t="s">
        <v>3929</v>
      </c>
      <c r="K927" s="3" t="s">
        <v>51</v>
      </c>
      <c r="L927" s="4">
        <v>43617</v>
      </c>
      <c r="M927" s="3" t="s">
        <v>21</v>
      </c>
      <c r="N927" s="3" t="s">
        <v>3930</v>
      </c>
    </row>
    <row r="928" spans="1:14" ht="42">
      <c r="A928" s="5">
        <v>922</v>
      </c>
      <c r="B928" s="5" t="str">
        <f>"201900078735"</f>
        <v>201900078735</v>
      </c>
      <c r="C928" s="5" t="str">
        <f>"143452"</f>
        <v>143452</v>
      </c>
      <c r="D928" s="5" t="s">
        <v>3931</v>
      </c>
      <c r="E928" s="5">
        <v>20537934019</v>
      </c>
      <c r="F928" s="5" t="s">
        <v>3932</v>
      </c>
      <c r="G928" s="5" t="s">
        <v>3933</v>
      </c>
      <c r="H928" s="5" t="s">
        <v>1017</v>
      </c>
      <c r="I928" s="5" t="s">
        <v>1877</v>
      </c>
      <c r="J928" s="5" t="s">
        <v>1878</v>
      </c>
      <c r="K928" s="5" t="s">
        <v>3588</v>
      </c>
      <c r="L928" s="6">
        <v>43617</v>
      </c>
      <c r="M928" s="5" t="s">
        <v>21</v>
      </c>
      <c r="N928" s="5" t="s">
        <v>3934</v>
      </c>
    </row>
    <row r="929" spans="1:14" ht="42">
      <c r="A929" s="3">
        <v>923</v>
      </c>
      <c r="B929" s="3" t="str">
        <f>"201900078735"</f>
        <v>201900078735</v>
      </c>
      <c r="C929" s="3" t="str">
        <f>"143451"</f>
        <v>143451</v>
      </c>
      <c r="D929" s="3" t="s">
        <v>3935</v>
      </c>
      <c r="E929" s="3">
        <v>10413839462</v>
      </c>
      <c r="F929" s="3" t="s">
        <v>3936</v>
      </c>
      <c r="G929" s="3" t="s">
        <v>3937</v>
      </c>
      <c r="H929" s="3" t="s">
        <v>1017</v>
      </c>
      <c r="I929" s="3" t="s">
        <v>1877</v>
      </c>
      <c r="J929" s="3" t="s">
        <v>1878</v>
      </c>
      <c r="K929" s="3" t="s">
        <v>42</v>
      </c>
      <c r="L929" s="4">
        <v>43617</v>
      </c>
      <c r="M929" s="3" t="s">
        <v>21</v>
      </c>
      <c r="N929" s="3" t="s">
        <v>3938</v>
      </c>
    </row>
    <row r="930" spans="1:14" ht="13.5">
      <c r="A930" s="5">
        <v>924</v>
      </c>
      <c r="B930" s="5" t="str">
        <f>"201900136297"</f>
        <v>201900136297</v>
      </c>
      <c r="C930" s="5" t="str">
        <f>"146077"</f>
        <v>146077</v>
      </c>
      <c r="D930" s="5" t="s">
        <v>3939</v>
      </c>
      <c r="E930" s="5">
        <v>20408662487</v>
      </c>
      <c r="F930" s="5" t="s">
        <v>3940</v>
      </c>
      <c r="G930" s="5" t="s">
        <v>1509</v>
      </c>
      <c r="H930" s="5" t="s">
        <v>85</v>
      </c>
      <c r="I930" s="5" t="s">
        <v>197</v>
      </c>
      <c r="J930" s="5" t="s">
        <v>498</v>
      </c>
      <c r="K930" s="5" t="s">
        <v>97</v>
      </c>
      <c r="L930" s="6">
        <v>43704</v>
      </c>
      <c r="M930" s="5" t="s">
        <v>21</v>
      </c>
      <c r="N930" s="5" t="s">
        <v>1518</v>
      </c>
    </row>
    <row r="931" spans="1:14" ht="13.5">
      <c r="A931" s="3">
        <v>925</v>
      </c>
      <c r="B931" s="3" t="str">
        <f>"201900078732"</f>
        <v>201900078732</v>
      </c>
      <c r="C931" s="3" t="str">
        <f>"143448"</f>
        <v>143448</v>
      </c>
      <c r="D931" s="3" t="s">
        <v>3941</v>
      </c>
      <c r="E931" s="3">
        <v>20285579814</v>
      </c>
      <c r="F931" s="3" t="s">
        <v>3942</v>
      </c>
      <c r="G931" s="3" t="s">
        <v>3943</v>
      </c>
      <c r="H931" s="3" t="s">
        <v>1620</v>
      </c>
      <c r="I931" s="3" t="s">
        <v>1620</v>
      </c>
      <c r="J931" s="3" t="s">
        <v>1620</v>
      </c>
      <c r="K931" s="3" t="s">
        <v>97</v>
      </c>
      <c r="L931" s="4">
        <v>43617</v>
      </c>
      <c r="M931" s="3" t="s">
        <v>21</v>
      </c>
      <c r="N931" s="3" t="s">
        <v>3944</v>
      </c>
    </row>
    <row r="932" spans="1:14" ht="13.5">
      <c r="A932" s="5">
        <v>926</v>
      </c>
      <c r="B932" s="5" t="str">
        <f>"201900078732"</f>
        <v>201900078732</v>
      </c>
      <c r="C932" s="5" t="str">
        <f>"143447"</f>
        <v>143447</v>
      </c>
      <c r="D932" s="5" t="s">
        <v>3945</v>
      </c>
      <c r="E932" s="5">
        <v>10225214561</v>
      </c>
      <c r="F932" s="5" t="s">
        <v>3946</v>
      </c>
      <c r="G932" s="5" t="s">
        <v>3947</v>
      </c>
      <c r="H932" s="5" t="s">
        <v>1620</v>
      </c>
      <c r="I932" s="5" t="s">
        <v>1620</v>
      </c>
      <c r="J932" s="5" t="s">
        <v>1620</v>
      </c>
      <c r="K932" s="5" t="s">
        <v>36</v>
      </c>
      <c r="L932" s="6">
        <v>43617</v>
      </c>
      <c r="M932" s="5" t="s">
        <v>21</v>
      </c>
      <c r="N932" s="5" t="s">
        <v>3946</v>
      </c>
    </row>
    <row r="933" spans="1:14" ht="13.5">
      <c r="A933" s="3">
        <v>927</v>
      </c>
      <c r="B933" s="3" t="str">
        <f>"202000030820"</f>
        <v>202000030820</v>
      </c>
      <c r="C933" s="3" t="str">
        <f>"147248"</f>
        <v>147248</v>
      </c>
      <c r="D933" s="3" t="s">
        <v>3948</v>
      </c>
      <c r="E933" s="3">
        <v>20603636539</v>
      </c>
      <c r="F933" s="3" t="s">
        <v>3949</v>
      </c>
      <c r="G933" s="3" t="s">
        <v>3950</v>
      </c>
      <c r="H933" s="3" t="s">
        <v>18</v>
      </c>
      <c r="I933" s="3" t="s">
        <v>18</v>
      </c>
      <c r="J933" s="3" t="s">
        <v>1611</v>
      </c>
      <c r="K933" s="3" t="s">
        <v>51</v>
      </c>
      <c r="L933" s="4">
        <v>43888</v>
      </c>
      <c r="M933" s="3" t="s">
        <v>21</v>
      </c>
      <c r="N933" s="3" t="s">
        <v>3951</v>
      </c>
    </row>
    <row r="934" spans="1:14" ht="125.25">
      <c r="A934" s="5">
        <v>928</v>
      </c>
      <c r="B934" s="5" t="str">
        <f>"202000135419"</f>
        <v>202000135419</v>
      </c>
      <c r="C934" s="5" t="str">
        <f>"151628"</f>
        <v>151628</v>
      </c>
      <c r="D934" s="5" t="s">
        <v>3952</v>
      </c>
      <c r="E934" s="5">
        <v>20601342309</v>
      </c>
      <c r="F934" s="5" t="s">
        <v>3953</v>
      </c>
      <c r="G934" s="5" t="s">
        <v>3954</v>
      </c>
      <c r="H934" s="5" t="s">
        <v>1017</v>
      </c>
      <c r="I934" s="5" t="s">
        <v>1017</v>
      </c>
      <c r="J934" s="5" t="s">
        <v>3916</v>
      </c>
      <c r="K934" s="5" t="s">
        <v>1398</v>
      </c>
      <c r="L934" s="6">
        <v>44106</v>
      </c>
      <c r="M934" s="5" t="s">
        <v>21</v>
      </c>
      <c r="N934" s="5" t="s">
        <v>3955</v>
      </c>
    </row>
    <row r="935" spans="1:14" ht="13.5">
      <c r="A935" s="3">
        <v>929</v>
      </c>
      <c r="B935" s="3" t="str">
        <f>"201900152666"</f>
        <v>201900152666</v>
      </c>
      <c r="C935" s="3" t="str">
        <f>"146656"</f>
        <v>146656</v>
      </c>
      <c r="D935" s="3" t="s">
        <v>3956</v>
      </c>
      <c r="E935" s="3">
        <v>20490336720</v>
      </c>
      <c r="F935" s="3" t="s">
        <v>3957</v>
      </c>
      <c r="G935" s="3" t="s">
        <v>3958</v>
      </c>
      <c r="H935" s="3" t="s">
        <v>18</v>
      </c>
      <c r="I935" s="3" t="s">
        <v>18</v>
      </c>
      <c r="J935" s="3" t="s">
        <v>2804</v>
      </c>
      <c r="K935" s="3" t="s">
        <v>36</v>
      </c>
      <c r="L935" s="4">
        <v>43733</v>
      </c>
      <c r="M935" s="3" t="s">
        <v>21</v>
      </c>
      <c r="N935" s="3" t="s">
        <v>3959</v>
      </c>
    </row>
    <row r="936" spans="1:14" ht="13.5">
      <c r="A936" s="5">
        <v>930</v>
      </c>
      <c r="B936" s="5" t="str">
        <f>"201900078803"</f>
        <v>201900078803</v>
      </c>
      <c r="C936" s="5" t="str">
        <f>"143727"</f>
        <v>143727</v>
      </c>
      <c r="D936" s="5" t="s">
        <v>3960</v>
      </c>
      <c r="E936" s="5">
        <v>20600933419</v>
      </c>
      <c r="F936" s="5" t="s">
        <v>3961</v>
      </c>
      <c r="G936" s="5" t="s">
        <v>3962</v>
      </c>
      <c r="H936" s="5" t="s">
        <v>18</v>
      </c>
      <c r="I936" s="5" t="s">
        <v>18</v>
      </c>
      <c r="J936" s="5" t="s">
        <v>1514</v>
      </c>
      <c r="K936" s="5" t="s">
        <v>51</v>
      </c>
      <c r="L936" s="6">
        <v>43617</v>
      </c>
      <c r="M936" s="5" t="s">
        <v>21</v>
      </c>
      <c r="N936" s="5" t="s">
        <v>3963</v>
      </c>
    </row>
    <row r="937" spans="1:14" ht="27.75">
      <c r="A937" s="3">
        <v>931</v>
      </c>
      <c r="B937" s="3" t="str">
        <f>"201900078803"</f>
        <v>201900078803</v>
      </c>
      <c r="C937" s="3" t="str">
        <f>"143728"</f>
        <v>143728</v>
      </c>
      <c r="D937" s="3" t="s">
        <v>3964</v>
      </c>
      <c r="E937" s="3">
        <v>20601888883</v>
      </c>
      <c r="F937" s="3" t="s">
        <v>3965</v>
      </c>
      <c r="G937" s="3" t="s">
        <v>3966</v>
      </c>
      <c r="H937" s="3" t="s">
        <v>18</v>
      </c>
      <c r="I937" s="3" t="s">
        <v>18</v>
      </c>
      <c r="J937" s="3" t="s">
        <v>1514</v>
      </c>
      <c r="K937" s="3" t="s">
        <v>20</v>
      </c>
      <c r="L937" s="4">
        <v>43617</v>
      </c>
      <c r="M937" s="3" t="s">
        <v>21</v>
      </c>
      <c r="N937" s="3" t="s">
        <v>3967</v>
      </c>
    </row>
    <row r="938" spans="1:14" ht="27.75">
      <c r="A938" s="5">
        <v>932</v>
      </c>
      <c r="B938" s="5" t="str">
        <f>"201900078803"</f>
        <v>201900078803</v>
      </c>
      <c r="C938" s="5" t="str">
        <f>"143729"</f>
        <v>143729</v>
      </c>
      <c r="D938" s="5" t="s">
        <v>3968</v>
      </c>
      <c r="E938" s="5">
        <v>20602213723</v>
      </c>
      <c r="F938" s="5" t="s">
        <v>3969</v>
      </c>
      <c r="G938" s="5" t="s">
        <v>3970</v>
      </c>
      <c r="H938" s="5" t="s">
        <v>18</v>
      </c>
      <c r="I938" s="5" t="s">
        <v>18</v>
      </c>
      <c r="J938" s="5" t="s">
        <v>1514</v>
      </c>
      <c r="K938" s="5" t="s">
        <v>51</v>
      </c>
      <c r="L938" s="6">
        <v>43617</v>
      </c>
      <c r="M938" s="5" t="s">
        <v>21</v>
      </c>
      <c r="N938" s="5" t="s">
        <v>3764</v>
      </c>
    </row>
    <row r="939" spans="1:14" ht="13.5">
      <c r="A939" s="3">
        <v>933</v>
      </c>
      <c r="B939" s="3" t="str">
        <f>"201900078803"</f>
        <v>201900078803</v>
      </c>
      <c r="C939" s="3" t="str">
        <f>"143730"</f>
        <v>143730</v>
      </c>
      <c r="D939" s="3" t="s">
        <v>3971</v>
      </c>
      <c r="E939" s="3">
        <v>10042004427</v>
      </c>
      <c r="F939" s="3" t="s">
        <v>3972</v>
      </c>
      <c r="G939" s="3" t="s">
        <v>3973</v>
      </c>
      <c r="H939" s="3" t="s">
        <v>18</v>
      </c>
      <c r="I939" s="3" t="s">
        <v>18</v>
      </c>
      <c r="J939" s="3" t="s">
        <v>242</v>
      </c>
      <c r="K939" s="3" t="s">
        <v>51</v>
      </c>
      <c r="L939" s="4">
        <v>43617</v>
      </c>
      <c r="M939" s="3" t="s">
        <v>21</v>
      </c>
      <c r="N939" s="3" t="s">
        <v>3972</v>
      </c>
    </row>
    <row r="940" spans="1:14" ht="125.25">
      <c r="A940" s="5">
        <v>934</v>
      </c>
      <c r="B940" s="5" t="str">
        <f>"202000009242"</f>
        <v>202000009242</v>
      </c>
      <c r="C940" s="5" t="str">
        <f>"148820"</f>
        <v>148820</v>
      </c>
      <c r="D940" s="5" t="s">
        <v>3974</v>
      </c>
      <c r="E940" s="5">
        <v>20434908346</v>
      </c>
      <c r="F940" s="5" t="s">
        <v>3975</v>
      </c>
      <c r="G940" s="5" t="s">
        <v>3976</v>
      </c>
      <c r="H940" s="5" t="s">
        <v>73</v>
      </c>
      <c r="I940" s="5" t="s">
        <v>74</v>
      </c>
      <c r="J940" s="5" t="s">
        <v>74</v>
      </c>
      <c r="K940" s="5" t="s">
        <v>837</v>
      </c>
      <c r="L940" s="6">
        <v>43859</v>
      </c>
      <c r="M940" s="5" t="s">
        <v>21</v>
      </c>
      <c r="N940" s="5" t="s">
        <v>3977</v>
      </c>
    </row>
    <row r="941" spans="1:14" ht="13.5">
      <c r="A941" s="3">
        <v>935</v>
      </c>
      <c r="B941" s="3" t="str">
        <f>"201900078803"</f>
        <v>201900078803</v>
      </c>
      <c r="C941" s="3" t="str">
        <f>"143735"</f>
        <v>143735</v>
      </c>
      <c r="D941" s="3" t="s">
        <v>3978</v>
      </c>
      <c r="E941" s="3">
        <v>10433210072</v>
      </c>
      <c r="F941" s="3" t="s">
        <v>3979</v>
      </c>
      <c r="G941" s="3" t="s">
        <v>3980</v>
      </c>
      <c r="H941" s="3" t="s">
        <v>18</v>
      </c>
      <c r="I941" s="3" t="s">
        <v>18</v>
      </c>
      <c r="J941" s="3" t="s">
        <v>242</v>
      </c>
      <c r="K941" s="3" t="s">
        <v>97</v>
      </c>
      <c r="L941" s="4">
        <v>43617</v>
      </c>
      <c r="M941" s="3" t="s">
        <v>21</v>
      </c>
      <c r="N941" s="3" t="s">
        <v>3979</v>
      </c>
    </row>
    <row r="942" spans="1:14" ht="27.75">
      <c r="A942" s="5">
        <v>936</v>
      </c>
      <c r="B942" s="5" t="str">
        <f>"201900078803"</f>
        <v>201900078803</v>
      </c>
      <c r="C942" s="5" t="str">
        <f>"143736"</f>
        <v>143736</v>
      </c>
      <c r="D942" s="5" t="s">
        <v>3981</v>
      </c>
      <c r="E942" s="5">
        <v>20125516140</v>
      </c>
      <c r="F942" s="5" t="s">
        <v>3982</v>
      </c>
      <c r="G942" s="5" t="s">
        <v>3983</v>
      </c>
      <c r="H942" s="5" t="s">
        <v>18</v>
      </c>
      <c r="I942" s="5" t="s">
        <v>18</v>
      </c>
      <c r="J942" s="5" t="s">
        <v>242</v>
      </c>
      <c r="K942" s="5" t="s">
        <v>3984</v>
      </c>
      <c r="L942" s="6">
        <v>43617</v>
      </c>
      <c r="M942" s="5" t="s">
        <v>21</v>
      </c>
      <c r="N942" s="5" t="s">
        <v>3985</v>
      </c>
    </row>
    <row r="943" spans="1:14" ht="13.5">
      <c r="A943" s="3">
        <v>937</v>
      </c>
      <c r="B943" s="3" t="str">
        <f>"201900078735"</f>
        <v>201900078735</v>
      </c>
      <c r="C943" s="3" t="str">
        <f>"143453"</f>
        <v>143453</v>
      </c>
      <c r="D943" s="3" t="s">
        <v>3986</v>
      </c>
      <c r="E943" s="3">
        <v>20541392417</v>
      </c>
      <c r="F943" s="3" t="s">
        <v>3987</v>
      </c>
      <c r="G943" s="3" t="s">
        <v>3988</v>
      </c>
      <c r="H943" s="3" t="s">
        <v>1017</v>
      </c>
      <c r="I943" s="3" t="s">
        <v>1877</v>
      </c>
      <c r="J943" s="3" t="s">
        <v>1878</v>
      </c>
      <c r="K943" s="3" t="s">
        <v>51</v>
      </c>
      <c r="L943" s="4">
        <v>43617</v>
      </c>
      <c r="M943" s="3" t="s">
        <v>21</v>
      </c>
      <c r="N943" s="3" t="s">
        <v>3989</v>
      </c>
    </row>
    <row r="944" spans="1:14" ht="13.5">
      <c r="A944" s="5">
        <v>938</v>
      </c>
      <c r="B944" s="5" t="str">
        <f>"201900078803"</f>
        <v>201900078803</v>
      </c>
      <c r="C944" s="5" t="str">
        <f>"143731"</f>
        <v>143731</v>
      </c>
      <c r="D944" s="5" t="s">
        <v>3990</v>
      </c>
      <c r="E944" s="5">
        <v>10084593686</v>
      </c>
      <c r="F944" s="5" t="s">
        <v>3991</v>
      </c>
      <c r="G944" s="5" t="s">
        <v>3992</v>
      </c>
      <c r="H944" s="5" t="s">
        <v>18</v>
      </c>
      <c r="I944" s="5" t="s">
        <v>18</v>
      </c>
      <c r="J944" s="5" t="s">
        <v>242</v>
      </c>
      <c r="K944" s="5" t="s">
        <v>36</v>
      </c>
      <c r="L944" s="6">
        <v>43617</v>
      </c>
      <c r="M944" s="5" t="s">
        <v>21</v>
      </c>
      <c r="N944" s="5" t="s">
        <v>3991</v>
      </c>
    </row>
    <row r="945" spans="1:14" ht="27.75">
      <c r="A945" s="3">
        <v>939</v>
      </c>
      <c r="B945" s="3" t="str">
        <f>"201900078803"</f>
        <v>201900078803</v>
      </c>
      <c r="C945" s="3" t="str">
        <f>"143732"</f>
        <v>143732</v>
      </c>
      <c r="D945" s="3" t="s">
        <v>3993</v>
      </c>
      <c r="E945" s="3">
        <v>10099411240</v>
      </c>
      <c r="F945" s="3" t="s">
        <v>3994</v>
      </c>
      <c r="G945" s="3" t="s">
        <v>3995</v>
      </c>
      <c r="H945" s="3" t="s">
        <v>18</v>
      </c>
      <c r="I945" s="3" t="s">
        <v>18</v>
      </c>
      <c r="J945" s="3" t="s">
        <v>242</v>
      </c>
      <c r="K945" s="3" t="s">
        <v>137</v>
      </c>
      <c r="L945" s="4">
        <v>43617</v>
      </c>
      <c r="M945" s="3" t="s">
        <v>21</v>
      </c>
      <c r="N945" s="3" t="s">
        <v>3996</v>
      </c>
    </row>
    <row r="946" spans="1:14" ht="42">
      <c r="A946" s="5">
        <v>940</v>
      </c>
      <c r="B946" s="5" t="str">
        <f>"201900078735"</f>
        <v>201900078735</v>
      </c>
      <c r="C946" s="5" t="str">
        <f>"143454"</f>
        <v>143454</v>
      </c>
      <c r="D946" s="5" t="s">
        <v>3997</v>
      </c>
      <c r="E946" s="5">
        <v>20555383101</v>
      </c>
      <c r="F946" s="5" t="s">
        <v>3998</v>
      </c>
      <c r="G946" s="5" t="s">
        <v>3988</v>
      </c>
      <c r="H946" s="5" t="s">
        <v>1017</v>
      </c>
      <c r="I946" s="5" t="s">
        <v>1877</v>
      </c>
      <c r="J946" s="5" t="s">
        <v>1878</v>
      </c>
      <c r="K946" s="5" t="s">
        <v>678</v>
      </c>
      <c r="L946" s="6">
        <v>43617</v>
      </c>
      <c r="M946" s="5" t="s">
        <v>21</v>
      </c>
      <c r="N946" s="5" t="s">
        <v>3999</v>
      </c>
    </row>
    <row r="947" spans="1:14" ht="13.5">
      <c r="A947" s="3">
        <v>941</v>
      </c>
      <c r="B947" s="3" t="str">
        <f>"201900078803"</f>
        <v>201900078803</v>
      </c>
      <c r="C947" s="3" t="str">
        <f>"143733"</f>
        <v>143733</v>
      </c>
      <c r="D947" s="3" t="s">
        <v>4000</v>
      </c>
      <c r="E947" s="3">
        <v>10407644366</v>
      </c>
      <c r="F947" s="3" t="s">
        <v>4001</v>
      </c>
      <c r="G947" s="3" t="s">
        <v>4002</v>
      </c>
      <c r="H947" s="3" t="s">
        <v>18</v>
      </c>
      <c r="I947" s="3" t="s">
        <v>18</v>
      </c>
      <c r="J947" s="3" t="s">
        <v>242</v>
      </c>
      <c r="K947" s="3" t="s">
        <v>1883</v>
      </c>
      <c r="L947" s="4">
        <v>43617</v>
      </c>
      <c r="M947" s="3" t="s">
        <v>21</v>
      </c>
      <c r="N947" s="3" t="s">
        <v>4003</v>
      </c>
    </row>
    <row r="948" spans="1:14" ht="13.5">
      <c r="A948" s="5">
        <v>942</v>
      </c>
      <c r="B948" s="5" t="str">
        <f>"201900078735"</f>
        <v>201900078735</v>
      </c>
      <c r="C948" s="5" t="str">
        <f>"143455"</f>
        <v>143455</v>
      </c>
      <c r="D948" s="5" t="s">
        <v>4004</v>
      </c>
      <c r="E948" s="5">
        <v>20563670399</v>
      </c>
      <c r="F948" s="5" t="s">
        <v>4005</v>
      </c>
      <c r="G948" s="5" t="s">
        <v>4006</v>
      </c>
      <c r="H948" s="5" t="s">
        <v>1017</v>
      </c>
      <c r="I948" s="5" t="s">
        <v>1877</v>
      </c>
      <c r="J948" s="5" t="s">
        <v>1878</v>
      </c>
      <c r="K948" s="5" t="s">
        <v>51</v>
      </c>
      <c r="L948" s="6">
        <v>43617</v>
      </c>
      <c r="M948" s="5" t="s">
        <v>21</v>
      </c>
      <c r="N948" s="5" t="s">
        <v>4007</v>
      </c>
    </row>
    <row r="949" spans="1:14" ht="13.5">
      <c r="A949" s="3">
        <v>943</v>
      </c>
      <c r="B949" s="3" t="str">
        <f>"201900078803"</f>
        <v>201900078803</v>
      </c>
      <c r="C949" s="3" t="str">
        <f>"143734"</f>
        <v>143734</v>
      </c>
      <c r="D949" s="3" t="s">
        <v>4008</v>
      </c>
      <c r="E949" s="3">
        <v>10412509230</v>
      </c>
      <c r="F949" s="3" t="s">
        <v>4009</v>
      </c>
      <c r="G949" s="3" t="s">
        <v>4010</v>
      </c>
      <c r="H949" s="3" t="s">
        <v>18</v>
      </c>
      <c r="I949" s="3" t="s">
        <v>18</v>
      </c>
      <c r="J949" s="3" t="s">
        <v>242</v>
      </c>
      <c r="K949" s="3" t="s">
        <v>51</v>
      </c>
      <c r="L949" s="4">
        <v>43617</v>
      </c>
      <c r="M949" s="3" t="s">
        <v>21</v>
      </c>
      <c r="N949" s="3" t="s">
        <v>4009</v>
      </c>
    </row>
    <row r="950" spans="1:14" ht="13.5">
      <c r="A950" s="5">
        <v>944</v>
      </c>
      <c r="B950" s="5" t="str">
        <f>"201900078735"</f>
        <v>201900078735</v>
      </c>
      <c r="C950" s="5" t="str">
        <f>"143456"</f>
        <v>143456</v>
      </c>
      <c r="D950" s="5" t="s">
        <v>4011</v>
      </c>
      <c r="E950" s="5">
        <v>20601384087</v>
      </c>
      <c r="F950" s="5" t="s">
        <v>4012</v>
      </c>
      <c r="G950" s="5" t="s">
        <v>3988</v>
      </c>
      <c r="H950" s="5" t="s">
        <v>1017</v>
      </c>
      <c r="I950" s="5" t="s">
        <v>1877</v>
      </c>
      <c r="J950" s="5" t="s">
        <v>1878</v>
      </c>
      <c r="K950" s="5" t="s">
        <v>51</v>
      </c>
      <c r="L950" s="6">
        <v>43617</v>
      </c>
      <c r="M950" s="5" t="s">
        <v>21</v>
      </c>
      <c r="N950" s="5" t="s">
        <v>4013</v>
      </c>
    </row>
    <row r="951" spans="1:14" ht="27.75">
      <c r="A951" s="3">
        <v>945</v>
      </c>
      <c r="B951" s="3" t="str">
        <f>"201900078789"</f>
        <v>201900078789</v>
      </c>
      <c r="C951" s="3" t="str">
        <f>"143481"</f>
        <v>143481</v>
      </c>
      <c r="D951" s="3" t="s">
        <v>4014</v>
      </c>
      <c r="E951" s="3">
        <v>20601051983</v>
      </c>
      <c r="F951" s="3" t="s">
        <v>4015</v>
      </c>
      <c r="G951" s="3" t="s">
        <v>4016</v>
      </c>
      <c r="H951" s="3" t="s">
        <v>322</v>
      </c>
      <c r="I951" s="3" t="s">
        <v>4017</v>
      </c>
      <c r="J951" s="3" t="s">
        <v>4018</v>
      </c>
      <c r="K951" s="3" t="s">
        <v>51</v>
      </c>
      <c r="L951" s="4">
        <v>43617</v>
      </c>
      <c r="M951" s="3" t="s">
        <v>21</v>
      </c>
      <c r="N951" s="3" t="s">
        <v>4019</v>
      </c>
    </row>
    <row r="952" spans="1:14" ht="27.75">
      <c r="A952" s="5">
        <v>946</v>
      </c>
      <c r="B952" s="5" t="str">
        <f>"201900078789"</f>
        <v>201900078789</v>
      </c>
      <c r="C952" s="5" t="str">
        <f>"143480"</f>
        <v>143480</v>
      </c>
      <c r="D952" s="5" t="s">
        <v>4020</v>
      </c>
      <c r="E952" s="5">
        <v>10200257630</v>
      </c>
      <c r="F952" s="5" t="s">
        <v>4021</v>
      </c>
      <c r="G952" s="5" t="s">
        <v>4022</v>
      </c>
      <c r="H952" s="5" t="s">
        <v>322</v>
      </c>
      <c r="I952" s="5" t="s">
        <v>4017</v>
      </c>
      <c r="J952" s="5" t="s">
        <v>4018</v>
      </c>
      <c r="K952" s="5" t="s">
        <v>51</v>
      </c>
      <c r="L952" s="6">
        <v>43617</v>
      </c>
      <c r="M952" s="5" t="s">
        <v>21</v>
      </c>
      <c r="N952" s="5" t="s">
        <v>4021</v>
      </c>
    </row>
    <row r="953" spans="1:14" ht="13.5">
      <c r="A953" s="3">
        <v>947</v>
      </c>
      <c r="B953" s="3" t="str">
        <f>"201900078735"</f>
        <v>201900078735</v>
      </c>
      <c r="C953" s="3" t="str">
        <f>"143479"</f>
        <v>143479</v>
      </c>
      <c r="D953" s="3" t="s">
        <v>4023</v>
      </c>
      <c r="E953" s="3">
        <v>20600000404</v>
      </c>
      <c r="F953" s="3" t="s">
        <v>4024</v>
      </c>
      <c r="G953" s="3" t="s">
        <v>4025</v>
      </c>
      <c r="H953" s="3" t="s">
        <v>1017</v>
      </c>
      <c r="I953" s="3" t="s">
        <v>1018</v>
      </c>
      <c r="J953" s="3" t="s">
        <v>4026</v>
      </c>
      <c r="K953" s="3" t="s">
        <v>36</v>
      </c>
      <c r="L953" s="4">
        <v>43617</v>
      </c>
      <c r="M953" s="3" t="s">
        <v>21</v>
      </c>
      <c r="N953" s="3" t="s">
        <v>4027</v>
      </c>
    </row>
    <row r="954" spans="1:14" ht="13.5">
      <c r="A954" s="5">
        <v>948</v>
      </c>
      <c r="B954" s="5" t="str">
        <f>"201900078735"</f>
        <v>201900078735</v>
      </c>
      <c r="C954" s="5" t="str">
        <f>"143478"</f>
        <v>143478</v>
      </c>
      <c r="D954" s="5" t="s">
        <v>4028</v>
      </c>
      <c r="E954" s="5">
        <v>20494521441</v>
      </c>
      <c r="F954" s="5" t="s">
        <v>4029</v>
      </c>
      <c r="G954" s="5" t="s">
        <v>4030</v>
      </c>
      <c r="H954" s="5" t="s">
        <v>1017</v>
      </c>
      <c r="I954" s="5" t="s">
        <v>1018</v>
      </c>
      <c r="J954" s="5" t="s">
        <v>4026</v>
      </c>
      <c r="K954" s="5" t="s">
        <v>36</v>
      </c>
      <c r="L954" s="6">
        <v>43617</v>
      </c>
      <c r="M954" s="5" t="s">
        <v>21</v>
      </c>
      <c r="N954" s="5" t="s">
        <v>4031</v>
      </c>
    </row>
    <row r="955" spans="1:14" ht="27.75">
      <c r="A955" s="3">
        <v>949</v>
      </c>
      <c r="B955" s="3" t="str">
        <f>"201900078789"</f>
        <v>201900078789</v>
      </c>
      <c r="C955" s="3" t="str">
        <f>"143485"</f>
        <v>143485</v>
      </c>
      <c r="D955" s="3" t="s">
        <v>4032</v>
      </c>
      <c r="E955" s="3">
        <v>20486812801</v>
      </c>
      <c r="F955" s="3" t="s">
        <v>4033</v>
      </c>
      <c r="G955" s="3" t="s">
        <v>4034</v>
      </c>
      <c r="H955" s="3" t="s">
        <v>322</v>
      </c>
      <c r="I955" s="3" t="s">
        <v>323</v>
      </c>
      <c r="J955" s="3" t="s">
        <v>324</v>
      </c>
      <c r="K955" s="3" t="s">
        <v>20</v>
      </c>
      <c r="L955" s="4">
        <v>43617</v>
      </c>
      <c r="M955" s="3" t="s">
        <v>21</v>
      </c>
      <c r="N955" s="3" t="s">
        <v>4035</v>
      </c>
    </row>
    <row r="956" spans="1:14" ht="13.5">
      <c r="A956" s="5">
        <v>950</v>
      </c>
      <c r="B956" s="5" t="str">
        <f>"201900143511"</f>
        <v>201900143511</v>
      </c>
      <c r="C956" s="5" t="str">
        <f>"146333"</f>
        <v>146333</v>
      </c>
      <c r="D956" s="5" t="s">
        <v>4036</v>
      </c>
      <c r="E956" s="5">
        <v>10426128727</v>
      </c>
      <c r="F956" s="5" t="s">
        <v>4037</v>
      </c>
      <c r="G956" s="5" t="s">
        <v>4038</v>
      </c>
      <c r="H956" s="5" t="s">
        <v>1830</v>
      </c>
      <c r="I956" s="5" t="s">
        <v>1831</v>
      </c>
      <c r="J956" s="5" t="s">
        <v>4039</v>
      </c>
      <c r="K956" s="5" t="s">
        <v>51</v>
      </c>
      <c r="L956" s="6">
        <v>43719</v>
      </c>
      <c r="M956" s="5" t="s">
        <v>21</v>
      </c>
      <c r="N956" s="5" t="s">
        <v>4037</v>
      </c>
    </row>
    <row r="957" spans="1:14" ht="13.5">
      <c r="A957" s="3">
        <v>951</v>
      </c>
      <c r="B957" s="3" t="str">
        <f>"201900094254"</f>
        <v>201900094254</v>
      </c>
      <c r="C957" s="3" t="str">
        <f>"143483"</f>
        <v>143483</v>
      </c>
      <c r="D957" s="3" t="s">
        <v>4040</v>
      </c>
      <c r="E957" s="3">
        <v>20120638140</v>
      </c>
      <c r="F957" s="3" t="s">
        <v>4041</v>
      </c>
      <c r="G957" s="3" t="s">
        <v>4042</v>
      </c>
      <c r="H957" s="3" t="s">
        <v>322</v>
      </c>
      <c r="I957" s="3" t="s">
        <v>323</v>
      </c>
      <c r="J957" s="3" t="s">
        <v>324</v>
      </c>
      <c r="K957" s="3" t="s">
        <v>51</v>
      </c>
      <c r="L957" s="4">
        <v>43629</v>
      </c>
      <c r="M957" s="3" t="s">
        <v>21</v>
      </c>
      <c r="N957" s="3" t="s">
        <v>4043</v>
      </c>
    </row>
    <row r="958" spans="1:14" ht="27.75">
      <c r="A958" s="5">
        <v>952</v>
      </c>
      <c r="B958" s="5" t="str">
        <f>"201900078789"</f>
        <v>201900078789</v>
      </c>
      <c r="C958" s="5" t="str">
        <f>"143482"</f>
        <v>143482</v>
      </c>
      <c r="D958" s="5" t="s">
        <v>4044</v>
      </c>
      <c r="E958" s="5">
        <v>20487137341</v>
      </c>
      <c r="F958" s="5" t="s">
        <v>4045</v>
      </c>
      <c r="G958" s="5" t="s">
        <v>4046</v>
      </c>
      <c r="H958" s="5" t="s">
        <v>322</v>
      </c>
      <c r="I958" s="5" t="s">
        <v>4047</v>
      </c>
      <c r="J958" s="5" t="s">
        <v>4047</v>
      </c>
      <c r="K958" s="5" t="s">
        <v>774</v>
      </c>
      <c r="L958" s="6">
        <v>43617</v>
      </c>
      <c r="M958" s="5" t="s">
        <v>21</v>
      </c>
      <c r="N958" s="5" t="s">
        <v>4048</v>
      </c>
    </row>
    <row r="959" spans="1:14" ht="13.5">
      <c r="A959" s="3">
        <v>953</v>
      </c>
      <c r="B959" s="3" t="str">
        <f>"201900078735"</f>
        <v>201900078735</v>
      </c>
      <c r="C959" s="3" t="str">
        <f>"143477"</f>
        <v>143477</v>
      </c>
      <c r="D959" s="3" t="s">
        <v>4049</v>
      </c>
      <c r="E959" s="3">
        <v>20604003700</v>
      </c>
      <c r="F959" s="3" t="s">
        <v>4050</v>
      </c>
      <c r="G959" s="3" t="s">
        <v>4051</v>
      </c>
      <c r="H959" s="3" t="s">
        <v>1017</v>
      </c>
      <c r="I959" s="3" t="s">
        <v>1018</v>
      </c>
      <c r="J959" s="3" t="s">
        <v>1725</v>
      </c>
      <c r="K959" s="3" t="s">
        <v>51</v>
      </c>
      <c r="L959" s="4">
        <v>43617</v>
      </c>
      <c r="M959" s="3" t="s">
        <v>21</v>
      </c>
      <c r="N959" s="3" t="s">
        <v>4052</v>
      </c>
    </row>
    <row r="960" spans="1:14" ht="42">
      <c r="A960" s="5">
        <v>954</v>
      </c>
      <c r="B960" s="5" t="str">
        <f>"202000118561"</f>
        <v>202000118561</v>
      </c>
      <c r="C960" s="5" t="str">
        <f>"151061"</f>
        <v>151061</v>
      </c>
      <c r="D960" s="5" t="s">
        <v>4053</v>
      </c>
      <c r="E960" s="5">
        <v>20408137994</v>
      </c>
      <c r="F960" s="5" t="s">
        <v>4054</v>
      </c>
      <c r="G960" s="5" t="s">
        <v>4055</v>
      </c>
      <c r="H960" s="5" t="s">
        <v>18</v>
      </c>
      <c r="I960" s="5" t="s">
        <v>1967</v>
      </c>
      <c r="J960" s="5" t="s">
        <v>1968</v>
      </c>
      <c r="K960" s="5" t="s">
        <v>718</v>
      </c>
      <c r="L960" s="6">
        <v>44088</v>
      </c>
      <c r="M960" s="5" t="s">
        <v>21</v>
      </c>
      <c r="N960" s="5" t="s">
        <v>4056</v>
      </c>
    </row>
    <row r="961" spans="1:14" ht="69.75">
      <c r="A961" s="3">
        <v>955</v>
      </c>
      <c r="B961" s="3" t="str">
        <f>"201900078789"</f>
        <v>201900078789</v>
      </c>
      <c r="C961" s="3" t="str">
        <f>"143486"</f>
        <v>143486</v>
      </c>
      <c r="D961" s="3" t="s">
        <v>4057</v>
      </c>
      <c r="E961" s="3">
        <v>20487274331</v>
      </c>
      <c r="F961" s="3" t="s">
        <v>4058</v>
      </c>
      <c r="G961" s="3" t="s">
        <v>4059</v>
      </c>
      <c r="H961" s="3" t="s">
        <v>322</v>
      </c>
      <c r="I961" s="3" t="s">
        <v>323</v>
      </c>
      <c r="J961" s="3" t="s">
        <v>324</v>
      </c>
      <c r="K961" s="3" t="s">
        <v>4060</v>
      </c>
      <c r="L961" s="4">
        <v>43617</v>
      </c>
      <c r="M961" s="3" t="s">
        <v>21</v>
      </c>
      <c r="N961" s="3" t="s">
        <v>4061</v>
      </c>
    </row>
    <row r="962" spans="1:14" ht="13.5">
      <c r="A962" s="5">
        <v>956</v>
      </c>
      <c r="B962" s="5" t="str">
        <f>"201900189196"</f>
        <v>201900189196</v>
      </c>
      <c r="C962" s="5" t="str">
        <f>"147808"</f>
        <v>147808</v>
      </c>
      <c r="D962" s="5" t="s">
        <v>4062</v>
      </c>
      <c r="E962" s="5">
        <v>20541141686</v>
      </c>
      <c r="F962" s="5" t="s">
        <v>4063</v>
      </c>
      <c r="G962" s="5" t="s">
        <v>4064</v>
      </c>
      <c r="H962" s="5" t="s">
        <v>85</v>
      </c>
      <c r="I962" s="5" t="s">
        <v>197</v>
      </c>
      <c r="J962" s="5" t="s">
        <v>498</v>
      </c>
      <c r="K962" s="5" t="s">
        <v>97</v>
      </c>
      <c r="L962" s="6">
        <v>43787</v>
      </c>
      <c r="M962" s="5" t="s">
        <v>21</v>
      </c>
      <c r="N962" s="5" t="s">
        <v>1510</v>
      </c>
    </row>
    <row r="963" spans="1:14" ht="13.5">
      <c r="A963" s="3">
        <v>957</v>
      </c>
      <c r="B963" s="3" t="str">
        <f>"201900078735"</f>
        <v>201900078735</v>
      </c>
      <c r="C963" s="3" t="str">
        <f>"143468"</f>
        <v>143468</v>
      </c>
      <c r="D963" s="3" t="s">
        <v>4065</v>
      </c>
      <c r="E963" s="3">
        <v>20491047403</v>
      </c>
      <c r="F963" s="3" t="s">
        <v>4066</v>
      </c>
      <c r="G963" s="3" t="s">
        <v>4067</v>
      </c>
      <c r="H963" s="3" t="s">
        <v>1017</v>
      </c>
      <c r="I963" s="3" t="s">
        <v>2427</v>
      </c>
      <c r="J963" s="3" t="s">
        <v>2427</v>
      </c>
      <c r="K963" s="3" t="s">
        <v>51</v>
      </c>
      <c r="L963" s="4">
        <v>43617</v>
      </c>
      <c r="M963" s="3" t="s">
        <v>21</v>
      </c>
      <c r="N963" s="3" t="s">
        <v>4068</v>
      </c>
    </row>
    <row r="964" spans="1:14" ht="42">
      <c r="A964" s="5">
        <v>958</v>
      </c>
      <c r="B964" s="5" t="str">
        <f>"202000013025"</f>
        <v>202000013025</v>
      </c>
      <c r="C964" s="5" t="str">
        <f>"143470"</f>
        <v>143470</v>
      </c>
      <c r="D964" s="5" t="s">
        <v>4069</v>
      </c>
      <c r="E964" s="5">
        <v>20571172730</v>
      </c>
      <c r="F964" s="5" t="s">
        <v>4070</v>
      </c>
      <c r="G964" s="5" t="s">
        <v>4071</v>
      </c>
      <c r="H964" s="5" t="s">
        <v>18</v>
      </c>
      <c r="I964" s="5" t="s">
        <v>1338</v>
      </c>
      <c r="J964" s="5" t="s">
        <v>4072</v>
      </c>
      <c r="K964" s="5" t="s">
        <v>2093</v>
      </c>
      <c r="L964" s="6">
        <v>43864</v>
      </c>
      <c r="M964" s="5" t="s">
        <v>21</v>
      </c>
      <c r="N964" s="5" t="s">
        <v>4073</v>
      </c>
    </row>
    <row r="965" spans="1:14" ht="27.75">
      <c r="A965" s="3">
        <v>959</v>
      </c>
      <c r="B965" s="3" t="str">
        <f>"201900078735"</f>
        <v>201900078735</v>
      </c>
      <c r="C965" s="3" t="str">
        <f>"143469"</f>
        <v>143469</v>
      </c>
      <c r="D965" s="3" t="s">
        <v>4074</v>
      </c>
      <c r="E965" s="3">
        <v>20534290251</v>
      </c>
      <c r="F965" s="3" t="s">
        <v>4075</v>
      </c>
      <c r="G965" s="3" t="s">
        <v>4076</v>
      </c>
      <c r="H965" s="3" t="s">
        <v>1017</v>
      </c>
      <c r="I965" s="3" t="s">
        <v>2427</v>
      </c>
      <c r="J965" s="3" t="s">
        <v>2427</v>
      </c>
      <c r="K965" s="3" t="s">
        <v>3463</v>
      </c>
      <c r="L965" s="4">
        <v>43617</v>
      </c>
      <c r="M965" s="3" t="s">
        <v>21</v>
      </c>
      <c r="N965" s="3" t="s">
        <v>4077</v>
      </c>
    </row>
    <row r="966" spans="1:14" ht="13.5">
      <c r="A966" s="5">
        <v>960</v>
      </c>
      <c r="B966" s="5" t="str">
        <f>"201900078735"</f>
        <v>201900078735</v>
      </c>
      <c r="C966" s="5" t="str">
        <f>"143472"</f>
        <v>143472</v>
      </c>
      <c r="D966" s="5" t="s">
        <v>4078</v>
      </c>
      <c r="E966" s="5">
        <v>20546546005</v>
      </c>
      <c r="F966" s="5" t="s">
        <v>4079</v>
      </c>
      <c r="G966" s="5" t="s">
        <v>4080</v>
      </c>
      <c r="H966" s="5" t="s">
        <v>1017</v>
      </c>
      <c r="I966" s="5" t="s">
        <v>1018</v>
      </c>
      <c r="J966" s="5" t="s">
        <v>1019</v>
      </c>
      <c r="K966" s="5" t="s">
        <v>97</v>
      </c>
      <c r="L966" s="6">
        <v>43617</v>
      </c>
      <c r="M966" s="5" t="s">
        <v>21</v>
      </c>
      <c r="N966" s="5" t="s">
        <v>4081</v>
      </c>
    </row>
    <row r="967" spans="1:14" ht="13.5">
      <c r="A967" s="3">
        <v>961</v>
      </c>
      <c r="B967" s="3" t="str">
        <f>"201900078735"</f>
        <v>201900078735</v>
      </c>
      <c r="C967" s="3" t="str">
        <f>"143471"</f>
        <v>143471</v>
      </c>
      <c r="D967" s="3" t="s">
        <v>4082</v>
      </c>
      <c r="E967" s="3">
        <v>20604378134</v>
      </c>
      <c r="F967" s="3" t="s">
        <v>4083</v>
      </c>
      <c r="G967" s="3" t="s">
        <v>4084</v>
      </c>
      <c r="H967" s="3" t="s">
        <v>1017</v>
      </c>
      <c r="I967" s="3" t="s">
        <v>2427</v>
      </c>
      <c r="J967" s="3" t="s">
        <v>2427</v>
      </c>
      <c r="K967" s="3" t="s">
        <v>68</v>
      </c>
      <c r="L967" s="4">
        <v>43617</v>
      </c>
      <c r="M967" s="3" t="s">
        <v>21</v>
      </c>
      <c r="N967" s="3" t="s">
        <v>4085</v>
      </c>
    </row>
    <row r="968" spans="1:14" ht="13.5">
      <c r="A968" s="5">
        <v>962</v>
      </c>
      <c r="B968" s="5" t="str">
        <f>"201900078735"</f>
        <v>201900078735</v>
      </c>
      <c r="C968" s="5" t="str">
        <f>"143474"</f>
        <v>143474</v>
      </c>
      <c r="D968" s="5" t="s">
        <v>4086</v>
      </c>
      <c r="E968" s="5">
        <v>20450782565</v>
      </c>
      <c r="F968" s="5" t="s">
        <v>4087</v>
      </c>
      <c r="G968" s="5" t="s">
        <v>4088</v>
      </c>
      <c r="H968" s="5" t="s">
        <v>1017</v>
      </c>
      <c r="I968" s="5" t="s">
        <v>1018</v>
      </c>
      <c r="J968" s="5" t="s">
        <v>1725</v>
      </c>
      <c r="K968" s="5" t="s">
        <v>51</v>
      </c>
      <c r="L968" s="6">
        <v>43617</v>
      </c>
      <c r="M968" s="5" t="s">
        <v>21</v>
      </c>
      <c r="N968" s="5" t="s">
        <v>4089</v>
      </c>
    </row>
    <row r="969" spans="1:14" ht="27.75">
      <c r="A969" s="3">
        <v>963</v>
      </c>
      <c r="B969" s="3" t="str">
        <f>"201900078735"</f>
        <v>201900078735</v>
      </c>
      <c r="C969" s="3" t="str">
        <f>"143473"</f>
        <v>143473</v>
      </c>
      <c r="D969" s="3" t="s">
        <v>4090</v>
      </c>
      <c r="E969" s="3">
        <v>20557110110</v>
      </c>
      <c r="F969" s="3" t="s">
        <v>4091</v>
      </c>
      <c r="G969" s="3" t="s">
        <v>4092</v>
      </c>
      <c r="H969" s="3" t="s">
        <v>1017</v>
      </c>
      <c r="I969" s="3" t="s">
        <v>1018</v>
      </c>
      <c r="J969" s="3" t="s">
        <v>4093</v>
      </c>
      <c r="K969" s="3" t="s">
        <v>20</v>
      </c>
      <c r="L969" s="4">
        <v>43617</v>
      </c>
      <c r="M969" s="3" t="s">
        <v>21</v>
      </c>
      <c r="N969" s="3" t="s">
        <v>4094</v>
      </c>
    </row>
    <row r="970" spans="1:14" ht="153.75">
      <c r="A970" s="5">
        <v>964</v>
      </c>
      <c r="B970" s="5" t="str">
        <f>"202000102019"</f>
        <v>202000102019</v>
      </c>
      <c r="C970" s="5" t="str">
        <f>"150478"</f>
        <v>150478</v>
      </c>
      <c r="D970" s="5" t="s">
        <v>4095</v>
      </c>
      <c r="E970" s="5">
        <v>10719810085</v>
      </c>
      <c r="F970" s="5" t="s">
        <v>4096</v>
      </c>
      <c r="G970" s="5" t="s">
        <v>4097</v>
      </c>
      <c r="H970" s="5" t="s">
        <v>73</v>
      </c>
      <c r="I970" s="5" t="s">
        <v>74</v>
      </c>
      <c r="J970" s="5" t="s">
        <v>3768</v>
      </c>
      <c r="K970" s="5" t="s">
        <v>75</v>
      </c>
      <c r="L970" s="6">
        <v>44063</v>
      </c>
      <c r="M970" s="5" t="s">
        <v>21</v>
      </c>
      <c r="N970" s="5" t="s">
        <v>4098</v>
      </c>
    </row>
    <row r="971" spans="1:14" ht="153.75">
      <c r="A971" s="3">
        <v>965</v>
      </c>
      <c r="B971" s="3" t="str">
        <f>"202000102086"</f>
        <v>202000102086</v>
      </c>
      <c r="C971" s="3" t="str">
        <f>"150479"</f>
        <v>150479</v>
      </c>
      <c r="D971" s="3" t="s">
        <v>4099</v>
      </c>
      <c r="E971" s="3">
        <v>20542301172</v>
      </c>
      <c r="F971" s="3" t="s">
        <v>4100</v>
      </c>
      <c r="G971" s="3" t="s">
        <v>4101</v>
      </c>
      <c r="H971" s="3" t="s">
        <v>73</v>
      </c>
      <c r="I971" s="3" t="s">
        <v>74</v>
      </c>
      <c r="J971" s="3" t="s">
        <v>74</v>
      </c>
      <c r="K971" s="3" t="s">
        <v>75</v>
      </c>
      <c r="L971" s="4">
        <v>44063</v>
      </c>
      <c r="M971" s="3" t="s">
        <v>21</v>
      </c>
      <c r="N971" s="3" t="s">
        <v>4102</v>
      </c>
    </row>
    <row r="972" spans="1:14" ht="153.75">
      <c r="A972" s="5">
        <v>966</v>
      </c>
      <c r="B972" s="5" t="str">
        <f>"202000102016"</f>
        <v>202000102016</v>
      </c>
      <c r="C972" s="5" t="str">
        <f>"150475"</f>
        <v>150475</v>
      </c>
      <c r="D972" s="5" t="s">
        <v>4103</v>
      </c>
      <c r="E972" s="5">
        <v>20600758285</v>
      </c>
      <c r="F972" s="5" t="s">
        <v>4104</v>
      </c>
      <c r="G972" s="5" t="s">
        <v>4105</v>
      </c>
      <c r="H972" s="5" t="s">
        <v>73</v>
      </c>
      <c r="I972" s="5" t="s">
        <v>74</v>
      </c>
      <c r="J972" s="5" t="s">
        <v>74</v>
      </c>
      <c r="K972" s="5" t="s">
        <v>75</v>
      </c>
      <c r="L972" s="6">
        <v>44062</v>
      </c>
      <c r="M972" s="5" t="s">
        <v>21</v>
      </c>
      <c r="N972" s="5" t="s">
        <v>4106</v>
      </c>
    </row>
    <row r="973" spans="1:14" ht="27.75">
      <c r="A973" s="3">
        <v>967</v>
      </c>
      <c r="B973" s="3" t="str">
        <f>"201900078735"</f>
        <v>201900078735</v>
      </c>
      <c r="C973" s="3" t="str">
        <f>"143475"</f>
        <v>143475</v>
      </c>
      <c r="D973" s="3" t="s">
        <v>4107</v>
      </c>
      <c r="E973" s="3">
        <v>20512993291</v>
      </c>
      <c r="F973" s="3" t="s">
        <v>4108</v>
      </c>
      <c r="G973" s="3" t="s">
        <v>4088</v>
      </c>
      <c r="H973" s="3" t="s">
        <v>1017</v>
      </c>
      <c r="I973" s="3" t="s">
        <v>1018</v>
      </c>
      <c r="J973" s="3" t="s">
        <v>1725</v>
      </c>
      <c r="K973" s="3" t="s">
        <v>3650</v>
      </c>
      <c r="L973" s="4">
        <v>43617</v>
      </c>
      <c r="M973" s="3" t="s">
        <v>21</v>
      </c>
      <c r="N973" s="3" t="s">
        <v>4109</v>
      </c>
    </row>
    <row r="974" spans="1:14" ht="13.5">
      <c r="A974" s="5">
        <v>968</v>
      </c>
      <c r="B974" s="5" t="str">
        <f>"201900078735"</f>
        <v>201900078735</v>
      </c>
      <c r="C974" s="5" t="str">
        <f>"143476"</f>
        <v>143476</v>
      </c>
      <c r="D974" s="5" t="s">
        <v>4110</v>
      </c>
      <c r="E974" s="5">
        <v>20552233604</v>
      </c>
      <c r="F974" s="5" t="s">
        <v>4111</v>
      </c>
      <c r="G974" s="5" t="s">
        <v>4051</v>
      </c>
      <c r="H974" s="5" t="s">
        <v>1017</v>
      </c>
      <c r="I974" s="5" t="s">
        <v>1018</v>
      </c>
      <c r="J974" s="5" t="s">
        <v>1725</v>
      </c>
      <c r="K974" s="5" t="s">
        <v>51</v>
      </c>
      <c r="L974" s="6">
        <v>43617</v>
      </c>
      <c r="M974" s="5" t="s">
        <v>21</v>
      </c>
      <c r="N974" s="5" t="s">
        <v>4112</v>
      </c>
    </row>
    <row r="975" spans="1:14" ht="42">
      <c r="A975" s="3">
        <v>969</v>
      </c>
      <c r="B975" s="3" t="str">
        <f>"202000118971"</f>
        <v>202000118971</v>
      </c>
      <c r="C975" s="3" t="str">
        <f>"151068"</f>
        <v>151068</v>
      </c>
      <c r="D975" s="3" t="s">
        <v>4113</v>
      </c>
      <c r="E975" s="3">
        <v>20606313056</v>
      </c>
      <c r="F975" s="3" t="s">
        <v>4114</v>
      </c>
      <c r="G975" s="3" t="s">
        <v>4115</v>
      </c>
      <c r="H975" s="3" t="s">
        <v>18</v>
      </c>
      <c r="I975" s="3" t="s">
        <v>18</v>
      </c>
      <c r="J975" s="3" t="s">
        <v>2331</v>
      </c>
      <c r="K975" s="3" t="s">
        <v>42</v>
      </c>
      <c r="L975" s="4">
        <v>44090</v>
      </c>
      <c r="M975" s="3" t="s">
        <v>21</v>
      </c>
      <c r="N975" s="3" t="s">
        <v>4116</v>
      </c>
    </row>
    <row r="976" spans="1:14" ht="42">
      <c r="A976" s="5">
        <v>970</v>
      </c>
      <c r="B976" s="5" t="str">
        <f>"202000025324"</f>
        <v>202000025324</v>
      </c>
      <c r="C976" s="5" t="str">
        <f>"149220"</f>
        <v>149220</v>
      </c>
      <c r="D976" s="5" t="s">
        <v>4117</v>
      </c>
      <c r="E976" s="5">
        <v>20605839160</v>
      </c>
      <c r="F976" s="5" t="s">
        <v>4118</v>
      </c>
      <c r="G976" s="5" t="s">
        <v>4119</v>
      </c>
      <c r="H976" s="5" t="s">
        <v>73</v>
      </c>
      <c r="I976" s="5" t="s">
        <v>74</v>
      </c>
      <c r="J976" s="5" t="s">
        <v>3768</v>
      </c>
      <c r="K976" s="5" t="s">
        <v>1100</v>
      </c>
      <c r="L976" s="6">
        <v>43882</v>
      </c>
      <c r="M976" s="5" t="s">
        <v>21</v>
      </c>
      <c r="N976" s="5" t="s">
        <v>4120</v>
      </c>
    </row>
    <row r="977" spans="1:14" ht="69.75">
      <c r="A977" s="3">
        <v>971</v>
      </c>
      <c r="B977" s="3" t="str">
        <f>"202000091251"</f>
        <v>202000091251</v>
      </c>
      <c r="C977" s="3" t="str">
        <f>"150190"</f>
        <v>150190</v>
      </c>
      <c r="D977" s="3" t="s">
        <v>4121</v>
      </c>
      <c r="E977" s="3">
        <v>20501418961</v>
      </c>
      <c r="F977" s="3" t="s">
        <v>4122</v>
      </c>
      <c r="G977" s="3" t="s">
        <v>3748</v>
      </c>
      <c r="H977" s="3" t="s">
        <v>1017</v>
      </c>
      <c r="I977" s="3" t="s">
        <v>1877</v>
      </c>
      <c r="J977" s="3" t="s">
        <v>1878</v>
      </c>
      <c r="K977" s="3" t="s">
        <v>4123</v>
      </c>
      <c r="L977" s="4">
        <v>44039</v>
      </c>
      <c r="M977" s="3" t="s">
        <v>21</v>
      </c>
      <c r="N977" s="3" t="s">
        <v>4124</v>
      </c>
    </row>
    <row r="978" spans="1:14" ht="153.75">
      <c r="A978" s="5">
        <v>972</v>
      </c>
      <c r="B978" s="5" t="str">
        <f>"202000079244"</f>
        <v>202000079244</v>
      </c>
      <c r="C978" s="5" t="str">
        <f>"149928"</f>
        <v>149928</v>
      </c>
      <c r="D978" s="5" t="s">
        <v>4125</v>
      </c>
      <c r="E978" s="5">
        <v>20600828925</v>
      </c>
      <c r="F978" s="5" t="s">
        <v>4126</v>
      </c>
      <c r="G978" s="5" t="s">
        <v>4127</v>
      </c>
      <c r="H978" s="5" t="s">
        <v>73</v>
      </c>
      <c r="I978" s="5" t="s">
        <v>4128</v>
      </c>
      <c r="J978" s="5" t="s">
        <v>4129</v>
      </c>
      <c r="K978" s="5" t="s">
        <v>75</v>
      </c>
      <c r="L978" s="6">
        <v>44024</v>
      </c>
      <c r="M978" s="5" t="s">
        <v>21</v>
      </c>
      <c r="N978" s="5" t="s">
        <v>4130</v>
      </c>
    </row>
    <row r="979" spans="1:14" ht="83.25">
      <c r="A979" s="3">
        <v>973</v>
      </c>
      <c r="B979" s="3" t="str">
        <f>"202000025362"</f>
        <v>202000025362</v>
      </c>
      <c r="C979" s="3" t="str">
        <f>"148939"</f>
        <v>148939</v>
      </c>
      <c r="D979" s="3" t="s">
        <v>4131</v>
      </c>
      <c r="E979" s="3">
        <v>10222968530</v>
      </c>
      <c r="F979" s="3" t="s">
        <v>4132</v>
      </c>
      <c r="G979" s="3" t="s">
        <v>4133</v>
      </c>
      <c r="H979" s="3" t="s">
        <v>18</v>
      </c>
      <c r="I979" s="3" t="s">
        <v>18</v>
      </c>
      <c r="J979" s="3" t="s">
        <v>3351</v>
      </c>
      <c r="K979" s="3" t="s">
        <v>4134</v>
      </c>
      <c r="L979" s="4">
        <v>43875</v>
      </c>
      <c r="M979" s="3" t="s">
        <v>21</v>
      </c>
      <c r="N979" s="3" t="s">
        <v>4132</v>
      </c>
    </row>
    <row r="980" spans="1:14" ht="27.75">
      <c r="A980" s="5">
        <v>974</v>
      </c>
      <c r="B980" s="5" t="str">
        <f>"202000109361"</f>
        <v>202000109361</v>
      </c>
      <c r="C980" s="5" t="str">
        <f>"150795"</f>
        <v>150795</v>
      </c>
      <c r="D980" s="5" t="s">
        <v>4135</v>
      </c>
      <c r="E980" s="5">
        <v>20573238339</v>
      </c>
      <c r="F980" s="5" t="s">
        <v>4136</v>
      </c>
      <c r="G980" s="5" t="s">
        <v>4137</v>
      </c>
      <c r="H980" s="5" t="s">
        <v>18</v>
      </c>
      <c r="I980" s="5" t="s">
        <v>18</v>
      </c>
      <c r="J980" s="5" t="s">
        <v>3136</v>
      </c>
      <c r="K980" s="5" t="s">
        <v>31</v>
      </c>
      <c r="L980" s="6">
        <v>44076</v>
      </c>
      <c r="M980" s="5" t="s">
        <v>21</v>
      </c>
      <c r="N980" s="5" t="s">
        <v>4138</v>
      </c>
    </row>
    <row r="981" spans="1:14" ht="27.75">
      <c r="A981" s="3">
        <v>975</v>
      </c>
      <c r="B981" s="3" t="str">
        <f>"202000078573"</f>
        <v>202000078573</v>
      </c>
      <c r="C981" s="3" t="str">
        <f>"149923"</f>
        <v>149923</v>
      </c>
      <c r="D981" s="3" t="s">
        <v>4139</v>
      </c>
      <c r="E981" s="3">
        <v>20560000112</v>
      </c>
      <c r="F981" s="3" t="s">
        <v>4140</v>
      </c>
      <c r="G981" s="3" t="s">
        <v>4141</v>
      </c>
      <c r="H981" s="3" t="s">
        <v>73</v>
      </c>
      <c r="I981" s="3" t="s">
        <v>74</v>
      </c>
      <c r="J981" s="3" t="s">
        <v>74</v>
      </c>
      <c r="K981" s="3" t="s">
        <v>36</v>
      </c>
      <c r="L981" s="4">
        <v>44024</v>
      </c>
      <c r="M981" s="3" t="s">
        <v>21</v>
      </c>
      <c r="N981" s="3" t="s">
        <v>4142</v>
      </c>
    </row>
    <row r="982" spans="1:14" ht="13.5">
      <c r="A982" s="5">
        <v>976</v>
      </c>
      <c r="B982" s="5" t="str">
        <f>"201900078652"</f>
        <v>201900078652</v>
      </c>
      <c r="C982" s="5" t="str">
        <f>"143245"</f>
        <v>143245</v>
      </c>
      <c r="D982" s="5" t="s">
        <v>4143</v>
      </c>
      <c r="E982" s="5">
        <v>20445414167</v>
      </c>
      <c r="F982" s="5" t="s">
        <v>4144</v>
      </c>
      <c r="G982" s="5" t="s">
        <v>4145</v>
      </c>
      <c r="H982" s="5" t="s">
        <v>1645</v>
      </c>
      <c r="I982" s="5" t="s">
        <v>2279</v>
      </c>
      <c r="J982" s="5" t="s">
        <v>2280</v>
      </c>
      <c r="K982" s="5" t="s">
        <v>97</v>
      </c>
      <c r="L982" s="6">
        <v>43617</v>
      </c>
      <c r="M982" s="5" t="s">
        <v>21</v>
      </c>
      <c r="N982" s="5" t="s">
        <v>4146</v>
      </c>
    </row>
    <row r="983" spans="1:14" ht="13.5">
      <c r="A983" s="3">
        <v>977</v>
      </c>
      <c r="B983" s="3" t="str">
        <f>"201900078652"</f>
        <v>201900078652</v>
      </c>
      <c r="C983" s="3" t="str">
        <f>"143244"</f>
        <v>143244</v>
      </c>
      <c r="D983" s="3" t="s">
        <v>4147</v>
      </c>
      <c r="E983" s="3">
        <v>20601290538</v>
      </c>
      <c r="F983" s="3" t="s">
        <v>4148</v>
      </c>
      <c r="G983" s="3" t="s">
        <v>4149</v>
      </c>
      <c r="H983" s="3" t="s">
        <v>1645</v>
      </c>
      <c r="I983" s="3" t="s">
        <v>2279</v>
      </c>
      <c r="J983" s="3" t="s">
        <v>2599</v>
      </c>
      <c r="K983" s="3" t="s">
        <v>51</v>
      </c>
      <c r="L983" s="4">
        <v>43617</v>
      </c>
      <c r="M983" s="3" t="s">
        <v>21</v>
      </c>
      <c r="N983" s="3" t="s">
        <v>4150</v>
      </c>
    </row>
    <row r="984" spans="1:14" ht="83.25">
      <c r="A984" s="5">
        <v>978</v>
      </c>
      <c r="B984" s="5" t="str">
        <f>"202000027131"</f>
        <v>202000027131</v>
      </c>
      <c r="C984" s="5" t="str">
        <f>"149230"</f>
        <v>149230</v>
      </c>
      <c r="D984" s="5" t="s">
        <v>4151</v>
      </c>
      <c r="E984" s="5">
        <v>20529876522</v>
      </c>
      <c r="F984" s="5" t="s">
        <v>4152</v>
      </c>
      <c r="G984" s="5" t="s">
        <v>4153</v>
      </c>
      <c r="H984" s="5" t="s">
        <v>274</v>
      </c>
      <c r="I984" s="5" t="s">
        <v>414</v>
      </c>
      <c r="J984" s="5" t="s">
        <v>415</v>
      </c>
      <c r="K984" s="5" t="s">
        <v>4154</v>
      </c>
      <c r="L984" s="6">
        <v>43882</v>
      </c>
      <c r="M984" s="5" t="s">
        <v>21</v>
      </c>
      <c r="N984" s="5" t="s">
        <v>4155</v>
      </c>
    </row>
    <row r="985" spans="1:14" ht="153.75">
      <c r="A985" s="3">
        <v>979</v>
      </c>
      <c r="B985" s="3" t="str">
        <f>"201900200683"</f>
        <v>201900200683</v>
      </c>
      <c r="C985" s="3" t="str">
        <f>"143246"</f>
        <v>143246</v>
      </c>
      <c r="D985" s="3" t="s">
        <v>4156</v>
      </c>
      <c r="E985" s="3">
        <v>20531879512</v>
      </c>
      <c r="F985" s="3" t="s">
        <v>4157</v>
      </c>
      <c r="G985" s="3" t="s">
        <v>4158</v>
      </c>
      <c r="H985" s="3" t="s">
        <v>1645</v>
      </c>
      <c r="I985" s="3" t="s">
        <v>2279</v>
      </c>
      <c r="J985" s="3" t="s">
        <v>2599</v>
      </c>
      <c r="K985" s="3" t="s">
        <v>4159</v>
      </c>
      <c r="L985" s="4">
        <v>43809</v>
      </c>
      <c r="M985" s="3" t="s">
        <v>21</v>
      </c>
      <c r="N985" s="3" t="s">
        <v>4160</v>
      </c>
    </row>
    <row r="986" spans="1:14" ht="27.75">
      <c r="A986" s="5">
        <v>980</v>
      </c>
      <c r="B986" s="5" t="str">
        <f>"201900207912"</f>
        <v>201900207912</v>
      </c>
      <c r="C986" s="5" t="str">
        <f>"143237"</f>
        <v>143237</v>
      </c>
      <c r="D986" s="5" t="s">
        <v>4161</v>
      </c>
      <c r="E986" s="5">
        <v>20445499561</v>
      </c>
      <c r="F986" s="5" t="s">
        <v>4162</v>
      </c>
      <c r="G986" s="5" t="s">
        <v>4163</v>
      </c>
      <c r="H986" s="5" t="s">
        <v>1645</v>
      </c>
      <c r="I986" s="5" t="s">
        <v>2279</v>
      </c>
      <c r="J986" s="5" t="s">
        <v>2599</v>
      </c>
      <c r="K986" s="5" t="s">
        <v>443</v>
      </c>
      <c r="L986" s="6">
        <v>43819</v>
      </c>
      <c r="M986" s="5" t="s">
        <v>21</v>
      </c>
      <c r="N986" s="5" t="s">
        <v>4164</v>
      </c>
    </row>
    <row r="987" spans="1:14" ht="13.5">
      <c r="A987" s="3">
        <v>981</v>
      </c>
      <c r="B987" s="3" t="str">
        <f>"201900078652"</f>
        <v>201900078652</v>
      </c>
      <c r="C987" s="3" t="str">
        <f>"143238"</f>
        <v>143238</v>
      </c>
      <c r="D987" s="3" t="s">
        <v>4165</v>
      </c>
      <c r="E987" s="3">
        <v>20445554929</v>
      </c>
      <c r="F987" s="3" t="s">
        <v>4166</v>
      </c>
      <c r="G987" s="3" t="s">
        <v>4167</v>
      </c>
      <c r="H987" s="3" t="s">
        <v>1645</v>
      </c>
      <c r="I987" s="3" t="s">
        <v>2279</v>
      </c>
      <c r="J987" s="3" t="s">
        <v>2599</v>
      </c>
      <c r="K987" s="3" t="s">
        <v>51</v>
      </c>
      <c r="L987" s="4">
        <v>43617</v>
      </c>
      <c r="M987" s="3" t="s">
        <v>21</v>
      </c>
      <c r="N987" s="3" t="s">
        <v>4168</v>
      </c>
    </row>
    <row r="988" spans="1:14" ht="125.25">
      <c r="A988" s="5">
        <v>982</v>
      </c>
      <c r="B988" s="5" t="str">
        <f>"202000013088"</f>
        <v>202000013088</v>
      </c>
      <c r="C988" s="5" t="str">
        <f>"148924"</f>
        <v>148924</v>
      </c>
      <c r="D988" s="5" t="s">
        <v>4169</v>
      </c>
      <c r="E988" s="5">
        <v>20523147987</v>
      </c>
      <c r="F988" s="5" t="s">
        <v>4170</v>
      </c>
      <c r="G988" s="5" t="s">
        <v>4171</v>
      </c>
      <c r="H988" s="5" t="s">
        <v>73</v>
      </c>
      <c r="I988" s="5" t="s">
        <v>74</v>
      </c>
      <c r="J988" s="5" t="s">
        <v>74</v>
      </c>
      <c r="K988" s="5" t="s">
        <v>837</v>
      </c>
      <c r="L988" s="6">
        <v>43864</v>
      </c>
      <c r="M988" s="5" t="s">
        <v>21</v>
      </c>
      <c r="N988" s="5" t="s">
        <v>4013</v>
      </c>
    </row>
    <row r="989" spans="1:14" ht="27.75">
      <c r="A989" s="3">
        <v>983</v>
      </c>
      <c r="B989" s="3" t="str">
        <f>"201900078652"</f>
        <v>201900078652</v>
      </c>
      <c r="C989" s="3" t="str">
        <f>"143239"</f>
        <v>143239</v>
      </c>
      <c r="D989" s="3" t="s">
        <v>4172</v>
      </c>
      <c r="E989" s="3">
        <v>20531869126</v>
      </c>
      <c r="F989" s="3" t="s">
        <v>4173</v>
      </c>
      <c r="G989" s="3" t="s">
        <v>4174</v>
      </c>
      <c r="H989" s="3" t="s">
        <v>1645</v>
      </c>
      <c r="I989" s="3" t="s">
        <v>2279</v>
      </c>
      <c r="J989" s="3" t="s">
        <v>2599</v>
      </c>
      <c r="K989" s="3" t="s">
        <v>1662</v>
      </c>
      <c r="L989" s="4">
        <v>43617</v>
      </c>
      <c r="M989" s="3" t="s">
        <v>21</v>
      </c>
      <c r="N989" s="3" t="s">
        <v>4175</v>
      </c>
    </row>
    <row r="990" spans="1:14" ht="125.25">
      <c r="A990" s="5">
        <v>984</v>
      </c>
      <c r="B990" s="5" t="str">
        <f>"202000013093"</f>
        <v>202000013093</v>
      </c>
      <c r="C990" s="5" t="str">
        <f>"148923"</f>
        <v>148923</v>
      </c>
      <c r="D990" s="5" t="s">
        <v>4176</v>
      </c>
      <c r="E990" s="5">
        <v>20601384087</v>
      </c>
      <c r="F990" s="5" t="s">
        <v>4012</v>
      </c>
      <c r="G990" s="5" t="s">
        <v>4177</v>
      </c>
      <c r="H990" s="5" t="s">
        <v>73</v>
      </c>
      <c r="I990" s="5" t="s">
        <v>74</v>
      </c>
      <c r="J990" s="5" t="s">
        <v>74</v>
      </c>
      <c r="K990" s="5" t="s">
        <v>837</v>
      </c>
      <c r="L990" s="6">
        <v>43859</v>
      </c>
      <c r="M990" s="5" t="s">
        <v>21</v>
      </c>
      <c r="N990" s="5" t="s">
        <v>4013</v>
      </c>
    </row>
    <row r="991" spans="1:14" ht="13.5">
      <c r="A991" s="3">
        <v>985</v>
      </c>
      <c r="B991" s="3" t="str">
        <f>"201900078652"</f>
        <v>201900078652</v>
      </c>
      <c r="C991" s="3" t="str">
        <f>"143240"</f>
        <v>143240</v>
      </c>
      <c r="D991" s="3" t="s">
        <v>4178</v>
      </c>
      <c r="E991" s="3">
        <v>20532080887</v>
      </c>
      <c r="F991" s="3" t="s">
        <v>4179</v>
      </c>
      <c r="G991" s="3" t="s">
        <v>4180</v>
      </c>
      <c r="H991" s="3" t="s">
        <v>1645</v>
      </c>
      <c r="I991" s="3" t="s">
        <v>2279</v>
      </c>
      <c r="J991" s="3" t="s">
        <v>2599</v>
      </c>
      <c r="K991" s="3" t="s">
        <v>97</v>
      </c>
      <c r="L991" s="4">
        <v>43617</v>
      </c>
      <c r="M991" s="3" t="s">
        <v>21</v>
      </c>
      <c r="N991" s="3" t="s">
        <v>4181</v>
      </c>
    </row>
    <row r="992" spans="1:14" ht="13.5">
      <c r="A992" s="5">
        <v>986</v>
      </c>
      <c r="B992" s="5" t="str">
        <f>"201900078652"</f>
        <v>201900078652</v>
      </c>
      <c r="C992" s="5" t="str">
        <f>"143241"</f>
        <v>143241</v>
      </c>
      <c r="D992" s="5" t="s">
        <v>4182</v>
      </c>
      <c r="E992" s="5">
        <v>20569278679</v>
      </c>
      <c r="F992" s="5" t="s">
        <v>4183</v>
      </c>
      <c r="G992" s="5" t="s">
        <v>4184</v>
      </c>
      <c r="H992" s="5" t="s">
        <v>1645</v>
      </c>
      <c r="I992" s="5" t="s">
        <v>2279</v>
      </c>
      <c r="J992" s="5" t="s">
        <v>2599</v>
      </c>
      <c r="K992" s="5" t="s">
        <v>51</v>
      </c>
      <c r="L992" s="6">
        <v>43617</v>
      </c>
      <c r="M992" s="5" t="s">
        <v>21</v>
      </c>
      <c r="N992" s="5" t="s">
        <v>4185</v>
      </c>
    </row>
    <row r="993" spans="1:14" ht="13.5">
      <c r="A993" s="3">
        <v>987</v>
      </c>
      <c r="B993" s="3" t="str">
        <f>"201900078652"</f>
        <v>201900078652</v>
      </c>
      <c r="C993" s="3" t="str">
        <f>"143242"</f>
        <v>143242</v>
      </c>
      <c r="D993" s="3" t="s">
        <v>4186</v>
      </c>
      <c r="E993" s="3">
        <v>20569309906</v>
      </c>
      <c r="F993" s="3" t="s">
        <v>4187</v>
      </c>
      <c r="G993" s="3" t="s">
        <v>4188</v>
      </c>
      <c r="H993" s="3" t="s">
        <v>1645</v>
      </c>
      <c r="I993" s="3" t="s">
        <v>2279</v>
      </c>
      <c r="J993" s="3" t="s">
        <v>2599</v>
      </c>
      <c r="K993" s="3" t="s">
        <v>97</v>
      </c>
      <c r="L993" s="4">
        <v>43617</v>
      </c>
      <c r="M993" s="3" t="s">
        <v>21</v>
      </c>
      <c r="N993" s="3" t="s">
        <v>4189</v>
      </c>
    </row>
    <row r="994" spans="1:14" ht="13.5">
      <c r="A994" s="5">
        <v>988</v>
      </c>
      <c r="B994" s="5" t="str">
        <f>"202000100609"</f>
        <v>202000100609</v>
      </c>
      <c r="C994" s="5" t="str">
        <f>"150468"</f>
        <v>150468</v>
      </c>
      <c r="D994" s="5" t="s">
        <v>4190</v>
      </c>
      <c r="E994" s="5">
        <v>20605905537</v>
      </c>
      <c r="F994" s="5" t="s">
        <v>4191</v>
      </c>
      <c r="G994" s="5" t="s">
        <v>4192</v>
      </c>
      <c r="H994" s="5" t="s">
        <v>18</v>
      </c>
      <c r="I994" s="5" t="s">
        <v>1338</v>
      </c>
      <c r="J994" s="5" t="s">
        <v>4193</v>
      </c>
      <c r="K994" s="5" t="s">
        <v>51</v>
      </c>
      <c r="L994" s="6">
        <v>44057</v>
      </c>
      <c r="M994" s="5" t="s">
        <v>21</v>
      </c>
      <c r="N994" s="5" t="s">
        <v>4194</v>
      </c>
    </row>
    <row r="995" spans="1:14" ht="13.5">
      <c r="A995" s="3">
        <v>989</v>
      </c>
      <c r="B995" s="3" t="str">
        <f>"201900078652"</f>
        <v>201900078652</v>
      </c>
      <c r="C995" s="3" t="str">
        <f>"143243"</f>
        <v>143243</v>
      </c>
      <c r="D995" s="3" t="s">
        <v>4195</v>
      </c>
      <c r="E995" s="3">
        <v>20601159016</v>
      </c>
      <c r="F995" s="3" t="s">
        <v>4196</v>
      </c>
      <c r="G995" s="3" t="s">
        <v>4197</v>
      </c>
      <c r="H995" s="3" t="s">
        <v>1645</v>
      </c>
      <c r="I995" s="3" t="s">
        <v>2279</v>
      </c>
      <c r="J995" s="3" t="s">
        <v>2599</v>
      </c>
      <c r="K995" s="3" t="s">
        <v>51</v>
      </c>
      <c r="L995" s="4">
        <v>43617</v>
      </c>
      <c r="M995" s="3" t="s">
        <v>21</v>
      </c>
      <c r="N995" s="3" t="s">
        <v>4198</v>
      </c>
    </row>
    <row r="996" spans="1:14" ht="42">
      <c r="A996" s="5">
        <v>990</v>
      </c>
      <c r="B996" s="5" t="str">
        <f>"201900186783"</f>
        <v>201900186783</v>
      </c>
      <c r="C996" s="5" t="str">
        <f>"147738"</f>
        <v>147738</v>
      </c>
      <c r="D996" s="5" t="s">
        <v>4199</v>
      </c>
      <c r="E996" s="5">
        <v>20605114254</v>
      </c>
      <c r="F996" s="5" t="s">
        <v>4200</v>
      </c>
      <c r="G996" s="5" t="s">
        <v>4201</v>
      </c>
      <c r="H996" s="5" t="s">
        <v>18</v>
      </c>
      <c r="I996" s="5" t="s">
        <v>18</v>
      </c>
      <c r="J996" s="5" t="s">
        <v>1611</v>
      </c>
      <c r="K996" s="5" t="s">
        <v>42</v>
      </c>
      <c r="L996" s="6">
        <v>43784</v>
      </c>
      <c r="M996" s="5" t="s">
        <v>21</v>
      </c>
      <c r="N996" s="5" t="s">
        <v>4202</v>
      </c>
    </row>
    <row r="997" spans="1:14" ht="69.75">
      <c r="A997" s="3">
        <v>991</v>
      </c>
      <c r="B997" s="3" t="str">
        <f>"202000071539"</f>
        <v>202000071539</v>
      </c>
      <c r="C997" s="3" t="str">
        <f>"149763"</f>
        <v>149763</v>
      </c>
      <c r="D997" s="3" t="s">
        <v>4203</v>
      </c>
      <c r="E997" s="3">
        <v>20606057190</v>
      </c>
      <c r="F997" s="3" t="s">
        <v>4204</v>
      </c>
      <c r="G997" s="3" t="s">
        <v>4205</v>
      </c>
      <c r="H997" s="3" t="s">
        <v>73</v>
      </c>
      <c r="I997" s="3" t="s">
        <v>74</v>
      </c>
      <c r="J997" s="3" t="s">
        <v>74</v>
      </c>
      <c r="K997" s="3" t="s">
        <v>4206</v>
      </c>
      <c r="L997" s="4">
        <v>44007</v>
      </c>
      <c r="M997" s="3" t="s">
        <v>21</v>
      </c>
      <c r="N997" s="3" t="s">
        <v>4207</v>
      </c>
    </row>
    <row r="998" spans="1:14" ht="13.5">
      <c r="A998" s="5">
        <v>992</v>
      </c>
      <c r="B998" s="5" t="str">
        <f>"201900078803"</f>
        <v>201900078803</v>
      </c>
      <c r="C998" s="5" t="str">
        <f>"143637"</f>
        <v>143637</v>
      </c>
      <c r="D998" s="5" t="s">
        <v>4208</v>
      </c>
      <c r="E998" s="5">
        <v>10152148548</v>
      </c>
      <c r="F998" s="5" t="s">
        <v>4209</v>
      </c>
      <c r="G998" s="5" t="s">
        <v>4210</v>
      </c>
      <c r="H998" s="5" t="s">
        <v>18</v>
      </c>
      <c r="I998" s="5" t="s">
        <v>1967</v>
      </c>
      <c r="J998" s="5" t="s">
        <v>1968</v>
      </c>
      <c r="K998" s="5" t="s">
        <v>36</v>
      </c>
      <c r="L998" s="6">
        <v>43617</v>
      </c>
      <c r="M998" s="5" t="s">
        <v>21</v>
      </c>
      <c r="N998" s="5" t="s">
        <v>4209</v>
      </c>
    </row>
    <row r="999" spans="1:14" ht="153.75">
      <c r="A999" s="3">
        <v>993</v>
      </c>
      <c r="B999" s="3" t="str">
        <f>"202000027450"</f>
        <v>202000027450</v>
      </c>
      <c r="C999" s="3" t="str">
        <f>"149249"</f>
        <v>149249</v>
      </c>
      <c r="D999" s="3" t="s">
        <v>4211</v>
      </c>
      <c r="E999" s="3">
        <v>20605806300</v>
      </c>
      <c r="F999" s="3" t="s">
        <v>4212</v>
      </c>
      <c r="G999" s="3" t="s">
        <v>4213</v>
      </c>
      <c r="H999" s="3" t="s">
        <v>18</v>
      </c>
      <c r="I999" s="3" t="s">
        <v>18</v>
      </c>
      <c r="J999" s="3" t="s">
        <v>3886</v>
      </c>
      <c r="K999" s="3" t="s">
        <v>75</v>
      </c>
      <c r="L999" s="4">
        <v>43888</v>
      </c>
      <c r="M999" s="3" t="s">
        <v>21</v>
      </c>
      <c r="N999" s="3" t="s">
        <v>4214</v>
      </c>
    </row>
    <row r="1000" spans="1:14" ht="27.75">
      <c r="A1000" s="5">
        <v>994</v>
      </c>
      <c r="B1000" s="5" t="str">
        <f>"201900078732"</f>
        <v>201900078732</v>
      </c>
      <c r="C1000" s="5" t="str">
        <f>"143446"</f>
        <v>143446</v>
      </c>
      <c r="D1000" s="5" t="s">
        <v>4215</v>
      </c>
      <c r="E1000" s="5">
        <v>20489605962</v>
      </c>
      <c r="F1000" s="5" t="s">
        <v>4216</v>
      </c>
      <c r="G1000" s="5" t="s">
        <v>4217</v>
      </c>
      <c r="H1000" s="5" t="s">
        <v>1620</v>
      </c>
      <c r="I1000" s="5" t="s">
        <v>1620</v>
      </c>
      <c r="J1000" s="5" t="s">
        <v>4218</v>
      </c>
      <c r="K1000" s="5" t="s">
        <v>51</v>
      </c>
      <c r="L1000" s="6">
        <v>43617</v>
      </c>
      <c r="M1000" s="5" t="s">
        <v>21</v>
      </c>
      <c r="N1000" s="5" t="s">
        <v>4219</v>
      </c>
    </row>
    <row r="1001" spans="1:14" ht="13.5">
      <c r="A1001" s="3">
        <v>995</v>
      </c>
      <c r="B1001" s="3" t="str">
        <f>"201900078803"</f>
        <v>201900078803</v>
      </c>
      <c r="C1001" s="3" t="str">
        <f>"143639"</f>
        <v>143639</v>
      </c>
      <c r="D1001" s="3" t="s">
        <v>4220</v>
      </c>
      <c r="E1001" s="3">
        <v>20361889011</v>
      </c>
      <c r="F1001" s="3" t="s">
        <v>4221</v>
      </c>
      <c r="G1001" s="3" t="s">
        <v>4222</v>
      </c>
      <c r="H1001" s="3" t="s">
        <v>18</v>
      </c>
      <c r="I1001" s="3" t="s">
        <v>1967</v>
      </c>
      <c r="J1001" s="3" t="s">
        <v>1967</v>
      </c>
      <c r="K1001" s="3" t="s">
        <v>36</v>
      </c>
      <c r="L1001" s="4">
        <v>43617</v>
      </c>
      <c r="M1001" s="3" t="s">
        <v>21</v>
      </c>
      <c r="N1001" s="3" t="s">
        <v>4223</v>
      </c>
    </row>
    <row r="1002" spans="1:14" ht="13.5">
      <c r="A1002" s="5">
        <v>996</v>
      </c>
      <c r="B1002" s="5" t="str">
        <f>"201900078803"</f>
        <v>201900078803</v>
      </c>
      <c r="C1002" s="5" t="str">
        <f>"143638"</f>
        <v>143638</v>
      </c>
      <c r="D1002" s="5" t="s">
        <v>4224</v>
      </c>
      <c r="E1002" s="5">
        <v>20600652932</v>
      </c>
      <c r="F1002" s="5" t="s">
        <v>4225</v>
      </c>
      <c r="G1002" s="5" t="s">
        <v>4226</v>
      </c>
      <c r="H1002" s="5" t="s">
        <v>18</v>
      </c>
      <c r="I1002" s="5" t="s">
        <v>1967</v>
      </c>
      <c r="J1002" s="5" t="s">
        <v>1968</v>
      </c>
      <c r="K1002" s="5" t="s">
        <v>51</v>
      </c>
      <c r="L1002" s="6">
        <v>43617</v>
      </c>
      <c r="M1002" s="5" t="s">
        <v>21</v>
      </c>
      <c r="N1002" s="5" t="s">
        <v>4227</v>
      </c>
    </row>
    <row r="1003" spans="1:14" ht="69.75">
      <c r="A1003" s="3">
        <v>997</v>
      </c>
      <c r="B1003" s="3" t="str">
        <f>"202000116611"</f>
        <v>202000116611</v>
      </c>
      <c r="C1003" s="3" t="str">
        <f>"150992"</f>
        <v>150992</v>
      </c>
      <c r="D1003" s="3" t="s">
        <v>4228</v>
      </c>
      <c r="E1003" s="3">
        <v>20167700277</v>
      </c>
      <c r="F1003" s="3" t="s">
        <v>4229</v>
      </c>
      <c r="G1003" s="3" t="s">
        <v>4230</v>
      </c>
      <c r="H1003" s="3" t="s">
        <v>274</v>
      </c>
      <c r="I1003" s="3" t="s">
        <v>414</v>
      </c>
      <c r="J1003" s="3" t="s">
        <v>415</v>
      </c>
      <c r="K1003" s="3" t="s">
        <v>1317</v>
      </c>
      <c r="L1003" s="4">
        <v>44078</v>
      </c>
      <c r="M1003" s="3" t="s">
        <v>21</v>
      </c>
      <c r="N1003" s="3" t="s">
        <v>4231</v>
      </c>
    </row>
    <row r="1004" spans="1:14" ht="13.5">
      <c r="A1004" s="5">
        <v>998</v>
      </c>
      <c r="B1004" s="5" t="str">
        <f>"201900078732"</f>
        <v>201900078732</v>
      </c>
      <c r="C1004" s="5" t="str">
        <f>"143443"</f>
        <v>143443</v>
      </c>
      <c r="D1004" s="5" t="s">
        <v>4232</v>
      </c>
      <c r="E1004" s="5">
        <v>20542531330</v>
      </c>
      <c r="F1004" s="5" t="s">
        <v>4233</v>
      </c>
      <c r="G1004" s="5" t="s">
        <v>4234</v>
      </c>
      <c r="H1004" s="5" t="s">
        <v>1620</v>
      </c>
      <c r="I1004" s="5" t="s">
        <v>4235</v>
      </c>
      <c r="J1004" s="5" t="s">
        <v>4236</v>
      </c>
      <c r="K1004" s="5" t="s">
        <v>51</v>
      </c>
      <c r="L1004" s="6">
        <v>43617</v>
      </c>
      <c r="M1004" s="5" t="s">
        <v>21</v>
      </c>
      <c r="N1004" s="5" t="s">
        <v>4237</v>
      </c>
    </row>
    <row r="1005" spans="1:14" ht="13.5">
      <c r="A1005" s="3">
        <v>999</v>
      </c>
      <c r="B1005" s="3" t="str">
        <f>"201900210393"</f>
        <v>201900210393</v>
      </c>
      <c r="C1005" s="3" t="str">
        <f>"148367"</f>
        <v>148367</v>
      </c>
      <c r="D1005" s="3" t="s">
        <v>4238</v>
      </c>
      <c r="E1005" s="3">
        <v>20454248474</v>
      </c>
      <c r="F1005" s="3" t="s">
        <v>4239</v>
      </c>
      <c r="G1005" s="3" t="s">
        <v>4240</v>
      </c>
      <c r="H1005" s="3" t="s">
        <v>253</v>
      </c>
      <c r="I1005" s="3" t="s">
        <v>253</v>
      </c>
      <c r="J1005" s="3" t="s">
        <v>253</v>
      </c>
      <c r="K1005" s="3" t="s">
        <v>36</v>
      </c>
      <c r="L1005" s="4">
        <v>43829</v>
      </c>
      <c r="M1005" s="3" t="s">
        <v>21</v>
      </c>
      <c r="N1005" s="3" t="s">
        <v>4241</v>
      </c>
    </row>
    <row r="1006" spans="1:14" ht="27.75">
      <c r="A1006" s="5">
        <v>1000</v>
      </c>
      <c r="B1006" s="5" t="str">
        <f>"201900078732"</f>
        <v>201900078732</v>
      </c>
      <c r="C1006" s="5" t="str">
        <f>"143442"</f>
        <v>143442</v>
      </c>
      <c r="D1006" s="5" t="s">
        <v>4242</v>
      </c>
      <c r="E1006" s="5">
        <v>20601998522</v>
      </c>
      <c r="F1006" s="5" t="s">
        <v>4243</v>
      </c>
      <c r="G1006" s="5" t="s">
        <v>4244</v>
      </c>
      <c r="H1006" s="5" t="s">
        <v>1620</v>
      </c>
      <c r="I1006" s="5" t="s">
        <v>4245</v>
      </c>
      <c r="J1006" s="5" t="s">
        <v>4245</v>
      </c>
      <c r="K1006" s="5" t="s">
        <v>1883</v>
      </c>
      <c r="L1006" s="6">
        <v>43617</v>
      </c>
      <c r="M1006" s="5" t="s">
        <v>21</v>
      </c>
      <c r="N1006" s="5" t="s">
        <v>4246</v>
      </c>
    </row>
    <row r="1007" spans="1:14" ht="13.5">
      <c r="A1007" s="3">
        <v>1001</v>
      </c>
      <c r="B1007" s="3" t="str">
        <f>"201900078732"</f>
        <v>201900078732</v>
      </c>
      <c r="C1007" s="3" t="str">
        <f>"143445"</f>
        <v>143445</v>
      </c>
      <c r="D1007" s="3" t="s">
        <v>4247</v>
      </c>
      <c r="E1007" s="3">
        <v>10416207564</v>
      </c>
      <c r="F1007" s="3" t="s">
        <v>4248</v>
      </c>
      <c r="G1007" s="3" t="s">
        <v>4249</v>
      </c>
      <c r="H1007" s="3" t="s">
        <v>1620</v>
      </c>
      <c r="I1007" s="3" t="s">
        <v>4250</v>
      </c>
      <c r="J1007" s="3" t="s">
        <v>4251</v>
      </c>
      <c r="K1007" s="3" t="s">
        <v>4252</v>
      </c>
      <c r="L1007" s="4">
        <v>43617</v>
      </c>
      <c r="M1007" s="3" t="s">
        <v>21</v>
      </c>
      <c r="N1007" s="3" t="s">
        <v>4248</v>
      </c>
    </row>
    <row r="1008" spans="1:14" ht="13.5">
      <c r="A1008" s="5">
        <v>1002</v>
      </c>
      <c r="B1008" s="5" t="str">
        <f>"201900078732"</f>
        <v>201900078732</v>
      </c>
      <c r="C1008" s="5" t="str">
        <f>"143444"</f>
        <v>143444</v>
      </c>
      <c r="D1008" s="5" t="s">
        <v>4253</v>
      </c>
      <c r="E1008" s="5">
        <v>20529117290</v>
      </c>
      <c r="F1008" s="5" t="s">
        <v>4254</v>
      </c>
      <c r="G1008" s="5" t="s">
        <v>4255</v>
      </c>
      <c r="H1008" s="5" t="s">
        <v>1620</v>
      </c>
      <c r="I1008" s="5" t="s">
        <v>4235</v>
      </c>
      <c r="J1008" s="5" t="s">
        <v>4256</v>
      </c>
      <c r="K1008" s="5" t="s">
        <v>51</v>
      </c>
      <c r="L1008" s="6">
        <v>43617</v>
      </c>
      <c r="M1008" s="5" t="s">
        <v>21</v>
      </c>
      <c r="N1008" s="5" t="s">
        <v>4257</v>
      </c>
    </row>
    <row r="1009" spans="1:14" ht="83.25">
      <c r="A1009" s="3">
        <v>1003</v>
      </c>
      <c r="B1009" s="3" t="str">
        <f>"202000110544"</f>
        <v>202000110544</v>
      </c>
      <c r="C1009" s="3" t="str">
        <f>"150779"</f>
        <v>150779</v>
      </c>
      <c r="D1009" s="3" t="s">
        <v>4258</v>
      </c>
      <c r="E1009" s="3">
        <v>20445471551</v>
      </c>
      <c r="F1009" s="3" t="s">
        <v>4259</v>
      </c>
      <c r="G1009" s="3" t="s">
        <v>4260</v>
      </c>
      <c r="H1009" s="3" t="s">
        <v>73</v>
      </c>
      <c r="I1009" s="3" t="s">
        <v>74</v>
      </c>
      <c r="J1009" s="3" t="s">
        <v>74</v>
      </c>
      <c r="K1009" s="3" t="s">
        <v>3260</v>
      </c>
      <c r="L1009" s="4">
        <v>44077</v>
      </c>
      <c r="M1009" s="3" t="s">
        <v>21</v>
      </c>
      <c r="N1009" s="3" t="s">
        <v>4261</v>
      </c>
    </row>
    <row r="1010" spans="1:14" ht="153.75">
      <c r="A1010" s="5">
        <v>1004</v>
      </c>
      <c r="B1010" s="5" t="str">
        <f>"202000013963"</f>
        <v>202000013963</v>
      </c>
      <c r="C1010" s="5" t="str">
        <f>"148945"</f>
        <v>148945</v>
      </c>
      <c r="D1010" s="5" t="s">
        <v>4262</v>
      </c>
      <c r="E1010" s="5">
        <v>20604186308</v>
      </c>
      <c r="F1010" s="5" t="s">
        <v>4263</v>
      </c>
      <c r="G1010" s="5" t="s">
        <v>4264</v>
      </c>
      <c r="H1010" s="5" t="s">
        <v>73</v>
      </c>
      <c r="I1010" s="5" t="s">
        <v>74</v>
      </c>
      <c r="J1010" s="5" t="s">
        <v>784</v>
      </c>
      <c r="K1010" s="5" t="s">
        <v>75</v>
      </c>
      <c r="L1010" s="6">
        <v>43864</v>
      </c>
      <c r="M1010" s="5" t="s">
        <v>21</v>
      </c>
      <c r="N1010" s="5" t="s">
        <v>4265</v>
      </c>
    </row>
    <row r="1011" spans="1:14" ht="153.75">
      <c r="A1011" s="3">
        <v>1005</v>
      </c>
      <c r="B1011" s="3" t="str">
        <f>"201900143690"</f>
        <v>201900143690</v>
      </c>
      <c r="C1011" s="3" t="str">
        <f>"146367"</f>
        <v>146367</v>
      </c>
      <c r="D1011" s="3" t="s">
        <v>4266</v>
      </c>
      <c r="E1011" s="3">
        <v>20604819700</v>
      </c>
      <c r="F1011" s="3" t="s">
        <v>4267</v>
      </c>
      <c r="G1011" s="3" t="s">
        <v>4268</v>
      </c>
      <c r="H1011" s="3" t="s">
        <v>73</v>
      </c>
      <c r="I1011" s="3" t="s">
        <v>3744</v>
      </c>
      <c r="J1011" s="3" t="s">
        <v>4269</v>
      </c>
      <c r="K1011" s="3" t="s">
        <v>75</v>
      </c>
      <c r="L1011" s="4">
        <v>43713</v>
      </c>
      <c r="M1011" s="3" t="s">
        <v>21</v>
      </c>
      <c r="N1011" s="3" t="s">
        <v>4270</v>
      </c>
    </row>
    <row r="1012" spans="1:14" ht="27.75">
      <c r="A1012" s="5">
        <v>1006</v>
      </c>
      <c r="B1012" s="5" t="str">
        <f>"201900078803"</f>
        <v>201900078803</v>
      </c>
      <c r="C1012" s="5" t="str">
        <f>"143644"</f>
        <v>143644</v>
      </c>
      <c r="D1012" s="5" t="s">
        <v>4271</v>
      </c>
      <c r="E1012" s="5">
        <v>20506936277</v>
      </c>
      <c r="F1012" s="5" t="s">
        <v>4272</v>
      </c>
      <c r="G1012" s="5" t="s">
        <v>4273</v>
      </c>
      <c r="H1012" s="5" t="s">
        <v>18</v>
      </c>
      <c r="I1012" s="5" t="s">
        <v>18</v>
      </c>
      <c r="J1012" s="5" t="s">
        <v>537</v>
      </c>
      <c r="K1012" s="5" t="s">
        <v>51</v>
      </c>
      <c r="L1012" s="6">
        <v>43617</v>
      </c>
      <c r="M1012" s="5" t="s">
        <v>21</v>
      </c>
      <c r="N1012" s="5" t="s">
        <v>4274</v>
      </c>
    </row>
    <row r="1013" spans="1:14" ht="13.5">
      <c r="A1013" s="3">
        <v>1007</v>
      </c>
      <c r="B1013" s="3" t="str">
        <f>"201900078683"</f>
        <v>201900078683</v>
      </c>
      <c r="C1013" s="3" t="str">
        <f>"143438"</f>
        <v>143438</v>
      </c>
      <c r="D1013" s="3" t="s">
        <v>4275</v>
      </c>
      <c r="E1013" s="3">
        <v>20527591881</v>
      </c>
      <c r="F1013" s="3" t="s">
        <v>4276</v>
      </c>
      <c r="G1013" s="3" t="s">
        <v>4277</v>
      </c>
      <c r="H1013" s="3" t="s">
        <v>160</v>
      </c>
      <c r="I1013" s="3" t="s">
        <v>486</v>
      </c>
      <c r="J1013" s="3" t="s">
        <v>4278</v>
      </c>
      <c r="K1013" s="3" t="s">
        <v>36</v>
      </c>
      <c r="L1013" s="4">
        <v>43617</v>
      </c>
      <c r="M1013" s="3" t="s">
        <v>21</v>
      </c>
      <c r="N1013" s="3" t="s">
        <v>4279</v>
      </c>
    </row>
    <row r="1014" spans="1:14" ht="13.5">
      <c r="A1014" s="5">
        <v>1008</v>
      </c>
      <c r="B1014" s="5" t="str">
        <f>"201900078683"</f>
        <v>201900078683</v>
      </c>
      <c r="C1014" s="5" t="str">
        <f>"143439"</f>
        <v>143439</v>
      </c>
      <c r="D1014" s="5" t="s">
        <v>4280</v>
      </c>
      <c r="E1014" s="5">
        <v>10400176651</v>
      </c>
      <c r="F1014" s="5" t="s">
        <v>4281</v>
      </c>
      <c r="G1014" s="5" t="s">
        <v>4282</v>
      </c>
      <c r="H1014" s="5" t="s">
        <v>160</v>
      </c>
      <c r="I1014" s="5" t="s">
        <v>486</v>
      </c>
      <c r="J1014" s="5" t="s">
        <v>4283</v>
      </c>
      <c r="K1014" s="5" t="s">
        <v>36</v>
      </c>
      <c r="L1014" s="6">
        <v>43617</v>
      </c>
      <c r="M1014" s="5" t="s">
        <v>21</v>
      </c>
      <c r="N1014" s="5" t="s">
        <v>4281</v>
      </c>
    </row>
    <row r="1015" spans="1:14" ht="27.75">
      <c r="A1015" s="3">
        <v>1009</v>
      </c>
      <c r="B1015" s="3" t="str">
        <f>"202000027591"</f>
        <v>202000027591</v>
      </c>
      <c r="C1015" s="3" t="str">
        <f>"149250"</f>
        <v>149250</v>
      </c>
      <c r="D1015" s="3" t="s">
        <v>4284</v>
      </c>
      <c r="E1015" s="3">
        <v>20100283451</v>
      </c>
      <c r="F1015" s="3" t="s">
        <v>4285</v>
      </c>
      <c r="G1015" s="3" t="s">
        <v>4286</v>
      </c>
      <c r="H1015" s="3" t="s">
        <v>18</v>
      </c>
      <c r="I1015" s="3" t="s">
        <v>18</v>
      </c>
      <c r="J1015" s="3" t="s">
        <v>3351</v>
      </c>
      <c r="K1015" s="3" t="s">
        <v>51</v>
      </c>
      <c r="L1015" s="4">
        <v>43885</v>
      </c>
      <c r="M1015" s="3" t="s">
        <v>21</v>
      </c>
      <c r="N1015" s="3" t="s">
        <v>4287</v>
      </c>
    </row>
    <row r="1016" spans="1:14" ht="27.75">
      <c r="A1016" s="5">
        <v>1010</v>
      </c>
      <c r="B1016" s="5" t="str">
        <f>"201900078803"</f>
        <v>201900078803</v>
      </c>
      <c r="C1016" s="5" t="str">
        <f>"143645"</f>
        <v>143645</v>
      </c>
      <c r="D1016" s="5" t="s">
        <v>4288</v>
      </c>
      <c r="E1016" s="5">
        <v>20512236163</v>
      </c>
      <c r="F1016" s="5" t="s">
        <v>4289</v>
      </c>
      <c r="G1016" s="5" t="s">
        <v>4290</v>
      </c>
      <c r="H1016" s="5" t="s">
        <v>18</v>
      </c>
      <c r="I1016" s="5" t="s">
        <v>18</v>
      </c>
      <c r="J1016" s="5" t="s">
        <v>537</v>
      </c>
      <c r="K1016" s="5" t="s">
        <v>97</v>
      </c>
      <c r="L1016" s="6">
        <v>43617</v>
      </c>
      <c r="M1016" s="5" t="s">
        <v>21</v>
      </c>
      <c r="N1016" s="5" t="s">
        <v>4291</v>
      </c>
    </row>
    <row r="1017" spans="1:14" ht="13.5">
      <c r="A1017" s="3">
        <v>1011</v>
      </c>
      <c r="B1017" s="3" t="str">
        <f>"201900078683"</f>
        <v>201900078683</v>
      </c>
      <c r="C1017" s="3" t="str">
        <f>"143440"</f>
        <v>143440</v>
      </c>
      <c r="D1017" s="3" t="s">
        <v>4292</v>
      </c>
      <c r="E1017" s="3">
        <v>10410989323</v>
      </c>
      <c r="F1017" s="3" t="s">
        <v>4293</v>
      </c>
      <c r="G1017" s="3" t="s">
        <v>4294</v>
      </c>
      <c r="H1017" s="3" t="s">
        <v>160</v>
      </c>
      <c r="I1017" s="3" t="s">
        <v>486</v>
      </c>
      <c r="J1017" s="3" t="s">
        <v>4295</v>
      </c>
      <c r="K1017" s="3" t="s">
        <v>36</v>
      </c>
      <c r="L1017" s="4">
        <v>43617</v>
      </c>
      <c r="M1017" s="3" t="s">
        <v>21</v>
      </c>
      <c r="N1017" s="3" t="s">
        <v>4293</v>
      </c>
    </row>
    <row r="1018" spans="1:14" ht="27.75">
      <c r="A1018" s="5">
        <v>1012</v>
      </c>
      <c r="B1018" s="5" t="str">
        <f>"201900078803"</f>
        <v>201900078803</v>
      </c>
      <c r="C1018" s="5" t="str">
        <f>"143646"</f>
        <v>143646</v>
      </c>
      <c r="D1018" s="5" t="s">
        <v>4296</v>
      </c>
      <c r="E1018" s="5">
        <v>20522012336</v>
      </c>
      <c r="F1018" s="5" t="s">
        <v>4297</v>
      </c>
      <c r="G1018" s="5" t="s">
        <v>4298</v>
      </c>
      <c r="H1018" s="5" t="s">
        <v>18</v>
      </c>
      <c r="I1018" s="5" t="s">
        <v>18</v>
      </c>
      <c r="J1018" s="5" t="s">
        <v>537</v>
      </c>
      <c r="K1018" s="5" t="s">
        <v>51</v>
      </c>
      <c r="L1018" s="6">
        <v>43617</v>
      </c>
      <c r="M1018" s="5" t="s">
        <v>21</v>
      </c>
      <c r="N1018" s="5" t="s">
        <v>4299</v>
      </c>
    </row>
    <row r="1019" spans="1:14" ht="27.75">
      <c r="A1019" s="3">
        <v>1013</v>
      </c>
      <c r="B1019" s="3" t="str">
        <f>"201900078724"</f>
        <v>201900078724</v>
      </c>
      <c r="C1019" s="3" t="str">
        <f>"143441"</f>
        <v>143441</v>
      </c>
      <c r="D1019" s="3" t="s">
        <v>4300</v>
      </c>
      <c r="E1019" s="3">
        <v>20568747471</v>
      </c>
      <c r="F1019" s="3" t="s">
        <v>4301</v>
      </c>
      <c r="G1019" s="3" t="s">
        <v>4302</v>
      </c>
      <c r="H1019" s="3" t="s">
        <v>4303</v>
      </c>
      <c r="I1019" s="3" t="s">
        <v>4303</v>
      </c>
      <c r="J1019" s="3" t="s">
        <v>4304</v>
      </c>
      <c r="K1019" s="3" t="s">
        <v>774</v>
      </c>
      <c r="L1019" s="4">
        <v>43617</v>
      </c>
      <c r="M1019" s="3" t="s">
        <v>21</v>
      </c>
      <c r="N1019" s="3" t="s">
        <v>4305</v>
      </c>
    </row>
    <row r="1020" spans="1:14" ht="13.5">
      <c r="A1020" s="5">
        <v>1014</v>
      </c>
      <c r="B1020" s="5" t="str">
        <f>"201900078803"</f>
        <v>201900078803</v>
      </c>
      <c r="C1020" s="5" t="str">
        <f>"143640"</f>
        <v>143640</v>
      </c>
      <c r="D1020" s="5" t="s">
        <v>4306</v>
      </c>
      <c r="E1020" s="5">
        <v>20530827853</v>
      </c>
      <c r="F1020" s="5" t="s">
        <v>4307</v>
      </c>
      <c r="G1020" s="5" t="s">
        <v>4308</v>
      </c>
      <c r="H1020" s="5" t="s">
        <v>18</v>
      </c>
      <c r="I1020" s="5" t="s">
        <v>1967</v>
      </c>
      <c r="J1020" s="5" t="s">
        <v>4309</v>
      </c>
      <c r="K1020" s="5" t="s">
        <v>97</v>
      </c>
      <c r="L1020" s="6">
        <v>43617</v>
      </c>
      <c r="M1020" s="5" t="s">
        <v>21</v>
      </c>
      <c r="N1020" s="5" t="s">
        <v>4310</v>
      </c>
    </row>
    <row r="1021" spans="1:14" ht="27.75">
      <c r="A1021" s="3">
        <v>1015</v>
      </c>
      <c r="B1021" s="3" t="str">
        <f>"201900177444"</f>
        <v>201900177444</v>
      </c>
      <c r="C1021" s="3" t="str">
        <f>"147429"</f>
        <v>147429</v>
      </c>
      <c r="D1021" s="3" t="s">
        <v>4311</v>
      </c>
      <c r="E1021" s="3">
        <v>20293108316</v>
      </c>
      <c r="F1021" s="3" t="s">
        <v>4312</v>
      </c>
      <c r="G1021" s="3" t="s">
        <v>4313</v>
      </c>
      <c r="H1021" s="3" t="s">
        <v>18</v>
      </c>
      <c r="I1021" s="3" t="s">
        <v>18</v>
      </c>
      <c r="J1021" s="3" t="s">
        <v>80</v>
      </c>
      <c r="K1021" s="3" t="s">
        <v>97</v>
      </c>
      <c r="L1021" s="4">
        <v>43784</v>
      </c>
      <c r="M1021" s="3" t="s">
        <v>21</v>
      </c>
      <c r="N1021" s="3" t="s">
        <v>4314</v>
      </c>
    </row>
    <row r="1022" spans="1:14" ht="27.75">
      <c r="A1022" s="5">
        <v>1016</v>
      </c>
      <c r="B1022" s="5" t="str">
        <f>"201900078803"</f>
        <v>201900078803</v>
      </c>
      <c r="C1022" s="5" t="str">
        <f>"143641"</f>
        <v>143641</v>
      </c>
      <c r="D1022" s="5" t="s">
        <v>4315</v>
      </c>
      <c r="E1022" s="5">
        <v>20458378747</v>
      </c>
      <c r="F1022" s="5" t="s">
        <v>4316</v>
      </c>
      <c r="G1022" s="5" t="s">
        <v>4317</v>
      </c>
      <c r="H1022" s="5" t="s">
        <v>18</v>
      </c>
      <c r="I1022" s="5" t="s">
        <v>18</v>
      </c>
      <c r="J1022" s="5" t="s">
        <v>4318</v>
      </c>
      <c r="K1022" s="5" t="s">
        <v>4319</v>
      </c>
      <c r="L1022" s="6">
        <v>43617</v>
      </c>
      <c r="M1022" s="5" t="s">
        <v>21</v>
      </c>
      <c r="N1022" s="5" t="s">
        <v>4320</v>
      </c>
    </row>
    <row r="1023" spans="1:14" ht="27.75">
      <c r="A1023" s="3">
        <v>1017</v>
      </c>
      <c r="B1023" s="3" t="str">
        <f>"201900078803"</f>
        <v>201900078803</v>
      </c>
      <c r="C1023" s="3" t="str">
        <f>"143642"</f>
        <v>143642</v>
      </c>
      <c r="D1023" s="3" t="s">
        <v>4321</v>
      </c>
      <c r="E1023" s="3">
        <v>20503340314</v>
      </c>
      <c r="F1023" s="3" t="s">
        <v>4322</v>
      </c>
      <c r="G1023" s="3" t="s">
        <v>4323</v>
      </c>
      <c r="H1023" s="3" t="s">
        <v>18</v>
      </c>
      <c r="I1023" s="3" t="s">
        <v>18</v>
      </c>
      <c r="J1023" s="3" t="s">
        <v>537</v>
      </c>
      <c r="K1023" s="3" t="s">
        <v>137</v>
      </c>
      <c r="L1023" s="4">
        <v>43617</v>
      </c>
      <c r="M1023" s="3" t="s">
        <v>21</v>
      </c>
      <c r="N1023" s="3" t="s">
        <v>4324</v>
      </c>
    </row>
    <row r="1024" spans="1:14" ht="13.5">
      <c r="A1024" s="5">
        <v>1018</v>
      </c>
      <c r="B1024" s="5" t="str">
        <f>"201900078683"</f>
        <v>201900078683</v>
      </c>
      <c r="C1024" s="5" t="str">
        <f>"143437"</f>
        <v>143437</v>
      </c>
      <c r="D1024" s="5" t="s">
        <v>4325</v>
      </c>
      <c r="E1024" s="5">
        <v>10800749897</v>
      </c>
      <c r="F1024" s="5" t="s">
        <v>4326</v>
      </c>
      <c r="G1024" s="5" t="s">
        <v>4327</v>
      </c>
      <c r="H1024" s="5" t="s">
        <v>160</v>
      </c>
      <c r="I1024" s="5" t="s">
        <v>486</v>
      </c>
      <c r="J1024" s="5" t="s">
        <v>487</v>
      </c>
      <c r="K1024" s="5" t="s">
        <v>36</v>
      </c>
      <c r="L1024" s="6">
        <v>43617</v>
      </c>
      <c r="M1024" s="5" t="s">
        <v>21</v>
      </c>
      <c r="N1024" s="5" t="s">
        <v>4326</v>
      </c>
    </row>
    <row r="1025" spans="1:14" ht="13.5">
      <c r="A1025" s="3">
        <v>1019</v>
      </c>
      <c r="B1025" s="3" t="str">
        <f>"201900078803"</f>
        <v>201900078803</v>
      </c>
      <c r="C1025" s="3" t="str">
        <f>"143643"</f>
        <v>143643</v>
      </c>
      <c r="D1025" s="3" t="s">
        <v>4328</v>
      </c>
      <c r="E1025" s="3">
        <v>20504375316</v>
      </c>
      <c r="F1025" s="3" t="s">
        <v>4329</v>
      </c>
      <c r="G1025" s="3" t="s">
        <v>4330</v>
      </c>
      <c r="H1025" s="3" t="s">
        <v>18</v>
      </c>
      <c r="I1025" s="3" t="s">
        <v>18</v>
      </c>
      <c r="J1025" s="3" t="s">
        <v>537</v>
      </c>
      <c r="K1025" s="3" t="s">
        <v>51</v>
      </c>
      <c r="L1025" s="4">
        <v>43617</v>
      </c>
      <c r="M1025" s="3" t="s">
        <v>21</v>
      </c>
      <c r="N1025" s="3" t="s">
        <v>4331</v>
      </c>
    </row>
    <row r="1026" spans="1:14" ht="69.75">
      <c r="A1026" s="5">
        <v>1020</v>
      </c>
      <c r="B1026" s="5" t="str">
        <f>"201900177470"</f>
        <v>201900177470</v>
      </c>
      <c r="C1026" s="5" t="str">
        <f>"147431"</f>
        <v>147431</v>
      </c>
      <c r="D1026" s="5" t="s">
        <v>4332</v>
      </c>
      <c r="E1026" s="5">
        <v>20572257933</v>
      </c>
      <c r="F1026" s="5" t="s">
        <v>4333</v>
      </c>
      <c r="G1026" s="5" t="s">
        <v>3988</v>
      </c>
      <c r="H1026" s="5" t="s">
        <v>1017</v>
      </c>
      <c r="I1026" s="5" t="s">
        <v>1877</v>
      </c>
      <c r="J1026" s="5" t="s">
        <v>1878</v>
      </c>
      <c r="K1026" s="5" t="s">
        <v>4334</v>
      </c>
      <c r="L1026" s="6">
        <v>43766</v>
      </c>
      <c r="M1026" s="5" t="s">
        <v>21</v>
      </c>
      <c r="N1026" s="5" t="s">
        <v>4335</v>
      </c>
    </row>
    <row r="1027" spans="1:14" ht="83.25">
      <c r="A1027" s="3">
        <v>1021</v>
      </c>
      <c r="B1027" s="3" t="str">
        <f>"202000107618"</f>
        <v>202000107618</v>
      </c>
      <c r="C1027" s="3" t="str">
        <f>"150668"</f>
        <v>150668</v>
      </c>
      <c r="D1027" s="3" t="s">
        <v>4336</v>
      </c>
      <c r="E1027" s="3">
        <v>20603736444</v>
      </c>
      <c r="F1027" s="3" t="s">
        <v>4337</v>
      </c>
      <c r="G1027" s="3" t="s">
        <v>4338</v>
      </c>
      <c r="H1027" s="3" t="s">
        <v>1645</v>
      </c>
      <c r="I1027" s="3" t="s">
        <v>2279</v>
      </c>
      <c r="J1027" s="3" t="s">
        <v>2280</v>
      </c>
      <c r="K1027" s="3" t="s">
        <v>3260</v>
      </c>
      <c r="L1027" s="4">
        <v>44078</v>
      </c>
      <c r="M1027" s="3" t="s">
        <v>21</v>
      </c>
      <c r="N1027" s="3" t="s">
        <v>4339</v>
      </c>
    </row>
    <row r="1028" spans="1:14" ht="125.25">
      <c r="A1028" s="5">
        <v>1022</v>
      </c>
      <c r="B1028" s="5" t="str">
        <f>"202000006617"</f>
        <v>202000006617</v>
      </c>
      <c r="C1028" s="5" t="str">
        <f>"148756"</f>
        <v>148756</v>
      </c>
      <c r="D1028" s="5" t="s">
        <v>4340</v>
      </c>
      <c r="E1028" s="5">
        <v>20604971854</v>
      </c>
      <c r="F1028" s="5" t="s">
        <v>4341</v>
      </c>
      <c r="G1028" s="5" t="s">
        <v>4342</v>
      </c>
      <c r="H1028" s="5" t="s">
        <v>73</v>
      </c>
      <c r="I1028" s="5" t="s">
        <v>74</v>
      </c>
      <c r="J1028" s="5" t="s">
        <v>1912</v>
      </c>
      <c r="K1028" s="5" t="s">
        <v>4343</v>
      </c>
      <c r="L1028" s="6">
        <v>43850</v>
      </c>
      <c r="M1028" s="5" t="s">
        <v>21</v>
      </c>
      <c r="N1028" s="5" t="s">
        <v>4344</v>
      </c>
    </row>
    <row r="1029" spans="1:14" ht="27.75">
      <c r="A1029" s="3">
        <v>1023</v>
      </c>
      <c r="B1029" s="3" t="str">
        <f>"202000023955"</f>
        <v>202000023955</v>
      </c>
      <c r="C1029" s="3" t="str">
        <f>"149191"</f>
        <v>149191</v>
      </c>
      <c r="D1029" s="3" t="s">
        <v>4345</v>
      </c>
      <c r="E1029" s="3">
        <v>20569132381</v>
      </c>
      <c r="F1029" s="3" t="s">
        <v>4346</v>
      </c>
      <c r="G1029" s="3" t="s">
        <v>4347</v>
      </c>
      <c r="H1029" s="3" t="s">
        <v>1645</v>
      </c>
      <c r="I1029" s="3" t="s">
        <v>2279</v>
      </c>
      <c r="J1029" s="3" t="s">
        <v>2599</v>
      </c>
      <c r="K1029" s="3" t="s">
        <v>51</v>
      </c>
      <c r="L1029" s="4">
        <v>43879</v>
      </c>
      <c r="M1029" s="3" t="s">
        <v>21</v>
      </c>
      <c r="N1029" s="3" t="s">
        <v>4348</v>
      </c>
    </row>
    <row r="1030" spans="1:14" ht="125.25">
      <c r="A1030" s="5">
        <v>1024</v>
      </c>
      <c r="B1030" s="5" t="str">
        <f>"202000106908"</f>
        <v>202000106908</v>
      </c>
      <c r="C1030" s="5" t="str">
        <f>"150665"</f>
        <v>150665</v>
      </c>
      <c r="D1030" s="5" t="s">
        <v>4349</v>
      </c>
      <c r="E1030" s="5">
        <v>20602757359</v>
      </c>
      <c r="F1030" s="5" t="s">
        <v>4350</v>
      </c>
      <c r="G1030" s="5" t="s">
        <v>4351</v>
      </c>
      <c r="H1030" s="5" t="s">
        <v>1645</v>
      </c>
      <c r="I1030" s="5" t="s">
        <v>2279</v>
      </c>
      <c r="J1030" s="5" t="s">
        <v>2280</v>
      </c>
      <c r="K1030" s="5" t="s">
        <v>4352</v>
      </c>
      <c r="L1030" s="6">
        <v>44070</v>
      </c>
      <c r="M1030" s="5" t="s">
        <v>21</v>
      </c>
      <c r="N1030" s="5" t="s">
        <v>4353</v>
      </c>
    </row>
    <row r="1031" spans="1:14" ht="42">
      <c r="A1031" s="3">
        <v>1025</v>
      </c>
      <c r="B1031" s="3" t="str">
        <f>"202000107248"</f>
        <v>202000107248</v>
      </c>
      <c r="C1031" s="3" t="str">
        <f>"150663"</f>
        <v>150663</v>
      </c>
      <c r="D1031" s="3" t="s">
        <v>4354</v>
      </c>
      <c r="E1031" s="3">
        <v>20349368383</v>
      </c>
      <c r="F1031" s="3" t="s">
        <v>4355</v>
      </c>
      <c r="G1031" s="3" t="s">
        <v>4356</v>
      </c>
      <c r="H1031" s="3" t="s">
        <v>18</v>
      </c>
      <c r="I1031" s="3" t="s">
        <v>18</v>
      </c>
      <c r="J1031" s="3" t="s">
        <v>303</v>
      </c>
      <c r="K1031" s="3" t="s">
        <v>42</v>
      </c>
      <c r="L1031" s="4">
        <v>44074</v>
      </c>
      <c r="M1031" s="3" t="s">
        <v>21</v>
      </c>
      <c r="N1031" s="3" t="s">
        <v>4357</v>
      </c>
    </row>
    <row r="1032" spans="1:14" ht="27.75">
      <c r="A1032" s="5">
        <v>1026</v>
      </c>
      <c r="B1032" s="5" t="str">
        <f>"201900078803"</f>
        <v>201900078803</v>
      </c>
      <c r="C1032" s="5" t="str">
        <f>"143649"</f>
        <v>143649</v>
      </c>
      <c r="D1032" s="5" t="s">
        <v>4358</v>
      </c>
      <c r="E1032" s="5">
        <v>20604044295</v>
      </c>
      <c r="F1032" s="5" t="s">
        <v>4359</v>
      </c>
      <c r="G1032" s="5" t="s">
        <v>4360</v>
      </c>
      <c r="H1032" s="5" t="s">
        <v>18</v>
      </c>
      <c r="I1032" s="5" t="s">
        <v>18</v>
      </c>
      <c r="J1032" s="5" t="s">
        <v>537</v>
      </c>
      <c r="K1032" s="5" t="s">
        <v>1883</v>
      </c>
      <c r="L1032" s="6">
        <v>43617</v>
      </c>
      <c r="M1032" s="5" t="s">
        <v>21</v>
      </c>
      <c r="N1032" s="5" t="s">
        <v>4361</v>
      </c>
    </row>
    <row r="1033" spans="1:14" ht="13.5">
      <c r="A1033" s="3">
        <v>1027</v>
      </c>
      <c r="B1033" s="3" t="str">
        <f>"201900078803"</f>
        <v>201900078803</v>
      </c>
      <c r="C1033" s="3" t="str">
        <f>"143650"</f>
        <v>143650</v>
      </c>
      <c r="D1033" s="3" t="s">
        <v>4362</v>
      </c>
      <c r="E1033" s="3">
        <v>10401828333</v>
      </c>
      <c r="F1033" s="3" t="s">
        <v>4363</v>
      </c>
      <c r="G1033" s="3" t="s">
        <v>4364</v>
      </c>
      <c r="H1033" s="3" t="s">
        <v>18</v>
      </c>
      <c r="I1033" s="3" t="s">
        <v>18</v>
      </c>
      <c r="J1033" s="3" t="s">
        <v>739</v>
      </c>
      <c r="K1033" s="3" t="s">
        <v>51</v>
      </c>
      <c r="L1033" s="4">
        <v>43617</v>
      </c>
      <c r="M1033" s="3" t="s">
        <v>21</v>
      </c>
      <c r="N1033" s="3" t="s">
        <v>4363</v>
      </c>
    </row>
    <row r="1034" spans="1:14" ht="42">
      <c r="A1034" s="5">
        <v>1028</v>
      </c>
      <c r="B1034" s="5" t="str">
        <f>"202000070594"</f>
        <v>202000070594</v>
      </c>
      <c r="C1034" s="5" t="str">
        <f>"149756"</f>
        <v>149756</v>
      </c>
      <c r="D1034" s="5" t="s">
        <v>4365</v>
      </c>
      <c r="E1034" s="5">
        <v>10214636251</v>
      </c>
      <c r="F1034" s="5" t="s">
        <v>4366</v>
      </c>
      <c r="G1034" s="5" t="s">
        <v>4367</v>
      </c>
      <c r="H1034" s="5" t="s">
        <v>1830</v>
      </c>
      <c r="I1034" s="5" t="s">
        <v>2261</v>
      </c>
      <c r="J1034" s="5" t="s">
        <v>4368</v>
      </c>
      <c r="K1034" s="5" t="s">
        <v>42</v>
      </c>
      <c r="L1034" s="6">
        <v>44013</v>
      </c>
      <c r="M1034" s="5" t="s">
        <v>21</v>
      </c>
      <c r="N1034" s="5" t="s">
        <v>4366</v>
      </c>
    </row>
    <row r="1035" spans="1:14" ht="55.5">
      <c r="A1035" s="3">
        <v>1029</v>
      </c>
      <c r="B1035" s="3" t="str">
        <f>"202000143641"</f>
        <v>202000143641</v>
      </c>
      <c r="C1035" s="3" t="str">
        <f>"151348"</f>
        <v>151348</v>
      </c>
      <c r="D1035" s="3" t="s">
        <v>4369</v>
      </c>
      <c r="E1035" s="3">
        <v>20604916519</v>
      </c>
      <c r="F1035" s="3" t="s">
        <v>4370</v>
      </c>
      <c r="G1035" s="3" t="s">
        <v>4371</v>
      </c>
      <c r="H1035" s="3" t="s">
        <v>18</v>
      </c>
      <c r="I1035" s="3" t="s">
        <v>18</v>
      </c>
      <c r="J1035" s="3" t="s">
        <v>1514</v>
      </c>
      <c r="K1035" s="3" t="s">
        <v>3326</v>
      </c>
      <c r="L1035" s="4">
        <v>44127</v>
      </c>
      <c r="M1035" s="3" t="s">
        <v>21</v>
      </c>
      <c r="N1035" s="3" t="s">
        <v>4372</v>
      </c>
    </row>
    <row r="1036" spans="1:14" ht="42">
      <c r="A1036" s="5">
        <v>1030</v>
      </c>
      <c r="B1036" s="5" t="str">
        <f>"201900078803"</f>
        <v>201900078803</v>
      </c>
      <c r="C1036" s="5" t="str">
        <f>"143647"</f>
        <v>143647</v>
      </c>
      <c r="D1036" s="5" t="s">
        <v>4373</v>
      </c>
      <c r="E1036" s="5">
        <v>20552698402</v>
      </c>
      <c r="F1036" s="5" t="s">
        <v>4374</v>
      </c>
      <c r="G1036" s="5" t="s">
        <v>4375</v>
      </c>
      <c r="H1036" s="5" t="s">
        <v>18</v>
      </c>
      <c r="I1036" s="5" t="s">
        <v>18</v>
      </c>
      <c r="J1036" s="5" t="s">
        <v>537</v>
      </c>
      <c r="K1036" s="5" t="s">
        <v>42</v>
      </c>
      <c r="L1036" s="6">
        <v>43617</v>
      </c>
      <c r="M1036" s="5" t="s">
        <v>21</v>
      </c>
      <c r="N1036" s="5" t="s">
        <v>4376</v>
      </c>
    </row>
    <row r="1037" spans="1:14" ht="27.75">
      <c r="A1037" s="3">
        <v>1031</v>
      </c>
      <c r="B1037" s="3" t="str">
        <f>"201900078803"</f>
        <v>201900078803</v>
      </c>
      <c r="C1037" s="3" t="str">
        <f>"143648"</f>
        <v>143648</v>
      </c>
      <c r="D1037" s="3" t="s">
        <v>4377</v>
      </c>
      <c r="E1037" s="3">
        <v>20603045891</v>
      </c>
      <c r="F1037" s="3" t="s">
        <v>4378</v>
      </c>
      <c r="G1037" s="3" t="s">
        <v>4379</v>
      </c>
      <c r="H1037" s="3" t="s">
        <v>18</v>
      </c>
      <c r="I1037" s="3" t="s">
        <v>18</v>
      </c>
      <c r="J1037" s="3" t="s">
        <v>537</v>
      </c>
      <c r="K1037" s="3" t="s">
        <v>4380</v>
      </c>
      <c r="L1037" s="4">
        <v>43617</v>
      </c>
      <c r="M1037" s="3" t="s">
        <v>21</v>
      </c>
      <c r="N1037" s="3" t="s">
        <v>4381</v>
      </c>
    </row>
    <row r="1038" spans="1:14" ht="13.5">
      <c r="A1038" s="5">
        <v>1032</v>
      </c>
      <c r="B1038" s="5" t="str">
        <f>"201900078803"</f>
        <v>201900078803</v>
      </c>
      <c r="C1038" s="5" t="str">
        <f>"143654"</f>
        <v>143654</v>
      </c>
      <c r="D1038" s="5" t="s">
        <v>4382</v>
      </c>
      <c r="E1038" s="5">
        <v>20508153822</v>
      </c>
      <c r="F1038" s="5" t="s">
        <v>4383</v>
      </c>
      <c r="G1038" s="5" t="s">
        <v>4384</v>
      </c>
      <c r="H1038" s="5" t="s">
        <v>18</v>
      </c>
      <c r="I1038" s="5" t="s">
        <v>18</v>
      </c>
      <c r="J1038" s="5" t="s">
        <v>739</v>
      </c>
      <c r="K1038" s="5" t="s">
        <v>36</v>
      </c>
      <c r="L1038" s="6">
        <v>43617</v>
      </c>
      <c r="M1038" s="5" t="s">
        <v>21</v>
      </c>
      <c r="N1038" s="5" t="s">
        <v>4385</v>
      </c>
    </row>
    <row r="1039" spans="1:14" ht="27.75">
      <c r="A1039" s="3">
        <v>1033</v>
      </c>
      <c r="B1039" s="3" t="str">
        <f>"202000126448"</f>
        <v>202000126448</v>
      </c>
      <c r="C1039" s="3" t="str">
        <f>"151345"</f>
        <v>151345</v>
      </c>
      <c r="D1039" s="3" t="s">
        <v>4386</v>
      </c>
      <c r="E1039" s="3">
        <v>20555160811</v>
      </c>
      <c r="F1039" s="3" t="s">
        <v>4387</v>
      </c>
      <c r="G1039" s="3" t="s">
        <v>4388</v>
      </c>
      <c r="H1039" s="3" t="s">
        <v>18</v>
      </c>
      <c r="I1039" s="3" t="s">
        <v>18</v>
      </c>
      <c r="J1039" s="3" t="s">
        <v>1514</v>
      </c>
      <c r="K1039" s="3" t="s">
        <v>243</v>
      </c>
      <c r="L1039" s="4">
        <v>44103</v>
      </c>
      <c r="M1039" s="3" t="s">
        <v>21</v>
      </c>
      <c r="N1039" s="3" t="s">
        <v>4389</v>
      </c>
    </row>
    <row r="1040" spans="1:14" ht="13.5">
      <c r="A1040" s="5">
        <v>1034</v>
      </c>
      <c r="B1040" s="5" t="str">
        <f>"201900078803"</f>
        <v>201900078803</v>
      </c>
      <c r="C1040" s="5" t="str">
        <f>"143653"</f>
        <v>143653</v>
      </c>
      <c r="D1040" s="5" t="s">
        <v>4390</v>
      </c>
      <c r="E1040" s="5">
        <v>20502109449</v>
      </c>
      <c r="F1040" s="5" t="s">
        <v>4391</v>
      </c>
      <c r="G1040" s="5" t="s">
        <v>4392</v>
      </c>
      <c r="H1040" s="5" t="s">
        <v>18</v>
      </c>
      <c r="I1040" s="5" t="s">
        <v>18</v>
      </c>
      <c r="J1040" s="5" t="s">
        <v>739</v>
      </c>
      <c r="K1040" s="5" t="s">
        <v>36</v>
      </c>
      <c r="L1040" s="6">
        <v>43617</v>
      </c>
      <c r="M1040" s="5" t="s">
        <v>21</v>
      </c>
      <c r="N1040" s="5" t="s">
        <v>4393</v>
      </c>
    </row>
    <row r="1041" spans="1:14" ht="13.5">
      <c r="A1041" s="3">
        <v>1035</v>
      </c>
      <c r="B1041" s="3" t="str">
        <f>"201900078803"</f>
        <v>201900078803</v>
      </c>
      <c r="C1041" s="3" t="str">
        <f>"143652"</f>
        <v>143652</v>
      </c>
      <c r="D1041" s="3" t="s">
        <v>4394</v>
      </c>
      <c r="E1041" s="3">
        <v>10428692131</v>
      </c>
      <c r="F1041" s="3" t="s">
        <v>4395</v>
      </c>
      <c r="G1041" s="3" t="s">
        <v>4396</v>
      </c>
      <c r="H1041" s="3" t="s">
        <v>18</v>
      </c>
      <c r="I1041" s="3" t="s">
        <v>18</v>
      </c>
      <c r="J1041" s="3" t="s">
        <v>739</v>
      </c>
      <c r="K1041" s="3" t="s">
        <v>51</v>
      </c>
      <c r="L1041" s="4">
        <v>43617</v>
      </c>
      <c r="M1041" s="3" t="s">
        <v>21</v>
      </c>
      <c r="N1041" s="3" t="s">
        <v>4395</v>
      </c>
    </row>
    <row r="1042" spans="1:14" ht="42">
      <c r="A1042" s="5">
        <v>1036</v>
      </c>
      <c r="B1042" s="5" t="str">
        <f>"202000126504"</f>
        <v>202000126504</v>
      </c>
      <c r="C1042" s="5" t="str">
        <f>"151344"</f>
        <v>151344</v>
      </c>
      <c r="D1042" s="5" t="s">
        <v>4397</v>
      </c>
      <c r="E1042" s="5">
        <v>20606312084</v>
      </c>
      <c r="F1042" s="5" t="s">
        <v>4398</v>
      </c>
      <c r="G1042" s="5" t="s">
        <v>4399</v>
      </c>
      <c r="H1042" s="5" t="s">
        <v>18</v>
      </c>
      <c r="I1042" s="5" t="s">
        <v>18</v>
      </c>
      <c r="J1042" s="5" t="s">
        <v>3206</v>
      </c>
      <c r="K1042" s="5" t="s">
        <v>42</v>
      </c>
      <c r="L1042" s="6">
        <v>44104</v>
      </c>
      <c r="M1042" s="5" t="s">
        <v>21</v>
      </c>
      <c r="N1042" s="5" t="s">
        <v>4400</v>
      </c>
    </row>
    <row r="1043" spans="1:14" ht="55.5">
      <c r="A1043" s="3">
        <v>1037</v>
      </c>
      <c r="B1043" s="3" t="str">
        <f>"202000001197"</f>
        <v>202000001197</v>
      </c>
      <c r="C1043" s="3" t="str">
        <f>"148588"</f>
        <v>148588</v>
      </c>
      <c r="D1043" s="3" t="s">
        <v>4401</v>
      </c>
      <c r="E1043" s="3">
        <v>20529782544</v>
      </c>
      <c r="F1043" s="3" t="s">
        <v>4402</v>
      </c>
      <c r="G1043" s="3" t="s">
        <v>4403</v>
      </c>
      <c r="H1043" s="3" t="s">
        <v>274</v>
      </c>
      <c r="I1043" s="3" t="s">
        <v>274</v>
      </c>
      <c r="J1043" s="3" t="s">
        <v>274</v>
      </c>
      <c r="K1043" s="3" t="s">
        <v>4404</v>
      </c>
      <c r="L1043" s="4">
        <v>43837</v>
      </c>
      <c r="M1043" s="3" t="s">
        <v>21</v>
      </c>
      <c r="N1043" s="3" t="s">
        <v>4405</v>
      </c>
    </row>
    <row r="1044" spans="1:14" ht="13.5">
      <c r="A1044" s="5">
        <v>1038</v>
      </c>
      <c r="B1044" s="5" t="str">
        <f>"201900078803"</f>
        <v>201900078803</v>
      </c>
      <c r="C1044" s="5" t="str">
        <f>"143651"</f>
        <v>143651</v>
      </c>
      <c r="D1044" s="5" t="s">
        <v>4406</v>
      </c>
      <c r="E1044" s="5">
        <v>10406510366</v>
      </c>
      <c r="F1044" s="5" t="s">
        <v>4407</v>
      </c>
      <c r="G1044" s="5" t="s">
        <v>4408</v>
      </c>
      <c r="H1044" s="5" t="s">
        <v>18</v>
      </c>
      <c r="I1044" s="5" t="s">
        <v>18</v>
      </c>
      <c r="J1044" s="5" t="s">
        <v>739</v>
      </c>
      <c r="K1044" s="5" t="s">
        <v>36</v>
      </c>
      <c r="L1044" s="6">
        <v>43617</v>
      </c>
      <c r="M1044" s="5" t="s">
        <v>21</v>
      </c>
      <c r="N1044" s="5" t="s">
        <v>4407</v>
      </c>
    </row>
    <row r="1045" spans="1:14" ht="27.75">
      <c r="A1045" s="3">
        <v>1039</v>
      </c>
      <c r="B1045" s="3" t="str">
        <f>"201900078665"</f>
        <v>201900078665</v>
      </c>
      <c r="C1045" s="3" t="str">
        <f>"143268"</f>
        <v>143268</v>
      </c>
      <c r="D1045" s="3" t="s">
        <v>4409</v>
      </c>
      <c r="E1045" s="3">
        <v>20456162071</v>
      </c>
      <c r="F1045" s="3" t="s">
        <v>4410</v>
      </c>
      <c r="G1045" s="3" t="s">
        <v>4411</v>
      </c>
      <c r="H1045" s="3" t="s">
        <v>253</v>
      </c>
      <c r="I1045" s="3" t="s">
        <v>253</v>
      </c>
      <c r="J1045" s="3" t="s">
        <v>4412</v>
      </c>
      <c r="K1045" s="3" t="s">
        <v>36</v>
      </c>
      <c r="L1045" s="4">
        <v>43617</v>
      </c>
      <c r="M1045" s="3" t="s">
        <v>21</v>
      </c>
      <c r="N1045" s="3" t="s">
        <v>4413</v>
      </c>
    </row>
    <row r="1046" spans="1:14" ht="13.5">
      <c r="A1046" s="5">
        <v>1040</v>
      </c>
      <c r="B1046" s="5" t="str">
        <f>"201900078658"</f>
        <v>201900078658</v>
      </c>
      <c r="C1046" s="5" t="str">
        <f>"143267"</f>
        <v>143267</v>
      </c>
      <c r="D1046" s="5" t="s">
        <v>4414</v>
      </c>
      <c r="E1046" s="5">
        <v>20602355200</v>
      </c>
      <c r="F1046" s="5" t="s">
        <v>4415</v>
      </c>
      <c r="G1046" s="5" t="s">
        <v>4416</v>
      </c>
      <c r="H1046" s="5" t="s">
        <v>1830</v>
      </c>
      <c r="I1046" s="5" t="s">
        <v>1831</v>
      </c>
      <c r="J1046" s="5" t="s">
        <v>4039</v>
      </c>
      <c r="K1046" s="5" t="s">
        <v>51</v>
      </c>
      <c r="L1046" s="6">
        <v>43617</v>
      </c>
      <c r="M1046" s="5" t="s">
        <v>21</v>
      </c>
      <c r="N1046" s="5" t="s">
        <v>4417</v>
      </c>
    </row>
    <row r="1047" spans="1:14" ht="153.75">
      <c r="A1047" s="3">
        <v>1041</v>
      </c>
      <c r="B1047" s="3" t="str">
        <f>"202000017435"</f>
        <v>202000017435</v>
      </c>
      <c r="C1047" s="3" t="str">
        <f>"149044"</f>
        <v>149044</v>
      </c>
      <c r="D1047" s="3" t="s">
        <v>4418</v>
      </c>
      <c r="E1047" s="3">
        <v>10188725266</v>
      </c>
      <c r="F1047" s="3" t="s">
        <v>1196</v>
      </c>
      <c r="G1047" s="3" t="s">
        <v>4419</v>
      </c>
      <c r="H1047" s="3" t="s">
        <v>73</v>
      </c>
      <c r="I1047" s="3" t="s">
        <v>74</v>
      </c>
      <c r="J1047" s="3" t="s">
        <v>879</v>
      </c>
      <c r="K1047" s="3" t="s">
        <v>75</v>
      </c>
      <c r="L1047" s="4">
        <v>43867</v>
      </c>
      <c r="M1047" s="3" t="s">
        <v>21</v>
      </c>
      <c r="N1047" s="3" t="s">
        <v>1196</v>
      </c>
    </row>
    <row r="1048" spans="1:14" ht="55.5">
      <c r="A1048" s="5">
        <v>1042</v>
      </c>
      <c r="B1048" s="5" t="str">
        <f>"201900078803"</f>
        <v>201900078803</v>
      </c>
      <c r="C1048" s="5" t="str">
        <f>"143656"</f>
        <v>143656</v>
      </c>
      <c r="D1048" s="5" t="s">
        <v>4420</v>
      </c>
      <c r="E1048" s="5">
        <v>20538569268</v>
      </c>
      <c r="F1048" s="5" t="s">
        <v>4421</v>
      </c>
      <c r="G1048" s="5" t="s">
        <v>4422</v>
      </c>
      <c r="H1048" s="5" t="s">
        <v>18</v>
      </c>
      <c r="I1048" s="5" t="s">
        <v>18</v>
      </c>
      <c r="J1048" s="5" t="s">
        <v>739</v>
      </c>
      <c r="K1048" s="5" t="s">
        <v>4423</v>
      </c>
      <c r="L1048" s="6">
        <v>43617</v>
      </c>
      <c r="M1048" s="5" t="s">
        <v>21</v>
      </c>
      <c r="N1048" s="5" t="s">
        <v>4424</v>
      </c>
    </row>
    <row r="1049" spans="1:14" ht="69.75">
      <c r="A1049" s="3">
        <v>1043</v>
      </c>
      <c r="B1049" s="3" t="str">
        <f>"202000098799"</f>
        <v>202000098799</v>
      </c>
      <c r="C1049" s="3" t="str">
        <f>"150394"</f>
        <v>150394</v>
      </c>
      <c r="D1049" s="3" t="s">
        <v>4425</v>
      </c>
      <c r="E1049" s="3">
        <v>10465181406</v>
      </c>
      <c r="F1049" s="3" t="s">
        <v>4426</v>
      </c>
      <c r="G1049" s="3" t="s">
        <v>4427</v>
      </c>
      <c r="H1049" s="3" t="s">
        <v>274</v>
      </c>
      <c r="I1049" s="3" t="s">
        <v>274</v>
      </c>
      <c r="J1049" s="3" t="s">
        <v>2217</v>
      </c>
      <c r="K1049" s="3" t="s">
        <v>556</v>
      </c>
      <c r="L1049" s="4">
        <v>44053</v>
      </c>
      <c r="M1049" s="3" t="s">
        <v>21</v>
      </c>
      <c r="N1049" s="3" t="s">
        <v>4427</v>
      </c>
    </row>
    <row r="1050" spans="1:14" ht="13.5">
      <c r="A1050" s="5">
        <v>1044</v>
      </c>
      <c r="B1050" s="5" t="str">
        <f>"201900078803"</f>
        <v>201900078803</v>
      </c>
      <c r="C1050" s="5" t="str">
        <f>"143655"</f>
        <v>143655</v>
      </c>
      <c r="D1050" s="5" t="s">
        <v>4428</v>
      </c>
      <c r="E1050" s="5">
        <v>20515738461</v>
      </c>
      <c r="F1050" s="5" t="s">
        <v>4429</v>
      </c>
      <c r="G1050" s="5" t="s">
        <v>4430</v>
      </c>
      <c r="H1050" s="5" t="s">
        <v>18</v>
      </c>
      <c r="I1050" s="5" t="s">
        <v>18</v>
      </c>
      <c r="J1050" s="5" t="s">
        <v>739</v>
      </c>
      <c r="K1050" s="5" t="s">
        <v>51</v>
      </c>
      <c r="L1050" s="6">
        <v>43617</v>
      </c>
      <c r="M1050" s="5" t="s">
        <v>21</v>
      </c>
      <c r="N1050" s="5" t="s">
        <v>4431</v>
      </c>
    </row>
    <row r="1051" spans="1:14" ht="13.5">
      <c r="A1051" s="3">
        <v>1045</v>
      </c>
      <c r="B1051" s="3" t="str">
        <f>"201900078665"</f>
        <v>201900078665</v>
      </c>
      <c r="C1051" s="3" t="str">
        <f>"143272"</f>
        <v>143272</v>
      </c>
      <c r="D1051" s="3" t="s">
        <v>4432</v>
      </c>
      <c r="E1051" s="3">
        <v>20559109283</v>
      </c>
      <c r="F1051" s="3" t="s">
        <v>4433</v>
      </c>
      <c r="G1051" s="3" t="s">
        <v>4434</v>
      </c>
      <c r="H1051" s="3" t="s">
        <v>253</v>
      </c>
      <c r="I1051" s="3" t="s">
        <v>253</v>
      </c>
      <c r="J1051" s="3" t="s">
        <v>253</v>
      </c>
      <c r="K1051" s="3" t="s">
        <v>36</v>
      </c>
      <c r="L1051" s="4">
        <v>43617</v>
      </c>
      <c r="M1051" s="3" t="s">
        <v>21</v>
      </c>
      <c r="N1051" s="3" t="s">
        <v>4435</v>
      </c>
    </row>
    <row r="1052" spans="1:14" ht="69.75">
      <c r="A1052" s="5">
        <v>1046</v>
      </c>
      <c r="B1052" s="5" t="str">
        <f>"202000098795"</f>
        <v>202000098795</v>
      </c>
      <c r="C1052" s="5" t="str">
        <f>"150391"</f>
        <v>150391</v>
      </c>
      <c r="D1052" s="5" t="s">
        <v>4436</v>
      </c>
      <c r="E1052" s="5">
        <v>20600794265</v>
      </c>
      <c r="F1052" s="5" t="s">
        <v>4437</v>
      </c>
      <c r="G1052" s="5" t="s">
        <v>4438</v>
      </c>
      <c r="H1052" s="5" t="s">
        <v>274</v>
      </c>
      <c r="I1052" s="5" t="s">
        <v>400</v>
      </c>
      <c r="J1052" s="5" t="s">
        <v>400</v>
      </c>
      <c r="K1052" s="5" t="s">
        <v>556</v>
      </c>
      <c r="L1052" s="6">
        <v>44050</v>
      </c>
      <c r="M1052" s="5" t="s">
        <v>21</v>
      </c>
      <c r="N1052" s="5" t="s">
        <v>4439</v>
      </c>
    </row>
    <row r="1053" spans="1:14" ht="13.5">
      <c r="A1053" s="3">
        <v>1047</v>
      </c>
      <c r="B1053" s="3" t="str">
        <f aca="true" t="shared" si="17" ref="B1053:B1059">"201900078665"</f>
        <v>201900078665</v>
      </c>
      <c r="C1053" s="3" t="str">
        <f>"143271"</f>
        <v>143271</v>
      </c>
      <c r="D1053" s="3" t="s">
        <v>4440</v>
      </c>
      <c r="E1053" s="3">
        <v>20115296150</v>
      </c>
      <c r="F1053" s="3" t="s">
        <v>4441</v>
      </c>
      <c r="G1053" s="3" t="s">
        <v>4442</v>
      </c>
      <c r="H1053" s="3" t="s">
        <v>253</v>
      </c>
      <c r="I1053" s="3" t="s">
        <v>253</v>
      </c>
      <c r="J1053" s="3" t="s">
        <v>253</v>
      </c>
      <c r="K1053" s="3" t="s">
        <v>97</v>
      </c>
      <c r="L1053" s="4">
        <v>43617</v>
      </c>
      <c r="M1053" s="3" t="s">
        <v>21</v>
      </c>
      <c r="N1053" s="3" t="s">
        <v>4443</v>
      </c>
    </row>
    <row r="1054" spans="1:14" ht="13.5">
      <c r="A1054" s="5">
        <v>1048</v>
      </c>
      <c r="B1054" s="5" t="str">
        <f t="shared" si="17"/>
        <v>201900078665</v>
      </c>
      <c r="C1054" s="5" t="str">
        <f>"143270"</f>
        <v>143270</v>
      </c>
      <c r="D1054" s="5" t="s">
        <v>4444</v>
      </c>
      <c r="E1054" s="5">
        <v>20100202396</v>
      </c>
      <c r="F1054" s="5" t="s">
        <v>4445</v>
      </c>
      <c r="G1054" s="5" t="s">
        <v>4446</v>
      </c>
      <c r="H1054" s="5" t="s">
        <v>253</v>
      </c>
      <c r="I1054" s="5" t="s">
        <v>253</v>
      </c>
      <c r="J1054" s="5" t="s">
        <v>253</v>
      </c>
      <c r="K1054" s="5" t="s">
        <v>36</v>
      </c>
      <c r="L1054" s="6">
        <v>43617</v>
      </c>
      <c r="M1054" s="5" t="s">
        <v>21</v>
      </c>
      <c r="N1054" s="5" t="s">
        <v>4447</v>
      </c>
    </row>
    <row r="1055" spans="1:14" ht="13.5">
      <c r="A1055" s="3">
        <v>1049</v>
      </c>
      <c r="B1055" s="3" t="str">
        <f t="shared" si="17"/>
        <v>201900078665</v>
      </c>
      <c r="C1055" s="3" t="str">
        <f>"143269"</f>
        <v>143269</v>
      </c>
      <c r="D1055" s="3" t="s">
        <v>4448</v>
      </c>
      <c r="E1055" s="3">
        <v>20600113331</v>
      </c>
      <c r="F1055" s="3" t="s">
        <v>4449</v>
      </c>
      <c r="G1055" s="3" t="s">
        <v>4450</v>
      </c>
      <c r="H1055" s="3" t="s">
        <v>253</v>
      </c>
      <c r="I1055" s="3" t="s">
        <v>253</v>
      </c>
      <c r="J1055" s="3" t="s">
        <v>4412</v>
      </c>
      <c r="K1055" s="3" t="s">
        <v>36</v>
      </c>
      <c r="L1055" s="4">
        <v>43617</v>
      </c>
      <c r="M1055" s="3" t="s">
        <v>21</v>
      </c>
      <c r="N1055" s="3" t="s">
        <v>4451</v>
      </c>
    </row>
    <row r="1056" spans="1:14" ht="13.5">
      <c r="A1056" s="5">
        <v>1050</v>
      </c>
      <c r="B1056" s="5" t="str">
        <f t="shared" si="17"/>
        <v>201900078665</v>
      </c>
      <c r="C1056" s="5" t="str">
        <f>"143276"</f>
        <v>143276</v>
      </c>
      <c r="D1056" s="5" t="s">
        <v>4452</v>
      </c>
      <c r="E1056" s="5">
        <v>10422185688</v>
      </c>
      <c r="F1056" s="5" t="s">
        <v>4453</v>
      </c>
      <c r="G1056" s="5" t="s">
        <v>4454</v>
      </c>
      <c r="H1056" s="5" t="s">
        <v>253</v>
      </c>
      <c r="I1056" s="5" t="s">
        <v>253</v>
      </c>
      <c r="J1056" s="5" t="s">
        <v>4455</v>
      </c>
      <c r="K1056" s="5" t="s">
        <v>51</v>
      </c>
      <c r="L1056" s="6">
        <v>43617</v>
      </c>
      <c r="M1056" s="5" t="s">
        <v>21</v>
      </c>
      <c r="N1056" s="5" t="s">
        <v>4453</v>
      </c>
    </row>
    <row r="1057" spans="1:14" ht="13.5">
      <c r="A1057" s="3">
        <v>1051</v>
      </c>
      <c r="B1057" s="3" t="str">
        <f t="shared" si="17"/>
        <v>201900078665</v>
      </c>
      <c r="C1057" s="3" t="str">
        <f>"143275"</f>
        <v>143275</v>
      </c>
      <c r="D1057" s="3" t="s">
        <v>4456</v>
      </c>
      <c r="E1057" s="3">
        <v>10250170900</v>
      </c>
      <c r="F1057" s="3" t="s">
        <v>4457</v>
      </c>
      <c r="G1057" s="3" t="s">
        <v>4458</v>
      </c>
      <c r="H1057" s="3" t="s">
        <v>253</v>
      </c>
      <c r="I1057" s="3" t="s">
        <v>253</v>
      </c>
      <c r="J1057" s="3" t="s">
        <v>4455</v>
      </c>
      <c r="K1057" s="3" t="s">
        <v>36</v>
      </c>
      <c r="L1057" s="4">
        <v>43617</v>
      </c>
      <c r="M1057" s="3" t="s">
        <v>21</v>
      </c>
      <c r="N1057" s="3" t="s">
        <v>4457</v>
      </c>
    </row>
    <row r="1058" spans="1:14" ht="13.5">
      <c r="A1058" s="5">
        <v>1052</v>
      </c>
      <c r="B1058" s="5" t="str">
        <f t="shared" si="17"/>
        <v>201900078665</v>
      </c>
      <c r="C1058" s="5" t="str">
        <f>"143274"</f>
        <v>143274</v>
      </c>
      <c r="D1058" s="5" t="s">
        <v>4459</v>
      </c>
      <c r="E1058" s="5">
        <v>10248715494</v>
      </c>
      <c r="F1058" s="5" t="s">
        <v>4460</v>
      </c>
      <c r="G1058" s="5" t="s">
        <v>4461</v>
      </c>
      <c r="H1058" s="5" t="s">
        <v>253</v>
      </c>
      <c r="I1058" s="5" t="s">
        <v>253</v>
      </c>
      <c r="J1058" s="5" t="s">
        <v>4455</v>
      </c>
      <c r="K1058" s="5" t="s">
        <v>36</v>
      </c>
      <c r="L1058" s="6">
        <v>43617</v>
      </c>
      <c r="M1058" s="5" t="s">
        <v>21</v>
      </c>
      <c r="N1058" s="5" t="s">
        <v>4460</v>
      </c>
    </row>
    <row r="1059" spans="1:14" ht="13.5">
      <c r="A1059" s="3">
        <v>1053</v>
      </c>
      <c r="B1059" s="3" t="str">
        <f t="shared" si="17"/>
        <v>201900078665</v>
      </c>
      <c r="C1059" s="3" t="str">
        <f>"143273"</f>
        <v>143273</v>
      </c>
      <c r="D1059" s="3" t="s">
        <v>4462</v>
      </c>
      <c r="E1059" s="3">
        <v>20603486227</v>
      </c>
      <c r="F1059" s="3" t="s">
        <v>4463</v>
      </c>
      <c r="G1059" s="3" t="s">
        <v>4464</v>
      </c>
      <c r="H1059" s="3" t="s">
        <v>253</v>
      </c>
      <c r="I1059" s="3" t="s">
        <v>253</v>
      </c>
      <c r="J1059" s="3" t="s">
        <v>253</v>
      </c>
      <c r="K1059" s="3" t="s">
        <v>36</v>
      </c>
      <c r="L1059" s="4">
        <v>43617</v>
      </c>
      <c r="M1059" s="3" t="s">
        <v>21</v>
      </c>
      <c r="N1059" s="3" t="s">
        <v>4465</v>
      </c>
    </row>
    <row r="1060" spans="1:14" ht="13.5">
      <c r="A1060" s="5">
        <v>1054</v>
      </c>
      <c r="B1060" s="5" t="str">
        <f>"201900153562"</f>
        <v>201900153562</v>
      </c>
      <c r="C1060" s="5" t="str">
        <f>"146684"</f>
        <v>146684</v>
      </c>
      <c r="D1060" s="5" t="s">
        <v>4466</v>
      </c>
      <c r="E1060" s="5">
        <v>10404873356</v>
      </c>
      <c r="F1060" s="5" t="s">
        <v>4467</v>
      </c>
      <c r="G1060" s="5" t="s">
        <v>4468</v>
      </c>
      <c r="H1060" s="5" t="s">
        <v>1620</v>
      </c>
      <c r="I1060" s="5" t="s">
        <v>1620</v>
      </c>
      <c r="J1060" s="5" t="s">
        <v>1620</v>
      </c>
      <c r="K1060" s="5" t="s">
        <v>51</v>
      </c>
      <c r="L1060" s="6">
        <v>43739</v>
      </c>
      <c r="M1060" s="5" t="s">
        <v>21</v>
      </c>
      <c r="N1060" s="5" t="s">
        <v>4467</v>
      </c>
    </row>
    <row r="1061" spans="1:14" ht="27.75">
      <c r="A1061" s="3">
        <v>1055</v>
      </c>
      <c r="B1061" s="3" t="str">
        <f>"201900134970"</f>
        <v>201900134970</v>
      </c>
      <c r="C1061" s="3" t="str">
        <f>"143657"</f>
        <v>143657</v>
      </c>
      <c r="D1061" s="3" t="s">
        <v>4469</v>
      </c>
      <c r="E1061" s="3">
        <v>20604218749</v>
      </c>
      <c r="F1061" s="3" t="s">
        <v>4470</v>
      </c>
      <c r="G1061" s="3" t="s">
        <v>4471</v>
      </c>
      <c r="H1061" s="3" t="s">
        <v>18</v>
      </c>
      <c r="I1061" s="3" t="s">
        <v>18</v>
      </c>
      <c r="J1061" s="3" t="s">
        <v>739</v>
      </c>
      <c r="K1061" s="3" t="s">
        <v>36</v>
      </c>
      <c r="L1061" s="4">
        <v>43705</v>
      </c>
      <c r="M1061" s="3" t="s">
        <v>21</v>
      </c>
      <c r="N1061" s="3" t="s">
        <v>4472</v>
      </c>
    </row>
    <row r="1062" spans="1:14" ht="27.75">
      <c r="A1062" s="5">
        <v>1056</v>
      </c>
      <c r="B1062" s="5" t="str">
        <f aca="true" t="shared" si="18" ref="B1062:B1069">"201900078803"</f>
        <v>201900078803</v>
      </c>
      <c r="C1062" s="5" t="str">
        <f>"143658"</f>
        <v>143658</v>
      </c>
      <c r="D1062" s="5" t="s">
        <v>4473</v>
      </c>
      <c r="E1062" s="5">
        <v>20602965521</v>
      </c>
      <c r="F1062" s="5" t="s">
        <v>4474</v>
      </c>
      <c r="G1062" s="5" t="s">
        <v>4475</v>
      </c>
      <c r="H1062" s="5" t="s">
        <v>18</v>
      </c>
      <c r="I1062" s="5" t="s">
        <v>18</v>
      </c>
      <c r="J1062" s="5" t="s">
        <v>739</v>
      </c>
      <c r="K1062" s="5" t="s">
        <v>774</v>
      </c>
      <c r="L1062" s="6">
        <v>43617</v>
      </c>
      <c r="M1062" s="5" t="s">
        <v>21</v>
      </c>
      <c r="N1062" s="5" t="s">
        <v>4476</v>
      </c>
    </row>
    <row r="1063" spans="1:14" ht="27.75">
      <c r="A1063" s="3">
        <v>1057</v>
      </c>
      <c r="B1063" s="3" t="str">
        <f t="shared" si="18"/>
        <v>201900078803</v>
      </c>
      <c r="C1063" s="3" t="str">
        <f>"143659"</f>
        <v>143659</v>
      </c>
      <c r="D1063" s="3" t="s">
        <v>4477</v>
      </c>
      <c r="E1063" s="3">
        <v>20336479488</v>
      </c>
      <c r="F1063" s="3" t="s">
        <v>4478</v>
      </c>
      <c r="G1063" s="3" t="s">
        <v>4479</v>
      </c>
      <c r="H1063" s="3" t="s">
        <v>18</v>
      </c>
      <c r="I1063" s="3" t="s">
        <v>18</v>
      </c>
      <c r="J1063" s="3" t="s">
        <v>3136</v>
      </c>
      <c r="K1063" s="3" t="s">
        <v>97</v>
      </c>
      <c r="L1063" s="4">
        <v>43617</v>
      </c>
      <c r="M1063" s="3" t="s">
        <v>21</v>
      </c>
      <c r="N1063" s="3" t="s">
        <v>4480</v>
      </c>
    </row>
    <row r="1064" spans="1:14" ht="27.75">
      <c r="A1064" s="5">
        <v>1058</v>
      </c>
      <c r="B1064" s="5" t="str">
        <f t="shared" si="18"/>
        <v>201900078803</v>
      </c>
      <c r="C1064" s="5" t="str">
        <f>"143660"</f>
        <v>143660</v>
      </c>
      <c r="D1064" s="5" t="s">
        <v>4481</v>
      </c>
      <c r="E1064" s="5">
        <v>20373176916</v>
      </c>
      <c r="F1064" s="5" t="s">
        <v>4482</v>
      </c>
      <c r="G1064" s="5" t="s">
        <v>4483</v>
      </c>
      <c r="H1064" s="5" t="s">
        <v>18</v>
      </c>
      <c r="I1064" s="5" t="s">
        <v>18</v>
      </c>
      <c r="J1064" s="5" t="s">
        <v>3136</v>
      </c>
      <c r="K1064" s="5" t="s">
        <v>4484</v>
      </c>
      <c r="L1064" s="6">
        <v>43617</v>
      </c>
      <c r="M1064" s="5" t="s">
        <v>21</v>
      </c>
      <c r="N1064" s="5" t="s">
        <v>4485</v>
      </c>
    </row>
    <row r="1065" spans="1:14" ht="13.5">
      <c r="A1065" s="3">
        <v>1059</v>
      </c>
      <c r="B1065" s="3" t="str">
        <f t="shared" si="18"/>
        <v>201900078803</v>
      </c>
      <c r="C1065" s="3" t="str">
        <f>"143661"</f>
        <v>143661</v>
      </c>
      <c r="D1065" s="3" t="s">
        <v>4486</v>
      </c>
      <c r="E1065" s="3">
        <v>20512865616</v>
      </c>
      <c r="F1065" s="3" t="s">
        <v>4487</v>
      </c>
      <c r="G1065" s="3" t="s">
        <v>4488</v>
      </c>
      <c r="H1065" s="3" t="s">
        <v>18</v>
      </c>
      <c r="I1065" s="3" t="s">
        <v>18</v>
      </c>
      <c r="J1065" s="3" t="s">
        <v>3136</v>
      </c>
      <c r="K1065" s="3" t="s">
        <v>36</v>
      </c>
      <c r="L1065" s="4">
        <v>43617</v>
      </c>
      <c r="M1065" s="3" t="s">
        <v>21</v>
      </c>
      <c r="N1065" s="3" t="s">
        <v>4489</v>
      </c>
    </row>
    <row r="1066" spans="1:14" ht="27.75">
      <c r="A1066" s="5">
        <v>1060</v>
      </c>
      <c r="B1066" s="5" t="str">
        <f t="shared" si="18"/>
        <v>201900078803</v>
      </c>
      <c r="C1066" s="5" t="str">
        <f>"143663"</f>
        <v>143663</v>
      </c>
      <c r="D1066" s="5" t="s">
        <v>4490</v>
      </c>
      <c r="E1066" s="5">
        <v>20508021918</v>
      </c>
      <c r="F1066" s="5" t="s">
        <v>4491</v>
      </c>
      <c r="G1066" s="5" t="s">
        <v>4492</v>
      </c>
      <c r="H1066" s="5" t="s">
        <v>18</v>
      </c>
      <c r="I1066" s="5" t="s">
        <v>18</v>
      </c>
      <c r="J1066" s="5" t="s">
        <v>1019</v>
      </c>
      <c r="K1066" s="5" t="s">
        <v>443</v>
      </c>
      <c r="L1066" s="6">
        <v>43617</v>
      </c>
      <c r="M1066" s="5" t="s">
        <v>21</v>
      </c>
      <c r="N1066" s="5" t="s">
        <v>4493</v>
      </c>
    </row>
    <row r="1067" spans="1:14" ht="42">
      <c r="A1067" s="3">
        <v>1061</v>
      </c>
      <c r="B1067" s="3" t="str">
        <f t="shared" si="18"/>
        <v>201900078803</v>
      </c>
      <c r="C1067" s="3" t="str">
        <f>"143662"</f>
        <v>143662</v>
      </c>
      <c r="D1067" s="3" t="s">
        <v>4494</v>
      </c>
      <c r="E1067" s="3">
        <v>20501797881</v>
      </c>
      <c r="F1067" s="3" t="s">
        <v>4495</v>
      </c>
      <c r="G1067" s="3" t="s">
        <v>4496</v>
      </c>
      <c r="H1067" s="3" t="s">
        <v>18</v>
      </c>
      <c r="I1067" s="3" t="s">
        <v>18</v>
      </c>
      <c r="J1067" s="3" t="s">
        <v>1019</v>
      </c>
      <c r="K1067" s="3" t="s">
        <v>2024</v>
      </c>
      <c r="L1067" s="4">
        <v>43617</v>
      </c>
      <c r="M1067" s="3" t="s">
        <v>21</v>
      </c>
      <c r="N1067" s="3" t="s">
        <v>4497</v>
      </c>
    </row>
    <row r="1068" spans="1:14" ht="13.5">
      <c r="A1068" s="5">
        <v>1062</v>
      </c>
      <c r="B1068" s="5" t="str">
        <f t="shared" si="18"/>
        <v>201900078803</v>
      </c>
      <c r="C1068" s="5" t="str">
        <f>"143665"</f>
        <v>143665</v>
      </c>
      <c r="D1068" s="5" t="s">
        <v>4498</v>
      </c>
      <c r="E1068" s="5">
        <v>20531639473</v>
      </c>
      <c r="F1068" s="5" t="s">
        <v>4499</v>
      </c>
      <c r="G1068" s="5" t="s">
        <v>4500</v>
      </c>
      <c r="H1068" s="5" t="s">
        <v>18</v>
      </c>
      <c r="I1068" s="5" t="s">
        <v>18</v>
      </c>
      <c r="J1068" s="5" t="s">
        <v>1019</v>
      </c>
      <c r="K1068" s="5" t="s">
        <v>51</v>
      </c>
      <c r="L1068" s="6">
        <v>43617</v>
      </c>
      <c r="M1068" s="5" t="s">
        <v>21</v>
      </c>
      <c r="N1068" s="5" t="s">
        <v>4501</v>
      </c>
    </row>
    <row r="1069" spans="1:14" ht="42">
      <c r="A1069" s="3">
        <v>1063</v>
      </c>
      <c r="B1069" s="3" t="str">
        <f t="shared" si="18"/>
        <v>201900078803</v>
      </c>
      <c r="C1069" s="3" t="str">
        <f>"143664"</f>
        <v>143664</v>
      </c>
      <c r="D1069" s="3" t="s">
        <v>4502</v>
      </c>
      <c r="E1069" s="3">
        <v>20524363209</v>
      </c>
      <c r="F1069" s="3" t="s">
        <v>4503</v>
      </c>
      <c r="G1069" s="3" t="s">
        <v>4504</v>
      </c>
      <c r="H1069" s="3" t="s">
        <v>18</v>
      </c>
      <c r="I1069" s="3" t="s">
        <v>18</v>
      </c>
      <c r="J1069" s="3" t="s">
        <v>1019</v>
      </c>
      <c r="K1069" s="3" t="s">
        <v>4505</v>
      </c>
      <c r="L1069" s="4">
        <v>43617</v>
      </c>
      <c r="M1069" s="3" t="s">
        <v>21</v>
      </c>
      <c r="N1069" s="3" t="s">
        <v>4506</v>
      </c>
    </row>
    <row r="1070" spans="1:14" ht="13.5">
      <c r="A1070" s="5">
        <v>1064</v>
      </c>
      <c r="B1070" s="5" t="str">
        <f>"201900078665"</f>
        <v>201900078665</v>
      </c>
      <c r="C1070" s="5" t="str">
        <f>"143277"</f>
        <v>143277</v>
      </c>
      <c r="D1070" s="5" t="s">
        <v>4507</v>
      </c>
      <c r="E1070" s="5">
        <v>20100135699</v>
      </c>
      <c r="F1070" s="5" t="s">
        <v>4508</v>
      </c>
      <c r="G1070" s="5" t="s">
        <v>4509</v>
      </c>
      <c r="H1070" s="5" t="s">
        <v>253</v>
      </c>
      <c r="I1070" s="5" t="s">
        <v>253</v>
      </c>
      <c r="J1070" s="5" t="s">
        <v>4455</v>
      </c>
      <c r="K1070" s="5" t="s">
        <v>36</v>
      </c>
      <c r="L1070" s="6">
        <v>43617</v>
      </c>
      <c r="M1070" s="5" t="s">
        <v>21</v>
      </c>
      <c r="N1070" s="5" t="s">
        <v>4510</v>
      </c>
    </row>
    <row r="1071" spans="1:14" ht="42">
      <c r="A1071" s="3">
        <v>1065</v>
      </c>
      <c r="B1071" s="3" t="str">
        <f>"202000142385"</f>
        <v>202000142385</v>
      </c>
      <c r="C1071" s="3" t="str">
        <f>"150401"</f>
        <v>150401</v>
      </c>
      <c r="D1071" s="3" t="s">
        <v>4511</v>
      </c>
      <c r="E1071" s="3">
        <v>20488142632</v>
      </c>
      <c r="F1071" s="3" t="s">
        <v>4512</v>
      </c>
      <c r="G1071" s="3" t="s">
        <v>4513</v>
      </c>
      <c r="H1071" s="3" t="s">
        <v>333</v>
      </c>
      <c r="I1071" s="3" t="s">
        <v>334</v>
      </c>
      <c r="J1071" s="3" t="s">
        <v>1371</v>
      </c>
      <c r="K1071" s="3" t="s">
        <v>1561</v>
      </c>
      <c r="L1071" s="4">
        <v>44133</v>
      </c>
      <c r="M1071" s="3" t="s">
        <v>21</v>
      </c>
      <c r="N1071" s="3" t="s">
        <v>4514</v>
      </c>
    </row>
    <row r="1072" spans="1:14" ht="42">
      <c r="A1072" s="5">
        <v>1066</v>
      </c>
      <c r="B1072" s="5" t="str">
        <f>"201900078803"</f>
        <v>201900078803</v>
      </c>
      <c r="C1072" s="5" t="str">
        <f>"143666"</f>
        <v>143666</v>
      </c>
      <c r="D1072" s="5" t="s">
        <v>4515</v>
      </c>
      <c r="E1072" s="5">
        <v>20393560071</v>
      </c>
      <c r="F1072" s="5" t="s">
        <v>2926</v>
      </c>
      <c r="G1072" s="5" t="s">
        <v>4516</v>
      </c>
      <c r="H1072" s="5" t="s">
        <v>18</v>
      </c>
      <c r="I1072" s="5" t="s">
        <v>18</v>
      </c>
      <c r="J1072" s="5" t="s">
        <v>3886</v>
      </c>
      <c r="K1072" s="5" t="s">
        <v>4517</v>
      </c>
      <c r="L1072" s="6">
        <v>43617</v>
      </c>
      <c r="M1072" s="5" t="s">
        <v>21</v>
      </c>
      <c r="N1072" s="5" t="s">
        <v>4518</v>
      </c>
    </row>
    <row r="1073" spans="1:14" ht="27.75">
      <c r="A1073" s="3">
        <v>1067</v>
      </c>
      <c r="B1073" s="3" t="str">
        <f>"201900078665"</f>
        <v>201900078665</v>
      </c>
      <c r="C1073" s="3" t="str">
        <f>"143279"</f>
        <v>143279</v>
      </c>
      <c r="D1073" s="3" t="s">
        <v>4519</v>
      </c>
      <c r="E1073" s="3">
        <v>20490407848</v>
      </c>
      <c r="F1073" s="3" t="s">
        <v>4520</v>
      </c>
      <c r="G1073" s="3" t="s">
        <v>4454</v>
      </c>
      <c r="H1073" s="3" t="s">
        <v>253</v>
      </c>
      <c r="I1073" s="3" t="s">
        <v>253</v>
      </c>
      <c r="J1073" s="3" t="s">
        <v>4455</v>
      </c>
      <c r="K1073" s="3" t="s">
        <v>36</v>
      </c>
      <c r="L1073" s="4">
        <v>43617</v>
      </c>
      <c r="M1073" s="3" t="s">
        <v>21</v>
      </c>
      <c r="N1073" s="3" t="s">
        <v>4521</v>
      </c>
    </row>
    <row r="1074" spans="1:14" ht="139.5">
      <c r="A1074" s="5">
        <v>1068</v>
      </c>
      <c r="B1074" s="5" t="str">
        <f>"202000097821"</f>
        <v>202000097821</v>
      </c>
      <c r="C1074" s="5" t="str">
        <f>"150403"</f>
        <v>150403</v>
      </c>
      <c r="D1074" s="5" t="s">
        <v>4522</v>
      </c>
      <c r="E1074" s="5">
        <v>20606001305</v>
      </c>
      <c r="F1074" s="5" t="s">
        <v>4523</v>
      </c>
      <c r="G1074" s="5" t="s">
        <v>4524</v>
      </c>
      <c r="H1074" s="5" t="s">
        <v>73</v>
      </c>
      <c r="I1074" s="5" t="s">
        <v>74</v>
      </c>
      <c r="J1074" s="5" t="s">
        <v>74</v>
      </c>
      <c r="K1074" s="5" t="s">
        <v>504</v>
      </c>
      <c r="L1074" s="6">
        <v>44053</v>
      </c>
      <c r="M1074" s="5" t="s">
        <v>21</v>
      </c>
      <c r="N1074" s="5" t="s">
        <v>4525</v>
      </c>
    </row>
    <row r="1075" spans="1:14" ht="13.5">
      <c r="A1075" s="3">
        <v>1069</v>
      </c>
      <c r="B1075" s="3" t="str">
        <f aca="true" t="shared" si="19" ref="B1075:B1082">"201900078665"</f>
        <v>201900078665</v>
      </c>
      <c r="C1075" s="3" t="str">
        <f>"143278"</f>
        <v>143278</v>
      </c>
      <c r="D1075" s="3" t="s">
        <v>4526</v>
      </c>
      <c r="E1075" s="3">
        <v>20490240889</v>
      </c>
      <c r="F1075" s="3" t="s">
        <v>4527</v>
      </c>
      <c r="G1075" s="3" t="s">
        <v>4528</v>
      </c>
      <c r="H1075" s="3" t="s">
        <v>253</v>
      </c>
      <c r="I1075" s="3" t="s">
        <v>253</v>
      </c>
      <c r="J1075" s="3" t="s">
        <v>4455</v>
      </c>
      <c r="K1075" s="3" t="s">
        <v>36</v>
      </c>
      <c r="L1075" s="4">
        <v>43617</v>
      </c>
      <c r="M1075" s="3" t="s">
        <v>21</v>
      </c>
      <c r="N1075" s="3" t="s">
        <v>4529</v>
      </c>
    </row>
    <row r="1076" spans="1:14" ht="13.5">
      <c r="A1076" s="5">
        <v>1070</v>
      </c>
      <c r="B1076" s="5" t="str">
        <f t="shared" si="19"/>
        <v>201900078665</v>
      </c>
      <c r="C1076" s="5" t="str">
        <f>"143281"</f>
        <v>143281</v>
      </c>
      <c r="D1076" s="5" t="s">
        <v>4530</v>
      </c>
      <c r="E1076" s="5">
        <v>20559068315</v>
      </c>
      <c r="F1076" s="5" t="s">
        <v>4531</v>
      </c>
      <c r="G1076" s="5" t="s">
        <v>4532</v>
      </c>
      <c r="H1076" s="5" t="s">
        <v>253</v>
      </c>
      <c r="I1076" s="5" t="s">
        <v>253</v>
      </c>
      <c r="J1076" s="5" t="s">
        <v>4455</v>
      </c>
      <c r="K1076" s="5" t="s">
        <v>51</v>
      </c>
      <c r="L1076" s="6">
        <v>43617</v>
      </c>
      <c r="M1076" s="5" t="s">
        <v>21</v>
      </c>
      <c r="N1076" s="5" t="s">
        <v>4533</v>
      </c>
    </row>
    <row r="1077" spans="1:14" ht="13.5">
      <c r="A1077" s="3">
        <v>1071</v>
      </c>
      <c r="B1077" s="3" t="str">
        <f t="shared" si="19"/>
        <v>201900078665</v>
      </c>
      <c r="C1077" s="3" t="str">
        <f>"143280"</f>
        <v>143280</v>
      </c>
      <c r="D1077" s="3" t="s">
        <v>4534</v>
      </c>
      <c r="E1077" s="3">
        <v>20527608105</v>
      </c>
      <c r="F1077" s="3" t="s">
        <v>4535</v>
      </c>
      <c r="G1077" s="3" t="s">
        <v>4536</v>
      </c>
      <c r="H1077" s="3" t="s">
        <v>253</v>
      </c>
      <c r="I1077" s="3" t="s">
        <v>253</v>
      </c>
      <c r="J1077" s="3" t="s">
        <v>4455</v>
      </c>
      <c r="K1077" s="3" t="s">
        <v>36</v>
      </c>
      <c r="L1077" s="4">
        <v>43617</v>
      </c>
      <c r="M1077" s="3" t="s">
        <v>21</v>
      </c>
      <c r="N1077" s="3" t="s">
        <v>4537</v>
      </c>
    </row>
    <row r="1078" spans="1:14" ht="27.75">
      <c r="A1078" s="5">
        <v>1072</v>
      </c>
      <c r="B1078" s="5" t="str">
        <f t="shared" si="19"/>
        <v>201900078665</v>
      </c>
      <c r="C1078" s="5" t="str">
        <f>"143283"</f>
        <v>143283</v>
      </c>
      <c r="D1078" s="5" t="s">
        <v>4538</v>
      </c>
      <c r="E1078" s="5">
        <v>10453192020</v>
      </c>
      <c r="F1078" s="5" t="s">
        <v>4539</v>
      </c>
      <c r="G1078" s="5" t="s">
        <v>4540</v>
      </c>
      <c r="H1078" s="5" t="s">
        <v>253</v>
      </c>
      <c r="I1078" s="5" t="s">
        <v>253</v>
      </c>
      <c r="J1078" s="5" t="s">
        <v>969</v>
      </c>
      <c r="K1078" s="5" t="s">
        <v>36</v>
      </c>
      <c r="L1078" s="6">
        <v>43617</v>
      </c>
      <c r="M1078" s="5" t="s">
        <v>21</v>
      </c>
      <c r="N1078" s="5" t="s">
        <v>4539</v>
      </c>
    </row>
    <row r="1079" spans="1:14" ht="27.75">
      <c r="A1079" s="3">
        <v>1073</v>
      </c>
      <c r="B1079" s="3" t="str">
        <f t="shared" si="19"/>
        <v>201900078665</v>
      </c>
      <c r="C1079" s="3" t="str">
        <f>"143282"</f>
        <v>143282</v>
      </c>
      <c r="D1079" s="3" t="s">
        <v>4541</v>
      </c>
      <c r="E1079" s="3">
        <v>10293672178</v>
      </c>
      <c r="F1079" s="3" t="s">
        <v>4542</v>
      </c>
      <c r="G1079" s="3" t="s">
        <v>4543</v>
      </c>
      <c r="H1079" s="3" t="s">
        <v>253</v>
      </c>
      <c r="I1079" s="3" t="s">
        <v>253</v>
      </c>
      <c r="J1079" s="3" t="s">
        <v>969</v>
      </c>
      <c r="K1079" s="3" t="s">
        <v>51</v>
      </c>
      <c r="L1079" s="4">
        <v>43617</v>
      </c>
      <c r="M1079" s="3" t="s">
        <v>21</v>
      </c>
      <c r="N1079" s="3" t="s">
        <v>4542</v>
      </c>
    </row>
    <row r="1080" spans="1:14" ht="13.5">
      <c r="A1080" s="5">
        <v>1074</v>
      </c>
      <c r="B1080" s="5" t="str">
        <f t="shared" si="19"/>
        <v>201900078665</v>
      </c>
      <c r="C1080" s="5" t="str">
        <f>"143285"</f>
        <v>143285</v>
      </c>
      <c r="D1080" s="5" t="s">
        <v>4544</v>
      </c>
      <c r="E1080" s="5">
        <v>20273363026</v>
      </c>
      <c r="F1080" s="5" t="s">
        <v>4545</v>
      </c>
      <c r="G1080" s="5" t="s">
        <v>4546</v>
      </c>
      <c r="H1080" s="5" t="s">
        <v>253</v>
      </c>
      <c r="I1080" s="5" t="s">
        <v>253</v>
      </c>
      <c r="J1080" s="5" t="s">
        <v>969</v>
      </c>
      <c r="K1080" s="5" t="s">
        <v>51</v>
      </c>
      <c r="L1080" s="6">
        <v>43617</v>
      </c>
      <c r="M1080" s="5" t="s">
        <v>21</v>
      </c>
      <c r="N1080" s="5" t="s">
        <v>4547</v>
      </c>
    </row>
    <row r="1081" spans="1:14" ht="27.75">
      <c r="A1081" s="3">
        <v>1075</v>
      </c>
      <c r="B1081" s="3" t="str">
        <f t="shared" si="19"/>
        <v>201900078665</v>
      </c>
      <c r="C1081" s="3" t="str">
        <f>"143284"</f>
        <v>143284</v>
      </c>
      <c r="D1081" s="3" t="s">
        <v>4548</v>
      </c>
      <c r="E1081" s="3">
        <v>20121473845</v>
      </c>
      <c r="F1081" s="3" t="s">
        <v>4549</v>
      </c>
      <c r="G1081" s="3" t="s">
        <v>4550</v>
      </c>
      <c r="H1081" s="3" t="s">
        <v>253</v>
      </c>
      <c r="I1081" s="3" t="s">
        <v>253</v>
      </c>
      <c r="J1081" s="3" t="s">
        <v>969</v>
      </c>
      <c r="K1081" s="3" t="s">
        <v>137</v>
      </c>
      <c r="L1081" s="4">
        <v>43617</v>
      </c>
      <c r="M1081" s="3" t="s">
        <v>21</v>
      </c>
      <c r="N1081" s="3" t="s">
        <v>4551</v>
      </c>
    </row>
    <row r="1082" spans="1:14" ht="27.75">
      <c r="A1082" s="5">
        <v>1076</v>
      </c>
      <c r="B1082" s="5" t="str">
        <f t="shared" si="19"/>
        <v>201900078665</v>
      </c>
      <c r="C1082" s="5" t="str">
        <f>"143286"</f>
        <v>143286</v>
      </c>
      <c r="D1082" s="5" t="s">
        <v>4552</v>
      </c>
      <c r="E1082" s="5">
        <v>20423255898</v>
      </c>
      <c r="F1082" s="5" t="s">
        <v>4553</v>
      </c>
      <c r="G1082" s="5" t="s">
        <v>4554</v>
      </c>
      <c r="H1082" s="5" t="s">
        <v>253</v>
      </c>
      <c r="I1082" s="5" t="s">
        <v>253</v>
      </c>
      <c r="J1082" s="5" t="s">
        <v>969</v>
      </c>
      <c r="K1082" s="5" t="s">
        <v>97</v>
      </c>
      <c r="L1082" s="6">
        <v>43617</v>
      </c>
      <c r="M1082" s="5" t="s">
        <v>21</v>
      </c>
      <c r="N1082" s="5" t="s">
        <v>4555</v>
      </c>
    </row>
    <row r="1083" spans="1:14" ht="42">
      <c r="A1083" s="3">
        <v>1077</v>
      </c>
      <c r="B1083" s="3" t="str">
        <f>"202000106572"</f>
        <v>202000106572</v>
      </c>
      <c r="C1083" s="3" t="str">
        <f>"150651"</f>
        <v>150651</v>
      </c>
      <c r="D1083" s="3" t="s">
        <v>4556</v>
      </c>
      <c r="E1083" s="3">
        <v>20490115804</v>
      </c>
      <c r="F1083" s="3" t="s">
        <v>4557</v>
      </c>
      <c r="G1083" s="3" t="s">
        <v>4558</v>
      </c>
      <c r="H1083" s="3" t="s">
        <v>1830</v>
      </c>
      <c r="I1083" s="3" t="s">
        <v>4559</v>
      </c>
      <c r="J1083" s="3" t="s">
        <v>4560</v>
      </c>
      <c r="K1083" s="3" t="s">
        <v>42</v>
      </c>
      <c r="L1083" s="4">
        <v>44062</v>
      </c>
      <c r="M1083" s="3" t="s">
        <v>21</v>
      </c>
      <c r="N1083" s="3" t="s">
        <v>4561</v>
      </c>
    </row>
    <row r="1084" spans="1:14" ht="27.75">
      <c r="A1084" s="5">
        <v>1078</v>
      </c>
      <c r="B1084" s="5" t="str">
        <f>"201900078652"</f>
        <v>201900078652</v>
      </c>
      <c r="C1084" s="5" t="str">
        <f>"143255"</f>
        <v>143255</v>
      </c>
      <c r="D1084" s="5" t="s">
        <v>4562</v>
      </c>
      <c r="E1084" s="5">
        <v>10333228331</v>
      </c>
      <c r="F1084" s="5" t="s">
        <v>4563</v>
      </c>
      <c r="G1084" s="5" t="s">
        <v>4564</v>
      </c>
      <c r="H1084" s="5" t="s">
        <v>1645</v>
      </c>
      <c r="I1084" s="5" t="s">
        <v>4565</v>
      </c>
      <c r="J1084" s="5" t="s">
        <v>4565</v>
      </c>
      <c r="K1084" s="5" t="s">
        <v>51</v>
      </c>
      <c r="L1084" s="6">
        <v>43617</v>
      </c>
      <c r="M1084" s="5" t="s">
        <v>21</v>
      </c>
      <c r="N1084" s="5" t="s">
        <v>4563</v>
      </c>
    </row>
    <row r="1085" spans="1:14" ht="83.25">
      <c r="A1085" s="3">
        <v>1079</v>
      </c>
      <c r="B1085" s="3" t="str">
        <f>"202000024973"</f>
        <v>202000024973</v>
      </c>
      <c r="C1085" s="3" t="str">
        <f>"149206"</f>
        <v>149206</v>
      </c>
      <c r="D1085" s="3" t="s">
        <v>4566</v>
      </c>
      <c r="E1085" s="3">
        <v>20605804749</v>
      </c>
      <c r="F1085" s="3" t="s">
        <v>4567</v>
      </c>
      <c r="G1085" s="3" t="s">
        <v>4568</v>
      </c>
      <c r="H1085" s="3" t="s">
        <v>274</v>
      </c>
      <c r="I1085" s="3" t="s">
        <v>414</v>
      </c>
      <c r="J1085" s="3" t="s">
        <v>415</v>
      </c>
      <c r="K1085" s="3" t="s">
        <v>4569</v>
      </c>
      <c r="L1085" s="4">
        <v>43878</v>
      </c>
      <c r="M1085" s="3" t="s">
        <v>21</v>
      </c>
      <c r="N1085" s="3" t="s">
        <v>4570</v>
      </c>
    </row>
    <row r="1086" spans="1:14" ht="13.5">
      <c r="A1086" s="5">
        <v>1080</v>
      </c>
      <c r="B1086" s="5" t="str">
        <f>"201900078658"</f>
        <v>201900078658</v>
      </c>
      <c r="C1086" s="5" t="str">
        <f>"143256"</f>
        <v>143256</v>
      </c>
      <c r="D1086" s="5" t="s">
        <v>4571</v>
      </c>
      <c r="E1086" s="5">
        <v>10311271712</v>
      </c>
      <c r="F1086" s="5" t="s">
        <v>4572</v>
      </c>
      <c r="G1086" s="5" t="s">
        <v>3177</v>
      </c>
      <c r="H1086" s="5" t="s">
        <v>1830</v>
      </c>
      <c r="I1086" s="5" t="s">
        <v>3178</v>
      </c>
      <c r="J1086" s="5" t="s">
        <v>4573</v>
      </c>
      <c r="K1086" s="5" t="s">
        <v>36</v>
      </c>
      <c r="L1086" s="6">
        <v>43617</v>
      </c>
      <c r="M1086" s="5" t="s">
        <v>21</v>
      </c>
      <c r="N1086" s="5" t="s">
        <v>4572</v>
      </c>
    </row>
    <row r="1087" spans="1:14" ht="13.5">
      <c r="A1087" s="3">
        <v>1081</v>
      </c>
      <c r="B1087" s="3" t="str">
        <f>"201900078803"</f>
        <v>201900078803</v>
      </c>
      <c r="C1087" s="3" t="str">
        <f>"143671"</f>
        <v>143671</v>
      </c>
      <c r="D1087" s="3" t="s">
        <v>4574</v>
      </c>
      <c r="E1087" s="3">
        <v>10062690980</v>
      </c>
      <c r="F1087" s="3" t="s">
        <v>4575</v>
      </c>
      <c r="G1087" s="3" t="s">
        <v>4576</v>
      </c>
      <c r="H1087" s="3" t="s">
        <v>18</v>
      </c>
      <c r="I1087" s="3" t="s">
        <v>18</v>
      </c>
      <c r="J1087" s="3" t="s">
        <v>18</v>
      </c>
      <c r="K1087" s="3" t="s">
        <v>97</v>
      </c>
      <c r="L1087" s="4">
        <v>43617</v>
      </c>
      <c r="M1087" s="3" t="s">
        <v>21</v>
      </c>
      <c r="N1087" s="3" t="s">
        <v>4577</v>
      </c>
    </row>
    <row r="1088" spans="1:14" ht="13.5">
      <c r="A1088" s="5">
        <v>1082</v>
      </c>
      <c r="B1088" s="5" t="str">
        <f>"201900195113"</f>
        <v>201900195113</v>
      </c>
      <c r="C1088" s="5" t="str">
        <f>"147975"</f>
        <v>147975</v>
      </c>
      <c r="D1088" s="5" t="s">
        <v>4578</v>
      </c>
      <c r="E1088" s="5">
        <v>20605237666</v>
      </c>
      <c r="F1088" s="5" t="s">
        <v>4579</v>
      </c>
      <c r="G1088" s="5" t="s">
        <v>4580</v>
      </c>
      <c r="H1088" s="5" t="s">
        <v>333</v>
      </c>
      <c r="I1088" s="5" t="s">
        <v>333</v>
      </c>
      <c r="J1088" s="5" t="s">
        <v>759</v>
      </c>
      <c r="K1088" s="5" t="s">
        <v>51</v>
      </c>
      <c r="L1088" s="6">
        <v>43805</v>
      </c>
      <c r="M1088" s="5" t="s">
        <v>21</v>
      </c>
      <c r="N1088" s="5" t="s">
        <v>4581</v>
      </c>
    </row>
    <row r="1089" spans="1:14" ht="13.5">
      <c r="A1089" s="3">
        <v>1083</v>
      </c>
      <c r="B1089" s="3" t="str">
        <f>"201900078803"</f>
        <v>201900078803</v>
      </c>
      <c r="C1089" s="3" t="str">
        <f>"143672"</f>
        <v>143672</v>
      </c>
      <c r="D1089" s="3" t="s">
        <v>4582</v>
      </c>
      <c r="E1089" s="3">
        <v>10224271412</v>
      </c>
      <c r="F1089" s="3" t="s">
        <v>4583</v>
      </c>
      <c r="G1089" s="3" t="s">
        <v>4584</v>
      </c>
      <c r="H1089" s="3" t="s">
        <v>18</v>
      </c>
      <c r="I1089" s="3" t="s">
        <v>18</v>
      </c>
      <c r="J1089" s="3" t="s">
        <v>18</v>
      </c>
      <c r="K1089" s="3" t="s">
        <v>97</v>
      </c>
      <c r="L1089" s="4">
        <v>43617</v>
      </c>
      <c r="M1089" s="3" t="s">
        <v>21</v>
      </c>
      <c r="N1089" s="3" t="s">
        <v>4585</v>
      </c>
    </row>
    <row r="1090" spans="1:14" ht="27.75">
      <c r="A1090" s="5">
        <v>1084</v>
      </c>
      <c r="B1090" s="5" t="str">
        <f>"201900078803"</f>
        <v>201900078803</v>
      </c>
      <c r="C1090" s="5" t="str">
        <f>"143669"</f>
        <v>143669</v>
      </c>
      <c r="D1090" s="5" t="s">
        <v>4586</v>
      </c>
      <c r="E1090" s="5">
        <v>20536220462</v>
      </c>
      <c r="F1090" s="5" t="s">
        <v>4587</v>
      </c>
      <c r="G1090" s="5" t="s">
        <v>4588</v>
      </c>
      <c r="H1090" s="5" t="s">
        <v>18</v>
      </c>
      <c r="I1090" s="5" t="s">
        <v>18</v>
      </c>
      <c r="J1090" s="5" t="s">
        <v>3886</v>
      </c>
      <c r="K1090" s="5" t="s">
        <v>4589</v>
      </c>
      <c r="L1090" s="6">
        <v>43617</v>
      </c>
      <c r="M1090" s="5" t="s">
        <v>21</v>
      </c>
      <c r="N1090" s="5" t="s">
        <v>1923</v>
      </c>
    </row>
    <row r="1091" spans="1:14" ht="83.25">
      <c r="A1091" s="3">
        <v>1085</v>
      </c>
      <c r="B1091" s="3" t="str">
        <f>"202000024097"</f>
        <v>202000024097</v>
      </c>
      <c r="C1091" s="3" t="str">
        <f>"149203"</f>
        <v>149203</v>
      </c>
      <c r="D1091" s="3" t="s">
        <v>4590</v>
      </c>
      <c r="E1091" s="3">
        <v>20604202842</v>
      </c>
      <c r="F1091" s="3" t="s">
        <v>4591</v>
      </c>
      <c r="G1091" s="3" t="s">
        <v>4592</v>
      </c>
      <c r="H1091" s="3" t="s">
        <v>18</v>
      </c>
      <c r="I1091" s="3" t="s">
        <v>18</v>
      </c>
      <c r="J1091" s="3" t="s">
        <v>18</v>
      </c>
      <c r="K1091" s="3" t="s">
        <v>4593</v>
      </c>
      <c r="L1091" s="4">
        <v>43878</v>
      </c>
      <c r="M1091" s="3" t="s">
        <v>21</v>
      </c>
      <c r="N1091" s="3" t="s">
        <v>4594</v>
      </c>
    </row>
    <row r="1092" spans="1:14" ht="27.75">
      <c r="A1092" s="5">
        <v>1086</v>
      </c>
      <c r="B1092" s="5" t="str">
        <f>"201900078803"</f>
        <v>201900078803</v>
      </c>
      <c r="C1092" s="5" t="str">
        <f>"143670"</f>
        <v>143670</v>
      </c>
      <c r="D1092" s="5" t="s">
        <v>4595</v>
      </c>
      <c r="E1092" s="5">
        <v>10061222206</v>
      </c>
      <c r="F1092" s="5" t="s">
        <v>4596</v>
      </c>
      <c r="G1092" s="5" t="s">
        <v>4597</v>
      </c>
      <c r="H1092" s="5" t="s">
        <v>18</v>
      </c>
      <c r="I1092" s="5" t="s">
        <v>18</v>
      </c>
      <c r="J1092" s="5" t="s">
        <v>18</v>
      </c>
      <c r="K1092" s="5" t="s">
        <v>443</v>
      </c>
      <c r="L1092" s="6">
        <v>43617</v>
      </c>
      <c r="M1092" s="5" t="s">
        <v>21</v>
      </c>
      <c r="N1092" s="5" t="s">
        <v>4598</v>
      </c>
    </row>
    <row r="1093" spans="1:14" ht="27.75">
      <c r="A1093" s="3">
        <v>1087</v>
      </c>
      <c r="B1093" s="3" t="str">
        <f>"201900078803"</f>
        <v>201900078803</v>
      </c>
      <c r="C1093" s="3" t="str">
        <f>"143667"</f>
        <v>143667</v>
      </c>
      <c r="D1093" s="3" t="s">
        <v>4599</v>
      </c>
      <c r="E1093" s="3">
        <v>20506186502</v>
      </c>
      <c r="F1093" s="3" t="s">
        <v>4600</v>
      </c>
      <c r="G1093" s="3" t="s">
        <v>4601</v>
      </c>
      <c r="H1093" s="3" t="s">
        <v>18</v>
      </c>
      <c r="I1093" s="3" t="s">
        <v>18</v>
      </c>
      <c r="J1093" s="3" t="s">
        <v>3886</v>
      </c>
      <c r="K1093" s="3" t="s">
        <v>51</v>
      </c>
      <c r="L1093" s="4">
        <v>43617</v>
      </c>
      <c r="M1093" s="3" t="s">
        <v>21</v>
      </c>
      <c r="N1093" s="3" t="s">
        <v>4602</v>
      </c>
    </row>
    <row r="1094" spans="1:14" ht="13.5">
      <c r="A1094" s="5">
        <v>1088</v>
      </c>
      <c r="B1094" s="5" t="str">
        <f>"201900078803"</f>
        <v>201900078803</v>
      </c>
      <c r="C1094" s="5" t="str">
        <f>"143668"</f>
        <v>143668</v>
      </c>
      <c r="D1094" s="5" t="s">
        <v>4603</v>
      </c>
      <c r="E1094" s="5">
        <v>20524805155</v>
      </c>
      <c r="F1094" s="5" t="s">
        <v>4604</v>
      </c>
      <c r="G1094" s="5" t="s">
        <v>4605</v>
      </c>
      <c r="H1094" s="5" t="s">
        <v>18</v>
      </c>
      <c r="I1094" s="5" t="s">
        <v>18</v>
      </c>
      <c r="J1094" s="5" t="s">
        <v>3886</v>
      </c>
      <c r="K1094" s="5" t="s">
        <v>36</v>
      </c>
      <c r="L1094" s="6">
        <v>43617</v>
      </c>
      <c r="M1094" s="5" t="s">
        <v>21</v>
      </c>
      <c r="N1094" s="5" t="s">
        <v>4606</v>
      </c>
    </row>
    <row r="1095" spans="1:14" ht="13.5">
      <c r="A1095" s="3">
        <v>1089</v>
      </c>
      <c r="B1095" s="3" t="str">
        <f>"202000094895"</f>
        <v>202000094895</v>
      </c>
      <c r="C1095" s="3" t="str">
        <f>"150381"</f>
        <v>150381</v>
      </c>
      <c r="D1095" s="3" t="s">
        <v>4607</v>
      </c>
      <c r="E1095" s="3">
        <v>20570586417</v>
      </c>
      <c r="F1095" s="3" t="s">
        <v>4608</v>
      </c>
      <c r="G1095" s="3" t="s">
        <v>4609</v>
      </c>
      <c r="H1095" s="3" t="s">
        <v>92</v>
      </c>
      <c r="I1095" s="3" t="s">
        <v>92</v>
      </c>
      <c r="J1095" s="3" t="s">
        <v>1008</v>
      </c>
      <c r="K1095" s="3" t="s">
        <v>51</v>
      </c>
      <c r="L1095" s="4">
        <v>44060</v>
      </c>
      <c r="M1095" s="3" t="s">
        <v>21</v>
      </c>
      <c r="N1095" s="3" t="s">
        <v>4610</v>
      </c>
    </row>
    <row r="1096" spans="1:14" ht="13.5">
      <c r="A1096" s="5">
        <v>1090</v>
      </c>
      <c r="B1096" s="5" t="str">
        <f>"201900078803"</f>
        <v>201900078803</v>
      </c>
      <c r="C1096" s="5" t="str">
        <f>"143676"</f>
        <v>143676</v>
      </c>
      <c r="D1096" s="5" t="s">
        <v>4611</v>
      </c>
      <c r="E1096" s="5">
        <v>20489731674</v>
      </c>
      <c r="F1096" s="5" t="s">
        <v>4612</v>
      </c>
      <c r="G1096" s="5" t="s">
        <v>4613</v>
      </c>
      <c r="H1096" s="5" t="s">
        <v>18</v>
      </c>
      <c r="I1096" s="5" t="s">
        <v>18</v>
      </c>
      <c r="J1096" s="5" t="s">
        <v>18</v>
      </c>
      <c r="K1096" s="5" t="s">
        <v>51</v>
      </c>
      <c r="L1096" s="6">
        <v>43617</v>
      </c>
      <c r="M1096" s="5" t="s">
        <v>21</v>
      </c>
      <c r="N1096" s="5" t="s">
        <v>4614</v>
      </c>
    </row>
    <row r="1097" spans="1:14" ht="13.5">
      <c r="A1097" s="3">
        <v>1091</v>
      </c>
      <c r="B1097" s="3" t="str">
        <f>"201900078803"</f>
        <v>201900078803</v>
      </c>
      <c r="C1097" s="3" t="str">
        <f>"143675"</f>
        <v>143675</v>
      </c>
      <c r="D1097" s="3" t="s">
        <v>4615</v>
      </c>
      <c r="E1097" s="3">
        <v>20486906295</v>
      </c>
      <c r="F1097" s="3" t="s">
        <v>4616</v>
      </c>
      <c r="G1097" s="3" t="s">
        <v>4617</v>
      </c>
      <c r="H1097" s="3" t="s">
        <v>18</v>
      </c>
      <c r="I1097" s="3" t="s">
        <v>18</v>
      </c>
      <c r="J1097" s="3" t="s">
        <v>18</v>
      </c>
      <c r="K1097" s="3" t="s">
        <v>51</v>
      </c>
      <c r="L1097" s="4">
        <v>43617</v>
      </c>
      <c r="M1097" s="3" t="s">
        <v>21</v>
      </c>
      <c r="N1097" s="3" t="s">
        <v>4618</v>
      </c>
    </row>
    <row r="1098" spans="1:14" ht="13.5">
      <c r="A1098" s="5">
        <v>1092</v>
      </c>
      <c r="B1098" s="5" t="str">
        <f>"202000030681"</f>
        <v>202000030681</v>
      </c>
      <c r="C1098" s="5" t="str">
        <f>"143674"</f>
        <v>143674</v>
      </c>
      <c r="D1098" s="5" t="s">
        <v>4619</v>
      </c>
      <c r="E1098" s="5">
        <v>20478078162</v>
      </c>
      <c r="F1098" s="5" t="s">
        <v>4620</v>
      </c>
      <c r="G1098" s="5" t="s">
        <v>4621</v>
      </c>
      <c r="H1098" s="5" t="s">
        <v>18</v>
      </c>
      <c r="I1098" s="5" t="s">
        <v>18</v>
      </c>
      <c r="J1098" s="5" t="s">
        <v>18</v>
      </c>
      <c r="K1098" s="5" t="s">
        <v>36</v>
      </c>
      <c r="L1098" s="6">
        <v>43887</v>
      </c>
      <c r="M1098" s="5" t="s">
        <v>21</v>
      </c>
      <c r="N1098" s="5" t="s">
        <v>4622</v>
      </c>
    </row>
    <row r="1099" spans="1:14" ht="13.5">
      <c r="A1099" s="3">
        <v>1093</v>
      </c>
      <c r="B1099" s="3" t="str">
        <f>"201900078803"</f>
        <v>201900078803</v>
      </c>
      <c r="C1099" s="3" t="str">
        <f>"143673"</f>
        <v>143673</v>
      </c>
      <c r="D1099" s="3" t="s">
        <v>4623</v>
      </c>
      <c r="E1099" s="3">
        <v>10322854060</v>
      </c>
      <c r="F1099" s="3" t="s">
        <v>4624</v>
      </c>
      <c r="G1099" s="3" t="s">
        <v>4625</v>
      </c>
      <c r="H1099" s="3" t="s">
        <v>18</v>
      </c>
      <c r="I1099" s="3" t="s">
        <v>18</v>
      </c>
      <c r="J1099" s="3" t="s">
        <v>18</v>
      </c>
      <c r="K1099" s="3" t="s">
        <v>97</v>
      </c>
      <c r="L1099" s="4">
        <v>43617</v>
      </c>
      <c r="M1099" s="3" t="s">
        <v>21</v>
      </c>
      <c r="N1099" s="3" t="s">
        <v>4626</v>
      </c>
    </row>
    <row r="1100" spans="1:14" ht="13.5">
      <c r="A1100" s="5">
        <v>1094</v>
      </c>
      <c r="B1100" s="5" t="str">
        <f>"201900078652"</f>
        <v>201900078652</v>
      </c>
      <c r="C1100" s="5" t="str">
        <f>"143254"</f>
        <v>143254</v>
      </c>
      <c r="D1100" s="5" t="s">
        <v>4627</v>
      </c>
      <c r="E1100" s="5">
        <v>20602558798</v>
      </c>
      <c r="F1100" s="5" t="s">
        <v>4628</v>
      </c>
      <c r="G1100" s="5" t="s">
        <v>4629</v>
      </c>
      <c r="H1100" s="5" t="s">
        <v>1645</v>
      </c>
      <c r="I1100" s="5" t="s">
        <v>4630</v>
      </c>
      <c r="J1100" s="5" t="s">
        <v>4630</v>
      </c>
      <c r="K1100" s="5" t="s">
        <v>51</v>
      </c>
      <c r="L1100" s="6">
        <v>43617</v>
      </c>
      <c r="M1100" s="5" t="s">
        <v>21</v>
      </c>
      <c r="N1100" s="5" t="s">
        <v>4631</v>
      </c>
    </row>
    <row r="1101" spans="1:14" ht="27.75">
      <c r="A1101" s="3">
        <v>1095</v>
      </c>
      <c r="B1101" s="3" t="str">
        <f>"201900078652"</f>
        <v>201900078652</v>
      </c>
      <c r="C1101" s="3" t="str">
        <f>"143253"</f>
        <v>143253</v>
      </c>
      <c r="D1101" s="3" t="s">
        <v>4632</v>
      </c>
      <c r="E1101" s="3">
        <v>20601627745</v>
      </c>
      <c r="F1101" s="3" t="s">
        <v>4633</v>
      </c>
      <c r="G1101" s="3" t="s">
        <v>4634</v>
      </c>
      <c r="H1101" s="3" t="s">
        <v>1645</v>
      </c>
      <c r="I1101" s="3" t="s">
        <v>2279</v>
      </c>
      <c r="J1101" s="3" t="s">
        <v>2280</v>
      </c>
      <c r="K1101" s="3" t="s">
        <v>443</v>
      </c>
      <c r="L1101" s="4">
        <v>43617</v>
      </c>
      <c r="M1101" s="3" t="s">
        <v>21</v>
      </c>
      <c r="N1101" s="3" t="s">
        <v>4635</v>
      </c>
    </row>
    <row r="1102" spans="1:14" ht="125.25">
      <c r="A1102" s="5">
        <v>1096</v>
      </c>
      <c r="B1102" s="5" t="str">
        <f>"201900162249"</f>
        <v>201900162249</v>
      </c>
      <c r="C1102" s="5" t="str">
        <f>"143252"</f>
        <v>143252</v>
      </c>
      <c r="D1102" s="5" t="s">
        <v>4636</v>
      </c>
      <c r="E1102" s="5">
        <v>20600920759</v>
      </c>
      <c r="F1102" s="5" t="s">
        <v>4637</v>
      </c>
      <c r="G1102" s="5" t="s">
        <v>4638</v>
      </c>
      <c r="H1102" s="5" t="s">
        <v>1645</v>
      </c>
      <c r="I1102" s="5" t="s">
        <v>2279</v>
      </c>
      <c r="J1102" s="5" t="s">
        <v>2280</v>
      </c>
      <c r="K1102" s="5" t="s">
        <v>3514</v>
      </c>
      <c r="L1102" s="6">
        <v>43749</v>
      </c>
      <c r="M1102" s="5" t="s">
        <v>21</v>
      </c>
      <c r="N1102" s="5" t="s">
        <v>4639</v>
      </c>
    </row>
    <row r="1103" spans="1:14" ht="27.75">
      <c r="A1103" s="3">
        <v>1097</v>
      </c>
      <c r="B1103" s="3" t="str">
        <f>"201900078652"</f>
        <v>201900078652</v>
      </c>
      <c r="C1103" s="3" t="str">
        <f>"143251"</f>
        <v>143251</v>
      </c>
      <c r="D1103" s="3" t="s">
        <v>4640</v>
      </c>
      <c r="E1103" s="3">
        <v>20569280819</v>
      </c>
      <c r="F1103" s="3" t="s">
        <v>4641</v>
      </c>
      <c r="G1103" s="3" t="s">
        <v>4642</v>
      </c>
      <c r="H1103" s="3" t="s">
        <v>1645</v>
      </c>
      <c r="I1103" s="3" t="s">
        <v>2279</v>
      </c>
      <c r="J1103" s="3" t="s">
        <v>2280</v>
      </c>
      <c r="K1103" s="3" t="s">
        <v>51</v>
      </c>
      <c r="L1103" s="4">
        <v>43617</v>
      </c>
      <c r="M1103" s="3" t="s">
        <v>21</v>
      </c>
      <c r="N1103" s="3" t="s">
        <v>4643</v>
      </c>
    </row>
    <row r="1104" spans="1:14" ht="13.5">
      <c r="A1104" s="5">
        <v>1098</v>
      </c>
      <c r="B1104" s="5" t="str">
        <f>"201900078652"</f>
        <v>201900078652</v>
      </c>
      <c r="C1104" s="5" t="str">
        <f>"143250"</f>
        <v>143250</v>
      </c>
      <c r="D1104" s="5" t="s">
        <v>4644</v>
      </c>
      <c r="E1104" s="5">
        <v>20569113165</v>
      </c>
      <c r="F1104" s="5" t="s">
        <v>4645</v>
      </c>
      <c r="G1104" s="5" t="s">
        <v>4646</v>
      </c>
      <c r="H1104" s="5" t="s">
        <v>1645</v>
      </c>
      <c r="I1104" s="5" t="s">
        <v>2279</v>
      </c>
      <c r="J1104" s="5" t="s">
        <v>2280</v>
      </c>
      <c r="K1104" s="5" t="s">
        <v>97</v>
      </c>
      <c r="L1104" s="6">
        <v>43617</v>
      </c>
      <c r="M1104" s="5" t="s">
        <v>21</v>
      </c>
      <c r="N1104" s="5" t="s">
        <v>4647</v>
      </c>
    </row>
    <row r="1105" spans="1:14" ht="125.25">
      <c r="A1105" s="3">
        <v>1099</v>
      </c>
      <c r="B1105" s="3" t="str">
        <f>"202000036089"</f>
        <v>202000036089</v>
      </c>
      <c r="C1105" s="3" t="str">
        <f>"143249"</f>
        <v>143249</v>
      </c>
      <c r="D1105" s="3" t="s">
        <v>4648</v>
      </c>
      <c r="E1105" s="3">
        <v>20569104506</v>
      </c>
      <c r="F1105" s="3" t="s">
        <v>4649</v>
      </c>
      <c r="G1105" s="3" t="s">
        <v>4650</v>
      </c>
      <c r="H1105" s="3" t="s">
        <v>1645</v>
      </c>
      <c r="I1105" s="3" t="s">
        <v>2279</v>
      </c>
      <c r="J1105" s="3" t="s">
        <v>2280</v>
      </c>
      <c r="K1105" s="3" t="s">
        <v>4352</v>
      </c>
      <c r="L1105" s="4">
        <v>43902</v>
      </c>
      <c r="M1105" s="3" t="s">
        <v>21</v>
      </c>
      <c r="N1105" s="3" t="s">
        <v>4651</v>
      </c>
    </row>
    <row r="1106" spans="1:14" ht="125.25">
      <c r="A1106" s="5">
        <v>1100</v>
      </c>
      <c r="B1106" s="5" t="str">
        <f>"202000130430"</f>
        <v>202000130430</v>
      </c>
      <c r="C1106" s="5" t="str">
        <f>"143248"</f>
        <v>143248</v>
      </c>
      <c r="D1106" s="5" t="s">
        <v>4652</v>
      </c>
      <c r="E1106" s="5">
        <v>20541670247</v>
      </c>
      <c r="F1106" s="5" t="s">
        <v>4653</v>
      </c>
      <c r="G1106" s="5" t="s">
        <v>4654</v>
      </c>
      <c r="H1106" s="5" t="s">
        <v>1645</v>
      </c>
      <c r="I1106" s="5" t="s">
        <v>2279</v>
      </c>
      <c r="J1106" s="5" t="s">
        <v>2280</v>
      </c>
      <c r="K1106" s="5" t="s">
        <v>4352</v>
      </c>
      <c r="L1106" s="6">
        <v>44107</v>
      </c>
      <c r="M1106" s="5" t="s">
        <v>21</v>
      </c>
      <c r="N1106" s="5" t="s">
        <v>2750</v>
      </c>
    </row>
    <row r="1107" spans="1:14" ht="27.75">
      <c r="A1107" s="3">
        <v>1101</v>
      </c>
      <c r="B1107" s="3" t="str">
        <f>"201900078652"</f>
        <v>201900078652</v>
      </c>
      <c r="C1107" s="3" t="str">
        <f>"143247"</f>
        <v>143247</v>
      </c>
      <c r="D1107" s="3" t="s">
        <v>4655</v>
      </c>
      <c r="E1107" s="3">
        <v>20531935447</v>
      </c>
      <c r="F1107" s="3" t="s">
        <v>4656</v>
      </c>
      <c r="G1107" s="3" t="s">
        <v>4657</v>
      </c>
      <c r="H1107" s="3" t="s">
        <v>1645</v>
      </c>
      <c r="I1107" s="3" t="s">
        <v>2279</v>
      </c>
      <c r="J1107" s="3" t="s">
        <v>2280</v>
      </c>
      <c r="K1107" s="3" t="s">
        <v>97</v>
      </c>
      <c r="L1107" s="4">
        <v>43617</v>
      </c>
      <c r="M1107" s="3" t="s">
        <v>21</v>
      </c>
      <c r="N1107" s="3" t="s">
        <v>4658</v>
      </c>
    </row>
    <row r="1108" spans="1:14" ht="27.75">
      <c r="A1108" s="5">
        <v>1102</v>
      </c>
      <c r="B1108" s="5" t="str">
        <f>"201900211545"</f>
        <v>201900211545</v>
      </c>
      <c r="C1108" s="5" t="str">
        <f>"148408"</f>
        <v>148408</v>
      </c>
      <c r="D1108" s="5" t="s">
        <v>4659</v>
      </c>
      <c r="E1108" s="5">
        <v>20603507534</v>
      </c>
      <c r="F1108" s="5" t="s">
        <v>4660</v>
      </c>
      <c r="G1108" s="5" t="s">
        <v>4661</v>
      </c>
      <c r="H1108" s="5" t="s">
        <v>513</v>
      </c>
      <c r="I1108" s="5" t="s">
        <v>513</v>
      </c>
      <c r="J1108" s="5" t="s">
        <v>1172</v>
      </c>
      <c r="K1108" s="5" t="s">
        <v>36</v>
      </c>
      <c r="L1108" s="6">
        <v>43836</v>
      </c>
      <c r="M1108" s="5" t="s">
        <v>21</v>
      </c>
      <c r="N1108" s="5" t="s">
        <v>2168</v>
      </c>
    </row>
    <row r="1109" spans="1:14" ht="27.75">
      <c r="A1109" s="3">
        <v>1103</v>
      </c>
      <c r="B1109" s="3" t="str">
        <f>"201900078658"</f>
        <v>201900078658</v>
      </c>
      <c r="C1109" s="3" t="str">
        <f>"143266"</f>
        <v>143266</v>
      </c>
      <c r="D1109" s="3" t="s">
        <v>4662</v>
      </c>
      <c r="E1109" s="3">
        <v>20564256839</v>
      </c>
      <c r="F1109" s="3" t="s">
        <v>4663</v>
      </c>
      <c r="G1109" s="3" t="s">
        <v>4664</v>
      </c>
      <c r="H1109" s="3" t="s">
        <v>1830</v>
      </c>
      <c r="I1109" s="3" t="s">
        <v>1831</v>
      </c>
      <c r="J1109" s="3" t="s">
        <v>4039</v>
      </c>
      <c r="K1109" s="3" t="s">
        <v>51</v>
      </c>
      <c r="L1109" s="4">
        <v>43617</v>
      </c>
      <c r="M1109" s="3" t="s">
        <v>21</v>
      </c>
      <c r="N1109" s="3" t="s">
        <v>4665</v>
      </c>
    </row>
    <row r="1110" spans="1:14" ht="83.25">
      <c r="A1110" s="5">
        <v>1104</v>
      </c>
      <c r="B1110" s="5" t="str">
        <f>"202000007403"</f>
        <v>202000007403</v>
      </c>
      <c r="C1110" s="5" t="str">
        <f>"148764"</f>
        <v>148764</v>
      </c>
      <c r="D1110" s="5" t="s">
        <v>4666</v>
      </c>
      <c r="E1110" s="5">
        <v>20484036625</v>
      </c>
      <c r="F1110" s="5" t="s">
        <v>4667</v>
      </c>
      <c r="G1110" s="5" t="s">
        <v>4668</v>
      </c>
      <c r="H1110" s="5" t="s">
        <v>274</v>
      </c>
      <c r="I1110" s="5" t="s">
        <v>274</v>
      </c>
      <c r="J1110" s="5" t="s">
        <v>1316</v>
      </c>
      <c r="K1110" s="5" t="s">
        <v>4154</v>
      </c>
      <c r="L1110" s="6">
        <v>43850</v>
      </c>
      <c r="M1110" s="5" t="s">
        <v>21</v>
      </c>
      <c r="N1110" s="5" t="s">
        <v>4669</v>
      </c>
    </row>
    <row r="1111" spans="1:14" ht="13.5">
      <c r="A1111" s="3">
        <v>1105</v>
      </c>
      <c r="B1111" s="3" t="str">
        <f>"201900078803"</f>
        <v>201900078803</v>
      </c>
      <c r="C1111" s="3" t="str">
        <f>"143680"</f>
        <v>143680</v>
      </c>
      <c r="D1111" s="3" t="s">
        <v>4670</v>
      </c>
      <c r="E1111" s="3">
        <v>20513800534</v>
      </c>
      <c r="F1111" s="3" t="s">
        <v>4671</v>
      </c>
      <c r="G1111" s="3" t="s">
        <v>4672</v>
      </c>
      <c r="H1111" s="3" t="s">
        <v>18</v>
      </c>
      <c r="I1111" s="3" t="s">
        <v>18</v>
      </c>
      <c r="J1111" s="3" t="s">
        <v>18</v>
      </c>
      <c r="K1111" s="3" t="s">
        <v>68</v>
      </c>
      <c r="L1111" s="4">
        <v>43617</v>
      </c>
      <c r="M1111" s="3" t="s">
        <v>21</v>
      </c>
      <c r="N1111" s="3" t="s">
        <v>4673</v>
      </c>
    </row>
    <row r="1112" spans="1:14" ht="13.5">
      <c r="A1112" s="5">
        <v>1106</v>
      </c>
      <c r="B1112" s="5" t="str">
        <f>"201900078803"</f>
        <v>201900078803</v>
      </c>
      <c r="C1112" s="5" t="str">
        <f>"143681"</f>
        <v>143681</v>
      </c>
      <c r="D1112" s="5" t="s">
        <v>4674</v>
      </c>
      <c r="E1112" s="5">
        <v>20521628589</v>
      </c>
      <c r="F1112" s="5" t="s">
        <v>4675</v>
      </c>
      <c r="G1112" s="5" t="s">
        <v>4676</v>
      </c>
      <c r="H1112" s="5" t="s">
        <v>18</v>
      </c>
      <c r="I1112" s="5" t="s">
        <v>18</v>
      </c>
      <c r="J1112" s="5" t="s">
        <v>18</v>
      </c>
      <c r="K1112" s="5" t="s">
        <v>51</v>
      </c>
      <c r="L1112" s="6">
        <v>43617</v>
      </c>
      <c r="M1112" s="5" t="s">
        <v>21</v>
      </c>
      <c r="N1112" s="5" t="s">
        <v>4677</v>
      </c>
    </row>
    <row r="1113" spans="1:14" ht="42">
      <c r="A1113" s="3">
        <v>1107</v>
      </c>
      <c r="B1113" s="3" t="str">
        <f>"201900078803"</f>
        <v>201900078803</v>
      </c>
      <c r="C1113" s="3" t="str">
        <f>"143682"</f>
        <v>143682</v>
      </c>
      <c r="D1113" s="3" t="s">
        <v>4678</v>
      </c>
      <c r="E1113" s="3">
        <v>20604202842</v>
      </c>
      <c r="F1113" s="3" t="s">
        <v>4591</v>
      </c>
      <c r="G1113" s="3" t="s">
        <v>4679</v>
      </c>
      <c r="H1113" s="3" t="s">
        <v>18</v>
      </c>
      <c r="I1113" s="3" t="s">
        <v>18</v>
      </c>
      <c r="J1113" s="3" t="s">
        <v>18</v>
      </c>
      <c r="K1113" s="3" t="s">
        <v>4680</v>
      </c>
      <c r="L1113" s="4">
        <v>43617</v>
      </c>
      <c r="M1113" s="3" t="s">
        <v>21</v>
      </c>
      <c r="N1113" s="3" t="s">
        <v>4594</v>
      </c>
    </row>
    <row r="1114" spans="1:14" ht="42">
      <c r="A1114" s="5">
        <v>1108</v>
      </c>
      <c r="B1114" s="5" t="str">
        <f>"201900078803"</f>
        <v>201900078803</v>
      </c>
      <c r="C1114" s="5" t="str">
        <f>"143683"</f>
        <v>143683</v>
      </c>
      <c r="D1114" s="5" t="s">
        <v>4681</v>
      </c>
      <c r="E1114" s="5">
        <v>20604279837</v>
      </c>
      <c r="F1114" s="5" t="s">
        <v>4682</v>
      </c>
      <c r="G1114" s="5" t="s">
        <v>4683</v>
      </c>
      <c r="H1114" s="5" t="s">
        <v>18</v>
      </c>
      <c r="I1114" s="5" t="s">
        <v>18</v>
      </c>
      <c r="J1114" s="5" t="s">
        <v>18</v>
      </c>
      <c r="K1114" s="5" t="s">
        <v>42</v>
      </c>
      <c r="L1114" s="6">
        <v>43617</v>
      </c>
      <c r="M1114" s="5" t="s">
        <v>21</v>
      </c>
      <c r="N1114" s="5" t="s">
        <v>4684</v>
      </c>
    </row>
    <row r="1115" spans="1:14" ht="125.25">
      <c r="A1115" s="3">
        <v>1109</v>
      </c>
      <c r="B1115" s="3" t="str">
        <f>"202000092717"</f>
        <v>202000092717</v>
      </c>
      <c r="C1115" s="3" t="str">
        <f>"150222"</f>
        <v>150222</v>
      </c>
      <c r="D1115" s="3" t="s">
        <v>4685</v>
      </c>
      <c r="E1115" s="3">
        <v>10767335071</v>
      </c>
      <c r="F1115" s="3" t="s">
        <v>4686</v>
      </c>
      <c r="G1115" s="3" t="s">
        <v>4687</v>
      </c>
      <c r="H1115" s="3" t="s">
        <v>274</v>
      </c>
      <c r="I1115" s="3" t="s">
        <v>274</v>
      </c>
      <c r="J1115" s="3" t="s">
        <v>1003</v>
      </c>
      <c r="K1115" s="3" t="s">
        <v>4688</v>
      </c>
      <c r="L1115" s="4">
        <v>44041</v>
      </c>
      <c r="M1115" s="3" t="s">
        <v>21</v>
      </c>
      <c r="N1115" s="3" t="s">
        <v>4686</v>
      </c>
    </row>
    <row r="1116" spans="1:14" ht="42">
      <c r="A1116" s="5">
        <v>1110</v>
      </c>
      <c r="B1116" s="5" t="str">
        <f>"201900078803"</f>
        <v>201900078803</v>
      </c>
      <c r="C1116" s="5" t="str">
        <f>"143677"</f>
        <v>143677</v>
      </c>
      <c r="D1116" s="5" t="s">
        <v>4689</v>
      </c>
      <c r="E1116" s="5">
        <v>20494784611</v>
      </c>
      <c r="F1116" s="5" t="s">
        <v>4690</v>
      </c>
      <c r="G1116" s="5" t="s">
        <v>4691</v>
      </c>
      <c r="H1116" s="5" t="s">
        <v>18</v>
      </c>
      <c r="I1116" s="5" t="s">
        <v>18</v>
      </c>
      <c r="J1116" s="5" t="s">
        <v>18</v>
      </c>
      <c r="K1116" s="5" t="s">
        <v>4692</v>
      </c>
      <c r="L1116" s="6">
        <v>43617</v>
      </c>
      <c r="M1116" s="5" t="s">
        <v>21</v>
      </c>
      <c r="N1116" s="5" t="s">
        <v>4693</v>
      </c>
    </row>
    <row r="1117" spans="1:14" ht="153.75">
      <c r="A1117" s="3">
        <v>1111</v>
      </c>
      <c r="B1117" s="3" t="str">
        <f>"202000126408"</f>
        <v>202000126408</v>
      </c>
      <c r="C1117" s="3" t="str">
        <f>"151343"</f>
        <v>151343</v>
      </c>
      <c r="D1117" s="3" t="s">
        <v>4694</v>
      </c>
      <c r="E1117" s="3">
        <v>10421671228</v>
      </c>
      <c r="F1117" s="3" t="s">
        <v>4695</v>
      </c>
      <c r="G1117" s="3" t="s">
        <v>4696</v>
      </c>
      <c r="H1117" s="3" t="s">
        <v>92</v>
      </c>
      <c r="I1117" s="3" t="s">
        <v>982</v>
      </c>
      <c r="J1117" s="3" t="s">
        <v>4697</v>
      </c>
      <c r="K1117" s="3" t="s">
        <v>75</v>
      </c>
      <c r="L1117" s="4">
        <v>44095</v>
      </c>
      <c r="M1117" s="3" t="s">
        <v>21</v>
      </c>
      <c r="N1117" s="3" t="s">
        <v>4695</v>
      </c>
    </row>
    <row r="1118" spans="1:14" ht="27.75">
      <c r="A1118" s="5">
        <v>1112</v>
      </c>
      <c r="B1118" s="5" t="str">
        <f>"201900078803"</f>
        <v>201900078803</v>
      </c>
      <c r="C1118" s="5" t="str">
        <f>"143678"</f>
        <v>143678</v>
      </c>
      <c r="D1118" s="5" t="s">
        <v>4698</v>
      </c>
      <c r="E1118" s="5">
        <v>20501121950</v>
      </c>
      <c r="F1118" s="5" t="s">
        <v>4699</v>
      </c>
      <c r="G1118" s="5" t="s">
        <v>4700</v>
      </c>
      <c r="H1118" s="5" t="s">
        <v>18</v>
      </c>
      <c r="I1118" s="5" t="s">
        <v>18</v>
      </c>
      <c r="J1118" s="5" t="s">
        <v>18</v>
      </c>
      <c r="K1118" s="5" t="s">
        <v>137</v>
      </c>
      <c r="L1118" s="6">
        <v>43617</v>
      </c>
      <c r="M1118" s="5" t="s">
        <v>21</v>
      </c>
      <c r="N1118" s="5" t="s">
        <v>4598</v>
      </c>
    </row>
    <row r="1119" spans="1:14" ht="13.5">
      <c r="A1119" s="3">
        <v>1113</v>
      </c>
      <c r="B1119" s="3" t="str">
        <f>"201900151136"</f>
        <v>201900151136</v>
      </c>
      <c r="C1119" s="3" t="str">
        <f>"146671"</f>
        <v>146671</v>
      </c>
      <c r="D1119" s="3" t="s">
        <v>4701</v>
      </c>
      <c r="E1119" s="3">
        <v>20604610436</v>
      </c>
      <c r="F1119" s="3" t="s">
        <v>4702</v>
      </c>
      <c r="G1119" s="3" t="s">
        <v>4703</v>
      </c>
      <c r="H1119" s="3" t="s">
        <v>615</v>
      </c>
      <c r="I1119" s="3" t="s">
        <v>616</v>
      </c>
      <c r="J1119" s="3" t="s">
        <v>4704</v>
      </c>
      <c r="K1119" s="3" t="s">
        <v>97</v>
      </c>
      <c r="L1119" s="4">
        <v>43735</v>
      </c>
      <c r="M1119" s="3" t="s">
        <v>21</v>
      </c>
      <c r="N1119" s="3" t="s">
        <v>4705</v>
      </c>
    </row>
    <row r="1120" spans="1:14" ht="42">
      <c r="A1120" s="5">
        <v>1114</v>
      </c>
      <c r="B1120" s="5" t="str">
        <f>"201900078803"</f>
        <v>201900078803</v>
      </c>
      <c r="C1120" s="5" t="str">
        <f>"143679"</f>
        <v>143679</v>
      </c>
      <c r="D1120" s="5" t="s">
        <v>4706</v>
      </c>
      <c r="E1120" s="5">
        <v>20510740841</v>
      </c>
      <c r="F1120" s="5" t="s">
        <v>4707</v>
      </c>
      <c r="G1120" s="5" t="s">
        <v>4708</v>
      </c>
      <c r="H1120" s="5" t="s">
        <v>18</v>
      </c>
      <c r="I1120" s="5" t="s">
        <v>18</v>
      </c>
      <c r="J1120" s="5" t="s">
        <v>18</v>
      </c>
      <c r="K1120" s="5" t="s">
        <v>4505</v>
      </c>
      <c r="L1120" s="6">
        <v>43617</v>
      </c>
      <c r="M1120" s="5" t="s">
        <v>21</v>
      </c>
      <c r="N1120" s="5" t="s">
        <v>4709</v>
      </c>
    </row>
    <row r="1121" spans="1:14" ht="27.75">
      <c r="A1121" s="3">
        <v>1115</v>
      </c>
      <c r="B1121" s="3" t="str">
        <f>"201900218520"</f>
        <v>201900218520</v>
      </c>
      <c r="C1121" s="3" t="str">
        <f>"148560"</f>
        <v>148560</v>
      </c>
      <c r="D1121" s="3" t="s">
        <v>4710</v>
      </c>
      <c r="E1121" s="3">
        <v>10326456794</v>
      </c>
      <c r="F1121" s="3" t="s">
        <v>4711</v>
      </c>
      <c r="G1121" s="3" t="s">
        <v>4712</v>
      </c>
      <c r="H1121" s="3" t="s">
        <v>1645</v>
      </c>
      <c r="I1121" s="3" t="s">
        <v>2664</v>
      </c>
      <c r="J1121" s="3" t="s">
        <v>4713</v>
      </c>
      <c r="K1121" s="3" t="s">
        <v>243</v>
      </c>
      <c r="L1121" s="4">
        <v>43850</v>
      </c>
      <c r="M1121" s="3" t="s">
        <v>21</v>
      </c>
      <c r="N1121" s="3" t="s">
        <v>4711</v>
      </c>
    </row>
    <row r="1122" spans="1:14" ht="13.5">
      <c r="A1122" s="5">
        <v>1116</v>
      </c>
      <c r="B1122" s="5" t="str">
        <f>"201900078658"</f>
        <v>201900078658</v>
      </c>
      <c r="C1122" s="5" t="str">
        <f>"143257"</f>
        <v>143257</v>
      </c>
      <c r="D1122" s="5" t="s">
        <v>4714</v>
      </c>
      <c r="E1122" s="5">
        <v>10448419164</v>
      </c>
      <c r="F1122" s="5" t="s">
        <v>4715</v>
      </c>
      <c r="G1122" s="5" t="s">
        <v>3177</v>
      </c>
      <c r="H1122" s="5" t="s">
        <v>1830</v>
      </c>
      <c r="I1122" s="5" t="s">
        <v>3178</v>
      </c>
      <c r="J1122" s="5" t="s">
        <v>4573</v>
      </c>
      <c r="K1122" s="5" t="s">
        <v>36</v>
      </c>
      <c r="L1122" s="6">
        <v>43617</v>
      </c>
      <c r="M1122" s="5" t="s">
        <v>21</v>
      </c>
      <c r="N1122" s="5" t="s">
        <v>4715</v>
      </c>
    </row>
    <row r="1123" spans="1:14" ht="27.75">
      <c r="A1123" s="3">
        <v>1117</v>
      </c>
      <c r="B1123" s="3" t="str">
        <f>"201900078803"</f>
        <v>201900078803</v>
      </c>
      <c r="C1123" s="3" t="str">
        <f>"143685"</f>
        <v>143685</v>
      </c>
      <c r="D1123" s="3" t="s">
        <v>4716</v>
      </c>
      <c r="E1123" s="3">
        <v>10086811915</v>
      </c>
      <c r="F1123" s="3" t="s">
        <v>4717</v>
      </c>
      <c r="G1123" s="3" t="s">
        <v>4718</v>
      </c>
      <c r="H1123" s="3" t="s">
        <v>18</v>
      </c>
      <c r="I1123" s="3" t="s">
        <v>18</v>
      </c>
      <c r="J1123" s="3" t="s">
        <v>779</v>
      </c>
      <c r="K1123" s="3" t="s">
        <v>199</v>
      </c>
      <c r="L1123" s="4">
        <v>43617</v>
      </c>
      <c r="M1123" s="3" t="s">
        <v>21</v>
      </c>
      <c r="N1123" s="3" t="s">
        <v>4719</v>
      </c>
    </row>
    <row r="1124" spans="1:14" ht="27.75">
      <c r="A1124" s="5">
        <v>1118</v>
      </c>
      <c r="B1124" s="5" t="str">
        <f>"201900078803"</f>
        <v>201900078803</v>
      </c>
      <c r="C1124" s="5" t="str">
        <f>"143684"</f>
        <v>143684</v>
      </c>
      <c r="D1124" s="5" t="s">
        <v>4720</v>
      </c>
      <c r="E1124" s="5">
        <v>10062103421</v>
      </c>
      <c r="F1124" s="5" t="s">
        <v>4721</v>
      </c>
      <c r="G1124" s="5" t="s">
        <v>4722</v>
      </c>
      <c r="H1124" s="5" t="s">
        <v>18</v>
      </c>
      <c r="I1124" s="5" t="s">
        <v>18</v>
      </c>
      <c r="J1124" s="5" t="s">
        <v>779</v>
      </c>
      <c r="K1124" s="5" t="s">
        <v>51</v>
      </c>
      <c r="L1124" s="6">
        <v>43617</v>
      </c>
      <c r="M1124" s="5" t="s">
        <v>21</v>
      </c>
      <c r="N1124" s="5" t="s">
        <v>4723</v>
      </c>
    </row>
    <row r="1125" spans="1:14" ht="27.75">
      <c r="A1125" s="3">
        <v>1119</v>
      </c>
      <c r="B1125" s="3" t="str">
        <f>"202000124970"</f>
        <v>202000124970</v>
      </c>
      <c r="C1125" s="3" t="str">
        <f>"151337"</f>
        <v>151337</v>
      </c>
      <c r="D1125" s="3" t="s">
        <v>4724</v>
      </c>
      <c r="E1125" s="3">
        <v>10101748460</v>
      </c>
      <c r="F1125" s="3" t="s">
        <v>4725</v>
      </c>
      <c r="G1125" s="3" t="s">
        <v>4726</v>
      </c>
      <c r="H1125" s="3" t="s">
        <v>18</v>
      </c>
      <c r="I1125" s="3" t="s">
        <v>18</v>
      </c>
      <c r="J1125" s="3" t="s">
        <v>18</v>
      </c>
      <c r="K1125" s="3" t="s">
        <v>4727</v>
      </c>
      <c r="L1125" s="4">
        <v>44098</v>
      </c>
      <c r="M1125" s="3" t="s">
        <v>21</v>
      </c>
      <c r="N1125" s="3" t="s">
        <v>4725</v>
      </c>
    </row>
    <row r="1126" spans="1:14" ht="69.75">
      <c r="A1126" s="5">
        <v>1120</v>
      </c>
      <c r="B1126" s="5" t="str">
        <f>"202000098794"</f>
        <v>202000098794</v>
      </c>
      <c r="C1126" s="5" t="str">
        <f>"150389"</f>
        <v>150389</v>
      </c>
      <c r="D1126" s="5" t="s">
        <v>4728</v>
      </c>
      <c r="E1126" s="5">
        <v>10032080672</v>
      </c>
      <c r="F1126" s="5" t="s">
        <v>4729</v>
      </c>
      <c r="G1126" s="5" t="s">
        <v>4730</v>
      </c>
      <c r="H1126" s="5" t="s">
        <v>274</v>
      </c>
      <c r="I1126" s="5" t="s">
        <v>400</v>
      </c>
      <c r="J1126" s="5" t="s">
        <v>400</v>
      </c>
      <c r="K1126" s="5" t="s">
        <v>4731</v>
      </c>
      <c r="L1126" s="6">
        <v>44053</v>
      </c>
      <c r="M1126" s="5" t="s">
        <v>21</v>
      </c>
      <c r="N1126" s="5" t="s">
        <v>4729</v>
      </c>
    </row>
    <row r="1127" spans="1:14" ht="69.75">
      <c r="A1127" s="3">
        <v>1121</v>
      </c>
      <c r="B1127" s="3" t="str">
        <f>"202000098791"</f>
        <v>202000098791</v>
      </c>
      <c r="C1127" s="3" t="str">
        <f>"150388"</f>
        <v>150388</v>
      </c>
      <c r="D1127" s="3" t="s">
        <v>4732</v>
      </c>
      <c r="E1127" s="3">
        <v>20525691412</v>
      </c>
      <c r="F1127" s="3" t="s">
        <v>4733</v>
      </c>
      <c r="G1127" s="3" t="s">
        <v>4734</v>
      </c>
      <c r="H1127" s="3" t="s">
        <v>274</v>
      </c>
      <c r="I1127" s="3" t="s">
        <v>370</v>
      </c>
      <c r="J1127" s="3" t="s">
        <v>4735</v>
      </c>
      <c r="K1127" s="3" t="s">
        <v>556</v>
      </c>
      <c r="L1127" s="4">
        <v>44050</v>
      </c>
      <c r="M1127" s="3" t="s">
        <v>21</v>
      </c>
      <c r="N1127" s="3" t="s">
        <v>4736</v>
      </c>
    </row>
    <row r="1128" spans="1:14" ht="42">
      <c r="A1128" s="5">
        <v>1122</v>
      </c>
      <c r="B1128" s="5" t="str">
        <f>"201900078803"</f>
        <v>201900078803</v>
      </c>
      <c r="C1128" s="5" t="str">
        <f>"143686"</f>
        <v>143686</v>
      </c>
      <c r="D1128" s="5" t="s">
        <v>4737</v>
      </c>
      <c r="E1128" s="5">
        <v>10096250563</v>
      </c>
      <c r="F1128" s="5" t="s">
        <v>3573</v>
      </c>
      <c r="G1128" s="5" t="s">
        <v>4738</v>
      </c>
      <c r="H1128" s="5" t="s">
        <v>18</v>
      </c>
      <c r="I1128" s="5" t="s">
        <v>18</v>
      </c>
      <c r="J1128" s="5" t="s">
        <v>779</v>
      </c>
      <c r="K1128" s="5" t="s">
        <v>3620</v>
      </c>
      <c r="L1128" s="6">
        <v>43617</v>
      </c>
      <c r="M1128" s="5" t="s">
        <v>21</v>
      </c>
      <c r="N1128" s="5" t="s">
        <v>4739</v>
      </c>
    </row>
    <row r="1129" spans="1:14" ht="13.5">
      <c r="A1129" s="3">
        <v>1123</v>
      </c>
      <c r="B1129" s="3" t="str">
        <f aca="true" t="shared" si="20" ref="B1129:B1135">"201900078658"</f>
        <v>201900078658</v>
      </c>
      <c r="C1129" s="3" t="str">
        <f>"143263"</f>
        <v>143263</v>
      </c>
      <c r="D1129" s="3" t="s">
        <v>4740</v>
      </c>
      <c r="E1129" s="3">
        <v>10801781441</v>
      </c>
      <c r="F1129" s="3" t="s">
        <v>4741</v>
      </c>
      <c r="G1129" s="3" t="s">
        <v>4742</v>
      </c>
      <c r="H1129" s="3" t="s">
        <v>1830</v>
      </c>
      <c r="I1129" s="3" t="s">
        <v>1831</v>
      </c>
      <c r="J1129" s="3" t="s">
        <v>4039</v>
      </c>
      <c r="K1129" s="3" t="s">
        <v>36</v>
      </c>
      <c r="L1129" s="4">
        <v>43617</v>
      </c>
      <c r="M1129" s="3" t="s">
        <v>21</v>
      </c>
      <c r="N1129" s="3" t="s">
        <v>4741</v>
      </c>
    </row>
    <row r="1130" spans="1:14" ht="13.5">
      <c r="A1130" s="5">
        <v>1124</v>
      </c>
      <c r="B1130" s="5" t="str">
        <f t="shared" si="20"/>
        <v>201900078658</v>
      </c>
      <c r="C1130" s="5" t="str">
        <f>"143262"</f>
        <v>143262</v>
      </c>
      <c r="D1130" s="5" t="s">
        <v>4743</v>
      </c>
      <c r="E1130" s="5">
        <v>10439901999</v>
      </c>
      <c r="F1130" s="5" t="s">
        <v>4744</v>
      </c>
      <c r="G1130" s="5" t="s">
        <v>4745</v>
      </c>
      <c r="H1130" s="5" t="s">
        <v>1830</v>
      </c>
      <c r="I1130" s="5" t="s">
        <v>1831</v>
      </c>
      <c r="J1130" s="5" t="s">
        <v>4039</v>
      </c>
      <c r="K1130" s="5" t="s">
        <v>36</v>
      </c>
      <c r="L1130" s="6">
        <v>43617</v>
      </c>
      <c r="M1130" s="5" t="s">
        <v>21</v>
      </c>
      <c r="N1130" s="5" t="s">
        <v>4744</v>
      </c>
    </row>
    <row r="1131" spans="1:14" ht="27.75">
      <c r="A1131" s="3">
        <v>1125</v>
      </c>
      <c r="B1131" s="3" t="str">
        <f t="shared" si="20"/>
        <v>201900078658</v>
      </c>
      <c r="C1131" s="3" t="str">
        <f>"143264"</f>
        <v>143264</v>
      </c>
      <c r="D1131" s="3" t="s">
        <v>4746</v>
      </c>
      <c r="E1131" s="3">
        <v>20539596528</v>
      </c>
      <c r="F1131" s="3" t="s">
        <v>4747</v>
      </c>
      <c r="G1131" s="3" t="s">
        <v>4748</v>
      </c>
      <c r="H1131" s="3" t="s">
        <v>1830</v>
      </c>
      <c r="I1131" s="3" t="s">
        <v>1831</v>
      </c>
      <c r="J1131" s="3" t="s">
        <v>4039</v>
      </c>
      <c r="K1131" s="3" t="s">
        <v>36</v>
      </c>
      <c r="L1131" s="4">
        <v>43617</v>
      </c>
      <c r="M1131" s="3" t="s">
        <v>21</v>
      </c>
      <c r="N1131" s="3" t="s">
        <v>4749</v>
      </c>
    </row>
    <row r="1132" spans="1:14" ht="13.5">
      <c r="A1132" s="5">
        <v>1126</v>
      </c>
      <c r="B1132" s="5" t="str">
        <f t="shared" si="20"/>
        <v>201900078658</v>
      </c>
      <c r="C1132" s="5" t="str">
        <f>"143259"</f>
        <v>143259</v>
      </c>
      <c r="D1132" s="5" t="s">
        <v>4750</v>
      </c>
      <c r="E1132" s="5">
        <v>20450777723</v>
      </c>
      <c r="F1132" s="5" t="s">
        <v>4751</v>
      </c>
      <c r="G1132" s="5" t="s">
        <v>3177</v>
      </c>
      <c r="H1132" s="5" t="s">
        <v>1830</v>
      </c>
      <c r="I1132" s="5" t="s">
        <v>3178</v>
      </c>
      <c r="J1132" s="5" t="s">
        <v>4573</v>
      </c>
      <c r="K1132" s="5" t="s">
        <v>36</v>
      </c>
      <c r="L1132" s="6">
        <v>43617</v>
      </c>
      <c r="M1132" s="5" t="s">
        <v>21</v>
      </c>
      <c r="N1132" s="5" t="s">
        <v>4752</v>
      </c>
    </row>
    <row r="1133" spans="1:14" ht="27.75">
      <c r="A1133" s="3">
        <v>1127</v>
      </c>
      <c r="B1133" s="3" t="str">
        <f t="shared" si="20"/>
        <v>201900078658</v>
      </c>
      <c r="C1133" s="3" t="str">
        <f>"143258"</f>
        <v>143258</v>
      </c>
      <c r="D1133" s="3" t="s">
        <v>4753</v>
      </c>
      <c r="E1133" s="3">
        <v>20450700771</v>
      </c>
      <c r="F1133" s="3" t="s">
        <v>4754</v>
      </c>
      <c r="G1133" s="3" t="s">
        <v>3177</v>
      </c>
      <c r="H1133" s="3" t="s">
        <v>1830</v>
      </c>
      <c r="I1133" s="3" t="s">
        <v>3178</v>
      </c>
      <c r="J1133" s="3" t="s">
        <v>4573</v>
      </c>
      <c r="K1133" s="3" t="s">
        <v>51</v>
      </c>
      <c r="L1133" s="4">
        <v>43617</v>
      </c>
      <c r="M1133" s="3" t="s">
        <v>21</v>
      </c>
      <c r="N1133" s="3" t="s">
        <v>4715</v>
      </c>
    </row>
    <row r="1134" spans="1:14" ht="13.5">
      <c r="A1134" s="5">
        <v>1128</v>
      </c>
      <c r="B1134" s="5" t="str">
        <f t="shared" si="20"/>
        <v>201900078658</v>
      </c>
      <c r="C1134" s="5" t="str">
        <f>"143261"</f>
        <v>143261</v>
      </c>
      <c r="D1134" s="5" t="s">
        <v>4755</v>
      </c>
      <c r="E1134" s="5">
        <v>10311784906</v>
      </c>
      <c r="F1134" s="5" t="s">
        <v>4756</v>
      </c>
      <c r="G1134" s="5" t="s">
        <v>4757</v>
      </c>
      <c r="H1134" s="5" t="s">
        <v>1830</v>
      </c>
      <c r="I1134" s="5" t="s">
        <v>4758</v>
      </c>
      <c r="J1134" s="5" t="s">
        <v>4758</v>
      </c>
      <c r="K1134" s="5" t="s">
        <v>36</v>
      </c>
      <c r="L1134" s="6">
        <v>43617</v>
      </c>
      <c r="M1134" s="5" t="s">
        <v>21</v>
      </c>
      <c r="N1134" s="5" t="s">
        <v>4759</v>
      </c>
    </row>
    <row r="1135" spans="1:14" ht="13.5">
      <c r="A1135" s="3">
        <v>1129</v>
      </c>
      <c r="B1135" s="3" t="str">
        <f t="shared" si="20"/>
        <v>201900078658</v>
      </c>
      <c r="C1135" s="3" t="str">
        <f>"143260"</f>
        <v>143260</v>
      </c>
      <c r="D1135" s="3" t="s">
        <v>4760</v>
      </c>
      <c r="E1135" s="3">
        <v>20601020581</v>
      </c>
      <c r="F1135" s="3" t="s">
        <v>4761</v>
      </c>
      <c r="G1135" s="3" t="s">
        <v>4762</v>
      </c>
      <c r="H1135" s="3" t="s">
        <v>1830</v>
      </c>
      <c r="I1135" s="3" t="s">
        <v>2261</v>
      </c>
      <c r="J1135" s="3" t="s">
        <v>2261</v>
      </c>
      <c r="K1135" s="3" t="s">
        <v>36</v>
      </c>
      <c r="L1135" s="4">
        <v>43617</v>
      </c>
      <c r="M1135" s="3" t="s">
        <v>21</v>
      </c>
      <c r="N1135" s="3" t="s">
        <v>4763</v>
      </c>
    </row>
    <row r="1136" spans="1:14" ht="27.75">
      <c r="A1136" s="5">
        <v>1130</v>
      </c>
      <c r="B1136" s="5" t="str">
        <f aca="true" t="shared" si="21" ref="B1136:B1145">"201900078665"</f>
        <v>201900078665</v>
      </c>
      <c r="C1136" s="5" t="str">
        <f>"143313"</f>
        <v>143313</v>
      </c>
      <c r="D1136" s="5" t="s">
        <v>4764</v>
      </c>
      <c r="E1136" s="5">
        <v>20328200938</v>
      </c>
      <c r="F1136" s="5" t="s">
        <v>4765</v>
      </c>
      <c r="G1136" s="5" t="s">
        <v>4766</v>
      </c>
      <c r="H1136" s="5" t="s">
        <v>253</v>
      </c>
      <c r="I1136" s="5" t="s">
        <v>253</v>
      </c>
      <c r="J1136" s="5" t="s">
        <v>248</v>
      </c>
      <c r="K1136" s="5" t="s">
        <v>4767</v>
      </c>
      <c r="L1136" s="6">
        <v>43617</v>
      </c>
      <c r="M1136" s="5" t="s">
        <v>21</v>
      </c>
      <c r="N1136" s="5" t="s">
        <v>4768</v>
      </c>
    </row>
    <row r="1137" spans="1:14" ht="13.5">
      <c r="A1137" s="3">
        <v>1131</v>
      </c>
      <c r="B1137" s="3" t="str">
        <f t="shared" si="21"/>
        <v>201900078665</v>
      </c>
      <c r="C1137" s="3" t="str">
        <f>"143314"</f>
        <v>143314</v>
      </c>
      <c r="D1137" s="3" t="s">
        <v>4769</v>
      </c>
      <c r="E1137" s="3">
        <v>20411893040</v>
      </c>
      <c r="F1137" s="3" t="s">
        <v>4770</v>
      </c>
      <c r="G1137" s="3" t="s">
        <v>4771</v>
      </c>
      <c r="H1137" s="3" t="s">
        <v>253</v>
      </c>
      <c r="I1137" s="3" t="s">
        <v>253</v>
      </c>
      <c r="J1137" s="3" t="s">
        <v>248</v>
      </c>
      <c r="K1137" s="3" t="s">
        <v>36</v>
      </c>
      <c r="L1137" s="4">
        <v>43617</v>
      </c>
      <c r="M1137" s="3" t="s">
        <v>21</v>
      </c>
      <c r="N1137" s="3" t="s">
        <v>4772</v>
      </c>
    </row>
    <row r="1138" spans="1:14" ht="13.5">
      <c r="A1138" s="5">
        <v>1132</v>
      </c>
      <c r="B1138" s="5" t="str">
        <f t="shared" si="21"/>
        <v>201900078665</v>
      </c>
      <c r="C1138" s="5" t="str">
        <f>"143315"</f>
        <v>143315</v>
      </c>
      <c r="D1138" s="5" t="s">
        <v>4773</v>
      </c>
      <c r="E1138" s="5">
        <v>20455316601</v>
      </c>
      <c r="F1138" s="5" t="s">
        <v>4774</v>
      </c>
      <c r="G1138" s="5" t="s">
        <v>4775</v>
      </c>
      <c r="H1138" s="5" t="s">
        <v>253</v>
      </c>
      <c r="I1138" s="5" t="s">
        <v>253</v>
      </c>
      <c r="J1138" s="5" t="s">
        <v>248</v>
      </c>
      <c r="K1138" s="5" t="s">
        <v>51</v>
      </c>
      <c r="L1138" s="6">
        <v>43617</v>
      </c>
      <c r="M1138" s="5" t="s">
        <v>21</v>
      </c>
      <c r="N1138" s="5" t="s">
        <v>4776</v>
      </c>
    </row>
    <row r="1139" spans="1:14" ht="27.75">
      <c r="A1139" s="3">
        <v>1133</v>
      </c>
      <c r="B1139" s="3" t="str">
        <f t="shared" si="21"/>
        <v>201900078665</v>
      </c>
      <c r="C1139" s="3" t="str">
        <f>"143316"</f>
        <v>143316</v>
      </c>
      <c r="D1139" s="3" t="s">
        <v>4777</v>
      </c>
      <c r="E1139" s="3">
        <v>20455891028</v>
      </c>
      <c r="F1139" s="3" t="s">
        <v>4778</v>
      </c>
      <c r="G1139" s="3" t="s">
        <v>4779</v>
      </c>
      <c r="H1139" s="3" t="s">
        <v>253</v>
      </c>
      <c r="I1139" s="3" t="s">
        <v>253</v>
      </c>
      <c r="J1139" s="3" t="s">
        <v>248</v>
      </c>
      <c r="K1139" s="3" t="s">
        <v>51</v>
      </c>
      <c r="L1139" s="4">
        <v>43617</v>
      </c>
      <c r="M1139" s="3" t="s">
        <v>21</v>
      </c>
      <c r="N1139" s="3" t="s">
        <v>4780</v>
      </c>
    </row>
    <row r="1140" spans="1:14" ht="13.5">
      <c r="A1140" s="5">
        <v>1134</v>
      </c>
      <c r="B1140" s="5" t="str">
        <f t="shared" si="21"/>
        <v>201900078665</v>
      </c>
      <c r="C1140" s="5" t="str">
        <f>"143307"</f>
        <v>143307</v>
      </c>
      <c r="D1140" s="5" t="s">
        <v>4781</v>
      </c>
      <c r="E1140" s="5">
        <v>20454432216</v>
      </c>
      <c r="F1140" s="5" t="s">
        <v>4782</v>
      </c>
      <c r="G1140" s="5" t="s">
        <v>4783</v>
      </c>
      <c r="H1140" s="5" t="s">
        <v>253</v>
      </c>
      <c r="I1140" s="5" t="s">
        <v>253</v>
      </c>
      <c r="J1140" s="5" t="s">
        <v>3787</v>
      </c>
      <c r="K1140" s="5" t="s">
        <v>51</v>
      </c>
      <c r="L1140" s="6">
        <v>43617</v>
      </c>
      <c r="M1140" s="5" t="s">
        <v>21</v>
      </c>
      <c r="N1140" s="5" t="s">
        <v>4784</v>
      </c>
    </row>
    <row r="1141" spans="1:14" ht="13.5">
      <c r="A1141" s="3">
        <v>1135</v>
      </c>
      <c r="B1141" s="3" t="str">
        <f t="shared" si="21"/>
        <v>201900078665</v>
      </c>
      <c r="C1141" s="3" t="str">
        <f>"143308"</f>
        <v>143308</v>
      </c>
      <c r="D1141" s="3" t="s">
        <v>4785</v>
      </c>
      <c r="E1141" s="3">
        <v>20461238166</v>
      </c>
      <c r="F1141" s="3" t="s">
        <v>4786</v>
      </c>
      <c r="G1141" s="3" t="s">
        <v>4787</v>
      </c>
      <c r="H1141" s="3" t="s">
        <v>253</v>
      </c>
      <c r="I1141" s="3" t="s">
        <v>253</v>
      </c>
      <c r="J1141" s="3" t="s">
        <v>3787</v>
      </c>
      <c r="K1141" s="3" t="s">
        <v>97</v>
      </c>
      <c r="L1141" s="4">
        <v>43617</v>
      </c>
      <c r="M1141" s="3" t="s">
        <v>21</v>
      </c>
      <c r="N1141" s="3" t="s">
        <v>4788</v>
      </c>
    </row>
    <row r="1142" spans="1:14" ht="13.5">
      <c r="A1142" s="5">
        <v>1136</v>
      </c>
      <c r="B1142" s="5" t="str">
        <f t="shared" si="21"/>
        <v>201900078665</v>
      </c>
      <c r="C1142" s="5" t="str">
        <f>"143309"</f>
        <v>143309</v>
      </c>
      <c r="D1142" s="5" t="s">
        <v>4789</v>
      </c>
      <c r="E1142" s="5">
        <v>20498296719</v>
      </c>
      <c r="F1142" s="5" t="s">
        <v>4790</v>
      </c>
      <c r="G1142" s="5" t="s">
        <v>4791</v>
      </c>
      <c r="H1142" s="5" t="s">
        <v>253</v>
      </c>
      <c r="I1142" s="5" t="s">
        <v>253</v>
      </c>
      <c r="J1142" s="5" t="s">
        <v>3787</v>
      </c>
      <c r="K1142" s="5" t="s">
        <v>97</v>
      </c>
      <c r="L1142" s="6">
        <v>43617</v>
      </c>
      <c r="M1142" s="5" t="s">
        <v>21</v>
      </c>
      <c r="N1142" s="5" t="s">
        <v>4792</v>
      </c>
    </row>
    <row r="1143" spans="1:14" ht="13.5">
      <c r="A1143" s="3">
        <v>1137</v>
      </c>
      <c r="B1143" s="3" t="str">
        <f t="shared" si="21"/>
        <v>201900078665</v>
      </c>
      <c r="C1143" s="3" t="str">
        <f>"143310"</f>
        <v>143310</v>
      </c>
      <c r="D1143" s="3" t="s">
        <v>4793</v>
      </c>
      <c r="E1143" s="3">
        <v>20558139146</v>
      </c>
      <c r="F1143" s="3" t="s">
        <v>4794</v>
      </c>
      <c r="G1143" s="3" t="s">
        <v>4795</v>
      </c>
      <c r="H1143" s="3" t="s">
        <v>253</v>
      </c>
      <c r="I1143" s="3" t="s">
        <v>253</v>
      </c>
      <c r="J1143" s="3" t="s">
        <v>3787</v>
      </c>
      <c r="K1143" s="3" t="s">
        <v>36</v>
      </c>
      <c r="L1143" s="4">
        <v>43617</v>
      </c>
      <c r="M1143" s="3" t="s">
        <v>21</v>
      </c>
      <c r="N1143" s="3" t="s">
        <v>4796</v>
      </c>
    </row>
    <row r="1144" spans="1:14" ht="13.5">
      <c r="A1144" s="5">
        <v>1138</v>
      </c>
      <c r="B1144" s="5" t="str">
        <f t="shared" si="21"/>
        <v>201900078665</v>
      </c>
      <c r="C1144" s="5" t="str">
        <f>"143311"</f>
        <v>143311</v>
      </c>
      <c r="D1144" s="5" t="s">
        <v>4797</v>
      </c>
      <c r="E1144" s="5">
        <v>10293885856</v>
      </c>
      <c r="F1144" s="5" t="s">
        <v>4798</v>
      </c>
      <c r="G1144" s="5" t="s">
        <v>4799</v>
      </c>
      <c r="H1144" s="5" t="s">
        <v>253</v>
      </c>
      <c r="I1144" s="5" t="s">
        <v>253</v>
      </c>
      <c r="J1144" s="5" t="s">
        <v>248</v>
      </c>
      <c r="K1144" s="5" t="s">
        <v>97</v>
      </c>
      <c r="L1144" s="6">
        <v>43617</v>
      </c>
      <c r="M1144" s="5" t="s">
        <v>21</v>
      </c>
      <c r="N1144" s="5" t="s">
        <v>4798</v>
      </c>
    </row>
    <row r="1145" spans="1:14" ht="13.5">
      <c r="A1145" s="3">
        <v>1139</v>
      </c>
      <c r="B1145" s="3" t="str">
        <f t="shared" si="21"/>
        <v>201900078665</v>
      </c>
      <c r="C1145" s="3" t="str">
        <f>"143312"</f>
        <v>143312</v>
      </c>
      <c r="D1145" s="3" t="s">
        <v>4800</v>
      </c>
      <c r="E1145" s="3">
        <v>10729106475</v>
      </c>
      <c r="F1145" s="3" t="s">
        <v>4801</v>
      </c>
      <c r="G1145" s="3" t="s">
        <v>4802</v>
      </c>
      <c r="H1145" s="3" t="s">
        <v>253</v>
      </c>
      <c r="I1145" s="3" t="s">
        <v>253</v>
      </c>
      <c r="J1145" s="3" t="s">
        <v>248</v>
      </c>
      <c r="K1145" s="3" t="s">
        <v>36</v>
      </c>
      <c r="L1145" s="4">
        <v>43617</v>
      </c>
      <c r="M1145" s="3" t="s">
        <v>21</v>
      </c>
      <c r="N1145" s="3" t="s">
        <v>4801</v>
      </c>
    </row>
    <row r="1146" spans="1:14" ht="27.75">
      <c r="A1146" s="5">
        <v>1140</v>
      </c>
      <c r="B1146" s="5" t="str">
        <f aca="true" t="shared" si="22" ref="B1146:B1152">"201900078808"</f>
        <v>201900078808</v>
      </c>
      <c r="C1146" s="5" t="str">
        <f>"143975"</f>
        <v>143975</v>
      </c>
      <c r="D1146" s="5" t="s">
        <v>4803</v>
      </c>
      <c r="E1146" s="5">
        <v>20261015065</v>
      </c>
      <c r="F1146" s="5" t="s">
        <v>4804</v>
      </c>
      <c r="G1146" s="5" t="s">
        <v>4805</v>
      </c>
      <c r="H1146" s="5" t="s">
        <v>18</v>
      </c>
      <c r="I1146" s="5" t="s">
        <v>18</v>
      </c>
      <c r="J1146" s="5" t="s">
        <v>19</v>
      </c>
      <c r="K1146" s="5" t="s">
        <v>1883</v>
      </c>
      <c r="L1146" s="6">
        <v>43617</v>
      </c>
      <c r="M1146" s="5" t="s">
        <v>21</v>
      </c>
      <c r="N1146" s="5" t="s">
        <v>4806</v>
      </c>
    </row>
    <row r="1147" spans="1:14" ht="13.5">
      <c r="A1147" s="3">
        <v>1141</v>
      </c>
      <c r="B1147" s="3" t="str">
        <f t="shared" si="22"/>
        <v>201900078808</v>
      </c>
      <c r="C1147" s="3" t="str">
        <f>"143976"</f>
        <v>143976</v>
      </c>
      <c r="D1147" s="3" t="s">
        <v>4807</v>
      </c>
      <c r="E1147" s="3">
        <v>20263674929</v>
      </c>
      <c r="F1147" s="3" t="s">
        <v>4808</v>
      </c>
      <c r="G1147" s="3" t="s">
        <v>4809</v>
      </c>
      <c r="H1147" s="3" t="s">
        <v>18</v>
      </c>
      <c r="I1147" s="3" t="s">
        <v>18</v>
      </c>
      <c r="J1147" s="3" t="s">
        <v>19</v>
      </c>
      <c r="K1147" s="3" t="s">
        <v>36</v>
      </c>
      <c r="L1147" s="4">
        <v>43617</v>
      </c>
      <c r="M1147" s="3" t="s">
        <v>21</v>
      </c>
      <c r="N1147" s="3" t="s">
        <v>4810</v>
      </c>
    </row>
    <row r="1148" spans="1:14" ht="13.5">
      <c r="A1148" s="5">
        <v>1142</v>
      </c>
      <c r="B1148" s="5" t="str">
        <f t="shared" si="22"/>
        <v>201900078808</v>
      </c>
      <c r="C1148" s="5" t="str">
        <f>"143973"</f>
        <v>143973</v>
      </c>
      <c r="D1148" s="5" t="s">
        <v>4811</v>
      </c>
      <c r="E1148" s="5">
        <v>10089188984</v>
      </c>
      <c r="F1148" s="5" t="s">
        <v>4812</v>
      </c>
      <c r="G1148" s="5" t="s">
        <v>4813</v>
      </c>
      <c r="H1148" s="5" t="s">
        <v>18</v>
      </c>
      <c r="I1148" s="5" t="s">
        <v>18</v>
      </c>
      <c r="J1148" s="5" t="s">
        <v>19</v>
      </c>
      <c r="K1148" s="5" t="s">
        <v>97</v>
      </c>
      <c r="L1148" s="6">
        <v>43617</v>
      </c>
      <c r="M1148" s="5" t="s">
        <v>21</v>
      </c>
      <c r="N1148" s="5" t="s">
        <v>4814</v>
      </c>
    </row>
    <row r="1149" spans="1:14" ht="13.5">
      <c r="A1149" s="3">
        <v>1143</v>
      </c>
      <c r="B1149" s="3" t="str">
        <f t="shared" si="22"/>
        <v>201900078808</v>
      </c>
      <c r="C1149" s="3" t="str">
        <f>"143974"</f>
        <v>143974</v>
      </c>
      <c r="D1149" s="3" t="s">
        <v>4815</v>
      </c>
      <c r="E1149" s="3">
        <v>10421080068</v>
      </c>
      <c r="F1149" s="3" t="s">
        <v>4816</v>
      </c>
      <c r="G1149" s="3" t="s">
        <v>4817</v>
      </c>
      <c r="H1149" s="3" t="s">
        <v>18</v>
      </c>
      <c r="I1149" s="3" t="s">
        <v>18</v>
      </c>
      <c r="J1149" s="3" t="s">
        <v>19</v>
      </c>
      <c r="K1149" s="3" t="s">
        <v>36</v>
      </c>
      <c r="L1149" s="4">
        <v>43617</v>
      </c>
      <c r="M1149" s="3" t="s">
        <v>21</v>
      </c>
      <c r="N1149" s="3" t="s">
        <v>4816</v>
      </c>
    </row>
    <row r="1150" spans="1:14" ht="13.5">
      <c r="A1150" s="5">
        <v>1144</v>
      </c>
      <c r="B1150" s="5" t="str">
        <f t="shared" si="22"/>
        <v>201900078808</v>
      </c>
      <c r="C1150" s="5" t="str">
        <f>"143967"</f>
        <v>143967</v>
      </c>
      <c r="D1150" s="5" t="s">
        <v>4818</v>
      </c>
      <c r="E1150" s="5">
        <v>20100154057</v>
      </c>
      <c r="F1150" s="5" t="s">
        <v>4819</v>
      </c>
      <c r="G1150" s="5" t="s">
        <v>4820</v>
      </c>
      <c r="H1150" s="5" t="s">
        <v>18</v>
      </c>
      <c r="I1150" s="5" t="s">
        <v>18</v>
      </c>
      <c r="J1150" s="5" t="s">
        <v>2949</v>
      </c>
      <c r="K1150" s="5" t="s">
        <v>51</v>
      </c>
      <c r="L1150" s="6">
        <v>43617</v>
      </c>
      <c r="M1150" s="5" t="s">
        <v>21</v>
      </c>
      <c r="N1150" s="5" t="s">
        <v>4821</v>
      </c>
    </row>
    <row r="1151" spans="1:14" ht="13.5">
      <c r="A1151" s="3">
        <v>1145</v>
      </c>
      <c r="B1151" s="3" t="str">
        <f t="shared" si="22"/>
        <v>201900078808</v>
      </c>
      <c r="C1151" s="3" t="str">
        <f>"143968"</f>
        <v>143968</v>
      </c>
      <c r="D1151" s="3" t="s">
        <v>4822</v>
      </c>
      <c r="E1151" s="3">
        <v>20100154308</v>
      </c>
      <c r="F1151" s="3" t="s">
        <v>4823</v>
      </c>
      <c r="G1151" s="3" t="s">
        <v>4824</v>
      </c>
      <c r="H1151" s="3" t="s">
        <v>18</v>
      </c>
      <c r="I1151" s="3" t="s">
        <v>18</v>
      </c>
      <c r="J1151" s="3" t="s">
        <v>2949</v>
      </c>
      <c r="K1151" s="3" t="s">
        <v>51</v>
      </c>
      <c r="L1151" s="4">
        <v>43617</v>
      </c>
      <c r="M1151" s="3" t="s">
        <v>21</v>
      </c>
      <c r="N1151" s="3" t="s">
        <v>4825</v>
      </c>
    </row>
    <row r="1152" spans="1:14" ht="13.5">
      <c r="A1152" s="5">
        <v>1146</v>
      </c>
      <c r="B1152" s="5" t="str">
        <f t="shared" si="22"/>
        <v>201900078808</v>
      </c>
      <c r="C1152" s="5" t="str">
        <f>"143971"</f>
        <v>143971</v>
      </c>
      <c r="D1152" s="5" t="s">
        <v>4826</v>
      </c>
      <c r="E1152" s="5">
        <v>20518489268</v>
      </c>
      <c r="F1152" s="5" t="s">
        <v>4827</v>
      </c>
      <c r="G1152" s="5" t="s">
        <v>4828</v>
      </c>
      <c r="H1152" s="5" t="s">
        <v>18</v>
      </c>
      <c r="I1152" s="5" t="s">
        <v>18</v>
      </c>
      <c r="J1152" s="5" t="s">
        <v>2949</v>
      </c>
      <c r="K1152" s="5" t="s">
        <v>1995</v>
      </c>
      <c r="L1152" s="6">
        <v>43617</v>
      </c>
      <c r="M1152" s="5" t="s">
        <v>21</v>
      </c>
      <c r="N1152" s="5" t="s">
        <v>4829</v>
      </c>
    </row>
    <row r="1153" spans="1:14" ht="153.75">
      <c r="A1153" s="3">
        <v>1147</v>
      </c>
      <c r="B1153" s="3" t="str">
        <f>"202000034847"</f>
        <v>202000034847</v>
      </c>
      <c r="C1153" s="3" t="str">
        <f>"149376"</f>
        <v>149376</v>
      </c>
      <c r="D1153" s="3" t="s">
        <v>4830</v>
      </c>
      <c r="E1153" s="3">
        <v>20481666016</v>
      </c>
      <c r="F1153" s="3" t="s">
        <v>4831</v>
      </c>
      <c r="G1153" s="3" t="s">
        <v>4832</v>
      </c>
      <c r="H1153" s="3" t="s">
        <v>73</v>
      </c>
      <c r="I1153" s="3" t="s">
        <v>835</v>
      </c>
      <c r="J1153" s="3" t="s">
        <v>3462</v>
      </c>
      <c r="K1153" s="3" t="s">
        <v>75</v>
      </c>
      <c r="L1153" s="4">
        <v>43900</v>
      </c>
      <c r="M1153" s="3" t="s">
        <v>21</v>
      </c>
      <c r="N1153" s="3" t="s">
        <v>4833</v>
      </c>
    </row>
    <row r="1154" spans="1:14" ht="27.75">
      <c r="A1154" s="5">
        <v>1148</v>
      </c>
      <c r="B1154" s="5" t="str">
        <f>"201900078808"</f>
        <v>201900078808</v>
      </c>
      <c r="C1154" s="5" t="str">
        <f>"143972"</f>
        <v>143972</v>
      </c>
      <c r="D1154" s="5" t="s">
        <v>4834</v>
      </c>
      <c r="E1154" s="5">
        <v>20601866235</v>
      </c>
      <c r="F1154" s="5" t="s">
        <v>4835</v>
      </c>
      <c r="G1154" s="5" t="s">
        <v>4836</v>
      </c>
      <c r="H1154" s="5" t="s">
        <v>18</v>
      </c>
      <c r="I1154" s="5" t="s">
        <v>18</v>
      </c>
      <c r="J1154" s="5" t="s">
        <v>2949</v>
      </c>
      <c r="K1154" s="5" t="s">
        <v>51</v>
      </c>
      <c r="L1154" s="6">
        <v>43617</v>
      </c>
      <c r="M1154" s="5" t="s">
        <v>21</v>
      </c>
      <c r="N1154" s="5" t="s">
        <v>4837</v>
      </c>
    </row>
    <row r="1155" spans="1:14" ht="55.5">
      <c r="A1155" s="3">
        <v>1149</v>
      </c>
      <c r="B1155" s="3" t="str">
        <f>"201900078808"</f>
        <v>201900078808</v>
      </c>
      <c r="C1155" s="3" t="str">
        <f>"143969"</f>
        <v>143969</v>
      </c>
      <c r="D1155" s="3" t="s">
        <v>4838</v>
      </c>
      <c r="E1155" s="3">
        <v>20102123833</v>
      </c>
      <c r="F1155" s="3" t="s">
        <v>4839</v>
      </c>
      <c r="G1155" s="3" t="s">
        <v>4840</v>
      </c>
      <c r="H1155" s="3" t="s">
        <v>18</v>
      </c>
      <c r="I1155" s="3" t="s">
        <v>18</v>
      </c>
      <c r="J1155" s="3" t="s">
        <v>2949</v>
      </c>
      <c r="K1155" s="3" t="s">
        <v>4841</v>
      </c>
      <c r="L1155" s="4">
        <v>43617</v>
      </c>
      <c r="M1155" s="3" t="s">
        <v>21</v>
      </c>
      <c r="N1155" s="3" t="s">
        <v>4842</v>
      </c>
    </row>
    <row r="1156" spans="1:14" ht="13.5">
      <c r="A1156" s="5">
        <v>1150</v>
      </c>
      <c r="B1156" s="5" t="str">
        <f>"201900078808"</f>
        <v>201900078808</v>
      </c>
      <c r="C1156" s="5" t="str">
        <f>"143970"</f>
        <v>143970</v>
      </c>
      <c r="D1156" s="5" t="s">
        <v>4843</v>
      </c>
      <c r="E1156" s="5">
        <v>20481819882</v>
      </c>
      <c r="F1156" s="5" t="s">
        <v>4844</v>
      </c>
      <c r="G1156" s="5" t="s">
        <v>4845</v>
      </c>
      <c r="H1156" s="5" t="s">
        <v>18</v>
      </c>
      <c r="I1156" s="5" t="s">
        <v>18</v>
      </c>
      <c r="J1156" s="5" t="s">
        <v>2949</v>
      </c>
      <c r="K1156" s="5" t="s">
        <v>1995</v>
      </c>
      <c r="L1156" s="6">
        <v>43617</v>
      </c>
      <c r="M1156" s="5" t="s">
        <v>21</v>
      </c>
      <c r="N1156" s="5" t="s">
        <v>4846</v>
      </c>
    </row>
    <row r="1157" spans="1:14" ht="27.75">
      <c r="A1157" s="3">
        <v>1151</v>
      </c>
      <c r="B1157" s="3" t="str">
        <f>"201900078665"</f>
        <v>201900078665</v>
      </c>
      <c r="C1157" s="3" t="str">
        <f>"143326"</f>
        <v>143326</v>
      </c>
      <c r="D1157" s="3" t="s">
        <v>4847</v>
      </c>
      <c r="E1157" s="3">
        <v>20559331547</v>
      </c>
      <c r="F1157" s="3" t="s">
        <v>4848</v>
      </c>
      <c r="G1157" s="3" t="s">
        <v>4849</v>
      </c>
      <c r="H1157" s="3" t="s">
        <v>253</v>
      </c>
      <c r="I1157" s="3" t="s">
        <v>253</v>
      </c>
      <c r="J1157" s="3" t="s">
        <v>4850</v>
      </c>
      <c r="K1157" s="3" t="s">
        <v>97</v>
      </c>
      <c r="L1157" s="4">
        <v>43617</v>
      </c>
      <c r="M1157" s="3" t="s">
        <v>21</v>
      </c>
      <c r="N1157" s="3" t="s">
        <v>4851</v>
      </c>
    </row>
    <row r="1158" spans="1:14" ht="97.5">
      <c r="A1158" s="5">
        <v>1152</v>
      </c>
      <c r="B1158" s="5" t="str">
        <f>"201900163167"</f>
        <v>201900163167</v>
      </c>
      <c r="C1158" s="5" t="str">
        <f>"146999"</f>
        <v>146999</v>
      </c>
      <c r="D1158" s="5" t="s">
        <v>4852</v>
      </c>
      <c r="E1158" s="5">
        <v>20604079412</v>
      </c>
      <c r="F1158" s="5" t="s">
        <v>4853</v>
      </c>
      <c r="G1158" s="5" t="s">
        <v>4854</v>
      </c>
      <c r="H1158" s="5" t="s">
        <v>322</v>
      </c>
      <c r="I1158" s="5" t="s">
        <v>323</v>
      </c>
      <c r="J1158" s="5" t="s">
        <v>889</v>
      </c>
      <c r="K1158" s="5" t="s">
        <v>313</v>
      </c>
      <c r="L1158" s="6">
        <v>43748</v>
      </c>
      <c r="M1158" s="5" t="s">
        <v>21</v>
      </c>
      <c r="N1158" s="5" t="s">
        <v>4855</v>
      </c>
    </row>
    <row r="1159" spans="1:14" ht="13.5">
      <c r="A1159" s="3">
        <v>1153</v>
      </c>
      <c r="B1159" s="3" t="str">
        <f>"201900078665"</f>
        <v>201900078665</v>
      </c>
      <c r="C1159" s="3" t="str">
        <f>"143324"</f>
        <v>143324</v>
      </c>
      <c r="D1159" s="3" t="s">
        <v>4856</v>
      </c>
      <c r="E1159" s="3">
        <v>20498368728</v>
      </c>
      <c r="F1159" s="3" t="s">
        <v>4857</v>
      </c>
      <c r="G1159" s="3" t="s">
        <v>4858</v>
      </c>
      <c r="H1159" s="3" t="s">
        <v>253</v>
      </c>
      <c r="I1159" s="3" t="s">
        <v>253</v>
      </c>
      <c r="J1159" s="3" t="s">
        <v>4850</v>
      </c>
      <c r="K1159" s="3" t="s">
        <v>36</v>
      </c>
      <c r="L1159" s="4">
        <v>43617</v>
      </c>
      <c r="M1159" s="3" t="s">
        <v>21</v>
      </c>
      <c r="N1159" s="3" t="s">
        <v>4859</v>
      </c>
    </row>
    <row r="1160" spans="1:14" ht="13.5">
      <c r="A1160" s="5">
        <v>1154</v>
      </c>
      <c r="B1160" s="5" t="str">
        <f>"201900078665"</f>
        <v>201900078665</v>
      </c>
      <c r="C1160" s="5" t="str">
        <f>"143325"</f>
        <v>143325</v>
      </c>
      <c r="D1160" s="5" t="s">
        <v>4860</v>
      </c>
      <c r="E1160" s="5">
        <v>20498452940</v>
      </c>
      <c r="F1160" s="5" t="s">
        <v>4861</v>
      </c>
      <c r="G1160" s="5" t="s">
        <v>4862</v>
      </c>
      <c r="H1160" s="5" t="s">
        <v>253</v>
      </c>
      <c r="I1160" s="5" t="s">
        <v>253</v>
      </c>
      <c r="J1160" s="5" t="s">
        <v>4850</v>
      </c>
      <c r="K1160" s="5" t="s">
        <v>36</v>
      </c>
      <c r="L1160" s="6">
        <v>43617</v>
      </c>
      <c r="M1160" s="5" t="s">
        <v>21</v>
      </c>
      <c r="N1160" s="5" t="s">
        <v>4863</v>
      </c>
    </row>
    <row r="1161" spans="1:14" ht="69.75">
      <c r="A1161" s="3">
        <v>1155</v>
      </c>
      <c r="B1161" s="3" t="str">
        <f>"202000037057"</f>
        <v>202000037057</v>
      </c>
      <c r="C1161" s="3" t="str">
        <f>"149409"</f>
        <v>149409</v>
      </c>
      <c r="D1161" s="3" t="s">
        <v>4864</v>
      </c>
      <c r="E1161" s="3">
        <v>20525481281</v>
      </c>
      <c r="F1161" s="3" t="s">
        <v>4865</v>
      </c>
      <c r="G1161" s="3" t="s">
        <v>4866</v>
      </c>
      <c r="H1161" s="3" t="s">
        <v>274</v>
      </c>
      <c r="I1161" s="3" t="s">
        <v>348</v>
      </c>
      <c r="J1161" s="3" t="s">
        <v>348</v>
      </c>
      <c r="K1161" s="3" t="s">
        <v>2879</v>
      </c>
      <c r="L1161" s="4">
        <v>43896</v>
      </c>
      <c r="M1161" s="3" t="s">
        <v>21</v>
      </c>
      <c r="N1161" s="3" t="s">
        <v>4867</v>
      </c>
    </row>
    <row r="1162" spans="1:14" ht="13.5">
      <c r="A1162" s="5">
        <v>1156</v>
      </c>
      <c r="B1162" s="5" t="str">
        <f>"202000037064"</f>
        <v>202000037064</v>
      </c>
      <c r="C1162" s="5" t="str">
        <f>"149410"</f>
        <v>149410</v>
      </c>
      <c r="D1162" s="5" t="s">
        <v>4868</v>
      </c>
      <c r="E1162" s="5">
        <v>20602904386</v>
      </c>
      <c r="F1162" s="5" t="s">
        <v>4869</v>
      </c>
      <c r="G1162" s="5" t="s">
        <v>4870</v>
      </c>
      <c r="H1162" s="5" t="s">
        <v>1645</v>
      </c>
      <c r="I1162" s="5" t="s">
        <v>2279</v>
      </c>
      <c r="J1162" s="5" t="s">
        <v>2599</v>
      </c>
      <c r="K1162" s="5" t="s">
        <v>51</v>
      </c>
      <c r="L1162" s="6">
        <v>43902</v>
      </c>
      <c r="M1162" s="5" t="s">
        <v>21</v>
      </c>
      <c r="N1162" s="5" t="s">
        <v>4348</v>
      </c>
    </row>
    <row r="1163" spans="1:14" ht="13.5">
      <c r="A1163" s="3">
        <v>1157</v>
      </c>
      <c r="B1163" s="3" t="str">
        <f aca="true" t="shared" si="23" ref="B1163:B1168">"201900078665"</f>
        <v>201900078665</v>
      </c>
      <c r="C1163" s="3" t="str">
        <f>"143318"</f>
        <v>143318</v>
      </c>
      <c r="D1163" s="3" t="s">
        <v>4871</v>
      </c>
      <c r="E1163" s="3">
        <v>10422391971</v>
      </c>
      <c r="F1163" s="3" t="s">
        <v>4872</v>
      </c>
      <c r="G1163" s="3" t="s">
        <v>4873</v>
      </c>
      <c r="H1163" s="3" t="s">
        <v>253</v>
      </c>
      <c r="I1163" s="3" t="s">
        <v>253</v>
      </c>
      <c r="J1163" s="3" t="s">
        <v>4850</v>
      </c>
      <c r="K1163" s="3" t="s">
        <v>51</v>
      </c>
      <c r="L1163" s="4">
        <v>43617</v>
      </c>
      <c r="M1163" s="3" t="s">
        <v>21</v>
      </c>
      <c r="N1163" s="3" t="s">
        <v>4872</v>
      </c>
    </row>
    <row r="1164" spans="1:14" ht="27.75">
      <c r="A1164" s="5">
        <v>1158</v>
      </c>
      <c r="B1164" s="5" t="str">
        <f t="shared" si="23"/>
        <v>201900078665</v>
      </c>
      <c r="C1164" s="5" t="str">
        <f>"143319"</f>
        <v>143319</v>
      </c>
      <c r="D1164" s="5" t="s">
        <v>4874</v>
      </c>
      <c r="E1164" s="5">
        <v>20228985237</v>
      </c>
      <c r="F1164" s="5" t="s">
        <v>4875</v>
      </c>
      <c r="G1164" s="5" t="s">
        <v>4858</v>
      </c>
      <c r="H1164" s="5" t="s">
        <v>253</v>
      </c>
      <c r="I1164" s="5" t="s">
        <v>253</v>
      </c>
      <c r="J1164" s="5" t="s">
        <v>4850</v>
      </c>
      <c r="K1164" s="5" t="s">
        <v>36</v>
      </c>
      <c r="L1164" s="6">
        <v>43617</v>
      </c>
      <c r="M1164" s="5" t="s">
        <v>21</v>
      </c>
      <c r="N1164" s="5" t="s">
        <v>4876</v>
      </c>
    </row>
    <row r="1165" spans="1:14" ht="13.5">
      <c r="A1165" s="3">
        <v>1159</v>
      </c>
      <c r="B1165" s="3" t="str">
        <f t="shared" si="23"/>
        <v>201900078665</v>
      </c>
      <c r="C1165" s="3" t="str">
        <f>"143317"</f>
        <v>143317</v>
      </c>
      <c r="D1165" s="3" t="s">
        <v>4877</v>
      </c>
      <c r="E1165" s="3">
        <v>10023948619</v>
      </c>
      <c r="F1165" s="3" t="s">
        <v>4878</v>
      </c>
      <c r="G1165" s="3" t="s">
        <v>4879</v>
      </c>
      <c r="H1165" s="3" t="s">
        <v>253</v>
      </c>
      <c r="I1165" s="3" t="s">
        <v>253</v>
      </c>
      <c r="J1165" s="3" t="s">
        <v>4850</v>
      </c>
      <c r="K1165" s="3" t="s">
        <v>51</v>
      </c>
      <c r="L1165" s="4">
        <v>43617</v>
      </c>
      <c r="M1165" s="3" t="s">
        <v>21</v>
      </c>
      <c r="N1165" s="3" t="s">
        <v>4878</v>
      </c>
    </row>
    <row r="1166" spans="1:14" ht="13.5">
      <c r="A1166" s="5">
        <v>1160</v>
      </c>
      <c r="B1166" s="5" t="str">
        <f t="shared" si="23"/>
        <v>201900078665</v>
      </c>
      <c r="C1166" s="5" t="str">
        <f>"143322"</f>
        <v>143322</v>
      </c>
      <c r="D1166" s="5" t="s">
        <v>4880</v>
      </c>
      <c r="E1166" s="5">
        <v>20455554889</v>
      </c>
      <c r="F1166" s="5" t="s">
        <v>4881</v>
      </c>
      <c r="G1166" s="5" t="s">
        <v>4882</v>
      </c>
      <c r="H1166" s="5" t="s">
        <v>253</v>
      </c>
      <c r="I1166" s="5" t="s">
        <v>253</v>
      </c>
      <c r="J1166" s="5" t="s">
        <v>4850</v>
      </c>
      <c r="K1166" s="5" t="s">
        <v>36</v>
      </c>
      <c r="L1166" s="6">
        <v>43617</v>
      </c>
      <c r="M1166" s="5" t="s">
        <v>21</v>
      </c>
      <c r="N1166" s="5" t="s">
        <v>4883</v>
      </c>
    </row>
    <row r="1167" spans="1:14" ht="13.5">
      <c r="A1167" s="3">
        <v>1161</v>
      </c>
      <c r="B1167" s="3" t="str">
        <f t="shared" si="23"/>
        <v>201900078665</v>
      </c>
      <c r="C1167" s="3" t="str">
        <f>"143323"</f>
        <v>143323</v>
      </c>
      <c r="D1167" s="3" t="s">
        <v>4884</v>
      </c>
      <c r="E1167" s="3">
        <v>20455634726</v>
      </c>
      <c r="F1167" s="3" t="s">
        <v>4885</v>
      </c>
      <c r="G1167" s="3" t="s">
        <v>4886</v>
      </c>
      <c r="H1167" s="3" t="s">
        <v>253</v>
      </c>
      <c r="I1167" s="3" t="s">
        <v>253</v>
      </c>
      <c r="J1167" s="3" t="s">
        <v>4850</v>
      </c>
      <c r="K1167" s="3" t="s">
        <v>36</v>
      </c>
      <c r="L1167" s="4">
        <v>43617</v>
      </c>
      <c r="M1167" s="3" t="s">
        <v>21</v>
      </c>
      <c r="N1167" s="3" t="s">
        <v>4887</v>
      </c>
    </row>
    <row r="1168" spans="1:14" ht="13.5">
      <c r="A1168" s="5">
        <v>1162</v>
      </c>
      <c r="B1168" s="5" t="str">
        <f t="shared" si="23"/>
        <v>201900078665</v>
      </c>
      <c r="C1168" s="5" t="str">
        <f>"143320"</f>
        <v>143320</v>
      </c>
      <c r="D1168" s="5" t="s">
        <v>4888</v>
      </c>
      <c r="E1168" s="5">
        <v>20453900551</v>
      </c>
      <c r="F1168" s="5" t="s">
        <v>4889</v>
      </c>
      <c r="G1168" s="5" t="s">
        <v>4890</v>
      </c>
      <c r="H1168" s="5" t="s">
        <v>253</v>
      </c>
      <c r="I1168" s="5" t="s">
        <v>253</v>
      </c>
      <c r="J1168" s="5" t="s">
        <v>4850</v>
      </c>
      <c r="K1168" s="5" t="s">
        <v>36</v>
      </c>
      <c r="L1168" s="6">
        <v>43617</v>
      </c>
      <c r="M1168" s="5" t="s">
        <v>21</v>
      </c>
      <c r="N1168" s="5" t="s">
        <v>4891</v>
      </c>
    </row>
    <row r="1169" spans="1:14" ht="13.5">
      <c r="A1169" s="3">
        <v>1163</v>
      </c>
      <c r="B1169" s="3" t="str">
        <f>"201900078683"</f>
        <v>201900078683</v>
      </c>
      <c r="C1169" s="3" t="str">
        <f>"143321"</f>
        <v>143321</v>
      </c>
      <c r="D1169" s="3" t="s">
        <v>4892</v>
      </c>
      <c r="E1169" s="3">
        <v>20602244840</v>
      </c>
      <c r="F1169" s="3" t="s">
        <v>4893</v>
      </c>
      <c r="G1169" s="3" t="s">
        <v>4894</v>
      </c>
      <c r="H1169" s="3" t="s">
        <v>160</v>
      </c>
      <c r="I1169" s="3" t="s">
        <v>486</v>
      </c>
      <c r="J1169" s="3" t="s">
        <v>4895</v>
      </c>
      <c r="K1169" s="3" t="s">
        <v>36</v>
      </c>
      <c r="L1169" s="4">
        <v>43617</v>
      </c>
      <c r="M1169" s="3" t="s">
        <v>21</v>
      </c>
      <c r="N1169" s="3" t="s">
        <v>4893</v>
      </c>
    </row>
    <row r="1170" spans="1:14" ht="27.75">
      <c r="A1170" s="5">
        <v>1164</v>
      </c>
      <c r="B1170" s="5" t="str">
        <f>"201900086737"</f>
        <v>201900086737</v>
      </c>
      <c r="C1170" s="5" t="str">
        <f>"143962"</f>
        <v>143962</v>
      </c>
      <c r="D1170" s="5" t="s">
        <v>4896</v>
      </c>
      <c r="E1170" s="5">
        <v>20600643569</v>
      </c>
      <c r="F1170" s="5" t="s">
        <v>4897</v>
      </c>
      <c r="G1170" s="5" t="s">
        <v>4898</v>
      </c>
      <c r="H1170" s="5" t="s">
        <v>18</v>
      </c>
      <c r="I1170" s="5" t="s">
        <v>18</v>
      </c>
      <c r="J1170" s="5" t="s">
        <v>303</v>
      </c>
      <c r="K1170" s="5" t="s">
        <v>51</v>
      </c>
      <c r="L1170" s="6">
        <v>43633</v>
      </c>
      <c r="M1170" s="5" t="s">
        <v>21</v>
      </c>
      <c r="N1170" s="5" t="s">
        <v>4899</v>
      </c>
    </row>
    <row r="1171" spans="1:14" ht="27.75">
      <c r="A1171" s="3">
        <v>1165</v>
      </c>
      <c r="B1171" s="3" t="str">
        <f aca="true" t="shared" si="24" ref="B1171:B1177">"201900078808"</f>
        <v>201900078808</v>
      </c>
      <c r="C1171" s="3" t="str">
        <f>"143963"</f>
        <v>143963</v>
      </c>
      <c r="D1171" s="3" t="s">
        <v>4900</v>
      </c>
      <c r="E1171" s="3">
        <v>20600239881</v>
      </c>
      <c r="F1171" s="3" t="s">
        <v>4901</v>
      </c>
      <c r="G1171" s="3" t="s">
        <v>4902</v>
      </c>
      <c r="H1171" s="3" t="s">
        <v>18</v>
      </c>
      <c r="I1171" s="3" t="s">
        <v>18</v>
      </c>
      <c r="J1171" s="3" t="s">
        <v>713</v>
      </c>
      <c r="K1171" s="3" t="s">
        <v>20</v>
      </c>
      <c r="L1171" s="4">
        <v>43617</v>
      </c>
      <c r="M1171" s="3" t="s">
        <v>21</v>
      </c>
      <c r="N1171" s="3" t="s">
        <v>4903</v>
      </c>
    </row>
    <row r="1172" spans="1:14" ht="27.75">
      <c r="A1172" s="5">
        <v>1166</v>
      </c>
      <c r="B1172" s="5" t="str">
        <f t="shared" si="24"/>
        <v>201900078808</v>
      </c>
      <c r="C1172" s="5" t="str">
        <f>"143964"</f>
        <v>143964</v>
      </c>
      <c r="D1172" s="5" t="s">
        <v>4904</v>
      </c>
      <c r="E1172" s="5">
        <v>20600438167</v>
      </c>
      <c r="F1172" s="5" t="s">
        <v>4905</v>
      </c>
      <c r="G1172" s="5" t="s">
        <v>4906</v>
      </c>
      <c r="H1172" s="5" t="s">
        <v>18</v>
      </c>
      <c r="I1172" s="5" t="s">
        <v>18</v>
      </c>
      <c r="J1172" s="5" t="s">
        <v>713</v>
      </c>
      <c r="K1172" s="5" t="s">
        <v>1883</v>
      </c>
      <c r="L1172" s="6">
        <v>43617</v>
      </c>
      <c r="M1172" s="5" t="s">
        <v>21</v>
      </c>
      <c r="N1172" s="5" t="s">
        <v>4907</v>
      </c>
    </row>
    <row r="1173" spans="1:14" ht="42">
      <c r="A1173" s="3">
        <v>1167</v>
      </c>
      <c r="B1173" s="3" t="str">
        <f t="shared" si="24"/>
        <v>201900078808</v>
      </c>
      <c r="C1173" s="3" t="str">
        <f>"143966"</f>
        <v>143966</v>
      </c>
      <c r="D1173" s="3" t="s">
        <v>4908</v>
      </c>
      <c r="E1173" s="3">
        <v>20604052883</v>
      </c>
      <c r="F1173" s="3" t="s">
        <v>4909</v>
      </c>
      <c r="G1173" s="3" t="s">
        <v>4910</v>
      </c>
      <c r="H1173" s="3" t="s">
        <v>18</v>
      </c>
      <c r="I1173" s="3" t="s">
        <v>18</v>
      </c>
      <c r="J1173" s="3" t="s">
        <v>713</v>
      </c>
      <c r="K1173" s="3" t="s">
        <v>42</v>
      </c>
      <c r="L1173" s="4">
        <v>43617</v>
      </c>
      <c r="M1173" s="3" t="s">
        <v>21</v>
      </c>
      <c r="N1173" s="3" t="s">
        <v>2343</v>
      </c>
    </row>
    <row r="1174" spans="1:14" ht="13.5">
      <c r="A1174" s="5">
        <v>1168</v>
      </c>
      <c r="B1174" s="5" t="str">
        <f t="shared" si="24"/>
        <v>201900078808</v>
      </c>
      <c r="C1174" s="5" t="str">
        <f>"143957"</f>
        <v>143957</v>
      </c>
      <c r="D1174" s="5" t="s">
        <v>4911</v>
      </c>
      <c r="E1174" s="5">
        <v>20515150995</v>
      </c>
      <c r="F1174" s="5" t="s">
        <v>4912</v>
      </c>
      <c r="G1174" s="5" t="s">
        <v>4913</v>
      </c>
      <c r="H1174" s="5" t="s">
        <v>18</v>
      </c>
      <c r="I1174" s="5" t="s">
        <v>18</v>
      </c>
      <c r="J1174" s="5" t="s">
        <v>713</v>
      </c>
      <c r="K1174" s="5" t="s">
        <v>68</v>
      </c>
      <c r="L1174" s="6">
        <v>43617</v>
      </c>
      <c r="M1174" s="5" t="s">
        <v>21</v>
      </c>
      <c r="N1174" s="5" t="s">
        <v>4914</v>
      </c>
    </row>
    <row r="1175" spans="1:14" ht="27.75">
      <c r="A1175" s="3">
        <v>1169</v>
      </c>
      <c r="B1175" s="3" t="str">
        <f t="shared" si="24"/>
        <v>201900078808</v>
      </c>
      <c r="C1175" s="3" t="str">
        <f>"143958"</f>
        <v>143958</v>
      </c>
      <c r="D1175" s="3" t="s">
        <v>4915</v>
      </c>
      <c r="E1175" s="3">
        <v>20521579782</v>
      </c>
      <c r="F1175" s="3" t="s">
        <v>4916</v>
      </c>
      <c r="G1175" s="3" t="s">
        <v>4917</v>
      </c>
      <c r="H1175" s="3" t="s">
        <v>18</v>
      </c>
      <c r="I1175" s="3" t="s">
        <v>18</v>
      </c>
      <c r="J1175" s="3" t="s">
        <v>713</v>
      </c>
      <c r="K1175" s="3" t="s">
        <v>20</v>
      </c>
      <c r="L1175" s="4">
        <v>43617</v>
      </c>
      <c r="M1175" s="3" t="s">
        <v>21</v>
      </c>
      <c r="N1175" s="3" t="s">
        <v>4918</v>
      </c>
    </row>
    <row r="1176" spans="1:14" ht="13.5">
      <c r="A1176" s="5">
        <v>1170</v>
      </c>
      <c r="B1176" s="5" t="str">
        <f t="shared" si="24"/>
        <v>201900078808</v>
      </c>
      <c r="C1176" s="5" t="str">
        <f>"143959"</f>
        <v>143959</v>
      </c>
      <c r="D1176" s="5" t="s">
        <v>4919</v>
      </c>
      <c r="E1176" s="5">
        <v>20535873721</v>
      </c>
      <c r="F1176" s="5" t="s">
        <v>4920</v>
      </c>
      <c r="G1176" s="5" t="s">
        <v>4921</v>
      </c>
      <c r="H1176" s="5" t="s">
        <v>18</v>
      </c>
      <c r="I1176" s="5" t="s">
        <v>18</v>
      </c>
      <c r="J1176" s="5" t="s">
        <v>713</v>
      </c>
      <c r="K1176" s="5" t="s">
        <v>36</v>
      </c>
      <c r="L1176" s="6">
        <v>43617</v>
      </c>
      <c r="M1176" s="5" t="s">
        <v>21</v>
      </c>
      <c r="N1176" s="5" t="s">
        <v>4922</v>
      </c>
    </row>
    <row r="1177" spans="1:14" ht="27.75">
      <c r="A1177" s="3">
        <v>1171</v>
      </c>
      <c r="B1177" s="3" t="str">
        <f t="shared" si="24"/>
        <v>201900078808</v>
      </c>
      <c r="C1177" s="3" t="str">
        <f>"143960"</f>
        <v>143960</v>
      </c>
      <c r="D1177" s="3" t="s">
        <v>4923</v>
      </c>
      <c r="E1177" s="3">
        <v>20537569728</v>
      </c>
      <c r="F1177" s="3" t="s">
        <v>4924</v>
      </c>
      <c r="G1177" s="3" t="s">
        <v>4925</v>
      </c>
      <c r="H1177" s="3" t="s">
        <v>18</v>
      </c>
      <c r="I1177" s="3" t="s">
        <v>18</v>
      </c>
      <c r="J1177" s="3" t="s">
        <v>713</v>
      </c>
      <c r="K1177" s="3" t="s">
        <v>51</v>
      </c>
      <c r="L1177" s="4">
        <v>43617</v>
      </c>
      <c r="M1177" s="3" t="s">
        <v>21</v>
      </c>
      <c r="N1177" s="3" t="s">
        <v>4926</v>
      </c>
    </row>
    <row r="1178" spans="1:14" ht="97.5">
      <c r="A1178" s="5">
        <v>1172</v>
      </c>
      <c r="B1178" s="5" t="str">
        <f>"201900163180"</f>
        <v>201900163180</v>
      </c>
      <c r="C1178" s="5" t="str">
        <f>"147001"</f>
        <v>147001</v>
      </c>
      <c r="D1178" s="5" t="s">
        <v>4927</v>
      </c>
      <c r="E1178" s="5">
        <v>20600756541</v>
      </c>
      <c r="F1178" s="5" t="s">
        <v>4928</v>
      </c>
      <c r="G1178" s="5" t="s">
        <v>4929</v>
      </c>
      <c r="H1178" s="5" t="s">
        <v>18</v>
      </c>
      <c r="I1178" s="5" t="s">
        <v>18</v>
      </c>
      <c r="J1178" s="5" t="s">
        <v>779</v>
      </c>
      <c r="K1178" s="5" t="s">
        <v>313</v>
      </c>
      <c r="L1178" s="6">
        <v>43749</v>
      </c>
      <c r="M1178" s="5" t="s">
        <v>21</v>
      </c>
      <c r="N1178" s="5" t="s">
        <v>4930</v>
      </c>
    </row>
    <row r="1179" spans="1:14" ht="42">
      <c r="A1179" s="3">
        <v>1173</v>
      </c>
      <c r="B1179" s="3" t="str">
        <f>"202000055617"</f>
        <v>202000055617</v>
      </c>
      <c r="C1179" s="3" t="str">
        <f>"149564"</f>
        <v>149564</v>
      </c>
      <c r="D1179" s="3" t="s">
        <v>4931</v>
      </c>
      <c r="E1179" s="3">
        <v>20542046121</v>
      </c>
      <c r="F1179" s="3" t="s">
        <v>4932</v>
      </c>
      <c r="G1179" s="3" t="s">
        <v>4933</v>
      </c>
      <c r="H1179" s="3" t="s">
        <v>1645</v>
      </c>
      <c r="I1179" s="3" t="s">
        <v>1646</v>
      </c>
      <c r="J1179" s="3" t="s">
        <v>1646</v>
      </c>
      <c r="K1179" s="3" t="s">
        <v>42</v>
      </c>
      <c r="L1179" s="4">
        <v>43963</v>
      </c>
      <c r="M1179" s="3" t="s">
        <v>21</v>
      </c>
      <c r="N1179" s="3" t="s">
        <v>2544</v>
      </c>
    </row>
    <row r="1180" spans="1:14" ht="97.5">
      <c r="A1180" s="5">
        <v>1174</v>
      </c>
      <c r="B1180" s="5" t="str">
        <f>"201900163176"</f>
        <v>201900163176</v>
      </c>
      <c r="C1180" s="5" t="str">
        <f>"147000"</f>
        <v>147000</v>
      </c>
      <c r="D1180" s="5" t="s">
        <v>4934</v>
      </c>
      <c r="E1180" s="5">
        <v>20486625954</v>
      </c>
      <c r="F1180" s="5" t="s">
        <v>4935</v>
      </c>
      <c r="G1180" s="5" t="s">
        <v>4936</v>
      </c>
      <c r="H1180" s="5" t="s">
        <v>18</v>
      </c>
      <c r="I1180" s="5" t="s">
        <v>18</v>
      </c>
      <c r="J1180" s="5" t="s">
        <v>1514</v>
      </c>
      <c r="K1180" s="5" t="s">
        <v>313</v>
      </c>
      <c r="L1180" s="6">
        <v>43749</v>
      </c>
      <c r="M1180" s="5" t="s">
        <v>21</v>
      </c>
      <c r="N1180" s="5" t="s">
        <v>4937</v>
      </c>
    </row>
    <row r="1181" spans="1:14" ht="27.75">
      <c r="A1181" s="3">
        <v>1175</v>
      </c>
      <c r="B1181" s="3" t="str">
        <f>"201900078808"</f>
        <v>201900078808</v>
      </c>
      <c r="C1181" s="3" t="str">
        <f>"143961"</f>
        <v>143961</v>
      </c>
      <c r="D1181" s="3" t="s">
        <v>4938</v>
      </c>
      <c r="E1181" s="3">
        <v>20538404773</v>
      </c>
      <c r="F1181" s="3" t="s">
        <v>4939</v>
      </c>
      <c r="G1181" s="3" t="s">
        <v>4940</v>
      </c>
      <c r="H1181" s="3" t="s">
        <v>18</v>
      </c>
      <c r="I1181" s="3" t="s">
        <v>18</v>
      </c>
      <c r="J1181" s="3" t="s">
        <v>713</v>
      </c>
      <c r="K1181" s="3" t="s">
        <v>68</v>
      </c>
      <c r="L1181" s="4">
        <v>43617</v>
      </c>
      <c r="M1181" s="3" t="s">
        <v>21</v>
      </c>
      <c r="N1181" s="3" t="s">
        <v>4941</v>
      </c>
    </row>
    <row r="1182" spans="1:14" ht="13.5">
      <c r="A1182" s="5">
        <v>1176</v>
      </c>
      <c r="B1182" s="5" t="str">
        <f aca="true" t="shared" si="25" ref="B1182:B1187">"201900078665"</f>
        <v>201900078665</v>
      </c>
      <c r="C1182" s="5" t="str">
        <f>"143295"</f>
        <v>143295</v>
      </c>
      <c r="D1182" s="5" t="s">
        <v>4942</v>
      </c>
      <c r="E1182" s="5">
        <v>20600413202</v>
      </c>
      <c r="F1182" s="5" t="s">
        <v>4943</v>
      </c>
      <c r="G1182" s="5" t="s">
        <v>4944</v>
      </c>
      <c r="H1182" s="5" t="s">
        <v>253</v>
      </c>
      <c r="I1182" s="5" t="s">
        <v>253</v>
      </c>
      <c r="J1182" s="5" t="s">
        <v>969</v>
      </c>
      <c r="K1182" s="5" t="s">
        <v>51</v>
      </c>
      <c r="L1182" s="6">
        <v>43617</v>
      </c>
      <c r="M1182" s="5" t="s">
        <v>21</v>
      </c>
      <c r="N1182" s="5" t="s">
        <v>4945</v>
      </c>
    </row>
    <row r="1183" spans="1:14" ht="69.75">
      <c r="A1183" s="3">
        <v>1177</v>
      </c>
      <c r="B1183" s="3" t="str">
        <f t="shared" si="25"/>
        <v>201900078665</v>
      </c>
      <c r="C1183" s="3" t="str">
        <f>"143296"</f>
        <v>143296</v>
      </c>
      <c r="D1183" s="3" t="s">
        <v>4946</v>
      </c>
      <c r="E1183" s="3">
        <v>20601059763</v>
      </c>
      <c r="F1183" s="3" t="s">
        <v>4947</v>
      </c>
      <c r="G1183" s="3" t="s">
        <v>4948</v>
      </c>
      <c r="H1183" s="3" t="s">
        <v>253</v>
      </c>
      <c r="I1183" s="3" t="s">
        <v>253</v>
      </c>
      <c r="J1183" s="3" t="s">
        <v>969</v>
      </c>
      <c r="K1183" s="3" t="s">
        <v>4949</v>
      </c>
      <c r="L1183" s="4">
        <v>43617</v>
      </c>
      <c r="M1183" s="3" t="s">
        <v>21</v>
      </c>
      <c r="N1183" s="3" t="s">
        <v>4950</v>
      </c>
    </row>
    <row r="1184" spans="1:14" ht="27.75">
      <c r="A1184" s="5">
        <v>1178</v>
      </c>
      <c r="B1184" s="5" t="str">
        <f t="shared" si="25"/>
        <v>201900078665</v>
      </c>
      <c r="C1184" s="5" t="str">
        <f>"143291"</f>
        <v>143291</v>
      </c>
      <c r="D1184" s="5" t="s">
        <v>4951</v>
      </c>
      <c r="E1184" s="5">
        <v>20490559354</v>
      </c>
      <c r="F1184" s="5" t="s">
        <v>4952</v>
      </c>
      <c r="G1184" s="5" t="s">
        <v>4953</v>
      </c>
      <c r="H1184" s="5" t="s">
        <v>253</v>
      </c>
      <c r="I1184" s="5" t="s">
        <v>253</v>
      </c>
      <c r="J1184" s="5" t="s">
        <v>969</v>
      </c>
      <c r="K1184" s="5" t="s">
        <v>36</v>
      </c>
      <c r="L1184" s="6">
        <v>43617</v>
      </c>
      <c r="M1184" s="5" t="s">
        <v>21</v>
      </c>
      <c r="N1184" s="5" t="s">
        <v>4954</v>
      </c>
    </row>
    <row r="1185" spans="1:14" ht="13.5">
      <c r="A1185" s="3">
        <v>1179</v>
      </c>
      <c r="B1185" s="3" t="str">
        <f t="shared" si="25"/>
        <v>201900078665</v>
      </c>
      <c r="C1185" s="3" t="str">
        <f>"143293"</f>
        <v>143293</v>
      </c>
      <c r="D1185" s="3" t="s">
        <v>4955</v>
      </c>
      <c r="E1185" s="3">
        <v>20498395458</v>
      </c>
      <c r="F1185" s="3" t="s">
        <v>4956</v>
      </c>
      <c r="G1185" s="3" t="s">
        <v>4957</v>
      </c>
      <c r="H1185" s="3" t="s">
        <v>253</v>
      </c>
      <c r="I1185" s="3" t="s">
        <v>253</v>
      </c>
      <c r="J1185" s="3" t="s">
        <v>969</v>
      </c>
      <c r="K1185" s="3" t="s">
        <v>630</v>
      </c>
      <c r="L1185" s="4">
        <v>43617</v>
      </c>
      <c r="M1185" s="3" t="s">
        <v>21</v>
      </c>
      <c r="N1185" s="3" t="s">
        <v>4958</v>
      </c>
    </row>
    <row r="1186" spans="1:14" ht="13.5">
      <c r="A1186" s="5">
        <v>1180</v>
      </c>
      <c r="B1186" s="5" t="str">
        <f t="shared" si="25"/>
        <v>201900078665</v>
      </c>
      <c r="C1186" s="5" t="str">
        <f>"143294"</f>
        <v>143294</v>
      </c>
      <c r="D1186" s="5" t="s">
        <v>4959</v>
      </c>
      <c r="E1186" s="5">
        <v>20517805158</v>
      </c>
      <c r="F1186" s="5" t="s">
        <v>4960</v>
      </c>
      <c r="G1186" s="5" t="s">
        <v>4961</v>
      </c>
      <c r="H1186" s="5" t="s">
        <v>253</v>
      </c>
      <c r="I1186" s="5" t="s">
        <v>253</v>
      </c>
      <c r="J1186" s="5" t="s">
        <v>969</v>
      </c>
      <c r="K1186" s="5" t="s">
        <v>36</v>
      </c>
      <c r="L1186" s="6">
        <v>43617</v>
      </c>
      <c r="M1186" s="5" t="s">
        <v>21</v>
      </c>
      <c r="N1186" s="5" t="s">
        <v>4962</v>
      </c>
    </row>
    <row r="1187" spans="1:14" ht="27.75">
      <c r="A1187" s="3">
        <v>1181</v>
      </c>
      <c r="B1187" s="3" t="str">
        <f t="shared" si="25"/>
        <v>201900078665</v>
      </c>
      <c r="C1187" s="3" t="str">
        <f>"143287"</f>
        <v>143287</v>
      </c>
      <c r="D1187" s="3" t="s">
        <v>4963</v>
      </c>
      <c r="E1187" s="3">
        <v>20434834555</v>
      </c>
      <c r="F1187" s="3" t="s">
        <v>4964</v>
      </c>
      <c r="G1187" s="3" t="s">
        <v>4965</v>
      </c>
      <c r="H1187" s="3" t="s">
        <v>253</v>
      </c>
      <c r="I1187" s="3" t="s">
        <v>253</v>
      </c>
      <c r="J1187" s="3" t="s">
        <v>969</v>
      </c>
      <c r="K1187" s="3" t="s">
        <v>36</v>
      </c>
      <c r="L1187" s="4">
        <v>43617</v>
      </c>
      <c r="M1187" s="3" t="s">
        <v>21</v>
      </c>
      <c r="N1187" s="3" t="s">
        <v>4966</v>
      </c>
    </row>
    <row r="1188" spans="1:14" ht="13.5">
      <c r="A1188" s="5">
        <v>1182</v>
      </c>
      <c r="B1188" s="5" t="str">
        <f>"201900078683"</f>
        <v>201900078683</v>
      </c>
      <c r="C1188" s="5" t="str">
        <f>"140379"</f>
        <v>140379</v>
      </c>
      <c r="D1188" s="5" t="s">
        <v>4967</v>
      </c>
      <c r="E1188" s="5">
        <v>20443308491</v>
      </c>
      <c r="F1188" s="5" t="s">
        <v>4968</v>
      </c>
      <c r="G1188" s="5" t="s">
        <v>4969</v>
      </c>
      <c r="H1188" s="5" t="s">
        <v>160</v>
      </c>
      <c r="I1188" s="5" t="s">
        <v>943</v>
      </c>
      <c r="J1188" s="5" t="s">
        <v>943</v>
      </c>
      <c r="K1188" s="5" t="s">
        <v>36</v>
      </c>
      <c r="L1188" s="5" t="s">
        <v>1864</v>
      </c>
      <c r="M1188" s="5" t="s">
        <v>21</v>
      </c>
      <c r="N1188" s="5"/>
    </row>
    <row r="1189" spans="1:14" ht="13.5">
      <c r="A1189" s="3">
        <v>1183</v>
      </c>
      <c r="B1189" s="3" t="str">
        <f>"201900078665"</f>
        <v>201900078665</v>
      </c>
      <c r="C1189" s="3" t="str">
        <f>"143288"</f>
        <v>143288</v>
      </c>
      <c r="D1189" s="3" t="s">
        <v>4970</v>
      </c>
      <c r="E1189" s="3">
        <v>20454895585</v>
      </c>
      <c r="F1189" s="3" t="s">
        <v>4971</v>
      </c>
      <c r="G1189" s="3" t="s">
        <v>4972</v>
      </c>
      <c r="H1189" s="3" t="s">
        <v>253</v>
      </c>
      <c r="I1189" s="3" t="s">
        <v>253</v>
      </c>
      <c r="J1189" s="3" t="s">
        <v>969</v>
      </c>
      <c r="K1189" s="3" t="s">
        <v>51</v>
      </c>
      <c r="L1189" s="4">
        <v>43617</v>
      </c>
      <c r="M1189" s="3" t="s">
        <v>21</v>
      </c>
      <c r="N1189" s="3" t="s">
        <v>4973</v>
      </c>
    </row>
    <row r="1190" spans="1:14" ht="13.5">
      <c r="A1190" s="5">
        <v>1184</v>
      </c>
      <c r="B1190" s="5" t="str">
        <f>"201900078665"</f>
        <v>201900078665</v>
      </c>
      <c r="C1190" s="5" t="str">
        <f>"143289"</f>
        <v>143289</v>
      </c>
      <c r="D1190" s="5" t="s">
        <v>4974</v>
      </c>
      <c r="E1190" s="5">
        <v>20455220913</v>
      </c>
      <c r="F1190" s="5" t="s">
        <v>4975</v>
      </c>
      <c r="G1190" s="5" t="s">
        <v>4976</v>
      </c>
      <c r="H1190" s="5" t="s">
        <v>253</v>
      </c>
      <c r="I1190" s="5" t="s">
        <v>253</v>
      </c>
      <c r="J1190" s="5" t="s">
        <v>969</v>
      </c>
      <c r="K1190" s="5" t="s">
        <v>36</v>
      </c>
      <c r="L1190" s="6">
        <v>43617</v>
      </c>
      <c r="M1190" s="5" t="s">
        <v>21</v>
      </c>
      <c r="N1190" s="5" t="s">
        <v>4977</v>
      </c>
    </row>
    <row r="1191" spans="1:14" ht="13.5">
      <c r="A1191" s="3">
        <v>1185</v>
      </c>
      <c r="B1191" s="3" t="str">
        <f>"201900078665"</f>
        <v>201900078665</v>
      </c>
      <c r="C1191" s="3" t="str">
        <f>"143290"</f>
        <v>143290</v>
      </c>
      <c r="D1191" s="3" t="s">
        <v>4978</v>
      </c>
      <c r="E1191" s="3">
        <v>20455656703</v>
      </c>
      <c r="F1191" s="3" t="s">
        <v>4979</v>
      </c>
      <c r="G1191" s="3" t="s">
        <v>4980</v>
      </c>
      <c r="H1191" s="3" t="s">
        <v>253</v>
      </c>
      <c r="I1191" s="3" t="s">
        <v>253</v>
      </c>
      <c r="J1191" s="3" t="s">
        <v>969</v>
      </c>
      <c r="K1191" s="3" t="s">
        <v>36</v>
      </c>
      <c r="L1191" s="4">
        <v>43617</v>
      </c>
      <c r="M1191" s="3" t="s">
        <v>21</v>
      </c>
      <c r="N1191" s="3" t="s">
        <v>4981</v>
      </c>
    </row>
    <row r="1192" spans="1:14" ht="13.5">
      <c r="A1192" s="5">
        <v>1186</v>
      </c>
      <c r="B1192" s="5" t="str">
        <f>"202000034376"</f>
        <v>202000034376</v>
      </c>
      <c r="C1192" s="5" t="str">
        <f>"149364"</f>
        <v>149364</v>
      </c>
      <c r="D1192" s="5" t="s">
        <v>4982</v>
      </c>
      <c r="E1192" s="5">
        <v>20502097840</v>
      </c>
      <c r="F1192" s="5" t="s">
        <v>4983</v>
      </c>
      <c r="G1192" s="5" t="s">
        <v>4984</v>
      </c>
      <c r="H1192" s="5" t="s">
        <v>18</v>
      </c>
      <c r="I1192" s="5" t="s">
        <v>18</v>
      </c>
      <c r="J1192" s="5" t="s">
        <v>1611</v>
      </c>
      <c r="K1192" s="5" t="s">
        <v>36</v>
      </c>
      <c r="L1192" s="6">
        <v>43914</v>
      </c>
      <c r="M1192" s="5" t="s">
        <v>21</v>
      </c>
      <c r="N1192" s="5" t="s">
        <v>2177</v>
      </c>
    </row>
    <row r="1193" spans="1:14" ht="27.75">
      <c r="A1193" s="3">
        <v>1187</v>
      </c>
      <c r="B1193" s="3" t="str">
        <f aca="true" t="shared" si="26" ref="B1193:B1201">"201900078808"</f>
        <v>201900078808</v>
      </c>
      <c r="C1193" s="3" t="str">
        <f>"143955"</f>
        <v>143955</v>
      </c>
      <c r="D1193" s="3" t="s">
        <v>4985</v>
      </c>
      <c r="E1193" s="3">
        <v>20510873646</v>
      </c>
      <c r="F1193" s="3" t="s">
        <v>4986</v>
      </c>
      <c r="G1193" s="3" t="s">
        <v>4987</v>
      </c>
      <c r="H1193" s="3" t="s">
        <v>18</v>
      </c>
      <c r="I1193" s="3" t="s">
        <v>18</v>
      </c>
      <c r="J1193" s="3" t="s">
        <v>713</v>
      </c>
      <c r="K1193" s="3" t="s">
        <v>36</v>
      </c>
      <c r="L1193" s="4">
        <v>43617</v>
      </c>
      <c r="M1193" s="3" t="s">
        <v>21</v>
      </c>
      <c r="N1193" s="3" t="s">
        <v>4988</v>
      </c>
    </row>
    <row r="1194" spans="1:14" ht="27.75">
      <c r="A1194" s="5">
        <v>1188</v>
      </c>
      <c r="B1194" s="5" t="str">
        <f t="shared" si="26"/>
        <v>201900078808</v>
      </c>
      <c r="C1194" s="5" t="str">
        <f>"143956"</f>
        <v>143956</v>
      </c>
      <c r="D1194" s="5" t="s">
        <v>4989</v>
      </c>
      <c r="E1194" s="5">
        <v>20511208417</v>
      </c>
      <c r="F1194" s="5" t="s">
        <v>4990</v>
      </c>
      <c r="G1194" s="5" t="s">
        <v>4991</v>
      </c>
      <c r="H1194" s="5" t="s">
        <v>18</v>
      </c>
      <c r="I1194" s="5" t="s">
        <v>18</v>
      </c>
      <c r="J1194" s="5" t="s">
        <v>713</v>
      </c>
      <c r="K1194" s="5" t="s">
        <v>443</v>
      </c>
      <c r="L1194" s="6">
        <v>43617</v>
      </c>
      <c r="M1194" s="5" t="s">
        <v>21</v>
      </c>
      <c r="N1194" s="5" t="s">
        <v>4992</v>
      </c>
    </row>
    <row r="1195" spans="1:14" ht="42">
      <c r="A1195" s="3">
        <v>1189</v>
      </c>
      <c r="B1195" s="3" t="str">
        <f t="shared" si="26"/>
        <v>201900078808</v>
      </c>
      <c r="C1195" s="3" t="str">
        <f>"143953"</f>
        <v>143953</v>
      </c>
      <c r="D1195" s="3" t="s">
        <v>4993</v>
      </c>
      <c r="E1195" s="3">
        <v>20497670561</v>
      </c>
      <c r="F1195" s="3" t="s">
        <v>4994</v>
      </c>
      <c r="G1195" s="3" t="s">
        <v>4995</v>
      </c>
      <c r="H1195" s="3" t="s">
        <v>18</v>
      </c>
      <c r="I1195" s="3" t="s">
        <v>18</v>
      </c>
      <c r="J1195" s="3" t="s">
        <v>713</v>
      </c>
      <c r="K1195" s="3" t="s">
        <v>42</v>
      </c>
      <c r="L1195" s="4">
        <v>43617</v>
      </c>
      <c r="M1195" s="3" t="s">
        <v>21</v>
      </c>
      <c r="N1195" s="3" t="s">
        <v>4996</v>
      </c>
    </row>
    <row r="1196" spans="1:14" ht="27.75">
      <c r="A1196" s="5">
        <v>1190</v>
      </c>
      <c r="B1196" s="5" t="str">
        <f t="shared" si="26"/>
        <v>201900078808</v>
      </c>
      <c r="C1196" s="5" t="str">
        <f>"143954"</f>
        <v>143954</v>
      </c>
      <c r="D1196" s="5" t="s">
        <v>4997</v>
      </c>
      <c r="E1196" s="5">
        <v>20505880171</v>
      </c>
      <c r="F1196" s="5" t="s">
        <v>4998</v>
      </c>
      <c r="G1196" s="5" t="s">
        <v>4902</v>
      </c>
      <c r="H1196" s="5" t="s">
        <v>18</v>
      </c>
      <c r="I1196" s="5" t="s">
        <v>18</v>
      </c>
      <c r="J1196" s="5" t="s">
        <v>713</v>
      </c>
      <c r="K1196" s="5" t="s">
        <v>20</v>
      </c>
      <c r="L1196" s="6">
        <v>43617</v>
      </c>
      <c r="M1196" s="5" t="s">
        <v>21</v>
      </c>
      <c r="N1196" s="5" t="s">
        <v>4903</v>
      </c>
    </row>
    <row r="1197" spans="1:14" ht="27.75">
      <c r="A1197" s="3">
        <v>1191</v>
      </c>
      <c r="B1197" s="3" t="str">
        <f t="shared" si="26"/>
        <v>201900078808</v>
      </c>
      <c r="C1197" s="3" t="str">
        <f>"143952"</f>
        <v>143952</v>
      </c>
      <c r="D1197" s="3" t="s">
        <v>4999</v>
      </c>
      <c r="E1197" s="3">
        <v>20492878953</v>
      </c>
      <c r="F1197" s="3" t="s">
        <v>5000</v>
      </c>
      <c r="G1197" s="3" t="s">
        <v>5001</v>
      </c>
      <c r="H1197" s="3" t="s">
        <v>18</v>
      </c>
      <c r="I1197" s="3" t="s">
        <v>18</v>
      </c>
      <c r="J1197" s="3" t="s">
        <v>713</v>
      </c>
      <c r="K1197" s="3" t="s">
        <v>443</v>
      </c>
      <c r="L1197" s="4">
        <v>43617</v>
      </c>
      <c r="M1197" s="3" t="s">
        <v>21</v>
      </c>
      <c r="N1197" s="3" t="s">
        <v>5002</v>
      </c>
    </row>
    <row r="1198" spans="1:14" ht="13.5">
      <c r="A1198" s="5">
        <v>1192</v>
      </c>
      <c r="B1198" s="5" t="str">
        <f t="shared" si="26"/>
        <v>201900078808</v>
      </c>
      <c r="C1198" s="5" t="str">
        <f>"143949"</f>
        <v>143949</v>
      </c>
      <c r="D1198" s="5" t="s">
        <v>5003</v>
      </c>
      <c r="E1198" s="5">
        <v>20101011403</v>
      </c>
      <c r="F1198" s="5" t="s">
        <v>5004</v>
      </c>
      <c r="G1198" s="5" t="s">
        <v>5005</v>
      </c>
      <c r="H1198" s="5" t="s">
        <v>18</v>
      </c>
      <c r="I1198" s="5" t="s">
        <v>18</v>
      </c>
      <c r="J1198" s="5" t="s">
        <v>713</v>
      </c>
      <c r="K1198" s="5" t="s">
        <v>36</v>
      </c>
      <c r="L1198" s="6">
        <v>43617</v>
      </c>
      <c r="M1198" s="5" t="s">
        <v>21</v>
      </c>
      <c r="N1198" s="5" t="s">
        <v>5006</v>
      </c>
    </row>
    <row r="1199" spans="1:14" ht="13.5">
      <c r="A1199" s="3">
        <v>1193</v>
      </c>
      <c r="B1199" s="3" t="str">
        <f t="shared" si="26"/>
        <v>201900078808</v>
      </c>
      <c r="C1199" s="3" t="str">
        <f>"143950"</f>
        <v>143950</v>
      </c>
      <c r="D1199" s="3" t="s">
        <v>5007</v>
      </c>
      <c r="E1199" s="3">
        <v>20102223382</v>
      </c>
      <c r="F1199" s="3" t="s">
        <v>5008</v>
      </c>
      <c r="G1199" s="3" t="s">
        <v>5009</v>
      </c>
      <c r="H1199" s="3" t="s">
        <v>18</v>
      </c>
      <c r="I1199" s="3" t="s">
        <v>18</v>
      </c>
      <c r="J1199" s="3" t="s">
        <v>713</v>
      </c>
      <c r="K1199" s="3" t="s">
        <v>36</v>
      </c>
      <c r="L1199" s="4">
        <v>43617</v>
      </c>
      <c r="M1199" s="3" t="s">
        <v>21</v>
      </c>
      <c r="N1199" s="3" t="s">
        <v>5010</v>
      </c>
    </row>
    <row r="1200" spans="1:14" ht="13.5">
      <c r="A1200" s="5">
        <v>1194</v>
      </c>
      <c r="B1200" s="5" t="str">
        <f t="shared" si="26"/>
        <v>201900078808</v>
      </c>
      <c r="C1200" s="5" t="str">
        <f>"143947"</f>
        <v>143947</v>
      </c>
      <c r="D1200" s="5" t="s">
        <v>5011</v>
      </c>
      <c r="E1200" s="5">
        <v>10098538998</v>
      </c>
      <c r="F1200" s="5" t="s">
        <v>5012</v>
      </c>
      <c r="G1200" s="5" t="s">
        <v>5013</v>
      </c>
      <c r="H1200" s="5" t="s">
        <v>18</v>
      </c>
      <c r="I1200" s="5" t="s">
        <v>18</v>
      </c>
      <c r="J1200" s="5" t="s">
        <v>713</v>
      </c>
      <c r="K1200" s="5" t="s">
        <v>36</v>
      </c>
      <c r="L1200" s="6">
        <v>43617</v>
      </c>
      <c r="M1200" s="5" t="s">
        <v>21</v>
      </c>
      <c r="N1200" s="5" t="s">
        <v>5012</v>
      </c>
    </row>
    <row r="1201" spans="1:14" ht="13.5">
      <c r="A1201" s="3">
        <v>1195</v>
      </c>
      <c r="B1201" s="3" t="str">
        <f t="shared" si="26"/>
        <v>201900078808</v>
      </c>
      <c r="C1201" s="3" t="str">
        <f>"143948"</f>
        <v>143948</v>
      </c>
      <c r="D1201" s="3" t="s">
        <v>5014</v>
      </c>
      <c r="E1201" s="3">
        <v>10283106000</v>
      </c>
      <c r="F1201" s="3" t="s">
        <v>5015</v>
      </c>
      <c r="G1201" s="3" t="s">
        <v>5016</v>
      </c>
      <c r="H1201" s="3" t="s">
        <v>18</v>
      </c>
      <c r="I1201" s="3" t="s">
        <v>18</v>
      </c>
      <c r="J1201" s="3" t="s">
        <v>713</v>
      </c>
      <c r="K1201" s="3" t="s">
        <v>97</v>
      </c>
      <c r="L1201" s="4">
        <v>43617</v>
      </c>
      <c r="M1201" s="3" t="s">
        <v>21</v>
      </c>
      <c r="N1201" s="3" t="s">
        <v>5015</v>
      </c>
    </row>
    <row r="1202" spans="1:14" ht="27.75">
      <c r="A1202" s="5">
        <v>1196</v>
      </c>
      <c r="B1202" s="5" t="str">
        <f>"201900078868"</f>
        <v>201900078868</v>
      </c>
      <c r="C1202" s="5" t="str">
        <f>"144137"</f>
        <v>144137</v>
      </c>
      <c r="D1202" s="5" t="s">
        <v>5017</v>
      </c>
      <c r="E1202" s="5">
        <v>20394055396</v>
      </c>
      <c r="F1202" s="5" t="s">
        <v>5018</v>
      </c>
      <c r="G1202" s="5" t="s">
        <v>5019</v>
      </c>
      <c r="H1202" s="5" t="s">
        <v>615</v>
      </c>
      <c r="I1202" s="5" t="s">
        <v>616</v>
      </c>
      <c r="J1202" s="5" t="s">
        <v>617</v>
      </c>
      <c r="K1202" s="5" t="s">
        <v>51</v>
      </c>
      <c r="L1202" s="6">
        <v>43617</v>
      </c>
      <c r="M1202" s="5" t="s">
        <v>21</v>
      </c>
      <c r="N1202" s="5" t="s">
        <v>3820</v>
      </c>
    </row>
    <row r="1203" spans="1:14" ht="13.5">
      <c r="A1203" s="3">
        <v>1197</v>
      </c>
      <c r="B1203" s="3" t="str">
        <f aca="true" t="shared" si="27" ref="B1203:B1211">"201900078665"</f>
        <v>201900078665</v>
      </c>
      <c r="C1203" s="3" t="str">
        <f>"143306"</f>
        <v>143306</v>
      </c>
      <c r="D1203" s="3" t="s">
        <v>5020</v>
      </c>
      <c r="E1203" s="3">
        <v>10431358421</v>
      </c>
      <c r="F1203" s="3" t="s">
        <v>5021</v>
      </c>
      <c r="G1203" s="3" t="s">
        <v>5022</v>
      </c>
      <c r="H1203" s="3" t="s">
        <v>253</v>
      </c>
      <c r="I1203" s="3" t="s">
        <v>253</v>
      </c>
      <c r="J1203" s="3" t="s">
        <v>3787</v>
      </c>
      <c r="K1203" s="3" t="s">
        <v>36</v>
      </c>
      <c r="L1203" s="4">
        <v>43617</v>
      </c>
      <c r="M1203" s="3" t="s">
        <v>21</v>
      </c>
      <c r="N1203" s="3" t="s">
        <v>5021</v>
      </c>
    </row>
    <row r="1204" spans="1:14" ht="13.5">
      <c r="A1204" s="5">
        <v>1198</v>
      </c>
      <c r="B1204" s="5" t="str">
        <f t="shared" si="27"/>
        <v>201900078665</v>
      </c>
      <c r="C1204" s="5" t="str">
        <f>"143304"</f>
        <v>143304</v>
      </c>
      <c r="D1204" s="5" t="s">
        <v>5023</v>
      </c>
      <c r="E1204" s="5">
        <v>20558251817</v>
      </c>
      <c r="F1204" s="5" t="s">
        <v>5024</v>
      </c>
      <c r="G1204" s="5" t="s">
        <v>5025</v>
      </c>
      <c r="H1204" s="5" t="s">
        <v>253</v>
      </c>
      <c r="I1204" s="5" t="s">
        <v>253</v>
      </c>
      <c r="J1204" s="5" t="s">
        <v>1588</v>
      </c>
      <c r="K1204" s="5" t="s">
        <v>36</v>
      </c>
      <c r="L1204" s="6">
        <v>43617</v>
      </c>
      <c r="M1204" s="5" t="s">
        <v>21</v>
      </c>
      <c r="N1204" s="5" t="s">
        <v>5026</v>
      </c>
    </row>
    <row r="1205" spans="1:14" ht="27.75">
      <c r="A1205" s="3">
        <v>1199</v>
      </c>
      <c r="B1205" s="3" t="str">
        <f t="shared" si="27"/>
        <v>201900078665</v>
      </c>
      <c r="C1205" s="3" t="str">
        <f>"143305"</f>
        <v>143305</v>
      </c>
      <c r="D1205" s="3" t="s">
        <v>5027</v>
      </c>
      <c r="E1205" s="3">
        <v>20559071961</v>
      </c>
      <c r="F1205" s="3" t="s">
        <v>5028</v>
      </c>
      <c r="G1205" s="3" t="s">
        <v>5029</v>
      </c>
      <c r="H1205" s="3" t="s">
        <v>253</v>
      </c>
      <c r="I1205" s="3" t="s">
        <v>253</v>
      </c>
      <c r="J1205" s="3" t="s">
        <v>1588</v>
      </c>
      <c r="K1205" s="3" t="s">
        <v>36</v>
      </c>
      <c r="L1205" s="4">
        <v>43617</v>
      </c>
      <c r="M1205" s="3" t="s">
        <v>21</v>
      </c>
      <c r="N1205" s="3" t="s">
        <v>5030</v>
      </c>
    </row>
    <row r="1206" spans="1:14" ht="13.5">
      <c r="A1206" s="5">
        <v>1200</v>
      </c>
      <c r="B1206" s="5" t="str">
        <f t="shared" si="27"/>
        <v>201900078665</v>
      </c>
      <c r="C1206" s="5" t="str">
        <f>"143302"</f>
        <v>143302</v>
      </c>
      <c r="D1206" s="5" t="s">
        <v>5031</v>
      </c>
      <c r="E1206" s="5">
        <v>20454158050</v>
      </c>
      <c r="F1206" s="5" t="s">
        <v>5032</v>
      </c>
      <c r="G1206" s="5" t="s">
        <v>5033</v>
      </c>
      <c r="H1206" s="5" t="s">
        <v>253</v>
      </c>
      <c r="I1206" s="5" t="s">
        <v>253</v>
      </c>
      <c r="J1206" s="5" t="s">
        <v>1588</v>
      </c>
      <c r="K1206" s="5" t="s">
        <v>51</v>
      </c>
      <c r="L1206" s="6">
        <v>43617</v>
      </c>
      <c r="M1206" s="5" t="s">
        <v>21</v>
      </c>
      <c r="N1206" s="5" t="s">
        <v>5034</v>
      </c>
    </row>
    <row r="1207" spans="1:14" ht="13.5">
      <c r="A1207" s="3">
        <v>1201</v>
      </c>
      <c r="B1207" s="3" t="str">
        <f t="shared" si="27"/>
        <v>201900078665</v>
      </c>
      <c r="C1207" s="3" t="str">
        <f>"143303"</f>
        <v>143303</v>
      </c>
      <c r="D1207" s="3" t="s">
        <v>5035</v>
      </c>
      <c r="E1207" s="3">
        <v>20558162393</v>
      </c>
      <c r="F1207" s="3" t="s">
        <v>5036</v>
      </c>
      <c r="G1207" s="3" t="s">
        <v>5037</v>
      </c>
      <c r="H1207" s="3" t="s">
        <v>253</v>
      </c>
      <c r="I1207" s="3" t="s">
        <v>253</v>
      </c>
      <c r="J1207" s="3" t="s">
        <v>1588</v>
      </c>
      <c r="K1207" s="3" t="s">
        <v>51</v>
      </c>
      <c r="L1207" s="4">
        <v>43617</v>
      </c>
      <c r="M1207" s="3" t="s">
        <v>21</v>
      </c>
      <c r="N1207" s="3" t="s">
        <v>5038</v>
      </c>
    </row>
    <row r="1208" spans="1:14" ht="13.5">
      <c r="A1208" s="5">
        <v>1202</v>
      </c>
      <c r="B1208" s="5" t="str">
        <f t="shared" si="27"/>
        <v>201900078665</v>
      </c>
      <c r="C1208" s="5" t="str">
        <f>"143300"</f>
        <v>143300</v>
      </c>
      <c r="D1208" s="5" t="s">
        <v>5039</v>
      </c>
      <c r="E1208" s="5">
        <v>20601730970</v>
      </c>
      <c r="F1208" s="5" t="s">
        <v>5040</v>
      </c>
      <c r="G1208" s="5" t="s">
        <v>5041</v>
      </c>
      <c r="H1208" s="5" t="s">
        <v>253</v>
      </c>
      <c r="I1208" s="5" t="s">
        <v>253</v>
      </c>
      <c r="J1208" s="5" t="s">
        <v>5042</v>
      </c>
      <c r="K1208" s="5" t="s">
        <v>36</v>
      </c>
      <c r="L1208" s="6">
        <v>43617</v>
      </c>
      <c r="M1208" s="5" t="s">
        <v>21</v>
      </c>
      <c r="N1208" s="5" t="s">
        <v>5043</v>
      </c>
    </row>
    <row r="1209" spans="1:14" ht="13.5">
      <c r="A1209" s="3">
        <v>1203</v>
      </c>
      <c r="B1209" s="3" t="str">
        <f t="shared" si="27"/>
        <v>201900078665</v>
      </c>
      <c r="C1209" s="3" t="str">
        <f>"143301"</f>
        <v>143301</v>
      </c>
      <c r="D1209" s="3" t="s">
        <v>5044</v>
      </c>
      <c r="E1209" s="3">
        <v>20447413931</v>
      </c>
      <c r="F1209" s="3" t="s">
        <v>5045</v>
      </c>
      <c r="G1209" s="3" t="s">
        <v>5046</v>
      </c>
      <c r="H1209" s="3" t="s">
        <v>253</v>
      </c>
      <c r="I1209" s="3" t="s">
        <v>253</v>
      </c>
      <c r="J1209" s="3" t="s">
        <v>1588</v>
      </c>
      <c r="K1209" s="3" t="s">
        <v>51</v>
      </c>
      <c r="L1209" s="4">
        <v>43617</v>
      </c>
      <c r="M1209" s="3" t="s">
        <v>21</v>
      </c>
      <c r="N1209" s="3" t="s">
        <v>5047</v>
      </c>
    </row>
    <row r="1210" spans="1:14" ht="27.75">
      <c r="A1210" s="5">
        <v>1204</v>
      </c>
      <c r="B1210" s="5" t="str">
        <f t="shared" si="27"/>
        <v>201900078665</v>
      </c>
      <c r="C1210" s="5" t="str">
        <f>"143298"</f>
        <v>143298</v>
      </c>
      <c r="D1210" s="5" t="s">
        <v>5048</v>
      </c>
      <c r="E1210" s="5">
        <v>20454464410</v>
      </c>
      <c r="F1210" s="5" t="s">
        <v>5049</v>
      </c>
      <c r="G1210" s="5" t="s">
        <v>5050</v>
      </c>
      <c r="H1210" s="5" t="s">
        <v>253</v>
      </c>
      <c r="I1210" s="5" t="s">
        <v>253</v>
      </c>
      <c r="J1210" s="5" t="s">
        <v>5042</v>
      </c>
      <c r="K1210" s="5" t="s">
        <v>51</v>
      </c>
      <c r="L1210" s="6">
        <v>43617</v>
      </c>
      <c r="M1210" s="5" t="s">
        <v>21</v>
      </c>
      <c r="N1210" s="5" t="s">
        <v>5051</v>
      </c>
    </row>
    <row r="1211" spans="1:14" ht="27.75">
      <c r="A1211" s="3">
        <v>1205</v>
      </c>
      <c r="B1211" s="3" t="str">
        <f t="shared" si="27"/>
        <v>201900078665</v>
      </c>
      <c r="C1211" s="3" t="str">
        <f>"143299"</f>
        <v>143299</v>
      </c>
      <c r="D1211" s="3" t="s">
        <v>5052</v>
      </c>
      <c r="E1211" s="3">
        <v>20455909687</v>
      </c>
      <c r="F1211" s="3" t="s">
        <v>5053</v>
      </c>
      <c r="G1211" s="3" t="s">
        <v>5054</v>
      </c>
      <c r="H1211" s="3" t="s">
        <v>253</v>
      </c>
      <c r="I1211" s="3" t="s">
        <v>253</v>
      </c>
      <c r="J1211" s="3" t="s">
        <v>5042</v>
      </c>
      <c r="K1211" s="3" t="s">
        <v>36</v>
      </c>
      <c r="L1211" s="4">
        <v>43617</v>
      </c>
      <c r="M1211" s="3" t="s">
        <v>21</v>
      </c>
      <c r="N1211" s="3" t="s">
        <v>5055</v>
      </c>
    </row>
    <row r="1212" spans="1:14" ht="13.5">
      <c r="A1212" s="5">
        <v>1206</v>
      </c>
      <c r="B1212" s="5" t="str">
        <f>"201900078868"</f>
        <v>201900078868</v>
      </c>
      <c r="C1212" s="5" t="str">
        <f>"144139"</f>
        <v>144139</v>
      </c>
      <c r="D1212" s="5" t="s">
        <v>5056</v>
      </c>
      <c r="E1212" s="5">
        <v>10408911732</v>
      </c>
      <c r="F1212" s="5" t="s">
        <v>5057</v>
      </c>
      <c r="G1212" s="5" t="s">
        <v>5058</v>
      </c>
      <c r="H1212" s="5" t="s">
        <v>615</v>
      </c>
      <c r="I1212" s="5" t="s">
        <v>616</v>
      </c>
      <c r="J1212" s="5" t="s">
        <v>3819</v>
      </c>
      <c r="K1212" s="5" t="s">
        <v>97</v>
      </c>
      <c r="L1212" s="6">
        <v>43617</v>
      </c>
      <c r="M1212" s="5" t="s">
        <v>21</v>
      </c>
      <c r="N1212" s="5" t="s">
        <v>5057</v>
      </c>
    </row>
    <row r="1213" spans="1:14" ht="27.75">
      <c r="A1213" s="3">
        <v>1207</v>
      </c>
      <c r="B1213" s="3" t="str">
        <f>"201900078665"</f>
        <v>201900078665</v>
      </c>
      <c r="C1213" s="3" t="str">
        <f>"143297"</f>
        <v>143297</v>
      </c>
      <c r="D1213" s="3" t="s">
        <v>5059</v>
      </c>
      <c r="E1213" s="3">
        <v>20601558808</v>
      </c>
      <c r="F1213" s="3" t="s">
        <v>5060</v>
      </c>
      <c r="G1213" s="3" t="s">
        <v>5061</v>
      </c>
      <c r="H1213" s="3" t="s">
        <v>253</v>
      </c>
      <c r="I1213" s="3" t="s">
        <v>253</v>
      </c>
      <c r="J1213" s="3" t="s">
        <v>969</v>
      </c>
      <c r="K1213" s="3" t="s">
        <v>36</v>
      </c>
      <c r="L1213" s="4">
        <v>43617</v>
      </c>
      <c r="M1213" s="3" t="s">
        <v>21</v>
      </c>
      <c r="N1213" s="3" t="s">
        <v>5062</v>
      </c>
    </row>
    <row r="1214" spans="1:14" ht="13.5">
      <c r="A1214" s="5">
        <v>1208</v>
      </c>
      <c r="B1214" s="5" t="str">
        <f>"201900078868"</f>
        <v>201900078868</v>
      </c>
      <c r="C1214" s="5" t="str">
        <f>"144138"</f>
        <v>144138</v>
      </c>
      <c r="D1214" s="5" t="s">
        <v>5063</v>
      </c>
      <c r="E1214" s="5">
        <v>20517008568</v>
      </c>
      <c r="F1214" s="5" t="s">
        <v>5064</v>
      </c>
      <c r="G1214" s="5" t="s">
        <v>5065</v>
      </c>
      <c r="H1214" s="5" t="s">
        <v>615</v>
      </c>
      <c r="I1214" s="5" t="s">
        <v>616</v>
      </c>
      <c r="J1214" s="5" t="s">
        <v>617</v>
      </c>
      <c r="K1214" s="5" t="s">
        <v>51</v>
      </c>
      <c r="L1214" s="6">
        <v>43617</v>
      </c>
      <c r="M1214" s="5" t="s">
        <v>21</v>
      </c>
      <c r="N1214" s="5" t="s">
        <v>1612</v>
      </c>
    </row>
    <row r="1215" spans="1:14" ht="13.5">
      <c r="A1215" s="3">
        <v>1209</v>
      </c>
      <c r="B1215" s="3" t="str">
        <f>"201900078868"</f>
        <v>201900078868</v>
      </c>
      <c r="C1215" s="3" t="str">
        <f>"144141"</f>
        <v>144141</v>
      </c>
      <c r="D1215" s="3" t="s">
        <v>5066</v>
      </c>
      <c r="E1215" s="3">
        <v>20394061361</v>
      </c>
      <c r="F1215" s="3" t="s">
        <v>5067</v>
      </c>
      <c r="G1215" s="3" t="s">
        <v>5068</v>
      </c>
      <c r="H1215" s="3" t="s">
        <v>615</v>
      </c>
      <c r="I1215" s="3" t="s">
        <v>616</v>
      </c>
      <c r="J1215" s="3" t="s">
        <v>3819</v>
      </c>
      <c r="K1215" s="3" t="s">
        <v>97</v>
      </c>
      <c r="L1215" s="4">
        <v>43617</v>
      </c>
      <c r="M1215" s="3" t="s">
        <v>21</v>
      </c>
      <c r="N1215" s="3" t="s">
        <v>5069</v>
      </c>
    </row>
    <row r="1216" spans="1:14" ht="27.75">
      <c r="A1216" s="5">
        <v>1210</v>
      </c>
      <c r="B1216" s="5" t="str">
        <f>"201900078868"</f>
        <v>201900078868</v>
      </c>
      <c r="C1216" s="5" t="str">
        <f>"144140"</f>
        <v>144140</v>
      </c>
      <c r="D1216" s="5" t="s">
        <v>5070</v>
      </c>
      <c r="E1216" s="5">
        <v>20351664674</v>
      </c>
      <c r="F1216" s="5" t="s">
        <v>5071</v>
      </c>
      <c r="G1216" s="5" t="s">
        <v>5072</v>
      </c>
      <c r="H1216" s="5" t="s">
        <v>615</v>
      </c>
      <c r="I1216" s="5" t="s">
        <v>616</v>
      </c>
      <c r="J1216" s="5" t="s">
        <v>3819</v>
      </c>
      <c r="K1216" s="5" t="s">
        <v>97</v>
      </c>
      <c r="L1216" s="6">
        <v>43617</v>
      </c>
      <c r="M1216" s="5" t="s">
        <v>21</v>
      </c>
      <c r="N1216" s="5" t="s">
        <v>5073</v>
      </c>
    </row>
    <row r="1217" spans="1:14" ht="27.75">
      <c r="A1217" s="3">
        <v>1211</v>
      </c>
      <c r="B1217" s="3" t="str">
        <f>"201900078808"</f>
        <v>201900078808</v>
      </c>
      <c r="C1217" s="3" t="str">
        <f>"143944"</f>
        <v>143944</v>
      </c>
      <c r="D1217" s="3" t="s">
        <v>5074</v>
      </c>
      <c r="E1217" s="3">
        <v>20553323801</v>
      </c>
      <c r="F1217" s="3" t="s">
        <v>5075</v>
      </c>
      <c r="G1217" s="3" t="s">
        <v>5076</v>
      </c>
      <c r="H1217" s="3" t="s">
        <v>18</v>
      </c>
      <c r="I1217" s="3" t="s">
        <v>18</v>
      </c>
      <c r="J1217" s="3" t="s">
        <v>80</v>
      </c>
      <c r="K1217" s="3" t="s">
        <v>36</v>
      </c>
      <c r="L1217" s="4">
        <v>43617</v>
      </c>
      <c r="M1217" s="3" t="s">
        <v>21</v>
      </c>
      <c r="N1217" s="3" t="s">
        <v>5077</v>
      </c>
    </row>
    <row r="1218" spans="1:14" ht="13.5">
      <c r="A1218" s="5">
        <v>1212</v>
      </c>
      <c r="B1218" s="5" t="str">
        <f>"201900130361"</f>
        <v>201900130361</v>
      </c>
      <c r="C1218" s="5" t="str">
        <f>"145811"</f>
        <v>145811</v>
      </c>
      <c r="D1218" s="5" t="s">
        <v>5078</v>
      </c>
      <c r="E1218" s="5">
        <v>20601424551</v>
      </c>
      <c r="F1218" s="5" t="s">
        <v>5079</v>
      </c>
      <c r="G1218" s="5" t="s">
        <v>1509</v>
      </c>
      <c r="H1218" s="5" t="s">
        <v>85</v>
      </c>
      <c r="I1218" s="5" t="s">
        <v>197</v>
      </c>
      <c r="J1218" s="5" t="s">
        <v>498</v>
      </c>
      <c r="K1218" s="5" t="s">
        <v>97</v>
      </c>
      <c r="L1218" s="6">
        <v>43691</v>
      </c>
      <c r="M1218" s="5" t="s">
        <v>21</v>
      </c>
      <c r="N1218" s="5" t="s">
        <v>1518</v>
      </c>
    </row>
    <row r="1219" spans="1:14" ht="13.5">
      <c r="A1219" s="3">
        <v>1213</v>
      </c>
      <c r="B1219" s="3" t="str">
        <f>"201900130359"</f>
        <v>201900130359</v>
      </c>
      <c r="C1219" s="3" t="str">
        <f>"145812"</f>
        <v>145812</v>
      </c>
      <c r="D1219" s="3" t="s">
        <v>5080</v>
      </c>
      <c r="E1219" s="3">
        <v>20604887934</v>
      </c>
      <c r="F1219" s="3" t="s">
        <v>5081</v>
      </c>
      <c r="G1219" s="3" t="s">
        <v>1509</v>
      </c>
      <c r="H1219" s="3" t="s">
        <v>85</v>
      </c>
      <c r="I1219" s="3" t="s">
        <v>197</v>
      </c>
      <c r="J1219" s="3" t="s">
        <v>498</v>
      </c>
      <c r="K1219" s="3" t="s">
        <v>97</v>
      </c>
      <c r="L1219" s="4">
        <v>43691</v>
      </c>
      <c r="M1219" s="3" t="s">
        <v>21</v>
      </c>
      <c r="N1219" s="3" t="s">
        <v>5082</v>
      </c>
    </row>
    <row r="1220" spans="1:14" ht="42">
      <c r="A1220" s="5">
        <v>1214</v>
      </c>
      <c r="B1220" s="5" t="str">
        <f aca="true" t="shared" si="28" ref="B1220:B1228">"201900078808"</f>
        <v>201900078808</v>
      </c>
      <c r="C1220" s="5" t="str">
        <f>"143945"</f>
        <v>143945</v>
      </c>
      <c r="D1220" s="5" t="s">
        <v>5083</v>
      </c>
      <c r="E1220" s="5">
        <v>20602798454</v>
      </c>
      <c r="F1220" s="5" t="s">
        <v>5084</v>
      </c>
      <c r="G1220" s="5" t="s">
        <v>5085</v>
      </c>
      <c r="H1220" s="5" t="s">
        <v>18</v>
      </c>
      <c r="I1220" s="5" t="s">
        <v>18</v>
      </c>
      <c r="J1220" s="5" t="s">
        <v>80</v>
      </c>
      <c r="K1220" s="5" t="s">
        <v>42</v>
      </c>
      <c r="L1220" s="6">
        <v>43617</v>
      </c>
      <c r="M1220" s="5" t="s">
        <v>21</v>
      </c>
      <c r="N1220" s="5" t="s">
        <v>5086</v>
      </c>
    </row>
    <row r="1221" spans="1:14" ht="27.75">
      <c r="A1221" s="3">
        <v>1215</v>
      </c>
      <c r="B1221" s="3" t="str">
        <f t="shared" si="28"/>
        <v>201900078808</v>
      </c>
      <c r="C1221" s="3" t="str">
        <f>"143946"</f>
        <v>143946</v>
      </c>
      <c r="D1221" s="3" t="s">
        <v>5087</v>
      </c>
      <c r="E1221" s="3">
        <v>20603953402</v>
      </c>
      <c r="F1221" s="3" t="s">
        <v>5088</v>
      </c>
      <c r="G1221" s="3" t="s">
        <v>5089</v>
      </c>
      <c r="H1221" s="3" t="s">
        <v>18</v>
      </c>
      <c r="I1221" s="3" t="s">
        <v>18</v>
      </c>
      <c r="J1221" s="3" t="s">
        <v>80</v>
      </c>
      <c r="K1221" s="3" t="s">
        <v>51</v>
      </c>
      <c r="L1221" s="4">
        <v>43617</v>
      </c>
      <c r="M1221" s="3" t="s">
        <v>21</v>
      </c>
      <c r="N1221" s="3" t="s">
        <v>5090</v>
      </c>
    </row>
    <row r="1222" spans="1:14" ht="27.75">
      <c r="A1222" s="5">
        <v>1216</v>
      </c>
      <c r="B1222" s="5" t="str">
        <f t="shared" si="28"/>
        <v>201900078808</v>
      </c>
      <c r="C1222" s="5" t="str">
        <f>"143940"</f>
        <v>143940</v>
      </c>
      <c r="D1222" s="5" t="s">
        <v>5091</v>
      </c>
      <c r="E1222" s="5">
        <v>20432939406</v>
      </c>
      <c r="F1222" s="5" t="s">
        <v>5092</v>
      </c>
      <c r="G1222" s="5" t="s">
        <v>5093</v>
      </c>
      <c r="H1222" s="5" t="s">
        <v>18</v>
      </c>
      <c r="I1222" s="5" t="s">
        <v>18</v>
      </c>
      <c r="J1222" s="5" t="s">
        <v>80</v>
      </c>
      <c r="K1222" s="5" t="s">
        <v>36</v>
      </c>
      <c r="L1222" s="6">
        <v>43617</v>
      </c>
      <c r="M1222" s="5" t="s">
        <v>21</v>
      </c>
      <c r="N1222" s="5" t="s">
        <v>5094</v>
      </c>
    </row>
    <row r="1223" spans="1:14" ht="27.75">
      <c r="A1223" s="3">
        <v>1217</v>
      </c>
      <c r="B1223" s="3" t="str">
        <f t="shared" si="28"/>
        <v>201900078808</v>
      </c>
      <c r="C1223" s="3" t="str">
        <f>"143941"</f>
        <v>143941</v>
      </c>
      <c r="D1223" s="3" t="s">
        <v>5095</v>
      </c>
      <c r="E1223" s="3">
        <v>20511826188</v>
      </c>
      <c r="F1223" s="3" t="s">
        <v>5096</v>
      </c>
      <c r="G1223" s="3" t="s">
        <v>5097</v>
      </c>
      <c r="H1223" s="3" t="s">
        <v>18</v>
      </c>
      <c r="I1223" s="3" t="s">
        <v>18</v>
      </c>
      <c r="J1223" s="3" t="s">
        <v>80</v>
      </c>
      <c r="K1223" s="3" t="s">
        <v>36</v>
      </c>
      <c r="L1223" s="4">
        <v>43617</v>
      </c>
      <c r="M1223" s="3" t="s">
        <v>21</v>
      </c>
      <c r="N1223" s="3" t="s">
        <v>5098</v>
      </c>
    </row>
    <row r="1224" spans="1:14" ht="27.75">
      <c r="A1224" s="5">
        <v>1218</v>
      </c>
      <c r="B1224" s="5" t="str">
        <f t="shared" si="28"/>
        <v>201900078808</v>
      </c>
      <c r="C1224" s="5" t="str">
        <f>"143942"</f>
        <v>143942</v>
      </c>
      <c r="D1224" s="5" t="s">
        <v>5099</v>
      </c>
      <c r="E1224" s="5">
        <v>20524644046</v>
      </c>
      <c r="F1224" s="5" t="s">
        <v>5100</v>
      </c>
      <c r="G1224" s="5" t="s">
        <v>5101</v>
      </c>
      <c r="H1224" s="5" t="s">
        <v>18</v>
      </c>
      <c r="I1224" s="5" t="s">
        <v>18</v>
      </c>
      <c r="J1224" s="5" t="s">
        <v>80</v>
      </c>
      <c r="K1224" s="5" t="s">
        <v>51</v>
      </c>
      <c r="L1224" s="6">
        <v>43617</v>
      </c>
      <c r="M1224" s="5" t="s">
        <v>21</v>
      </c>
      <c r="N1224" s="5" t="s">
        <v>5102</v>
      </c>
    </row>
    <row r="1225" spans="1:14" ht="13.5">
      <c r="A1225" s="3">
        <v>1219</v>
      </c>
      <c r="B1225" s="3" t="str">
        <f t="shared" si="28"/>
        <v>201900078808</v>
      </c>
      <c r="C1225" s="3" t="str">
        <f>"143943"</f>
        <v>143943</v>
      </c>
      <c r="D1225" s="3" t="s">
        <v>5103</v>
      </c>
      <c r="E1225" s="3">
        <v>20544367855</v>
      </c>
      <c r="F1225" s="3" t="s">
        <v>5104</v>
      </c>
      <c r="G1225" s="3" t="s">
        <v>5105</v>
      </c>
      <c r="H1225" s="3" t="s">
        <v>18</v>
      </c>
      <c r="I1225" s="3" t="s">
        <v>18</v>
      </c>
      <c r="J1225" s="3" t="s">
        <v>80</v>
      </c>
      <c r="K1225" s="3" t="s">
        <v>36</v>
      </c>
      <c r="L1225" s="4">
        <v>43617</v>
      </c>
      <c r="M1225" s="3" t="s">
        <v>21</v>
      </c>
      <c r="N1225" s="3" t="s">
        <v>5106</v>
      </c>
    </row>
    <row r="1226" spans="1:14" ht="27.75">
      <c r="A1226" s="5">
        <v>1220</v>
      </c>
      <c r="B1226" s="5" t="str">
        <f t="shared" si="28"/>
        <v>201900078808</v>
      </c>
      <c r="C1226" s="5" t="str">
        <f>"143937"</f>
        <v>143937</v>
      </c>
      <c r="D1226" s="5" t="s">
        <v>5107</v>
      </c>
      <c r="E1226" s="5">
        <v>20134243903</v>
      </c>
      <c r="F1226" s="5" t="s">
        <v>5108</v>
      </c>
      <c r="G1226" s="5" t="s">
        <v>5109</v>
      </c>
      <c r="H1226" s="5" t="s">
        <v>18</v>
      </c>
      <c r="I1226" s="5" t="s">
        <v>18</v>
      </c>
      <c r="J1226" s="5" t="s">
        <v>80</v>
      </c>
      <c r="K1226" s="5" t="s">
        <v>51</v>
      </c>
      <c r="L1226" s="6">
        <v>43617</v>
      </c>
      <c r="M1226" s="5" t="s">
        <v>21</v>
      </c>
      <c r="N1226" s="5" t="s">
        <v>5110</v>
      </c>
    </row>
    <row r="1227" spans="1:14" ht="27.75">
      <c r="A1227" s="3">
        <v>1221</v>
      </c>
      <c r="B1227" s="3" t="str">
        <f t="shared" si="28"/>
        <v>201900078808</v>
      </c>
      <c r="C1227" s="3" t="str">
        <f>"143938"</f>
        <v>143938</v>
      </c>
      <c r="D1227" s="3" t="s">
        <v>5111</v>
      </c>
      <c r="E1227" s="3">
        <v>20222351767</v>
      </c>
      <c r="F1227" s="3" t="s">
        <v>5112</v>
      </c>
      <c r="G1227" s="3" t="s">
        <v>5113</v>
      </c>
      <c r="H1227" s="3" t="s">
        <v>18</v>
      </c>
      <c r="I1227" s="3" t="s">
        <v>18</v>
      </c>
      <c r="J1227" s="3" t="s">
        <v>80</v>
      </c>
      <c r="K1227" s="3" t="s">
        <v>97</v>
      </c>
      <c r="L1227" s="4">
        <v>43617</v>
      </c>
      <c r="M1227" s="3" t="s">
        <v>21</v>
      </c>
      <c r="N1227" s="3" t="s">
        <v>5114</v>
      </c>
    </row>
    <row r="1228" spans="1:14" ht="13.5">
      <c r="A1228" s="5">
        <v>1222</v>
      </c>
      <c r="B1228" s="5" t="str">
        <f t="shared" si="28"/>
        <v>201900078808</v>
      </c>
      <c r="C1228" s="5" t="str">
        <f>"143939"</f>
        <v>143939</v>
      </c>
      <c r="D1228" s="5" t="s">
        <v>5115</v>
      </c>
      <c r="E1228" s="5">
        <v>20293431109</v>
      </c>
      <c r="F1228" s="5" t="s">
        <v>5116</v>
      </c>
      <c r="G1228" s="5" t="s">
        <v>5117</v>
      </c>
      <c r="H1228" s="5" t="s">
        <v>18</v>
      </c>
      <c r="I1228" s="5" t="s">
        <v>18</v>
      </c>
      <c r="J1228" s="5" t="s">
        <v>80</v>
      </c>
      <c r="K1228" s="5" t="s">
        <v>2266</v>
      </c>
      <c r="L1228" s="6">
        <v>43617</v>
      </c>
      <c r="M1228" s="5" t="s">
        <v>21</v>
      </c>
      <c r="N1228" s="5" t="s">
        <v>5118</v>
      </c>
    </row>
    <row r="1229" spans="1:14" ht="42">
      <c r="A1229" s="3">
        <v>1223</v>
      </c>
      <c r="B1229" s="3" t="str">
        <f>"202000092665"</f>
        <v>202000092665</v>
      </c>
      <c r="C1229" s="3" t="str">
        <f>"150250"</f>
        <v>150250</v>
      </c>
      <c r="D1229" s="3" t="s">
        <v>5119</v>
      </c>
      <c r="E1229" s="3">
        <v>20603676930</v>
      </c>
      <c r="F1229" s="3" t="s">
        <v>5120</v>
      </c>
      <c r="G1229" s="3" t="s">
        <v>5121</v>
      </c>
      <c r="H1229" s="3" t="s">
        <v>18</v>
      </c>
      <c r="I1229" s="3" t="s">
        <v>18</v>
      </c>
      <c r="J1229" s="3" t="s">
        <v>242</v>
      </c>
      <c r="K1229" s="3" t="s">
        <v>42</v>
      </c>
      <c r="L1229" s="4">
        <v>44054</v>
      </c>
      <c r="M1229" s="3" t="s">
        <v>21</v>
      </c>
      <c r="N1229" s="3" t="s">
        <v>5122</v>
      </c>
    </row>
    <row r="1230" spans="1:14" ht="83.25">
      <c r="A1230" s="5">
        <v>1224</v>
      </c>
      <c r="B1230" s="5" t="str">
        <f>"202000028293"</f>
        <v>202000028293</v>
      </c>
      <c r="C1230" s="5" t="str">
        <f>"149256"</f>
        <v>149256</v>
      </c>
      <c r="D1230" s="5" t="s">
        <v>5123</v>
      </c>
      <c r="E1230" s="5">
        <v>20605141723</v>
      </c>
      <c r="F1230" s="5" t="s">
        <v>5124</v>
      </c>
      <c r="G1230" s="5" t="s">
        <v>5125</v>
      </c>
      <c r="H1230" s="5" t="s">
        <v>274</v>
      </c>
      <c r="I1230" s="5" t="s">
        <v>274</v>
      </c>
      <c r="J1230" s="5" t="s">
        <v>1003</v>
      </c>
      <c r="K1230" s="5" t="s">
        <v>1004</v>
      </c>
      <c r="L1230" s="6">
        <v>43881</v>
      </c>
      <c r="M1230" s="5" t="s">
        <v>21</v>
      </c>
      <c r="N1230" s="5" t="s">
        <v>5126</v>
      </c>
    </row>
    <row r="1231" spans="1:14" ht="13.5">
      <c r="A1231" s="3">
        <v>1225</v>
      </c>
      <c r="B1231" s="3" t="str">
        <f>"202000078025"</f>
        <v>202000078025</v>
      </c>
      <c r="C1231" s="3" t="str">
        <f>"149899"</f>
        <v>149899</v>
      </c>
      <c r="D1231" s="3" t="s">
        <v>5127</v>
      </c>
      <c r="E1231" s="3">
        <v>10158484205</v>
      </c>
      <c r="F1231" s="3" t="s">
        <v>5128</v>
      </c>
      <c r="G1231" s="3" t="s">
        <v>5129</v>
      </c>
      <c r="H1231" s="3" t="s">
        <v>1645</v>
      </c>
      <c r="I1231" s="3" t="s">
        <v>5130</v>
      </c>
      <c r="J1231" s="3" t="s">
        <v>5131</v>
      </c>
      <c r="K1231" s="3" t="s">
        <v>36</v>
      </c>
      <c r="L1231" s="4">
        <v>44027</v>
      </c>
      <c r="M1231" s="3" t="s">
        <v>21</v>
      </c>
      <c r="N1231" s="3" t="s">
        <v>5128</v>
      </c>
    </row>
    <row r="1232" spans="1:14" ht="27.75">
      <c r="A1232" s="5">
        <v>1226</v>
      </c>
      <c r="B1232" s="5" t="str">
        <f>"202000060428"</f>
        <v>202000060428</v>
      </c>
      <c r="C1232" s="5" t="str">
        <f>"149586"</f>
        <v>149586</v>
      </c>
      <c r="D1232" s="5" t="s">
        <v>5132</v>
      </c>
      <c r="E1232" s="5">
        <v>20448259707</v>
      </c>
      <c r="F1232" s="5" t="s">
        <v>5133</v>
      </c>
      <c r="G1232" s="5" t="s">
        <v>5134</v>
      </c>
      <c r="H1232" s="5" t="s">
        <v>253</v>
      </c>
      <c r="I1232" s="5" t="s">
        <v>253</v>
      </c>
      <c r="J1232" s="5" t="s">
        <v>969</v>
      </c>
      <c r="K1232" s="5" t="s">
        <v>36</v>
      </c>
      <c r="L1232" s="6">
        <v>43987</v>
      </c>
      <c r="M1232" s="5" t="s">
        <v>21</v>
      </c>
      <c r="N1232" s="5" t="s">
        <v>5135</v>
      </c>
    </row>
    <row r="1233" spans="1:14" ht="153.75">
      <c r="A1233" s="3">
        <v>1227</v>
      </c>
      <c r="B1233" s="3" t="str">
        <f>"202000060614"</f>
        <v>202000060614</v>
      </c>
      <c r="C1233" s="3" t="str">
        <f>"149597"</f>
        <v>149597</v>
      </c>
      <c r="D1233" s="3" t="s">
        <v>5136</v>
      </c>
      <c r="E1233" s="3">
        <v>20481914796</v>
      </c>
      <c r="F1233" s="3" t="s">
        <v>845</v>
      </c>
      <c r="G1233" s="3" t="s">
        <v>846</v>
      </c>
      <c r="H1233" s="3" t="s">
        <v>73</v>
      </c>
      <c r="I1233" s="3" t="s">
        <v>74</v>
      </c>
      <c r="J1233" s="3" t="s">
        <v>784</v>
      </c>
      <c r="K1233" s="3" t="s">
        <v>75</v>
      </c>
      <c r="L1233" s="4">
        <v>43983</v>
      </c>
      <c r="M1233" s="3" t="s">
        <v>21</v>
      </c>
      <c r="N1233" s="3" t="s">
        <v>848</v>
      </c>
    </row>
    <row r="1234" spans="1:14" ht="27.75">
      <c r="A1234" s="5">
        <v>1228</v>
      </c>
      <c r="B1234" s="5" t="str">
        <f>"202000028536"</f>
        <v>202000028536</v>
      </c>
      <c r="C1234" s="5" t="str">
        <f>"149258"</f>
        <v>149258</v>
      </c>
      <c r="D1234" s="5" t="s">
        <v>5137</v>
      </c>
      <c r="E1234" s="5">
        <v>20601596530</v>
      </c>
      <c r="F1234" s="5" t="s">
        <v>5138</v>
      </c>
      <c r="G1234" s="5" t="s">
        <v>5139</v>
      </c>
      <c r="H1234" s="5" t="s">
        <v>18</v>
      </c>
      <c r="I1234" s="5" t="s">
        <v>18</v>
      </c>
      <c r="J1234" s="5" t="s">
        <v>242</v>
      </c>
      <c r="K1234" s="5" t="s">
        <v>51</v>
      </c>
      <c r="L1234" s="6">
        <v>43893</v>
      </c>
      <c r="M1234" s="5" t="s">
        <v>21</v>
      </c>
      <c r="N1234" s="5" t="s">
        <v>5140</v>
      </c>
    </row>
    <row r="1235" spans="1:14" ht="27.75">
      <c r="A1235" s="3">
        <v>1229</v>
      </c>
      <c r="B1235" s="3" t="str">
        <f aca="true" t="shared" si="29" ref="B1235:B1242">"201900078665"</f>
        <v>201900078665</v>
      </c>
      <c r="C1235" s="3" t="str">
        <f>"143332"</f>
        <v>143332</v>
      </c>
      <c r="D1235" s="3" t="s">
        <v>5141</v>
      </c>
      <c r="E1235" s="3">
        <v>20558571307</v>
      </c>
      <c r="F1235" s="3" t="s">
        <v>5142</v>
      </c>
      <c r="G1235" s="3" t="s">
        <v>5143</v>
      </c>
      <c r="H1235" s="3" t="s">
        <v>253</v>
      </c>
      <c r="I1235" s="3" t="s">
        <v>253</v>
      </c>
      <c r="J1235" s="3" t="s">
        <v>5144</v>
      </c>
      <c r="K1235" s="3" t="s">
        <v>51</v>
      </c>
      <c r="L1235" s="4">
        <v>43617</v>
      </c>
      <c r="M1235" s="3" t="s">
        <v>21</v>
      </c>
      <c r="N1235" s="3" t="s">
        <v>5145</v>
      </c>
    </row>
    <row r="1236" spans="1:14" ht="42">
      <c r="A1236" s="5">
        <v>1230</v>
      </c>
      <c r="B1236" s="5" t="str">
        <f t="shared" si="29"/>
        <v>201900078665</v>
      </c>
      <c r="C1236" s="5" t="str">
        <f>"143331"</f>
        <v>143331</v>
      </c>
      <c r="D1236" s="5" t="s">
        <v>5146</v>
      </c>
      <c r="E1236" s="5">
        <v>20558025132</v>
      </c>
      <c r="F1236" s="5" t="s">
        <v>5147</v>
      </c>
      <c r="G1236" s="5" t="s">
        <v>5148</v>
      </c>
      <c r="H1236" s="5" t="s">
        <v>253</v>
      </c>
      <c r="I1236" s="5" t="s">
        <v>253</v>
      </c>
      <c r="J1236" s="5" t="s">
        <v>5144</v>
      </c>
      <c r="K1236" s="5" t="s">
        <v>5149</v>
      </c>
      <c r="L1236" s="6">
        <v>43617</v>
      </c>
      <c r="M1236" s="5" t="s">
        <v>21</v>
      </c>
      <c r="N1236" s="5" t="s">
        <v>5150</v>
      </c>
    </row>
    <row r="1237" spans="1:14" ht="13.5">
      <c r="A1237" s="3">
        <v>1231</v>
      </c>
      <c r="B1237" s="3" t="str">
        <f t="shared" si="29"/>
        <v>201900078665</v>
      </c>
      <c r="C1237" s="3" t="str">
        <f>"143334"</f>
        <v>143334</v>
      </c>
      <c r="D1237" s="3" t="s">
        <v>5151</v>
      </c>
      <c r="E1237" s="3">
        <v>20601774675</v>
      </c>
      <c r="F1237" s="3" t="s">
        <v>5152</v>
      </c>
      <c r="G1237" s="3" t="s">
        <v>5153</v>
      </c>
      <c r="H1237" s="3" t="s">
        <v>253</v>
      </c>
      <c r="I1237" s="3" t="s">
        <v>253</v>
      </c>
      <c r="J1237" s="3" t="s">
        <v>5154</v>
      </c>
      <c r="K1237" s="3" t="s">
        <v>36</v>
      </c>
      <c r="L1237" s="4">
        <v>43617</v>
      </c>
      <c r="M1237" s="3" t="s">
        <v>21</v>
      </c>
      <c r="N1237" s="3" t="s">
        <v>5155</v>
      </c>
    </row>
    <row r="1238" spans="1:14" ht="55.5">
      <c r="A1238" s="5">
        <v>1232</v>
      </c>
      <c r="B1238" s="5" t="str">
        <f t="shared" si="29"/>
        <v>201900078665</v>
      </c>
      <c r="C1238" s="5" t="str">
        <f>"143333"</f>
        <v>143333</v>
      </c>
      <c r="D1238" s="5" t="s">
        <v>5156</v>
      </c>
      <c r="E1238" s="5">
        <v>20100226147</v>
      </c>
      <c r="F1238" s="5" t="s">
        <v>5157</v>
      </c>
      <c r="G1238" s="5" t="s">
        <v>5158</v>
      </c>
      <c r="H1238" s="5" t="s">
        <v>253</v>
      </c>
      <c r="I1238" s="5" t="s">
        <v>253</v>
      </c>
      <c r="J1238" s="5" t="s">
        <v>5154</v>
      </c>
      <c r="K1238" s="5" t="s">
        <v>5159</v>
      </c>
      <c r="L1238" s="6">
        <v>43617</v>
      </c>
      <c r="M1238" s="5" t="s">
        <v>21</v>
      </c>
      <c r="N1238" s="5" t="s">
        <v>5160</v>
      </c>
    </row>
    <row r="1239" spans="1:14" ht="13.5">
      <c r="A1239" s="3">
        <v>1233</v>
      </c>
      <c r="B1239" s="3" t="str">
        <f t="shared" si="29"/>
        <v>201900078665</v>
      </c>
      <c r="C1239" s="3" t="str">
        <f>"143328"</f>
        <v>143328</v>
      </c>
      <c r="D1239" s="3" t="s">
        <v>5161</v>
      </c>
      <c r="E1239" s="3">
        <v>20272612561</v>
      </c>
      <c r="F1239" s="3" t="s">
        <v>5162</v>
      </c>
      <c r="G1239" s="3" t="s">
        <v>5163</v>
      </c>
      <c r="H1239" s="3" t="s">
        <v>253</v>
      </c>
      <c r="I1239" s="3" t="s">
        <v>253</v>
      </c>
      <c r="J1239" s="3" t="s">
        <v>5164</v>
      </c>
      <c r="K1239" s="3" t="s">
        <v>36</v>
      </c>
      <c r="L1239" s="4">
        <v>43617</v>
      </c>
      <c r="M1239" s="3" t="s">
        <v>21</v>
      </c>
      <c r="N1239" s="3" t="s">
        <v>5165</v>
      </c>
    </row>
    <row r="1240" spans="1:14" ht="13.5">
      <c r="A1240" s="5">
        <v>1234</v>
      </c>
      <c r="B1240" s="5" t="str">
        <f t="shared" si="29"/>
        <v>201900078665</v>
      </c>
      <c r="C1240" s="5" t="str">
        <f>"143327"</f>
        <v>143327</v>
      </c>
      <c r="D1240" s="5" t="s">
        <v>5166</v>
      </c>
      <c r="E1240" s="5">
        <v>20604244642</v>
      </c>
      <c r="F1240" s="5" t="s">
        <v>5167</v>
      </c>
      <c r="G1240" s="5" t="s">
        <v>5168</v>
      </c>
      <c r="H1240" s="5" t="s">
        <v>253</v>
      </c>
      <c r="I1240" s="5" t="s">
        <v>253</v>
      </c>
      <c r="J1240" s="5" t="s">
        <v>4850</v>
      </c>
      <c r="K1240" s="5" t="s">
        <v>36</v>
      </c>
      <c r="L1240" s="6">
        <v>43617</v>
      </c>
      <c r="M1240" s="5" t="s">
        <v>21</v>
      </c>
      <c r="N1240" s="5" t="s">
        <v>5169</v>
      </c>
    </row>
    <row r="1241" spans="1:14" ht="42">
      <c r="A1241" s="3">
        <v>1235</v>
      </c>
      <c r="B1241" s="3" t="str">
        <f t="shared" si="29"/>
        <v>201900078665</v>
      </c>
      <c r="C1241" s="3" t="str">
        <f>"143330"</f>
        <v>143330</v>
      </c>
      <c r="D1241" s="3" t="s">
        <v>5170</v>
      </c>
      <c r="E1241" s="3">
        <v>20558600251</v>
      </c>
      <c r="F1241" s="3" t="s">
        <v>5171</v>
      </c>
      <c r="G1241" s="3" t="s">
        <v>5172</v>
      </c>
      <c r="H1241" s="3" t="s">
        <v>253</v>
      </c>
      <c r="I1241" s="3" t="s">
        <v>253</v>
      </c>
      <c r="J1241" s="3" t="s">
        <v>5164</v>
      </c>
      <c r="K1241" s="3" t="s">
        <v>5173</v>
      </c>
      <c r="L1241" s="4">
        <v>43617</v>
      </c>
      <c r="M1241" s="3" t="s">
        <v>21</v>
      </c>
      <c r="N1241" s="3" t="s">
        <v>5174</v>
      </c>
    </row>
    <row r="1242" spans="1:14" ht="27.75">
      <c r="A1242" s="5">
        <v>1236</v>
      </c>
      <c r="B1242" s="5" t="str">
        <f t="shared" si="29"/>
        <v>201900078665</v>
      </c>
      <c r="C1242" s="5" t="str">
        <f>"143329"</f>
        <v>143329</v>
      </c>
      <c r="D1242" s="5" t="s">
        <v>5175</v>
      </c>
      <c r="E1242" s="5">
        <v>20539509811</v>
      </c>
      <c r="F1242" s="5" t="s">
        <v>5176</v>
      </c>
      <c r="G1242" s="5" t="s">
        <v>5177</v>
      </c>
      <c r="H1242" s="5" t="s">
        <v>253</v>
      </c>
      <c r="I1242" s="5" t="s">
        <v>253</v>
      </c>
      <c r="J1242" s="5" t="s">
        <v>5164</v>
      </c>
      <c r="K1242" s="5" t="s">
        <v>36</v>
      </c>
      <c r="L1242" s="6">
        <v>43617</v>
      </c>
      <c r="M1242" s="5" t="s">
        <v>21</v>
      </c>
      <c r="N1242" s="5" t="s">
        <v>5178</v>
      </c>
    </row>
    <row r="1243" spans="1:14" ht="42">
      <c r="A1243" s="3">
        <v>1237</v>
      </c>
      <c r="B1243" s="3" t="str">
        <f>"201900080823"</f>
        <v>201900080823</v>
      </c>
      <c r="C1243" s="3" t="str">
        <f>"144177"</f>
        <v>144177</v>
      </c>
      <c r="D1243" s="3" t="s">
        <v>5179</v>
      </c>
      <c r="E1243" s="3">
        <v>20604012148</v>
      </c>
      <c r="F1243" s="3" t="s">
        <v>5180</v>
      </c>
      <c r="G1243" s="3" t="s">
        <v>5181</v>
      </c>
      <c r="H1243" s="3" t="s">
        <v>85</v>
      </c>
      <c r="I1243" s="3" t="s">
        <v>208</v>
      </c>
      <c r="J1243" s="3" t="s">
        <v>209</v>
      </c>
      <c r="K1243" s="3" t="s">
        <v>42</v>
      </c>
      <c r="L1243" s="4">
        <v>43619</v>
      </c>
      <c r="M1243" s="3" t="s">
        <v>21</v>
      </c>
      <c r="N1243" s="3" t="s">
        <v>5182</v>
      </c>
    </row>
    <row r="1244" spans="1:14" ht="13.5">
      <c r="A1244" s="5">
        <v>1238</v>
      </c>
      <c r="B1244" s="5" t="str">
        <f>"201900078665"</f>
        <v>201900078665</v>
      </c>
      <c r="C1244" s="5" t="str">
        <f>"143336"</f>
        <v>143336</v>
      </c>
      <c r="D1244" s="5" t="s">
        <v>5183</v>
      </c>
      <c r="E1244" s="5">
        <v>20456326448</v>
      </c>
      <c r="F1244" s="5" t="s">
        <v>5184</v>
      </c>
      <c r="G1244" s="5" t="s">
        <v>5185</v>
      </c>
      <c r="H1244" s="5" t="s">
        <v>253</v>
      </c>
      <c r="I1244" s="5" t="s">
        <v>1423</v>
      </c>
      <c r="J1244" s="5" t="s">
        <v>1423</v>
      </c>
      <c r="K1244" s="5" t="s">
        <v>36</v>
      </c>
      <c r="L1244" s="6">
        <v>43617</v>
      </c>
      <c r="M1244" s="5" t="s">
        <v>21</v>
      </c>
      <c r="N1244" s="5" t="s">
        <v>5186</v>
      </c>
    </row>
    <row r="1245" spans="1:14" ht="27.75">
      <c r="A1245" s="3">
        <v>1239</v>
      </c>
      <c r="B1245" s="3" t="str">
        <f>"201900078665"</f>
        <v>201900078665</v>
      </c>
      <c r="C1245" s="3" t="str">
        <f>"143335"</f>
        <v>143335</v>
      </c>
      <c r="D1245" s="3" t="s">
        <v>5187</v>
      </c>
      <c r="E1245" s="3">
        <v>20187210314</v>
      </c>
      <c r="F1245" s="3" t="s">
        <v>5188</v>
      </c>
      <c r="G1245" s="3" t="s">
        <v>5189</v>
      </c>
      <c r="H1245" s="3" t="s">
        <v>253</v>
      </c>
      <c r="I1245" s="3" t="s">
        <v>253</v>
      </c>
      <c r="J1245" s="3" t="s">
        <v>254</v>
      </c>
      <c r="K1245" s="3" t="s">
        <v>51</v>
      </c>
      <c r="L1245" s="4">
        <v>43617</v>
      </c>
      <c r="M1245" s="3" t="s">
        <v>21</v>
      </c>
      <c r="N1245" s="3" t="s">
        <v>5190</v>
      </c>
    </row>
    <row r="1246" spans="1:14" ht="13.5">
      <c r="A1246" s="5">
        <v>1240</v>
      </c>
      <c r="B1246" s="5" t="str">
        <f>"202000057244"</f>
        <v>202000057244</v>
      </c>
      <c r="C1246" s="5" t="str">
        <f>"149569"</f>
        <v>149569</v>
      </c>
      <c r="D1246" s="5" t="s">
        <v>5191</v>
      </c>
      <c r="E1246" s="5">
        <v>20605493191</v>
      </c>
      <c r="F1246" s="5" t="s">
        <v>5192</v>
      </c>
      <c r="G1246" s="5" t="s">
        <v>5193</v>
      </c>
      <c r="H1246" s="5" t="s">
        <v>18</v>
      </c>
      <c r="I1246" s="5" t="s">
        <v>18</v>
      </c>
      <c r="J1246" s="5" t="s">
        <v>18</v>
      </c>
      <c r="K1246" s="5" t="s">
        <v>51</v>
      </c>
      <c r="L1246" s="6">
        <v>43994</v>
      </c>
      <c r="M1246" s="5" t="s">
        <v>21</v>
      </c>
      <c r="N1246" s="5" t="s">
        <v>3518</v>
      </c>
    </row>
    <row r="1247" spans="1:14" ht="111.75">
      <c r="A1247" s="3">
        <v>1241</v>
      </c>
      <c r="B1247" s="3" t="str">
        <f>"202000056724"</f>
        <v>202000056724</v>
      </c>
      <c r="C1247" s="3" t="str">
        <f>"149568"</f>
        <v>149568</v>
      </c>
      <c r="D1247" s="3" t="s">
        <v>5194</v>
      </c>
      <c r="E1247" s="3">
        <v>20277127548</v>
      </c>
      <c r="F1247" s="3" t="s">
        <v>5195</v>
      </c>
      <c r="G1247" s="3" t="s">
        <v>5196</v>
      </c>
      <c r="H1247" s="3" t="s">
        <v>274</v>
      </c>
      <c r="I1247" s="3" t="s">
        <v>274</v>
      </c>
      <c r="J1247" s="3" t="s">
        <v>1316</v>
      </c>
      <c r="K1247" s="3" t="s">
        <v>5197</v>
      </c>
      <c r="L1247" s="4">
        <v>43997</v>
      </c>
      <c r="M1247" s="3" t="s">
        <v>21</v>
      </c>
      <c r="N1247" s="3" t="s">
        <v>5198</v>
      </c>
    </row>
    <row r="1248" spans="1:14" ht="13.5">
      <c r="A1248" s="5">
        <v>1242</v>
      </c>
      <c r="B1248" s="5" t="str">
        <f>"202000058386"</f>
        <v>202000058386</v>
      </c>
      <c r="C1248" s="5" t="str">
        <f>"149571"</f>
        <v>149571</v>
      </c>
      <c r="D1248" s="5" t="s">
        <v>5199</v>
      </c>
      <c r="E1248" s="5">
        <v>20107034413</v>
      </c>
      <c r="F1248" s="5" t="s">
        <v>641</v>
      </c>
      <c r="G1248" s="5" t="s">
        <v>5200</v>
      </c>
      <c r="H1248" s="5" t="s">
        <v>1017</v>
      </c>
      <c r="I1248" s="5" t="s">
        <v>1018</v>
      </c>
      <c r="J1248" s="5" t="s">
        <v>1018</v>
      </c>
      <c r="K1248" s="5" t="s">
        <v>51</v>
      </c>
      <c r="L1248" s="6">
        <v>43972</v>
      </c>
      <c r="M1248" s="5" t="s">
        <v>21</v>
      </c>
      <c r="N1248" s="5" t="s">
        <v>643</v>
      </c>
    </row>
    <row r="1249" spans="1:14" ht="83.25">
      <c r="A1249" s="3">
        <v>1243</v>
      </c>
      <c r="B1249" s="3" t="str">
        <f>"202000139873"</f>
        <v>202000139873</v>
      </c>
      <c r="C1249" s="3" t="str">
        <f>"151780"</f>
        <v>151780</v>
      </c>
      <c r="D1249" s="3" t="s">
        <v>5201</v>
      </c>
      <c r="E1249" s="3">
        <v>10179026444</v>
      </c>
      <c r="F1249" s="3" t="s">
        <v>5202</v>
      </c>
      <c r="G1249" s="3" t="s">
        <v>5203</v>
      </c>
      <c r="H1249" s="3" t="s">
        <v>73</v>
      </c>
      <c r="I1249" s="3" t="s">
        <v>74</v>
      </c>
      <c r="J1249" s="3" t="s">
        <v>74</v>
      </c>
      <c r="K1249" s="3" t="s">
        <v>3260</v>
      </c>
      <c r="L1249" s="4">
        <v>44118</v>
      </c>
      <c r="M1249" s="3" t="s">
        <v>21</v>
      </c>
      <c r="N1249" s="3" t="s">
        <v>5202</v>
      </c>
    </row>
    <row r="1250" spans="1:14" ht="69.75">
      <c r="A1250" s="5">
        <v>1244</v>
      </c>
      <c r="B1250" s="5" t="str">
        <f>"202000077986"</f>
        <v>202000077986</v>
      </c>
      <c r="C1250" s="5" t="str">
        <f>"149880"</f>
        <v>149880</v>
      </c>
      <c r="D1250" s="5" t="s">
        <v>5204</v>
      </c>
      <c r="E1250" s="5">
        <v>20605042547</v>
      </c>
      <c r="F1250" s="5" t="s">
        <v>5205</v>
      </c>
      <c r="G1250" s="5" t="s">
        <v>5206</v>
      </c>
      <c r="H1250" s="5" t="s">
        <v>274</v>
      </c>
      <c r="I1250" s="5" t="s">
        <v>370</v>
      </c>
      <c r="J1250" s="5" t="s">
        <v>5207</v>
      </c>
      <c r="K1250" s="5" t="s">
        <v>556</v>
      </c>
      <c r="L1250" s="6">
        <v>44020</v>
      </c>
      <c r="M1250" s="5" t="s">
        <v>21</v>
      </c>
      <c r="N1250" s="5" t="s">
        <v>5208</v>
      </c>
    </row>
    <row r="1251" spans="1:14" ht="42">
      <c r="A1251" s="3">
        <v>1245</v>
      </c>
      <c r="B1251" s="3" t="str">
        <f>"202000058805"</f>
        <v>202000058805</v>
      </c>
      <c r="C1251" s="3" t="str">
        <f>"149575"</f>
        <v>149575</v>
      </c>
      <c r="D1251" s="3" t="s">
        <v>5209</v>
      </c>
      <c r="E1251" s="3">
        <v>20505711069</v>
      </c>
      <c r="F1251" s="3" t="s">
        <v>5210</v>
      </c>
      <c r="G1251" s="3" t="s">
        <v>5211</v>
      </c>
      <c r="H1251" s="3" t="s">
        <v>18</v>
      </c>
      <c r="I1251" s="3" t="s">
        <v>18</v>
      </c>
      <c r="J1251" s="3" t="s">
        <v>303</v>
      </c>
      <c r="K1251" s="3" t="s">
        <v>42</v>
      </c>
      <c r="L1251" s="4">
        <v>43978</v>
      </c>
      <c r="M1251" s="3" t="s">
        <v>21</v>
      </c>
      <c r="N1251" s="3" t="s">
        <v>5212</v>
      </c>
    </row>
    <row r="1252" spans="1:14" ht="42">
      <c r="A1252" s="5">
        <v>1246</v>
      </c>
      <c r="B1252" s="5" t="str">
        <f>"202000060102"</f>
        <v>202000060102</v>
      </c>
      <c r="C1252" s="5" t="str">
        <f>"149582"</f>
        <v>149582</v>
      </c>
      <c r="D1252" s="5" t="s">
        <v>5213</v>
      </c>
      <c r="E1252" s="5">
        <v>10455821059</v>
      </c>
      <c r="F1252" s="5" t="s">
        <v>5214</v>
      </c>
      <c r="G1252" s="5" t="s">
        <v>5215</v>
      </c>
      <c r="H1252" s="5" t="s">
        <v>1830</v>
      </c>
      <c r="I1252" s="5" t="s">
        <v>2261</v>
      </c>
      <c r="J1252" s="5" t="s">
        <v>5216</v>
      </c>
      <c r="K1252" s="5" t="s">
        <v>42</v>
      </c>
      <c r="L1252" s="6">
        <v>43979</v>
      </c>
      <c r="M1252" s="5" t="s">
        <v>21</v>
      </c>
      <c r="N1252" s="5" t="s">
        <v>5214</v>
      </c>
    </row>
    <row r="1253" spans="1:14" ht="69.75">
      <c r="A1253" s="3">
        <v>1247</v>
      </c>
      <c r="B1253" s="3" t="str">
        <f>"202000060366"</f>
        <v>202000060366</v>
      </c>
      <c r="C1253" s="3" t="str">
        <f>"149583"</f>
        <v>149583</v>
      </c>
      <c r="D1253" s="3" t="s">
        <v>5217</v>
      </c>
      <c r="E1253" s="3">
        <v>20526119895</v>
      </c>
      <c r="F1253" s="3" t="s">
        <v>5218</v>
      </c>
      <c r="G1253" s="3" t="s">
        <v>5219</v>
      </c>
      <c r="H1253" s="3" t="s">
        <v>274</v>
      </c>
      <c r="I1253" s="3" t="s">
        <v>274</v>
      </c>
      <c r="J1253" s="3" t="s">
        <v>1316</v>
      </c>
      <c r="K1253" s="3" t="s">
        <v>556</v>
      </c>
      <c r="L1253" s="4">
        <v>43983</v>
      </c>
      <c r="M1253" s="3" t="s">
        <v>21</v>
      </c>
      <c r="N1253" s="3" t="s">
        <v>5220</v>
      </c>
    </row>
  </sheetData>
  <sheetProtection/>
  <mergeCells count="1">
    <mergeCell ref="A2:N2"/>
  </mergeCells>
  <printOptions/>
  <pageMargins left="0.75" right="0.75" top="1" bottom="1" header="0.5" footer="0.5"/>
  <pageSetup horizontalDpi="600" verticalDpi="600" orientation="portrait" r:id="rId2"/>
  <customProperties>
    <customPr name="EpmWorksheetKeyString_GUID" r:id="rId3"/>
  </customPropertie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</dc:title>
  <dc:subject/>
  <dc:creator>Jose Manuel Castañeda Rossel</dc:creator>
  <cp:keywords/>
  <dc:description/>
  <cp:lastModifiedBy>Jose Manuel Castañeda Rossel</cp:lastModifiedBy>
  <dcterms:created xsi:type="dcterms:W3CDTF">2020-10-29T21:26:56Z</dcterms:created>
  <dcterms:modified xsi:type="dcterms:W3CDTF">2020-10-29T21:27:02Z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