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MediosdeTransporteAcuático" sheetId="1" r:id="rId1"/>
  </sheets>
  <definedNames/>
  <calcPr fullCalcOnLoad="1"/>
</workbook>
</file>

<file path=xl/sharedStrings.xml><?xml version="1.0" encoding="utf-8"?>
<sst xmlns="http://schemas.openxmlformats.org/spreadsheetml/2006/main" count="4081" uniqueCount="1597">
  <si>
    <t>REGISTROS HÁBILES DE MEDIOS DE TRANSPORTE ACUÁTICO (Actualizado al 29 DE OCTUBRE DE 2020)</t>
  </si>
  <si>
    <t>No</t>
  </si>
  <si>
    <t>EXPEDIENTE</t>
  </si>
  <si>
    <t>CODIGO OSINERGMIN</t>
  </si>
  <si>
    <t>REGISTRO</t>
  </si>
  <si>
    <t>RUC</t>
  </si>
  <si>
    <t>RAZON SOCIAL</t>
  </si>
  <si>
    <t>DOMICILIO LEGAL</t>
  </si>
  <si>
    <t>DEPARTAMENTO</t>
  </si>
  <si>
    <t>PROVINCIA</t>
  </si>
  <si>
    <t>DISTRITO</t>
  </si>
  <si>
    <t>MATRICULA</t>
  </si>
  <si>
    <t>NOMBRE NAVE</t>
  </si>
  <si>
    <t>TIPO TRANSPORTE</t>
  </si>
  <si>
    <t>PRODUCTOS</t>
  </si>
  <si>
    <t>CAPACIDAD</t>
  </si>
  <si>
    <t>UNIDAD MEDIDA</t>
  </si>
  <si>
    <t>FEC. EMISIÓN</t>
  </si>
  <si>
    <t>TÉRMINO DE VIGENCIA</t>
  </si>
  <si>
    <t>REPRESENTANTE LEGAL</t>
  </si>
  <si>
    <t>90606-063-181111</t>
  </si>
  <si>
    <t>LUIS ESTANISLAO ROCHA CABRERA</t>
  </si>
  <si>
    <t>CASERIO SANTA ROSA B-12</t>
  </si>
  <si>
    <t>LORETO</t>
  </si>
  <si>
    <t>MAYNAS</t>
  </si>
  <si>
    <t>PUNCHANA</t>
  </si>
  <si>
    <t>IQ-29626-AF</t>
  </si>
  <si>
    <t>APUP</t>
  </si>
  <si>
    <t>BARCAZA FLUVIAL</t>
  </si>
  <si>
    <t>GALONES</t>
  </si>
  <si>
    <t>INDEFINIDO</t>
  </si>
  <si>
    <t>141116-063-190219</t>
  </si>
  <si>
    <t>AGUSTIN CRUZ INUMA</t>
  </si>
  <si>
    <t>CALLE BOLIVAR N° 847</t>
  </si>
  <si>
    <t>ALTO AMAZONAS</t>
  </si>
  <si>
    <t>YURIMAGUAS</t>
  </si>
  <si>
    <t>PA-51486-MF</t>
  </si>
  <si>
    <t>BAGRES</t>
  </si>
  <si>
    <t>ACUATICO</t>
  </si>
  <si>
    <t>BIODIESELES</t>
  </si>
  <si>
    <t>0003-BZCL-16-2002</t>
  </si>
  <si>
    <t>MARIO CESAR DA COSTA MANZUR E.I.R.L.</t>
  </si>
  <si>
    <t>LORETO N° 587</t>
  </si>
  <si>
    <t>IQUITOS</t>
  </si>
  <si>
    <t>IQ-18716-AF</t>
  </si>
  <si>
    <t>107817-063-190314</t>
  </si>
  <si>
    <t>SERVICIOS Y EQUIPOS AMAZONICOS S.A.C</t>
  </si>
  <si>
    <t>AV LA MARINA 486</t>
  </si>
  <si>
    <t>IQ-07945-AF</t>
  </si>
  <si>
    <t>A/F HTC-19</t>
  </si>
  <si>
    <t>BARCAZA</t>
  </si>
  <si>
    <t>LUIS MESIA TELLO</t>
  </si>
  <si>
    <t>121664-063-091219</t>
  </si>
  <si>
    <t>TRANSPORTES JUPITER S.R.L.</t>
  </si>
  <si>
    <t xml:space="preserve">AV. LA MARINA N°2067 </t>
  </si>
  <si>
    <t>IQ-51297-AF</t>
  </si>
  <si>
    <t>KENIA XV</t>
  </si>
  <si>
    <t>DIESEL B5, GASOLINAS PARA USO AUTOMOTOR, PETROLEO CRUDO</t>
  </si>
  <si>
    <t>JUAN ANTONIO RUIZ TELLO</t>
  </si>
  <si>
    <t>117991-063-191115</t>
  </si>
  <si>
    <t>SERVICIOS GENERALES ALANYA E.I.R.L.</t>
  </si>
  <si>
    <t>JR. FIZCARRALD N°528</t>
  </si>
  <si>
    <t>PA-50056-BF</t>
  </si>
  <si>
    <t>S.G.A. X</t>
  </si>
  <si>
    <t>BOTE MOTOR</t>
  </si>
  <si>
    <t>DIESEL B5, GASOLINAS PARA USO AUTOMOTOR, TURBO A-1</t>
  </si>
  <si>
    <t>ANA YOLANDA ALANYA PEREZ DE TERRONES</t>
  </si>
  <si>
    <t>134183-063-080218</t>
  </si>
  <si>
    <t xml:space="preserve">TRANS PACIFICO S.A.C. </t>
  </si>
  <si>
    <t>JR. BOLIVAR 452</t>
  </si>
  <si>
    <t>UCAYALI</t>
  </si>
  <si>
    <t>CORONEL PORTILLO</t>
  </si>
  <si>
    <t>CALLERIA</t>
  </si>
  <si>
    <t>PA-38527-MF</t>
  </si>
  <si>
    <t>PACIFICO XI</t>
  </si>
  <si>
    <t>MOTOCHATA</t>
  </si>
  <si>
    <t>GLP ENVASADO</t>
  </si>
  <si>
    <t xml:space="preserve">EDINSON CHAPIAMA HIDALGO </t>
  </si>
  <si>
    <t>95495-063-210619</t>
  </si>
  <si>
    <t>TRANSPORTE Y SERVICIOS FLUVIALES SAGITARIO S.A.C.</t>
  </si>
  <si>
    <t>CALLE EDILBERTO VALLES N°1083</t>
  </si>
  <si>
    <t>IQ-38684-MF</t>
  </si>
  <si>
    <t>TRANSPORTES SAGITARIO I</t>
  </si>
  <si>
    <t>MOTOCHATA FLUVIAL</t>
  </si>
  <si>
    <t>DIESEL BX, GASOLINAS PARA USO AUTOMOTOR, TURBO A-1</t>
  </si>
  <si>
    <t>RUDY DANY VELASCO CERRON</t>
  </si>
  <si>
    <t>116490-063-201215</t>
  </si>
  <si>
    <t xml:space="preserve">JULIA NATIVIDAD TELLO MENDOZA </t>
  </si>
  <si>
    <t>CALLE PURUS/CANCHITA MANGUALITO</t>
  </si>
  <si>
    <t>ATALAYA</t>
  </si>
  <si>
    <t>RAYMONDI</t>
  </si>
  <si>
    <t>PA-43170-BF</t>
  </si>
  <si>
    <t>E.C.J.</t>
  </si>
  <si>
    <t>MEDIO DE TRANSPORTE ACUÁTICO DE HIDROCARBUROS</t>
  </si>
  <si>
    <t xml:space="preserve">DIESEL B5, GASOHOLES, GASOLINAS PARA USO AUTOMOTOR, TURBO A-1, TURBO JP-5 </t>
  </si>
  <si>
    <t>112966-063-090315</t>
  </si>
  <si>
    <t>CORPORACION VASQUEZ E HIJOS S.A.C.</t>
  </si>
  <si>
    <t>AV. LA MARINA Nº 1814</t>
  </si>
  <si>
    <t>IQ-40648-MF</t>
  </si>
  <si>
    <t>walter junior i</t>
  </si>
  <si>
    <t>barcaza</t>
  </si>
  <si>
    <t>DIESEL B5, GASOLINA 84, GASOLINA 90</t>
  </si>
  <si>
    <t>PATRICIA KRISS SANDI ESTRADA</t>
  </si>
  <si>
    <t>117992-063-121115</t>
  </si>
  <si>
    <t>PA-50055-BF</t>
  </si>
  <si>
    <t>S.G.A. IX</t>
  </si>
  <si>
    <t>0005-BZCL-16-2009</t>
  </si>
  <si>
    <t>MARIO CESAR DA COSTA MANZUR EIRL</t>
  </si>
  <si>
    <t>NANAY Nº 358</t>
  </si>
  <si>
    <t>IQ-29500-MF</t>
  </si>
  <si>
    <t>107429-063-140214</t>
  </si>
  <si>
    <t>NAVIERA CURARAY S.A.C</t>
  </si>
  <si>
    <t>CALLE YARAVI N° 429-A</t>
  </si>
  <si>
    <t>IQ-50083-AF</t>
  </si>
  <si>
    <t>A/F CURARAY 11</t>
  </si>
  <si>
    <t>DIESEL, NAFTA, PETROLEO CRUDO</t>
  </si>
  <si>
    <t>ROGER ENRIQUE PINEDO TUCHIA</t>
  </si>
  <si>
    <t>116493-063-060815</t>
  </si>
  <si>
    <t xml:space="preserve">VITERBO RAMIRO ORE ROJAS </t>
  </si>
  <si>
    <t>JR. ENE N° 273</t>
  </si>
  <si>
    <t>PA-50029-BF</t>
  </si>
  <si>
    <t>R.O.</t>
  </si>
  <si>
    <t>DIESEL B5</t>
  </si>
  <si>
    <t>113590-063-130419</t>
  </si>
  <si>
    <t>TRANSPORTE Y SERVICIOS FLUVIALES DA COSTA S.A.C</t>
  </si>
  <si>
    <t>CA. LUZ MARINA VERGARA S/N</t>
  </si>
  <si>
    <t>IQ-50332-MF</t>
  </si>
  <si>
    <t>TAMARA I</t>
  </si>
  <si>
    <t>PETROLEO CRUDO, PETRÓLEOS INDUSTRIALES</t>
  </si>
  <si>
    <t>MARIO CESAR DA COSTA MANZUR</t>
  </si>
  <si>
    <t>138911-063-051018</t>
  </si>
  <si>
    <t xml:space="preserve">INVERSIONES Y SERVICIOS CESAR E.I.R.L. </t>
  </si>
  <si>
    <t xml:space="preserve">CALLE LADISLAO ESPINAR S/N </t>
  </si>
  <si>
    <t>CONTAMANA</t>
  </si>
  <si>
    <t>IQ-08652-MF</t>
  </si>
  <si>
    <t>MARIA LUISA</t>
  </si>
  <si>
    <t>DIESEL B5, GASOLINAS PARA USO AUTOMOTOR</t>
  </si>
  <si>
    <t>CESAR HILDEBRANDT NAVARRO ROJAS</t>
  </si>
  <si>
    <t>85301-063-020320</t>
  </si>
  <si>
    <t>TRANSPORTES JUPITER SRL</t>
  </si>
  <si>
    <t>AV. LA MARINA Nº 2067</t>
  </si>
  <si>
    <t>IQ-22901-AF</t>
  </si>
  <si>
    <t>KENIA IV</t>
  </si>
  <si>
    <t>DIESEL B5, GASOLINAS PARA USO AUTOMOTOR, PETROLEO CRUDO, PETRÓLEOS INDUSTRIALES, RESIDUALES</t>
  </si>
  <si>
    <t>83545-063-160419</t>
  </si>
  <si>
    <t>CALLE LUZ MARINA VERGARA S/N PUERTO DACOSTA</t>
  </si>
  <si>
    <t>IQ-29499-MF</t>
  </si>
  <si>
    <t>BEIRUT III</t>
  </si>
  <si>
    <t>MOTOCHATA FLUVIAL DE COMBUSTIBLES LIQUIDOS</t>
  </si>
  <si>
    <t>TURBO A-1</t>
  </si>
  <si>
    <t>112967-063-100315</t>
  </si>
  <si>
    <t>LUIS ENRIQUE CHAPIAMA RUIZ</t>
  </si>
  <si>
    <t>JR. HUANCAVELICA N° 607</t>
  </si>
  <si>
    <t>PA-50249-MF</t>
  </si>
  <si>
    <t>ZULEYKA</t>
  </si>
  <si>
    <t>DIESEL BX, GASOLINAS PARA USO AUTOMOTOR</t>
  </si>
  <si>
    <t>104431-063-190320</t>
  </si>
  <si>
    <t xml:space="preserve">EMPRESA FLUVIAL GRIFOS UNIDOS S.A.C. </t>
  </si>
  <si>
    <t>COMUNIDAD PUNKIRI CHICO MZA 120 LOTE 1</t>
  </si>
  <si>
    <t>MADRE DE DIOS</t>
  </si>
  <si>
    <t>MANU</t>
  </si>
  <si>
    <t>PM-16676-MF</t>
  </si>
  <si>
    <t>M/F ARCO IRIS</t>
  </si>
  <si>
    <t>EMBARCACION FLUVIAL PROPULSADA</t>
  </si>
  <si>
    <t>Diesel B5 S-50</t>
  </si>
  <si>
    <t>HUGO AIMITUMA CONTO</t>
  </si>
  <si>
    <t>0004-BZCL-25-2008</t>
  </si>
  <si>
    <t>REPRESENTACIONES MISHAEL E.I.R.L.</t>
  </si>
  <si>
    <t>JE. MIGUEL GRAU MZ. 5 LT. 8</t>
  </si>
  <si>
    <t>PA-29031-MF</t>
  </si>
  <si>
    <t>124662-063-120117</t>
  </si>
  <si>
    <t>TRANSPORTE Y SERVICIOS FLUVIALES DA COSTA S.A.C.</t>
  </si>
  <si>
    <t>LUZ MARINA VERGARA S/N - PUNCHANA</t>
  </si>
  <si>
    <t>IQ-51719-AF</t>
  </si>
  <si>
    <t>M Y J II</t>
  </si>
  <si>
    <t>DIESEL BX, GASOLINAS PARA USO AUTOMOTOR, PETROLEO CRUDO</t>
  </si>
  <si>
    <t>119032-063-290416</t>
  </si>
  <si>
    <t xml:space="preserve">RONALD RODRIGUEZ NIETO </t>
  </si>
  <si>
    <t>AV. SAENZ PEÑA N°946</t>
  </si>
  <si>
    <t>PA-41328-MF</t>
  </si>
  <si>
    <t>SANTA ROSA I</t>
  </si>
  <si>
    <t>RONALD RODRIGUEZ NIETO</t>
  </si>
  <si>
    <t>90607-063-181111</t>
  </si>
  <si>
    <t>IQ-29624-AF</t>
  </si>
  <si>
    <t>BARON</t>
  </si>
  <si>
    <t>107428-063-140214</t>
  </si>
  <si>
    <t>NAVIERA CURARAY S.A.C.</t>
  </si>
  <si>
    <t>CALLE YAVARI N° 429-A</t>
  </si>
  <si>
    <t>IQ-50088-AF</t>
  </si>
  <si>
    <t>A/F CURARAY 10</t>
  </si>
  <si>
    <t>TRANSPORTES CORCUERA S.A.</t>
  </si>
  <si>
    <t>JIRÓN PROGRESO 911</t>
  </si>
  <si>
    <t>IQ-008014-AF</t>
  </si>
  <si>
    <t>142979-063-100519</t>
  </si>
  <si>
    <t>PETROLEOS DEL PERU PETROPERU SA</t>
  </si>
  <si>
    <t>AV. LA MARINA 465</t>
  </si>
  <si>
    <t>IQ-61700-AF</t>
  </si>
  <si>
    <t>LAGUNAS</t>
  </si>
  <si>
    <t>DIESEL B5, GASOLINAS PARA USO AUTOMOTOR, NAFTA, PETROLEO CRUDO, PETRÓLEO INDUSTRIAL Nº 6, TURBO A-1</t>
  </si>
  <si>
    <t>OSCAR ELECTO VERA GARGUREVICH</t>
  </si>
  <si>
    <t>108466-063-040414</t>
  </si>
  <si>
    <t>IQ-50140-AF</t>
  </si>
  <si>
    <t>A/F CURARAY 8</t>
  </si>
  <si>
    <t>139475-063-061118</t>
  </si>
  <si>
    <t>CORPORACIÓN GERMAN Y MARJORIE S.A.C.</t>
  </si>
  <si>
    <t>JR. LIMA N° 698</t>
  </si>
  <si>
    <t>PA-58740-MF</t>
  </si>
  <si>
    <t>EL UCAYALINO I</t>
  </si>
  <si>
    <t>GERMAN CORDOVA SEGURA</t>
  </si>
  <si>
    <t>45375-063-150319</t>
  </si>
  <si>
    <t>AV. LA MARINA S/N COSTADO DEL PUETO HENRY A 500 METROS</t>
  </si>
  <si>
    <t>IQ-18719-MF</t>
  </si>
  <si>
    <t>OLINDA</t>
  </si>
  <si>
    <t>118436-063-281215</t>
  </si>
  <si>
    <t>CONSULTORIAS, OBRAS Y SERVICIOS DEL AMAZONAS E.I.R.L.</t>
  </si>
  <si>
    <t>JR. ARICA N°618</t>
  </si>
  <si>
    <t>IQ-50720-AF</t>
  </si>
  <si>
    <t>COSEDA</t>
  </si>
  <si>
    <t>ALBERTO LAURI VILCA</t>
  </si>
  <si>
    <t>125871-063-010217</t>
  </si>
  <si>
    <t>TRANS FLUVIAL REY E.I.R.L.</t>
  </si>
  <si>
    <t>JR. PROSPERO N°1392</t>
  </si>
  <si>
    <t>BELEN</t>
  </si>
  <si>
    <t>PA-50258-AF</t>
  </si>
  <si>
    <t>TUKITA 13</t>
  </si>
  <si>
    <t>DIESEL BX, GASOLINAS PARA USO AUTOMOTOR, PETROLEO CRUDO, RESIDUALES</t>
  </si>
  <si>
    <t>MARGARITA COLOME FLORES</t>
  </si>
  <si>
    <t>116127-063-090815</t>
  </si>
  <si>
    <t xml:space="preserve">FIDELA TUCNO CASAVERDE </t>
  </si>
  <si>
    <t>JR. IQUITOS 226</t>
  </si>
  <si>
    <t>PA-50177-BF</t>
  </si>
  <si>
    <t>SALVADOR I</t>
  </si>
  <si>
    <t>131099-063-041119</t>
  </si>
  <si>
    <t>LUZ MARINA VERGARA S/N</t>
  </si>
  <si>
    <t>IQ-53994-AF</t>
  </si>
  <si>
    <t>M Y J VI</t>
  </si>
  <si>
    <t>MANUEL VICENTE VERGARA PINEDO</t>
  </si>
  <si>
    <t>AV. LA MARINA N° 2067</t>
  </si>
  <si>
    <t>IQ-008632-AF</t>
  </si>
  <si>
    <t>95001-063-240918</t>
  </si>
  <si>
    <t xml:space="preserve">NAVIERA PETRAL S.A. </t>
  </si>
  <si>
    <t>AV. MANUEL OLGUÍN N° 501, PISO 12, URB. HARAS TYBER</t>
  </si>
  <si>
    <t>LIMA</t>
  </si>
  <si>
    <t>SANTIAGO DE SURCO</t>
  </si>
  <si>
    <t>IMO-9262869</t>
  </si>
  <si>
    <t>MOQUEGUA</t>
  </si>
  <si>
    <t>BUQUE TANQUE</t>
  </si>
  <si>
    <t>PETROLEO CRUDO</t>
  </si>
  <si>
    <t>BARRILES</t>
  </si>
  <si>
    <t>JUAN FERNANDO HARTEN WOODMAN</t>
  </si>
  <si>
    <t>115210-063-160318</t>
  </si>
  <si>
    <t>TRANSGAS SHIPPING LINES S.A.C.</t>
  </si>
  <si>
    <t>AV. LA ENCALADA N° 995, INTERIOR 301</t>
  </si>
  <si>
    <t>CO-50142-MM</t>
  </si>
  <si>
    <t>NAVIMAX 1</t>
  </si>
  <si>
    <t>COMBUSTIBLES RESIDUALES DE USO MARINO, DIESEL MARINO</t>
  </si>
  <si>
    <t>PAUL GASTON CASANOVA CLAROS</t>
  </si>
  <si>
    <t>0002-BZCL-16-2006</t>
  </si>
  <si>
    <t>PETROLEOS DEL PERU - PETROPERU S.A - (PATOYACU)</t>
  </si>
  <si>
    <t>AV. LA MARINA 208</t>
  </si>
  <si>
    <t>IQ-7895-EF</t>
  </si>
  <si>
    <t>CILINDROS</t>
  </si>
  <si>
    <t>82858-063-130419</t>
  </si>
  <si>
    <t>CALLE LUZ MARINA VERGARA S/N</t>
  </si>
  <si>
    <t>IQ-29498-MF</t>
  </si>
  <si>
    <t>BEIRUT II</t>
  </si>
  <si>
    <t>DIESEL B2, GASOLINAS PARA USO AUTOMOTOR, TURBO A-1</t>
  </si>
  <si>
    <t>DA COSTA MANZUR MARIO CESAR</t>
  </si>
  <si>
    <t>106616-063-130214</t>
  </si>
  <si>
    <t xml:space="preserve">JR. HUANCAVELICA N° 607 </t>
  </si>
  <si>
    <t>PA-07678-MF</t>
  </si>
  <si>
    <t>M/F CHACALITO</t>
  </si>
  <si>
    <t>44443-063-240919</t>
  </si>
  <si>
    <t>CORPORACION GERMAN Y MARJORIE SAC</t>
  </si>
  <si>
    <t>PA-21333-MF</t>
  </si>
  <si>
    <t>FRUTO DE FE IV</t>
  </si>
  <si>
    <t>121026-063-120917</t>
  </si>
  <si>
    <t>TRANS PACIFICO S.A.C</t>
  </si>
  <si>
    <t>JR.BOLIVAR 452</t>
  </si>
  <si>
    <t>IQ-40513-MF</t>
  </si>
  <si>
    <t>KINTERONI II</t>
  </si>
  <si>
    <t>DIESEL BX, GASOLINA 84, GASOLINA 90, PETROLEO CRUDO, SOLVENTES, TURBO A-1</t>
  </si>
  <si>
    <t>CHAPIAMA HIDALGO EDINSON</t>
  </si>
  <si>
    <t>TRANSELVA PERUANA S.A.</t>
  </si>
  <si>
    <t>AV. LA MARINA Nª 464</t>
  </si>
  <si>
    <t>IQ-8013-AF</t>
  </si>
  <si>
    <t>131668-063-070917</t>
  </si>
  <si>
    <t>CALLE ALFEREZ WEST NRO. 358</t>
  </si>
  <si>
    <t>IQ-08978-MF</t>
  </si>
  <si>
    <t>EXPLORE IV</t>
  </si>
  <si>
    <t>Cilindros de 10 Kg de GLP</t>
  </si>
  <si>
    <t>95000-063-180620</t>
  </si>
  <si>
    <t>AGENCIA DE TRANSPORTES Y SERVICIOS GENERALES JESSMARA EIRL</t>
  </si>
  <si>
    <t>CALLE EDILBERTO VALLES Nº 904</t>
  </si>
  <si>
    <t>IQ-30053-EF</t>
  </si>
  <si>
    <t>DIESEL B5, Diesel B5 S-50, GASOLINAS PARA USO AUTOMOTOR, PETROLEO CRUDO, RESIDUALES, TURBO A-1</t>
  </si>
  <si>
    <t>MANUEL EDUARDO RAMIREZ KANO</t>
  </si>
  <si>
    <t>62650-063-2011</t>
  </si>
  <si>
    <t>LINEAS FLUVIALES CHALLENGER SAC</t>
  </si>
  <si>
    <t>SERVICIO DE TRANSPORTE FLUVIAL DE CARGA EN LA HOYA AMAZONICA (RIO UCAYALI. RIO AMAZONAS)</t>
  </si>
  <si>
    <t>PA-28387-AF</t>
  </si>
  <si>
    <t>MIA VALENTINA</t>
  </si>
  <si>
    <t>NOEMI DAVILA MARINA</t>
  </si>
  <si>
    <t>145668-063-041119</t>
  </si>
  <si>
    <t>IQ-62052-AF</t>
  </si>
  <si>
    <t>M Y J VIII</t>
  </si>
  <si>
    <t>86096-063-180620</t>
  </si>
  <si>
    <t>CALLE EDILBERTO VALLES N°904</t>
  </si>
  <si>
    <t>IQ-07363-EF</t>
  </si>
  <si>
    <t>105149-063-141013</t>
  </si>
  <si>
    <t>TRANS PACIFICO PETROLEUM S.A.C</t>
  </si>
  <si>
    <t>JR BOLIVAR N° 452 PUCALLPA</t>
  </si>
  <si>
    <t>PA-42118-AF</t>
  </si>
  <si>
    <t>CURARAY XIV</t>
  </si>
  <si>
    <t>EDINSON CHAPIAMA HIDALGO</t>
  </si>
  <si>
    <t>105145-063-141013</t>
  </si>
  <si>
    <t>TRANS PACIFICO PETROLEUM S.A.C.</t>
  </si>
  <si>
    <t xml:space="preserve">JR. BOLIVAR 452 </t>
  </si>
  <si>
    <t>PA-42535-AF</t>
  </si>
  <si>
    <t>CURARAY XVI</t>
  </si>
  <si>
    <t>117729-063-130917</t>
  </si>
  <si>
    <t xml:space="preserve">TRANS PACIFICO S.A.C </t>
  </si>
  <si>
    <t>JR. BOLIVAR 452 PUCALLPA</t>
  </si>
  <si>
    <t>IQ-42195-AF</t>
  </si>
  <si>
    <t>MOLY I</t>
  </si>
  <si>
    <t>0001-BZCL-25-2001</t>
  </si>
  <si>
    <t>MARISCAL CASTILLA N° 439</t>
  </si>
  <si>
    <t>IQ-8012-AF</t>
  </si>
  <si>
    <t>LASA 23</t>
  </si>
  <si>
    <t>SIFUENTES NAVARRO, MAXIMO SANTIAGO</t>
  </si>
  <si>
    <t>116489-063-060815</t>
  </si>
  <si>
    <t xml:space="preserve">TEOFILA CELIA ALARCON ALIAGA </t>
  </si>
  <si>
    <t>PA-42888-BF</t>
  </si>
  <si>
    <t>REYES</t>
  </si>
  <si>
    <t>105146-063-101013</t>
  </si>
  <si>
    <t>JR. BOLIVAR 452-PUCALLPA</t>
  </si>
  <si>
    <t>PA-42119-AF</t>
  </si>
  <si>
    <t>CURARAY XV</t>
  </si>
  <si>
    <t>0008-BZCL-16-2000</t>
  </si>
  <si>
    <t>ARQUIMEDES LAZARO RODRIGUEZ - NAZIB II</t>
  </si>
  <si>
    <t>RAMIREZ HURTADO N° 712</t>
  </si>
  <si>
    <t>IQ-1202-AF</t>
  </si>
  <si>
    <t>0001-BZCL-16-2002</t>
  </si>
  <si>
    <t>COMPAÑIA DE NAVEGACION CHAVIR S.A.</t>
  </si>
  <si>
    <t>AV. LA MARINA N° 472</t>
  </si>
  <si>
    <t>HH-2IQ-8468</t>
  </si>
  <si>
    <t>146127-063-260819</t>
  </si>
  <si>
    <t>PA-61830-AF</t>
  </si>
  <si>
    <t>RIO AMPIYACU</t>
  </si>
  <si>
    <t>DIESEL B5, GASOLINAS PARA USO AUTOMOTOR, NAFTA, PETROLEO CRUDO, PETROLEO INDUSTRIAL No. 6 - EXPORTACION, TURBO A-1</t>
  </si>
  <si>
    <t>OSCAR VERA GARGUREVICH</t>
  </si>
  <si>
    <t>0006-BZCL-15-2004</t>
  </si>
  <si>
    <t>PLUSPETROL PERU CORPORATION S.A.</t>
  </si>
  <si>
    <t>AV. REPUBLICA DE PANAMA N° 3055 PISO 8</t>
  </si>
  <si>
    <t>SAN ISIDRO</t>
  </si>
  <si>
    <t>IQ-21319-MF</t>
  </si>
  <si>
    <t>0003-BZCL-16-2001</t>
  </si>
  <si>
    <t>COMPAÑIA DE NAVEGACION CHAVIR S.A. - CC-5</t>
  </si>
  <si>
    <t>IQ-8614-AF</t>
  </si>
  <si>
    <t>CC-5</t>
  </si>
  <si>
    <t>CARRANZA LLERENA, ALVARO JORGE</t>
  </si>
  <si>
    <t>116491-063-291215</t>
  </si>
  <si>
    <t xml:space="preserve">NILSON HOYOS RENGIFO </t>
  </si>
  <si>
    <t>JR. JESUS MARIA MZ. B, LOTE 8 - MANANTAY</t>
  </si>
  <si>
    <t>PA-42890-BF</t>
  </si>
  <si>
    <t>ISRAEL</t>
  </si>
  <si>
    <t>0004-BZCL-15-2004</t>
  </si>
  <si>
    <t>AV. REPUBLICA DE PANAMA 3055 PISO 8</t>
  </si>
  <si>
    <t>IQ-21317-MF</t>
  </si>
  <si>
    <t>142417-063-050819</t>
  </si>
  <si>
    <t>PUERTO DE PUCALLPA</t>
  </si>
  <si>
    <t>PA-50051-AF</t>
  </si>
  <si>
    <t>PACIFICO XVII</t>
  </si>
  <si>
    <t>DIESEL B5, GASOLINAS PARA USO AUTOMOTOR, PETROLEO CRUDO, RESIDUALES, SOLVENTES, TURBO A-1</t>
  </si>
  <si>
    <t>140706-063-170119</t>
  </si>
  <si>
    <t>RIO SANTO E.I.R.L.</t>
  </si>
  <si>
    <t>IQ-59837-AF</t>
  </si>
  <si>
    <t>MC I</t>
  </si>
  <si>
    <t>GASOLINA PRIMARIA, GASOLINAS PARA USO AUTOMOTOR, PETROLEO CRUDO, PETRÓLEOS INDUSTRIALES</t>
  </si>
  <si>
    <t>JULIO CESAR DA COSTA VERGARA</t>
  </si>
  <si>
    <t>119013-063-290116</t>
  </si>
  <si>
    <t xml:space="preserve">COSMOS AGENCIA MARITIMA S.A.C. </t>
  </si>
  <si>
    <t>PROLONGACION UCAYALI N° 208</t>
  </si>
  <si>
    <t>PA-39063-BF</t>
  </si>
  <si>
    <t>PACU</t>
  </si>
  <si>
    <t>DIESEL B5, GASOHOLES, GASOLINAS PARA USO AUTOMOTOR, TURBO A-1</t>
  </si>
  <si>
    <t xml:space="preserve">NESTOR WINKEISTEIN RODRIGUEZ </t>
  </si>
  <si>
    <t>124128-063-070617</t>
  </si>
  <si>
    <t>SERVICIOS Y EQUIPOS AMAZONICOS S.A.C.</t>
  </si>
  <si>
    <t>AV. LA MARINA N°486</t>
  </si>
  <si>
    <t>IQ-51618-AF</t>
  </si>
  <si>
    <t>ANNAI</t>
  </si>
  <si>
    <t>SEBASTIAN ANTONIO CARRILLO BEECK</t>
  </si>
  <si>
    <t>117993-063-191115</t>
  </si>
  <si>
    <t>PA-50050-BF</t>
  </si>
  <si>
    <t>S.G.A. VIII</t>
  </si>
  <si>
    <t>119014-063-280116</t>
  </si>
  <si>
    <t>COSMOS AGENCIA MARITIMA S.A.C..</t>
  </si>
  <si>
    <t>PROLONGACION UCYALI N° 208</t>
  </si>
  <si>
    <t>PA-43219-BF</t>
  </si>
  <si>
    <t>MOTA</t>
  </si>
  <si>
    <t>GASOLINAS PARA USO AUTOMOTOR</t>
  </si>
  <si>
    <t>114028-063-090315</t>
  </si>
  <si>
    <t>LINEAS FLUVIALES CHALLENGER S.A.C.</t>
  </si>
  <si>
    <t>PASAJE LOS ROSALES N° 119</t>
  </si>
  <si>
    <t>PA-30443-MF</t>
  </si>
  <si>
    <t xml:space="preserve">RIO PICCHA II </t>
  </si>
  <si>
    <t>TRANSPORTES NAPO S.A. - LOBOCHA</t>
  </si>
  <si>
    <t>JR. NAPO N° 493</t>
  </si>
  <si>
    <t>IQ-7977-AF</t>
  </si>
  <si>
    <t>117994-063-121115</t>
  </si>
  <si>
    <t>PA-50049-BF</t>
  </si>
  <si>
    <t>S.G.A. VII</t>
  </si>
  <si>
    <t>TRANSELVA PERUANA S.A. - PAOLITA</t>
  </si>
  <si>
    <t>IQ-7932-AF</t>
  </si>
  <si>
    <t>TRANSPORTE FLUVIAL JV E.I.R.L.</t>
  </si>
  <si>
    <t>AV. LA MARINA KM 1 PUERTO VERGARA N° 10</t>
  </si>
  <si>
    <t>IQ-17396</t>
  </si>
  <si>
    <t>148787-063-200120</t>
  </si>
  <si>
    <t>HOYLE VEGA SIDNEY ESTUARDO</t>
  </si>
  <si>
    <t xml:space="preserve">AV. LUIS MUÑOZ NADAL S/N PUESRTO ESPERANZA </t>
  </si>
  <si>
    <t>PURUS</t>
  </si>
  <si>
    <t xml:space="preserve">PA-21525-AF </t>
  </si>
  <si>
    <t>MI LUIS</t>
  </si>
  <si>
    <t>106373-063-240114</t>
  </si>
  <si>
    <t>EMPRESA DE TRANSPORTE FLUVIAL DE HIDROCARBUROS INAMBARI S.R.L</t>
  </si>
  <si>
    <t>PUERTO MAZUKO A-06</t>
  </si>
  <si>
    <t>TAMBOPATA</t>
  </si>
  <si>
    <t>INAMBARI</t>
  </si>
  <si>
    <t>PM-43505-MF</t>
  </si>
  <si>
    <t>M/F JESUS</t>
  </si>
  <si>
    <t>DIESEL B5 S-50</t>
  </si>
  <si>
    <t>MARIA MERCEDES LUNA MAMANI</t>
  </si>
  <si>
    <t>0002-BZCL-16-2000</t>
  </si>
  <si>
    <t>SERVICIOS Y EQUIPOS AMAZONICOS S.A. (SEA)</t>
  </si>
  <si>
    <t>AV. LA MARINA Nº 464</t>
  </si>
  <si>
    <t>IQ-7927-AF/LL-4</t>
  </si>
  <si>
    <t>0004-BZCL-25-2005</t>
  </si>
  <si>
    <t>EMPRESA DE TRANSPORTE NAVARRITO E.I.R.L.</t>
  </si>
  <si>
    <t>MALECON PUERTO NUEVA ITALIA - RIO UCAYALI - PUCALLPA</t>
  </si>
  <si>
    <t>PA-013774-AF</t>
  </si>
  <si>
    <t>85314-063-130314</t>
  </si>
  <si>
    <t>TRANSPORTE JUPITER S.R.L</t>
  </si>
  <si>
    <t>AV. LA MARINA 2067</t>
  </si>
  <si>
    <t>IQ-27083-MF</t>
  </si>
  <si>
    <t>JUPITER IV</t>
  </si>
  <si>
    <t>VERGARA PINEDO, MANUEL VICENTE</t>
  </si>
  <si>
    <t>121029-063-130917</t>
  </si>
  <si>
    <t>IQ-40512</t>
  </si>
  <si>
    <t>KINTERONI I</t>
  </si>
  <si>
    <t>114222-063-190615</t>
  </si>
  <si>
    <t>COMERCIAL SANTA ROSA - BA E.I.R.L.</t>
  </si>
  <si>
    <t>CALLE JOSÉ MARÍA ARGUEDAS N° 151</t>
  </si>
  <si>
    <t>SAN JUAN BAUTISTA</t>
  </si>
  <si>
    <t>IQ-42698-MF</t>
  </si>
  <si>
    <t>SANTIAGO B-A 1</t>
  </si>
  <si>
    <t>ELINO QUINTOS CONTRERAS</t>
  </si>
  <si>
    <t>137946-063-200818</t>
  </si>
  <si>
    <t>TRANSPORTES MANGUALITO S.A.C.</t>
  </si>
  <si>
    <t>CALLE LAS MAGNOLIAS N° 01, SACHACHORRO</t>
  </si>
  <si>
    <t>NAUTA</t>
  </si>
  <si>
    <t>IQ-52352-BF</t>
  </si>
  <si>
    <t>MANGUALITO I</t>
  </si>
  <si>
    <t>JONATHAN LINDER CARDENAS DE LA CRUZ</t>
  </si>
  <si>
    <t>105148-063-141013</t>
  </si>
  <si>
    <t xml:space="preserve">TRANS PACIFICO PETROLEUM S.A.C. </t>
  </si>
  <si>
    <t>PA-42536-AF</t>
  </si>
  <si>
    <t>CURARAY XVII</t>
  </si>
  <si>
    <t>116124-063-090815</t>
  </si>
  <si>
    <t xml:space="preserve">MANUEL RONDINEL RISCO </t>
  </si>
  <si>
    <t>JR. PURUS 624</t>
  </si>
  <si>
    <t>PA-42995-BF</t>
  </si>
  <si>
    <t>JOSE MANUEL II</t>
  </si>
  <si>
    <t>113588-063-041217</t>
  </si>
  <si>
    <t>CALLE LUZ MARINA VERGARA SN</t>
  </si>
  <si>
    <t>IQ-42687-MF</t>
  </si>
  <si>
    <t>MIRANDA I</t>
  </si>
  <si>
    <t>0002-BZCL-25-2005</t>
  </si>
  <si>
    <t xml:space="preserve">PASAJE LOS ROSALES N° 119 </t>
  </si>
  <si>
    <t>PA-21393-AF</t>
  </si>
  <si>
    <t>0002-BZCL-15-2004</t>
  </si>
  <si>
    <t>IQ-21318-MF</t>
  </si>
  <si>
    <t>116494-063-070815</t>
  </si>
  <si>
    <t xml:space="preserve">MC KENNY ZELADA CARDENAS </t>
  </si>
  <si>
    <t>PA-42889-BF</t>
  </si>
  <si>
    <t>ACUARIO</t>
  </si>
  <si>
    <t>141726-063-181119</t>
  </si>
  <si>
    <t>IQ-60578-AF</t>
  </si>
  <si>
    <t>KENIA XXII</t>
  </si>
  <si>
    <t>0007-BZCL-15-2004</t>
  </si>
  <si>
    <t>IQ-21006-MF</t>
  </si>
  <si>
    <t>113589-063-041217</t>
  </si>
  <si>
    <t>CA. LUZ MARINA VERGARA SN</t>
  </si>
  <si>
    <t>IQ-42688-MF</t>
  </si>
  <si>
    <t>MIRANDA II</t>
  </si>
  <si>
    <t>135495-063-110418</t>
  </si>
  <si>
    <t>JORGE VICTOR MALDONADO DE LA CRUZ</t>
  </si>
  <si>
    <t>JR. TACNA N° 295</t>
  </si>
  <si>
    <t>PA-52572-MF</t>
  </si>
  <si>
    <t>RIO BRAVO I</t>
  </si>
  <si>
    <t>DIESEL BX, GASOLINA 84, GASOLINA 90</t>
  </si>
  <si>
    <t>124129-063-080617</t>
  </si>
  <si>
    <t>IQ-51619-AF</t>
  </si>
  <si>
    <t>ANNA II</t>
  </si>
  <si>
    <t>119586-063-030920</t>
  </si>
  <si>
    <t>FRAM S.A.</t>
  </si>
  <si>
    <t>JR. UCAYALI N°196</t>
  </si>
  <si>
    <t>IQ-1817-AF</t>
  </si>
  <si>
    <t>CAMISEA VI</t>
  </si>
  <si>
    <t>FRANCISCO ANTONIO CÁCERES ALIAGA</t>
  </si>
  <si>
    <t>145344-063-190719</t>
  </si>
  <si>
    <t>RIOS MORALES ROCIO CASILDA</t>
  </si>
  <si>
    <t>PASAJE GENERAL SANTA CRUZ MZ. L L. 10 LA LUPUNA</t>
  </si>
  <si>
    <t>YARINACOCHA</t>
  </si>
  <si>
    <t>PA-58867-BF</t>
  </si>
  <si>
    <t>PRETA I</t>
  </si>
  <si>
    <t>GASOLINA 90</t>
  </si>
  <si>
    <t>122810-063-100816</t>
  </si>
  <si>
    <t>TRANS PACIFICO S.A.C.</t>
  </si>
  <si>
    <t>JR. BOLIVAR N°452</t>
  </si>
  <si>
    <t>PA-41047-MF</t>
  </si>
  <si>
    <t>RODRIGO ALEXANDRA XIII</t>
  </si>
  <si>
    <t>Motochata / MF autopropulsada</t>
  </si>
  <si>
    <t>0001-BZCL-15-2003</t>
  </si>
  <si>
    <t>AV. REPUBLICA DE PANAMA N° 3055 PISO 7</t>
  </si>
  <si>
    <t>IQ-020924-MF</t>
  </si>
  <si>
    <t>108470-063-250414</t>
  </si>
  <si>
    <t>IQ-50136-AF</t>
  </si>
  <si>
    <t>A/F CURARAY 13</t>
  </si>
  <si>
    <t>DIESEL BX, NAFTA, PETROLEO CRUDO</t>
  </si>
  <si>
    <t>118617-063-281215</t>
  </si>
  <si>
    <t>AV. LA MARINA N° 2067 - PUNCHANA</t>
  </si>
  <si>
    <t>IQ-28737-AF</t>
  </si>
  <si>
    <t>AL MANZUR I</t>
  </si>
  <si>
    <t>116487-063-060815</t>
  </si>
  <si>
    <t>RONALD ARAUJO AGUIRRE</t>
  </si>
  <si>
    <t>JR. ENE 273</t>
  </si>
  <si>
    <t>PA-50595-BF</t>
  </si>
  <si>
    <t>R.J-II</t>
  </si>
  <si>
    <t>109766-063-230714</t>
  </si>
  <si>
    <t>TRANSPORTES FLUVIALES M&amp;Z E.I.R.L.</t>
  </si>
  <si>
    <t>CALLE 17 DE OCTUBRE S/N - MARGEN IZQUIERDA DEL RIO ITAYA</t>
  </si>
  <si>
    <t>PA-43698-MF</t>
  </si>
  <si>
    <t>M/F JANESITA</t>
  </si>
  <si>
    <t>JENY JEANETTE ZEVALLOS DAVILA</t>
  </si>
  <si>
    <t>93119-063-151116</t>
  </si>
  <si>
    <t>SERVICIOS Y EQUIPOS AMAZÓNICOS S.A.C.</t>
  </si>
  <si>
    <t>AVENIDA LA MARINA N° 486</t>
  </si>
  <si>
    <t>IQ-38416-MF</t>
  </si>
  <si>
    <t>JENNIFER-I</t>
  </si>
  <si>
    <t>HUGO ANTONIO CARRILLO CHAVEZ</t>
  </si>
  <si>
    <t>148952-063-310120</t>
  </si>
  <si>
    <t>IQ-63005-AF</t>
  </si>
  <si>
    <t>M Y J IX</t>
  </si>
  <si>
    <t>DIESEL B5, GASOLINAS PARA USO AUTOMOTOR, PETROLEO CRUDO, RESIDUALES, TURBO A-1</t>
  </si>
  <si>
    <t>116851-063-060915</t>
  </si>
  <si>
    <t>JOSE MANUEL VERTIZ RATTERI</t>
  </si>
  <si>
    <t xml:space="preserve">JR. ENE 273 PUERTO BRANDO </t>
  </si>
  <si>
    <t>PA-33786-BF</t>
  </si>
  <si>
    <t>EMBARCACION MENOR (PONGUERO)</t>
  </si>
  <si>
    <t>MEDIO DE TRANSPORTE ACUATICO DE CL</t>
  </si>
  <si>
    <t>0004-BZCL-16-2000</t>
  </si>
  <si>
    <t>AV. LA MARINA Nª464</t>
  </si>
  <si>
    <t>IQ-1228-AF/CC-3</t>
  </si>
  <si>
    <t>0002-BZCL-25-2008</t>
  </si>
  <si>
    <t>ANTENOR ZAMORA CORDERO</t>
  </si>
  <si>
    <t>ORILLAS DEL RIO TAMBO - PUERTO DE ATALAYA</t>
  </si>
  <si>
    <t>PA-28341-AF</t>
  </si>
  <si>
    <t>A Z</t>
  </si>
  <si>
    <t>ZAMORA CORDERO, ANTENOR</t>
  </si>
  <si>
    <t>135606-063-090518</t>
  </si>
  <si>
    <t>MULTIMPEX S.A.</t>
  </si>
  <si>
    <t>CALLE MIGUEL DASSO 104 OFICINA 201 A</t>
  </si>
  <si>
    <t>CO-38898</t>
  </si>
  <si>
    <t>GULF SCOUT</t>
  </si>
  <si>
    <t>ANTONIO CARLOS CABADA VAREA</t>
  </si>
  <si>
    <t>111034-063-281114</t>
  </si>
  <si>
    <t>AV. LA MARINA N° 209</t>
  </si>
  <si>
    <t>IQ-34988-BF</t>
  </si>
  <si>
    <t>MUSHURITA I</t>
  </si>
  <si>
    <t>MOTONAVE FLUVIAL</t>
  </si>
  <si>
    <t>83511-063-131015</t>
  </si>
  <si>
    <t>EMPRESA NAVIERA RAMSES S.A.C.</t>
  </si>
  <si>
    <t>CALLE CONDAMINE Nº 589</t>
  </si>
  <si>
    <t>IQ-29917-MF</t>
  </si>
  <si>
    <t>SONIA I</t>
  </si>
  <si>
    <t>DIESEL B2, GASOLINAS PARA USO AUTOMOTOR, NAFTA, PETROLEO CRUDO, PETRÓLEOS INDUSTRIALES, TURBO JP-1</t>
  </si>
  <si>
    <t>FRANCISCO LEOPOLDO PARRA ACUÑA</t>
  </si>
  <si>
    <t>116633-063-040117</t>
  </si>
  <si>
    <t>AV. LA MARINA Nº2067</t>
  </si>
  <si>
    <t>IQ-42748-MF</t>
  </si>
  <si>
    <t>127009-063-161119</t>
  </si>
  <si>
    <t>IQ-52053-AF</t>
  </si>
  <si>
    <t>KENIA XVII</t>
  </si>
  <si>
    <t>91315-063-100215</t>
  </si>
  <si>
    <t>ENERGY SERVICES DEL PERU S.A.C.</t>
  </si>
  <si>
    <t>AV.CIRCUNVALACION DEL GOLF 334 URBANIZACION GOLF LOS INCAS</t>
  </si>
  <si>
    <t>PA-38142-MF</t>
  </si>
  <si>
    <t>DON AUGUSTO</t>
  </si>
  <si>
    <t>JORGE FERNANDO RIVERA REUSCHE</t>
  </si>
  <si>
    <t>117133-063-020915</t>
  </si>
  <si>
    <t>RIDER ZUÑIGA ESPINOZA</t>
  </si>
  <si>
    <t>JR. FISZTCARRALD MZ. 28</t>
  </si>
  <si>
    <t>PA-42796-BF</t>
  </si>
  <si>
    <t>MEDIO DE TRANSPORTE ACUATICO</t>
  </si>
  <si>
    <t>DIESEL B5, GASOHOLES, JP5, TURBO A-1</t>
  </si>
  <si>
    <t>0001-BZCL-15-2004</t>
  </si>
  <si>
    <t>IQ-21270-MF</t>
  </si>
  <si>
    <t>0001-BZCL-16-2006</t>
  </si>
  <si>
    <t>AV. LA MARINA 472</t>
  </si>
  <si>
    <t>IQ-8642-AF</t>
  </si>
  <si>
    <t>L.L.-1</t>
  </si>
  <si>
    <t>0003-BZCL-25-2008</t>
  </si>
  <si>
    <t>ELSA ASIPALI SORIA</t>
  </si>
  <si>
    <t>JR. LAS ALAMEDAS S/N ASOC. AGRICOBANK C. F. B. KM. 7200</t>
  </si>
  <si>
    <t>PA-21367-MF</t>
  </si>
  <si>
    <t>149654-063-240920</t>
  </si>
  <si>
    <t>MULTISERVICIOS VILLALOBOS E.I.R.L.</t>
  </si>
  <si>
    <t>AV. INDEPENDENCIA MZ V1, LOTE 10 - P.J. TNTE. MANUEL CLAVERO</t>
  </si>
  <si>
    <t>IQ-51760-MF</t>
  </si>
  <si>
    <t>EL TRANSPORTADOR I</t>
  </si>
  <si>
    <t>RICARDO VILLALOBOS VEGA</t>
  </si>
  <si>
    <t>124663-063-120117</t>
  </si>
  <si>
    <t>IQ-51720-AF</t>
  </si>
  <si>
    <t>M Y J I</t>
  </si>
  <si>
    <t>148953-063-310120</t>
  </si>
  <si>
    <t>IQ-63006-AF</t>
  </si>
  <si>
    <t>M y J X</t>
  </si>
  <si>
    <t>119307-063-100616</t>
  </si>
  <si>
    <t>JIRON HUANCAVELICA N°607 - CALLERIA</t>
  </si>
  <si>
    <t>PA-50929-MF</t>
  </si>
  <si>
    <t>KYNEZU</t>
  </si>
  <si>
    <t>16030-063-191213</t>
  </si>
  <si>
    <t>IQ-08025-AF</t>
  </si>
  <si>
    <t>A/F ROCA</t>
  </si>
  <si>
    <t>114029-063-090315</t>
  </si>
  <si>
    <t>LINEAS FLUVIALES CHALLENGER S.A.C</t>
  </si>
  <si>
    <t>PASAJE LOS ROSALES 119</t>
  </si>
  <si>
    <t>PA-30442-MF</t>
  </si>
  <si>
    <t>RIO PICCHA I</t>
  </si>
  <si>
    <t>0009-BZCL-16-2000</t>
  </si>
  <si>
    <t>AV. LA MARINA NO. 464</t>
  </si>
  <si>
    <t>IQ-7937-AF</t>
  </si>
  <si>
    <t>117652-063-080116</t>
  </si>
  <si>
    <t>AV. CIRCUNVALACIÓN DEL GOLF 334</t>
  </si>
  <si>
    <t>LA MOLINA</t>
  </si>
  <si>
    <t>PA-42022-MF</t>
  </si>
  <si>
    <t>DON ANTONIO I</t>
  </si>
  <si>
    <t>motochata</t>
  </si>
  <si>
    <t>ORGE FERNANDO RIVERA REUSCHE</t>
  </si>
  <si>
    <t>0002-BZCL-16-2001</t>
  </si>
  <si>
    <t>ARQUIMEDES LAZARO RODRIGUEZ - CC-9</t>
  </si>
  <si>
    <t>IQ-8597-A/FCC-9</t>
  </si>
  <si>
    <t>146941-063-061019</t>
  </si>
  <si>
    <t>AV. LA MARINA Nº 465</t>
  </si>
  <si>
    <t>PA-61832-AF</t>
  </si>
  <si>
    <t>RIO YAVARI</t>
  </si>
  <si>
    <t>DIESEL B5, GASOLINAS PARA USO AUTOMOTOR, NAFTA, PETROLEO CRUDO, PETRÓLEO INDUSTRIAL Nº 6, SOLVENTES</t>
  </si>
  <si>
    <t>128044-063-220917</t>
  </si>
  <si>
    <t>NAVIFUELS S.A.C.</t>
  </si>
  <si>
    <t>AV. REDUCTO N° 1360, SUITE 502</t>
  </si>
  <si>
    <t>MIRAFLORES</t>
  </si>
  <si>
    <t>CO-52371-AM</t>
  </si>
  <si>
    <t>NAVIFUELS</t>
  </si>
  <si>
    <t>IFO - 180, IFO - 380</t>
  </si>
  <si>
    <t>LUIS HELMUTH GOLDENBERG APONTE</t>
  </si>
  <si>
    <t>0003-BZCL-15-2004</t>
  </si>
  <si>
    <t>IQ-21269-MF</t>
  </si>
  <si>
    <t>116123-063-090815</t>
  </si>
  <si>
    <t xml:space="preserve">PELAYO TAIPE CUSI </t>
  </si>
  <si>
    <t xml:space="preserve">JR. PURUS S/N </t>
  </si>
  <si>
    <t>PA-31824-BF</t>
  </si>
  <si>
    <t>MAGDA B</t>
  </si>
  <si>
    <t>109018-063-170614</t>
  </si>
  <si>
    <t xml:space="preserve">LOGISTICA Y TRANSPORTE INTEGRAL SAJUTA E.I.R.L. </t>
  </si>
  <si>
    <t>JR. 9 DE DICIEMBRE N° 557</t>
  </si>
  <si>
    <t>PA-43811-MF</t>
  </si>
  <si>
    <t>M/F SIMARY</t>
  </si>
  <si>
    <t>MICHER FUERO CHASNAMOTE</t>
  </si>
  <si>
    <t>0001-BZCL-15-2002</t>
  </si>
  <si>
    <t>AV. REPUBLICA DE PANAMA N° 3055 PISO 08</t>
  </si>
  <si>
    <t>IQ-020912-MF</t>
  </si>
  <si>
    <t>148211-063-301219</t>
  </si>
  <si>
    <t>CORPORACION PETROLERA TRANSMARINE S.A.C.</t>
  </si>
  <si>
    <t>AV. REDUCTO 1360 OFIC 501 URB ARMENDARIZ</t>
  </si>
  <si>
    <t>TA-41286-AM</t>
  </si>
  <si>
    <t>SAN LORENZO</t>
  </si>
  <si>
    <t>DIESEL MARINO N° 2</t>
  </si>
  <si>
    <t>JOSE LUIS ARANA CARMELO</t>
  </si>
  <si>
    <t>141717-063-080319</t>
  </si>
  <si>
    <t>SERVICES LOGISTICS JJ E.I.R.L.</t>
  </si>
  <si>
    <t>CALLE CUZCO Nº 810</t>
  </si>
  <si>
    <t>PA-31901-BF</t>
  </si>
  <si>
    <t>DJA - I</t>
  </si>
  <si>
    <t>BOTE A MOTOR</t>
  </si>
  <si>
    <t>CARMEN ROSA GOMEZ PEÑAHERRERA</t>
  </si>
  <si>
    <t>64387-063-041214</t>
  </si>
  <si>
    <t>NAVIERA MAYTE S.A.C.</t>
  </si>
  <si>
    <t>CALLE FIZTCARRALD N° 225</t>
  </si>
  <si>
    <t>IQ-29105-AF</t>
  </si>
  <si>
    <t>RAMSES I</t>
  </si>
  <si>
    <t>DIESEL BX, GASOLINAS PARA USO AUTOMOTOR, NAFTA, PETROLEO CRUDO, PETRÓLEOS INDUSTRIALES, TURBO JP-1</t>
  </si>
  <si>
    <t>MARIA TERESA MONTALVO DEL CARPIO</t>
  </si>
  <si>
    <t>122809-063-140218</t>
  </si>
  <si>
    <t>JR. BOLIVAR N° 452</t>
  </si>
  <si>
    <t>PA-36547-MF</t>
  </si>
  <si>
    <t>RODRIGO ALEXANDRA XI</t>
  </si>
  <si>
    <t>GAS LICUADO DE PETROLEO</t>
  </si>
  <si>
    <t>151335-063-230920</t>
  </si>
  <si>
    <t>IQ-07895-EF</t>
  </si>
  <si>
    <t>DIESEL B5, GASOLINAS PARA USO AUTOMOTOR, PETROLEO CRUDO, PETRÓLEO INDUSTRIAL Nº 6, SOLVENTES, TURBO A-1</t>
  </si>
  <si>
    <t>EDGARDO MARTIN CHANCAFE GREY</t>
  </si>
  <si>
    <t>CALLE NANAY N° 358</t>
  </si>
  <si>
    <t>IQ-8608</t>
  </si>
  <si>
    <t>108465-063-150514</t>
  </si>
  <si>
    <t>IQ-50135-AF</t>
  </si>
  <si>
    <t>A/F CURARAY 12</t>
  </si>
  <si>
    <t>140311-063-121218</t>
  </si>
  <si>
    <t>A&amp;S OPERADOR LOGISTICO E.I.R.L.</t>
  </si>
  <si>
    <t>JR. LAUREANO DEL AGUILA MZ. B LOTE 04</t>
  </si>
  <si>
    <t>PA-29890-MF</t>
  </si>
  <si>
    <t>DON RODOLFO</t>
  </si>
  <si>
    <t>SEGUNDO JORGE OCAMPO PIÑA</t>
  </si>
  <si>
    <t>90177-063-030317</t>
  </si>
  <si>
    <t>PASAJE LOS ROSALES NRO. 119 URB. CERCADO DE PUCALLPA</t>
  </si>
  <si>
    <t>PA-35248-MF</t>
  </si>
  <si>
    <t>MIA VALENTINA IV</t>
  </si>
  <si>
    <t>DIESEL, DIESEL BX, GASOHOL 90 PLUS, PETROLEO CRUDO, TURBO A-1</t>
  </si>
  <si>
    <t>146814-063-221019</t>
  </si>
  <si>
    <t>COMPAÑIA NAVIERA NATALIA S.A.C.</t>
  </si>
  <si>
    <t>AV. LOS CONQUISTADORES NRO. 638, OFICINA 201</t>
  </si>
  <si>
    <t>C0-35020-EM</t>
  </si>
  <si>
    <t>RUBY RIVER</t>
  </si>
  <si>
    <t>ALAN EDUARDO VAN OORDT MANTERO</t>
  </si>
  <si>
    <t>118326-063-091215</t>
  </si>
  <si>
    <t xml:space="preserve">VICTOR HUGO CHAPIAMA HIDALGO </t>
  </si>
  <si>
    <t>AV. SAN MARTIN N° 185 – PUCALLPA</t>
  </si>
  <si>
    <t>PA-50805-MF</t>
  </si>
  <si>
    <t>LYONEL</t>
  </si>
  <si>
    <t>13861-063-200514</t>
  </si>
  <si>
    <t>TRANSPORTES JUPITER S.R.L. - SHAM 9</t>
  </si>
  <si>
    <t>IQ-8004-AF</t>
  </si>
  <si>
    <t>A/F SHAM 9</t>
  </si>
  <si>
    <t>83987-063-141015</t>
  </si>
  <si>
    <t>EMPRESA DE TRANSPORTES RAMSES S.A.C.</t>
  </si>
  <si>
    <t>JR. YAVARI N° 363 INTERIOR 20</t>
  </si>
  <si>
    <t>IQ-30331-AF</t>
  </si>
  <si>
    <t>SANTA CRISTINA I</t>
  </si>
  <si>
    <t>DIESEL B2, GASOLINA 84, PETROLEO CRUDO, PETRÓLEOS INDUSTRIALES, TURBO JP-1</t>
  </si>
  <si>
    <t>ANA AMELIA PADILLA RENGIFO</t>
  </si>
  <si>
    <t>145661-063-090819</t>
  </si>
  <si>
    <t xml:space="preserve">PUERTO HENRY </t>
  </si>
  <si>
    <t>IQ-62048-AF</t>
  </si>
  <si>
    <t>TUKITA 2</t>
  </si>
  <si>
    <t>108159-063-140514</t>
  </si>
  <si>
    <t>CALLE FITZCARRALD 225</t>
  </si>
  <si>
    <t>IQ-50123-AF</t>
  </si>
  <si>
    <t>A/F CURARAY 2</t>
  </si>
  <si>
    <t>111322-063-141114</t>
  </si>
  <si>
    <t>TRANSPORTE FLUVIAL MAYARA S.R.L.</t>
  </si>
  <si>
    <t xml:space="preserve">CARRETERA PONAL SAN JUAN GRANDE KM 19.9 </t>
  </si>
  <si>
    <t>PM-43898-MF</t>
  </si>
  <si>
    <t>M/F MAYARA</t>
  </si>
  <si>
    <t>ERASMO CONDORI QUISPE</t>
  </si>
  <si>
    <t>116949-063-050915</t>
  </si>
  <si>
    <t>PA-33758-BF</t>
  </si>
  <si>
    <t>IQ-8978</t>
  </si>
  <si>
    <t>141742-063-020719</t>
  </si>
  <si>
    <t xml:space="preserve">PA-61410-AM </t>
  </si>
  <si>
    <t>PACIFICO XXVI</t>
  </si>
  <si>
    <t>0022-BZCL-16-2000</t>
  </si>
  <si>
    <t>IQ-008631-AF</t>
  </si>
  <si>
    <t>LL-2</t>
  </si>
  <si>
    <t>131045-063-150817</t>
  </si>
  <si>
    <t>TRANSPORTES DE CARGA, PASAJEROS Y SERVICIOS EN GENERAL M Y W S.R.L.</t>
  </si>
  <si>
    <t>AV. LA MARINA N° 1814</t>
  </si>
  <si>
    <t>IQ-53857-MF</t>
  </si>
  <si>
    <t>PIRARUCO VII</t>
  </si>
  <si>
    <t>SEGUNDO WALTER VASQUEZ CAPINOA</t>
  </si>
  <si>
    <t>108419-063-250518</t>
  </si>
  <si>
    <t>LOGISTICA Y TRANSPORTE INTEGRAL SAJUTA E.I.R.L.</t>
  </si>
  <si>
    <t xml:space="preserve">JR. 9 DE DICIEMBRE N° 557 </t>
  </si>
  <si>
    <t>PA-41966-MF</t>
  </si>
  <si>
    <t>MICHEL I</t>
  </si>
  <si>
    <t>KILOGRAMOS</t>
  </si>
  <si>
    <t xml:space="preserve">MICHER FUERO CHASNAMOTE </t>
  </si>
  <si>
    <t>0012-BZCL-16-2009</t>
  </si>
  <si>
    <t>TRANSPORTES FLUVIALES M &amp; Z E.I.R.L.</t>
  </si>
  <si>
    <t>CALLE NAUTA Nº 662B</t>
  </si>
  <si>
    <t>PA-31045-MF</t>
  </si>
  <si>
    <t>138642-063-051018</t>
  </si>
  <si>
    <t>FUEL LOGISTICS S.A.C.</t>
  </si>
  <si>
    <t>BAHÍA DEL CALLAO, ZONA ASIGNADA POR AUTORIDAD MARÍTIMA: LAT 12° 01´54.67"S, LONG 077° 09´26.38"W</t>
  </si>
  <si>
    <t>PROV. CONST. DEL CALLAO</t>
  </si>
  <si>
    <t>CALLAO</t>
  </si>
  <si>
    <t>TA-19433-AM</t>
  </si>
  <si>
    <t>PETROMAR I</t>
  </si>
  <si>
    <t>MGO</t>
  </si>
  <si>
    <t>108385-063-120514</t>
  </si>
  <si>
    <t>IQ-50125-AF</t>
  </si>
  <si>
    <t>A/F CURARAY 4</t>
  </si>
  <si>
    <t>41508-063-170619</t>
  </si>
  <si>
    <t>CAR. FEDERICO BASADRE MZ G LOTE 3-A</t>
  </si>
  <si>
    <t>IQ-08530-MF</t>
  </si>
  <si>
    <t>ALDINA</t>
  </si>
  <si>
    <t>HENRY ALFREDO CACERES ALIAGA</t>
  </si>
  <si>
    <t>151350-063-220920</t>
  </si>
  <si>
    <t>NAVIERA TRANSOCEANICA S.A.</t>
  </si>
  <si>
    <t>AV. MANUEL OLGUÍN 501, PISO 12</t>
  </si>
  <si>
    <t>IMO-9333656</t>
  </si>
  <si>
    <t>ICE FIGHTER</t>
  </si>
  <si>
    <t>PETROLEO CRUDO, RESIDUALES</t>
  </si>
  <si>
    <t>DIEGO ALBERTO FLOREZ ROGGERO</t>
  </si>
  <si>
    <t>106375-063-240114</t>
  </si>
  <si>
    <t>EMPRESA DE TRANSPORTE FLUVIAL DE HIDROCARBUROS POSEIDON S.A.C.</t>
  </si>
  <si>
    <t>PUERTO MAZUKO MZ A LOTE 6</t>
  </si>
  <si>
    <t>PM-43502-MF</t>
  </si>
  <si>
    <t>M/F POSEIDON</t>
  </si>
  <si>
    <t xml:space="preserve">EMBARCACIÓN FLUVIAL PROPULSADA </t>
  </si>
  <si>
    <t>EDITH ZAVALLOS ESPIRILLA</t>
  </si>
  <si>
    <t>84328-063-110117</t>
  </si>
  <si>
    <t>IQ-30689-MF</t>
  </si>
  <si>
    <t>URUBAMBA I</t>
  </si>
  <si>
    <t>137787-063-060818</t>
  </si>
  <si>
    <t>PETROTANKERS S.A.C.</t>
  </si>
  <si>
    <t>JR. INDEPENDENCIA N° 444</t>
  </si>
  <si>
    <t>CO-58719-AM</t>
  </si>
  <si>
    <t>SUPERTRAMP</t>
  </si>
  <si>
    <t>DIESEL BX, DIESEL MARINO N° 2, GASOLINAS PARA USO AUTOMOTOR, IFO - 180, IFO - 380, PETROLEO CRUDO</t>
  </si>
  <si>
    <t>JOSE EDUARDO MALDONADO NUÑEZ</t>
  </si>
  <si>
    <t>0008-BZCL-15-2004</t>
  </si>
  <si>
    <t>IQ-020988-MF</t>
  </si>
  <si>
    <t>ODILIO PINEDO TUCHIA</t>
  </si>
  <si>
    <t>CALLE NAPO N° 359</t>
  </si>
  <si>
    <t>IQ-8909</t>
  </si>
  <si>
    <t>108707-063-110614</t>
  </si>
  <si>
    <t xml:space="preserve">INVERSIONES BRANDO E.I.R.L. </t>
  </si>
  <si>
    <t xml:space="preserve">JR. JOSE GALVEZ MZ. 41 LOTE 6 - C </t>
  </si>
  <si>
    <t>PA-41242-MF</t>
  </si>
  <si>
    <t>M/F ANGELICA</t>
  </si>
  <si>
    <t>MARISA ESPERANZA VIDALON ORELLANA</t>
  </si>
  <si>
    <t>116177-063-061115</t>
  </si>
  <si>
    <t xml:space="preserve">JORGE ARTURO SOTA FALCON </t>
  </si>
  <si>
    <t>PUERTO CARLOS S/N DISTRITO MDD. MARGEN DERECHO – SUBIENDO RIO ARRIBA</t>
  </si>
  <si>
    <t>YU-43473-BF</t>
  </si>
  <si>
    <t>B/F LA UNION I</t>
  </si>
  <si>
    <t>BT BOTE MOTOR</t>
  </si>
  <si>
    <t>DIESEL B5 S-50, GASOLINAS PARA USO AUTOMOTOR</t>
  </si>
  <si>
    <t xml:space="preserve">SOTA FALCON JORGE ARTURO </t>
  </si>
  <si>
    <t>108468-063-260514</t>
  </si>
  <si>
    <t>IQ-50141-AF</t>
  </si>
  <si>
    <t>A/F CURARAY 9</t>
  </si>
  <si>
    <t>135573-063-160418</t>
  </si>
  <si>
    <t>GLORIA INES ZEVALLOS DAVILA</t>
  </si>
  <si>
    <t>JR. COPAIBAS MZ C-2 LTE 13</t>
  </si>
  <si>
    <t>PA-51016-MF</t>
  </si>
  <si>
    <t>DOÑA YOLA I</t>
  </si>
  <si>
    <t>BIODIESELES, GASOLINA 90</t>
  </si>
  <si>
    <t>IQ-7982-AF</t>
  </si>
  <si>
    <t>0003-BZCL-16-2008</t>
  </si>
  <si>
    <t>EMPRESA DE TRANSPORTES FLUVIALES M&amp;Z EIRL</t>
  </si>
  <si>
    <t>PUERTO CASTAÑEDA</t>
  </si>
  <si>
    <t>PA-28687-MF</t>
  </si>
  <si>
    <t>119306-063-100616</t>
  </si>
  <si>
    <t>JIRON PROGRESO N°545</t>
  </si>
  <si>
    <t>PA-35414-MF</t>
  </si>
  <si>
    <t xml:space="preserve">M/F ¿RIO CHICOSA¿ </t>
  </si>
  <si>
    <t>83596-063-030317</t>
  </si>
  <si>
    <t>PA-21391-MF</t>
  </si>
  <si>
    <t>STAR CHALLENGER II</t>
  </si>
  <si>
    <t>DIESEL BX, GASOHOL 90 PLUS, TURBO A-1</t>
  </si>
  <si>
    <t>0003-BZCL-25-2005</t>
  </si>
  <si>
    <t>ALEX ALEJO CORRALES GORDILLO</t>
  </si>
  <si>
    <t>JR. CAHUIDE N° 320-416</t>
  </si>
  <si>
    <t>PA-07512-AF</t>
  </si>
  <si>
    <t>0002-BZCL-25-2007</t>
  </si>
  <si>
    <t>JAVIER ARTURO GUTIERREZ SANCHEZ</t>
  </si>
  <si>
    <t>JR. MALECON S/N - ATALAYA</t>
  </si>
  <si>
    <t>PA-22765-MF</t>
  </si>
  <si>
    <t>YONATAN</t>
  </si>
  <si>
    <t>GUTIERREZ SANCHEZ, JAVIER ARTURO</t>
  </si>
  <si>
    <t>109667-063-120614</t>
  </si>
  <si>
    <t xml:space="preserve">TRANSPORTES CONTA E.I.R.L. </t>
  </si>
  <si>
    <t>JR. JOSE DEL CARMEN CABREJOS N° 356</t>
  </si>
  <si>
    <t>PA-42599-MF</t>
  </si>
  <si>
    <t>M/F CONTA IV</t>
  </si>
  <si>
    <t>JHONY EYMER TORRES GONZALES</t>
  </si>
  <si>
    <t>126764-063-150218</t>
  </si>
  <si>
    <t>TRANS LINARES S.R.L.</t>
  </si>
  <si>
    <t>CALLE PUEBLO DIGNO MZ. R LOTE 34 - A.H. SOL NACIENTE</t>
  </si>
  <si>
    <t>IQ-51996-MF</t>
  </si>
  <si>
    <t>LINARES V</t>
  </si>
  <si>
    <t>JAIME LINARES ROJAS</t>
  </si>
  <si>
    <t>108386-063-300414</t>
  </si>
  <si>
    <t xml:space="preserve">CALLE FITZCARRALD 225 </t>
  </si>
  <si>
    <t>IQ-50126-AF</t>
  </si>
  <si>
    <t>A/F CURARAY 6</t>
  </si>
  <si>
    <t>126403-063-080317</t>
  </si>
  <si>
    <t>IQ-51969-AF</t>
  </si>
  <si>
    <t>M Y J IV</t>
  </si>
  <si>
    <t>102386-063-180619</t>
  </si>
  <si>
    <t>CAR.FEDERICO BASADRE MZA. G LOTE. 3-A</t>
  </si>
  <si>
    <t>IQ-29625-MF</t>
  </si>
  <si>
    <t>SANTIAGO</t>
  </si>
  <si>
    <t>13156-063-030714</t>
  </si>
  <si>
    <t>MANUEL VICENTE VERGARA PINEDO - JOANELLA</t>
  </si>
  <si>
    <t xml:space="preserve">AV. LA MARINA N° 2067 </t>
  </si>
  <si>
    <t>IQ-007942-AF</t>
  </si>
  <si>
    <t>A/F JOANELLITA</t>
  </si>
  <si>
    <t>145455-063-310719</t>
  </si>
  <si>
    <t>VERTIZ PAZ JULIO CESAR</t>
  </si>
  <si>
    <t>CALLE N MZ- 6 LT. 106</t>
  </si>
  <si>
    <t>PA-21576-MF</t>
  </si>
  <si>
    <t>ANGELITA</t>
  </si>
  <si>
    <t>106967-063-010719</t>
  </si>
  <si>
    <t>PA-43616-AF</t>
  </si>
  <si>
    <t>A/F RIO CURARAY XVIII</t>
  </si>
  <si>
    <t>DIESEL BX, GASOLINA 84, GASOLINA 90, SOLVENTES, TURBO A-1</t>
  </si>
  <si>
    <t>TRANSELVA PERUANA S.A. - HH-3</t>
  </si>
  <si>
    <t>IQ-7924-AF</t>
  </si>
  <si>
    <t>82859-063-170819</t>
  </si>
  <si>
    <t>IQ-29497-MF</t>
  </si>
  <si>
    <t>BEIRUT I</t>
  </si>
  <si>
    <t>ARQUIMEDES LAZARO RODRIGUEZ</t>
  </si>
  <si>
    <t>IQ-1693-AF</t>
  </si>
  <si>
    <t>137884-063-101219</t>
  </si>
  <si>
    <t>IQ-58700-AF</t>
  </si>
  <si>
    <t>KENIA XXI</t>
  </si>
  <si>
    <t>116485-063-050815</t>
  </si>
  <si>
    <t xml:space="preserve">RONALD ARAUJO AGUIRRE </t>
  </si>
  <si>
    <t>JR. ENE N°273</t>
  </si>
  <si>
    <t>PA-50596-BF</t>
  </si>
  <si>
    <t>R.J-I</t>
  </si>
  <si>
    <t xml:space="preserve">MEDIO DE TRANSPORTE ACUÁTICO DE HIDROCARBUROS EMBARCACIÓN MENOR </t>
  </si>
  <si>
    <t>0001-BZCL-16-2004</t>
  </si>
  <si>
    <t>MARIO DA COSTA MANZUR E.I.R.L.</t>
  </si>
  <si>
    <t>CALLE ALFEREZ WEST N° 358</t>
  </si>
  <si>
    <t>IQ-021190-AF</t>
  </si>
  <si>
    <t>101098-063-300913</t>
  </si>
  <si>
    <t>PETROLEOS DEL PERU - PETROPERU S.A.</t>
  </si>
  <si>
    <t>MARGEN DERECHA DEL RÍO AMAZONAS, BARRIO FLORIDA</t>
  </si>
  <si>
    <t>IQ-08897-AF</t>
  </si>
  <si>
    <t>SAMIRIA</t>
  </si>
  <si>
    <t>DANIEL DIAZ DEL AGUILA</t>
  </si>
  <si>
    <t>0005-BZCL-16-2003</t>
  </si>
  <si>
    <t>MIGUEL ASPAJO DIAZ</t>
  </si>
  <si>
    <t>CALLE CALVO DE ARAUJO N° 1789</t>
  </si>
  <si>
    <t>IQ-008599</t>
  </si>
  <si>
    <t>107339-063-130116</t>
  </si>
  <si>
    <t>ODEBRECHT LATINVEST OPERACIONES Y MANTENIMIENTO S.A.C</t>
  </si>
  <si>
    <t xml:space="preserve">AV. VICTOR ANDRES BELAUNDE NRO. 280 INT. 502 </t>
  </si>
  <si>
    <t>PM-43713-MF</t>
  </si>
  <si>
    <t>HALCON DEL SUR</t>
  </si>
  <si>
    <t>EMBARCACIÓN FLUVIAL PROPULSADA</t>
  </si>
  <si>
    <t>BIAGGIO SERGIO CAROLLO</t>
  </si>
  <si>
    <t>116495-063-070815</t>
  </si>
  <si>
    <t xml:space="preserve">INMACULADA CAMPA ALVAREZ </t>
  </si>
  <si>
    <t>SEPAHUA S/N</t>
  </si>
  <si>
    <t>SEPAHUA</t>
  </si>
  <si>
    <t>PA-42785-BF</t>
  </si>
  <si>
    <t>NICOLLE I</t>
  </si>
  <si>
    <t>119166-063-010216</t>
  </si>
  <si>
    <t xml:space="preserve">SERVICIOS Y EQUIPOS AMAZONICOS S.A.C </t>
  </si>
  <si>
    <t xml:space="preserve">AV. LA MARINA N° 486 </t>
  </si>
  <si>
    <t>IQ-51034-AF</t>
  </si>
  <si>
    <t>sophia</t>
  </si>
  <si>
    <t>0000006-LOR</t>
  </si>
  <si>
    <t>TRANSPORTES ARMAS RAMIREZ S.A. - ENITH</t>
  </si>
  <si>
    <t>CALLE NAUTA N° 241</t>
  </si>
  <si>
    <t>IQ8445MF/ENITH</t>
  </si>
  <si>
    <t>84676-063-180819</t>
  </si>
  <si>
    <t>CALLE LUZ MARINA VERGARA S/N - PTO. DACOSTA</t>
  </si>
  <si>
    <t>IQ-31590-MF</t>
  </si>
  <si>
    <t>DA COSTA I</t>
  </si>
  <si>
    <t>DIESEL B2, TURBO A-1</t>
  </si>
  <si>
    <t>34562-063-040613</t>
  </si>
  <si>
    <t>SERVICIOS Y EQUIPOS AMAZONICOS S.A.</t>
  </si>
  <si>
    <t>AV. LA MARINA N° 464</t>
  </si>
  <si>
    <t>IQ-08470-AF</t>
  </si>
  <si>
    <t>LASA-20</t>
  </si>
  <si>
    <t>MESIA TELLO, LUIS</t>
  </si>
  <si>
    <t>126618-063-230217</t>
  </si>
  <si>
    <t xml:space="preserve">NAVIERA TRANSOCEANICA S.A. </t>
  </si>
  <si>
    <t xml:space="preserve">AV. MANUEL OLGUIN N° 501 PISO 12 EDIFICIO " MACROS" </t>
  </si>
  <si>
    <t>IMO9132789</t>
  </si>
  <si>
    <t>DIEGO FLOREZ ROGGERO</t>
  </si>
  <si>
    <t>136033-063-030918</t>
  </si>
  <si>
    <t xml:space="preserve">SOCIEDAD ANONIMA DE NAVEGACION AMAZONICA </t>
  </si>
  <si>
    <t>AV. LA MARINA 260</t>
  </si>
  <si>
    <t>IQ-58221-AF</t>
  </si>
  <si>
    <t>SANAM 7</t>
  </si>
  <si>
    <t>ALI ABENSUR BORIA</t>
  </si>
  <si>
    <t>142423-063-100419</t>
  </si>
  <si>
    <t>PETROLEOS DEL PERÚ - PETROPERÚ S.A.</t>
  </si>
  <si>
    <t>AV. LA MARINA N° 465</t>
  </si>
  <si>
    <t>IQ-61698-AF</t>
  </si>
  <si>
    <t>RIO PISQUI</t>
  </si>
  <si>
    <t>125484-063-091219</t>
  </si>
  <si>
    <t>AV. LA MARINA N°2067</t>
  </si>
  <si>
    <t>IQ-51793-AF</t>
  </si>
  <si>
    <t>KENIA XVI</t>
  </si>
  <si>
    <t>84602-063-050718</t>
  </si>
  <si>
    <t>AV. MANUEL OLGUIN N° 501, PISO 12</t>
  </si>
  <si>
    <t>IMO-9299410</t>
  </si>
  <si>
    <t>TROMPETEROS I</t>
  </si>
  <si>
    <t xml:space="preserve">BUQUE </t>
  </si>
  <si>
    <t>ALVARO VALDEZ SANCHEZ GUTIERREZ</t>
  </si>
  <si>
    <t>0004-BZCL-16-2004</t>
  </si>
  <si>
    <t>IQ-007911-A/F</t>
  </si>
  <si>
    <t>118999-063-120116</t>
  </si>
  <si>
    <t>INVERSIONES BRANDO E.I.R.L.</t>
  </si>
  <si>
    <t>JR. JOSE GALVEZ MZ. 41 LT. 6C</t>
  </si>
  <si>
    <t>PA-34906-MF</t>
  </si>
  <si>
    <t>MF/BRANDO I</t>
  </si>
  <si>
    <t>138704-063-050819</t>
  </si>
  <si>
    <t>PA-50053-AF</t>
  </si>
  <si>
    <t>PACIFICO XIX</t>
  </si>
  <si>
    <t>96080-063-311018</t>
  </si>
  <si>
    <t>CALLE PUEBLO DIGNO MZ R LOTE 34 –AH- SOL NACIENTE</t>
  </si>
  <si>
    <t>PA-41649-MF</t>
  </si>
  <si>
    <t>MIA VALENTINA VII</t>
  </si>
  <si>
    <t>0001-BTCL-15-2003</t>
  </si>
  <si>
    <t>NAVIERA MIRAFLORES S.A.C.</t>
  </si>
  <si>
    <t>CALLE LOS CIPRESES N° 343</t>
  </si>
  <si>
    <t>TN-000432</t>
  </si>
  <si>
    <t>95617-063-260419</t>
  </si>
  <si>
    <t xml:space="preserve">TRANSPORTES JUPITER SRL </t>
  </si>
  <si>
    <t xml:space="preserve">AV. LA MARINA Nº 2067 </t>
  </si>
  <si>
    <t>IQ-38042-MF</t>
  </si>
  <si>
    <t>URUBAMBA VII</t>
  </si>
  <si>
    <t>141709-063-070319</t>
  </si>
  <si>
    <t>CALLE CUZCO 810</t>
  </si>
  <si>
    <t>PA-32056-BF</t>
  </si>
  <si>
    <t>CORAZON DE JESUS</t>
  </si>
  <si>
    <t>94706-063-060718</t>
  </si>
  <si>
    <t>IMO-9293210</t>
  </si>
  <si>
    <t>CHIRA</t>
  </si>
  <si>
    <t xml:space="preserve">ALVARO VALDEZ SANCHEZ-GUTIERREZ </t>
  </si>
  <si>
    <t>114267-063-281015</t>
  </si>
  <si>
    <t>CESAR TRANSPORTES Y SERVICIOS GENERALES S.R.L.</t>
  </si>
  <si>
    <t>PUERTO LAO</t>
  </si>
  <si>
    <t>IQ-43936-MF</t>
  </si>
  <si>
    <t>CCAP</t>
  </si>
  <si>
    <t>FLUVIAL</t>
  </si>
  <si>
    <t>CESAR RIOS CARDENAS</t>
  </si>
  <si>
    <t>117091-063-170915</t>
  </si>
  <si>
    <t xml:space="preserve">EMPRESA SEGAKIATO S.A.C </t>
  </si>
  <si>
    <t>JR. 28 DE JULIO 345</t>
  </si>
  <si>
    <t>PA-43887-MF</t>
  </si>
  <si>
    <t>MAQUISAPA III</t>
  </si>
  <si>
    <t>RENE VARGAS LIMA</t>
  </si>
  <si>
    <t>137753-063-091118</t>
  </si>
  <si>
    <t>JAMENAR RIOS VARGAS</t>
  </si>
  <si>
    <t>PROLONGACIÓN UCAYALI N° 353</t>
  </si>
  <si>
    <t>PA-58299-MF</t>
  </si>
  <si>
    <t>JAMNER I</t>
  </si>
  <si>
    <t>125352-063-260218</t>
  </si>
  <si>
    <t>JR. INDEPENDENCIA N 444</t>
  </si>
  <si>
    <t>TA-51843-AM</t>
  </si>
  <si>
    <t>AQUINNAH QUATTRO</t>
  </si>
  <si>
    <t>BARCAZA MARITIMA</t>
  </si>
  <si>
    <t>GERMAN CARLOS SARMIENTO FLORES</t>
  </si>
  <si>
    <t>0004-BZCL-16-2003</t>
  </si>
  <si>
    <t>IQ-007944</t>
  </si>
  <si>
    <t>84677-063-170819</t>
  </si>
  <si>
    <t>IQ-31591-MF</t>
  </si>
  <si>
    <t>DA COSTA II</t>
  </si>
  <si>
    <t>116132-063-090815</t>
  </si>
  <si>
    <t>FIDELA TUCNO CASAVERDE</t>
  </si>
  <si>
    <t>PA-43097-BF</t>
  </si>
  <si>
    <t>NICO II</t>
  </si>
  <si>
    <t>125974-063-070519</t>
  </si>
  <si>
    <t>JUAN MACARIO RAMIREZ PILLACA</t>
  </si>
  <si>
    <t>JR. LOS JARDINES MZ. I LOTE 10 - MANANTAY</t>
  </si>
  <si>
    <t>MANANTAY</t>
  </si>
  <si>
    <t>PA-51742-MF</t>
  </si>
  <si>
    <t>KIMARO I</t>
  </si>
  <si>
    <t>107461-063-190220</t>
  </si>
  <si>
    <t>AGENCIA DE TRANSPORTES Y SERVICIOS GENERALES JESSMARA E.I.R.L.</t>
  </si>
  <si>
    <t>IQ-42005-AF</t>
  </si>
  <si>
    <t>ERIKA I</t>
  </si>
  <si>
    <t>61854-063-190520</t>
  </si>
  <si>
    <t>JR INDEPENDENCIA 444</t>
  </si>
  <si>
    <t>CO-27311-AM</t>
  </si>
  <si>
    <t>ANTU</t>
  </si>
  <si>
    <t>IFO - 380</t>
  </si>
  <si>
    <t>144236-063-240519</t>
  </si>
  <si>
    <t>IQ-61701-MF</t>
  </si>
  <si>
    <t>RIO TAHUAYO</t>
  </si>
  <si>
    <t>108158-063-190514</t>
  </si>
  <si>
    <t>CALLE FITZCARRALD 255</t>
  </si>
  <si>
    <t>IQ-50121-AF</t>
  </si>
  <si>
    <t>A/F CURARAY 1</t>
  </si>
  <si>
    <t>90542-063-090911</t>
  </si>
  <si>
    <t>AV. LA MARINA Nº 209</t>
  </si>
  <si>
    <t>IQ-35061-MF</t>
  </si>
  <si>
    <t>MARY II</t>
  </si>
  <si>
    <t>JESSICA MARIBEL RAMÍREZ ARCE</t>
  </si>
  <si>
    <t>108160-063-190514</t>
  </si>
  <si>
    <t>IQ-50124-AF</t>
  </si>
  <si>
    <t>A/F CURARAY 3</t>
  </si>
  <si>
    <t>0002-BZCL-25-2009</t>
  </si>
  <si>
    <t>EMPRESA DE TRANSPORTE FLUVIAL ALEX A . CORRALES GORDILLO</t>
  </si>
  <si>
    <t>JR. LAS ALMENDRAS MZ C LOTE 5 CARRETERA FEDERICA BASADRE KM 7,200</t>
  </si>
  <si>
    <t>PA-21367-AF</t>
  </si>
  <si>
    <t>108946-063-220514</t>
  </si>
  <si>
    <t>FRANCISCO CUEVA QUISPE</t>
  </si>
  <si>
    <t xml:space="preserve">COMUNIDAD SAN JUAN GRANDE </t>
  </si>
  <si>
    <t>PM-43801-MF</t>
  </si>
  <si>
    <t>M/F NEYMAR</t>
  </si>
  <si>
    <t>109003-063-030714</t>
  </si>
  <si>
    <t>EMPRESA MULTISERVICIOS GRIFO RURAL SOL NACIENTE S.C.R.L.</t>
  </si>
  <si>
    <t>CALLE RAMÓN CASTILLA Nº 206</t>
  </si>
  <si>
    <t>MARISCAL RAMON CASTILLA</t>
  </si>
  <si>
    <t>RAMON CASTILLA</t>
  </si>
  <si>
    <t>IQ-42902-MF</t>
  </si>
  <si>
    <t>M/F PEPITO SOY I</t>
  </si>
  <si>
    <t>PEPE OSWALDO ALDAVES NATIVIDAD</t>
  </si>
  <si>
    <t>91838-063-161118</t>
  </si>
  <si>
    <t>AV. MANUEL OLGIN N° 501 PISO 12, URBANIZACIÓN HARAS TYBER</t>
  </si>
  <si>
    <t>IMO-9171321</t>
  </si>
  <si>
    <t>CAMISEA</t>
  </si>
  <si>
    <t>COMBUSTIBLES RESIDUALES DE USO MARINO, DIESEL BX, GASOLINAS PARA USO AUTOMOTOR, IFOS, PETROLEO CRUDO, PETRÓLEOS INDUSTRIALES, TURBO A-1</t>
  </si>
  <si>
    <t>152092-063-271020</t>
  </si>
  <si>
    <t>RIOS VARGAS JAMENAR</t>
  </si>
  <si>
    <t>PROLONGACION UCAYALI 353</t>
  </si>
  <si>
    <t>PA-63180-MF</t>
  </si>
  <si>
    <t>JAMNER II</t>
  </si>
  <si>
    <t>121623-063-080716</t>
  </si>
  <si>
    <t>CALLE PUEBLO DIGNO MZ. R LTE. 34 – AA. HH. SOL NACIENTE</t>
  </si>
  <si>
    <t>IQ-12520-MF</t>
  </si>
  <si>
    <t>M/F ANTONIO</t>
  </si>
  <si>
    <t>126402-063-060317</t>
  </si>
  <si>
    <t>IQ-51968-AF</t>
  </si>
  <si>
    <t>M Y J III</t>
  </si>
  <si>
    <t>123172-063-130916</t>
  </si>
  <si>
    <t>IQ-51377-AF</t>
  </si>
  <si>
    <t>AMAZONAS I</t>
  </si>
  <si>
    <t>131100-063-241119</t>
  </si>
  <si>
    <t>CALLE LORETO N° 587</t>
  </si>
  <si>
    <t>IQ-53991-AF</t>
  </si>
  <si>
    <t>M Y J V</t>
  </si>
  <si>
    <t>DIESEL B5, GASOLINAS PARA USO AUTOMOTOR, PETROLEO CRUDO, RESIDUALES</t>
  </si>
  <si>
    <t>116486-063-060815</t>
  </si>
  <si>
    <t xml:space="preserve">LEANDRO QUISPE TORRES </t>
  </si>
  <si>
    <t>PA-50597-BF</t>
  </si>
  <si>
    <t>KELVIN JHOANA</t>
  </si>
  <si>
    <t xml:space="preserve">TRANSPORTE ACUÁTICO DE HIDROCARBUROS EMBARCACIÓN MENOR </t>
  </si>
  <si>
    <t>62762-063-190417</t>
  </si>
  <si>
    <t>AV. LA ENCALADA 995 OFICINA 301 CC. MONTERRICO</t>
  </si>
  <si>
    <t>CO-28749-MM</t>
  </si>
  <si>
    <t>B/T ALORCA</t>
  </si>
  <si>
    <t>IFOS</t>
  </si>
  <si>
    <t>MANUEL ALONSO BURGOS ACHA</t>
  </si>
  <si>
    <t>0005-BZCL-16-2004</t>
  </si>
  <si>
    <t>IQ-21647-MF</t>
  </si>
  <si>
    <t>125872-063-020217</t>
  </si>
  <si>
    <t>JR. PROSPERO N° 1392</t>
  </si>
  <si>
    <t>PA-50666-AF</t>
  </si>
  <si>
    <t>TUKITA 14</t>
  </si>
  <si>
    <t>96012-063-280814</t>
  </si>
  <si>
    <t xml:space="preserve">CONSULTORIAS, OBRAS Y SERVICIOS DEL AMAZONAS E.I.R.L. </t>
  </si>
  <si>
    <t xml:space="preserve">JR. ARICA Nº 618 </t>
  </si>
  <si>
    <t>IQ-40979-AF</t>
  </si>
  <si>
    <t>A/F COSEDA II</t>
  </si>
  <si>
    <t>LAZARO RODRIGUEZ ARQUIMEDEZ</t>
  </si>
  <si>
    <t>IQ-15828</t>
  </si>
  <si>
    <t>82413-063-2010</t>
  </si>
  <si>
    <t>CHALENGERCINCO EIRL</t>
  </si>
  <si>
    <t>PUERTO MAPLE - MARGEN IZQUIERDA RIO UCAYALI</t>
  </si>
  <si>
    <t>PA-21368-MF</t>
  </si>
  <si>
    <t>STAR CHALLENGER V</t>
  </si>
  <si>
    <t>MAURA VÁSQUEZ CARBAJAL</t>
  </si>
  <si>
    <t>0023-BZCL-16-2000</t>
  </si>
  <si>
    <t>IQ-1300-EF</t>
  </si>
  <si>
    <t>139075-063-131018</t>
  </si>
  <si>
    <t>IQ-58738-AF</t>
  </si>
  <si>
    <t>RIO YARAPA</t>
  </si>
  <si>
    <t>DIESEL B5, GASOLINAS PARA USO AUTOMOTOR, NAFTA, PETROLEO CRUDO, PETRÓLEO INDUSTRIAL Nº 6, SOLVENTES, TURBO A-1</t>
  </si>
  <si>
    <t>109783-063-020614</t>
  </si>
  <si>
    <t>NAVIERA TRANSOCEANICA S.A</t>
  </si>
  <si>
    <t>AV. MANUEL OLGUIN N° 201, PISO 12-URB HARAS TYBER</t>
  </si>
  <si>
    <t>IMO-9102203</t>
  </si>
  <si>
    <t>LGC/ MAR PACIFICO</t>
  </si>
  <si>
    <t>TRANSELVA PERUANA S.A. - LASA 9</t>
  </si>
  <si>
    <t>AV. AL MARINA N° 464</t>
  </si>
  <si>
    <t>IQ-7939</t>
  </si>
  <si>
    <t>18905-063-311017</t>
  </si>
  <si>
    <t>CALLE ALFEREZ TAVARA N° 375</t>
  </si>
  <si>
    <t>IQ-08637-AF</t>
  </si>
  <si>
    <t>A/F JUPITER III</t>
  </si>
  <si>
    <t>44364-063-070220</t>
  </si>
  <si>
    <t>IQ-22902-AF</t>
  </si>
  <si>
    <t>A/F KENIA V</t>
  </si>
  <si>
    <t>13160-063-050614</t>
  </si>
  <si>
    <t>IQ-007109-A</t>
  </si>
  <si>
    <t>RIO NANAY</t>
  </si>
  <si>
    <t>115653-063-250815</t>
  </si>
  <si>
    <t>JORGE RAMOS CASTILLO</t>
  </si>
  <si>
    <t>PUERTO DON JOSE</t>
  </si>
  <si>
    <t>M/FIQ-15925-MF</t>
  </si>
  <si>
    <t>VENNOR</t>
  </si>
  <si>
    <t>139076-063-131018</t>
  </si>
  <si>
    <t>IQ-58739-AF</t>
  </si>
  <si>
    <t>RIO PUTUMAYO</t>
  </si>
  <si>
    <t>129027-063-010717</t>
  </si>
  <si>
    <t>CARLOS ALBERTO GOÑEZ DEL AGUILA</t>
  </si>
  <si>
    <t>CALLE 19 DE JUNIO NRO 120</t>
  </si>
  <si>
    <t>IQ-37665-MF</t>
  </si>
  <si>
    <t>M/F "AMAZONAS"</t>
  </si>
  <si>
    <t>148240-063-161219</t>
  </si>
  <si>
    <t>IQ-62526-AF</t>
  </si>
  <si>
    <t>SARAMURO</t>
  </si>
  <si>
    <t>MIGUEL GIRBAU FLORES</t>
  </si>
  <si>
    <t>116484-063-060815</t>
  </si>
  <si>
    <t>PELAYO TAIPE CUSI</t>
  </si>
  <si>
    <t>PA-31785-BF</t>
  </si>
  <si>
    <t>MAGDA A</t>
  </si>
  <si>
    <t>122194-063-150616</t>
  </si>
  <si>
    <t>JR. PROSPERO 1392</t>
  </si>
  <si>
    <t>IQ-51296-AF</t>
  </si>
  <si>
    <t>TUKITA 1</t>
  </si>
  <si>
    <t>DIESEL BX, GASOLINAS PARA USO AUTOMOTOR, PETROLEO CRUDO, RESIDUALES, TURBO A-1</t>
  </si>
  <si>
    <t>0010-BZCL-16-2000</t>
  </si>
  <si>
    <t>PA-0472-AF/PC-3</t>
  </si>
  <si>
    <t>103901-063-250518</t>
  </si>
  <si>
    <t>PETROTANKERS S.A.C</t>
  </si>
  <si>
    <t>CO-43146-AM</t>
  </si>
  <si>
    <t>A/M AQUINNAH DOS</t>
  </si>
  <si>
    <t>117190-063-291015</t>
  </si>
  <si>
    <t>TRANSPORTES AMAZONICOS DE TURISMO S.A.</t>
  </si>
  <si>
    <t>JR. RAYMONDI Nº384</t>
  </si>
  <si>
    <t>IQ-38000-AF</t>
  </si>
  <si>
    <t>DON ENRIQUE II</t>
  </si>
  <si>
    <t>MIRZA RAFAELA SANCHEZ GONZALES DE PINEDO</t>
  </si>
  <si>
    <t>0002-BZGL-16-2004</t>
  </si>
  <si>
    <t>G.L.P AMAZONICO S.A.C.</t>
  </si>
  <si>
    <t>AV. NICOLAS AYLLON</t>
  </si>
  <si>
    <t>ATE</t>
  </si>
  <si>
    <t>PA007298AF</t>
  </si>
  <si>
    <t>REY RECAVARREN, ALVARO FELIPE</t>
  </si>
  <si>
    <t>107857-063-180214</t>
  </si>
  <si>
    <t>GLP AMAZONICO S.A.C.</t>
  </si>
  <si>
    <t>CALLE PEVAS NRO 316</t>
  </si>
  <si>
    <t>IQ-42062-AF</t>
  </si>
  <si>
    <t>AMAZON GAS I</t>
  </si>
  <si>
    <t>ALVARO FELIPE REY RECAVARREN</t>
  </si>
  <si>
    <t>IQ-1289-A</t>
  </si>
  <si>
    <t>120588-063-160919</t>
  </si>
  <si>
    <t>MARIA SADITH MAYNAS DEL AGUILA</t>
  </si>
  <si>
    <t>JR.JOSE GRANDA MZ.E LT.08 AA.HH.MARIA PARADO DE BELLIDO</t>
  </si>
  <si>
    <t>PA-50621-MF</t>
  </si>
  <si>
    <t>REDDY I</t>
  </si>
  <si>
    <t>IQ-1298-AF</t>
  </si>
  <si>
    <t>0007-BZCL-16-2000</t>
  </si>
  <si>
    <t>IQ-1287</t>
  </si>
  <si>
    <t>13178-063-240913</t>
  </si>
  <si>
    <t>IQ-008006-AF</t>
  </si>
  <si>
    <t>CC-2</t>
  </si>
  <si>
    <t>140858-063-240119</t>
  </si>
  <si>
    <t>IMO-9470258</t>
  </si>
  <si>
    <t>SEAWAYS MILOS</t>
  </si>
  <si>
    <t>117996-063-121115</t>
  </si>
  <si>
    <t>PA-50047-BF</t>
  </si>
  <si>
    <t>S.G.A. V</t>
  </si>
  <si>
    <t>106966-063-181213</t>
  </si>
  <si>
    <t>JR. BOLIVAR 440</t>
  </si>
  <si>
    <t>PA-43617-AF</t>
  </si>
  <si>
    <t>RIO CURARAY XIX</t>
  </si>
  <si>
    <t>0001-BZCL-25-2007</t>
  </si>
  <si>
    <t>PASAJE LOS ROSALES Nº 119 PUCALLPA</t>
  </si>
  <si>
    <t>PA-23087-AF</t>
  </si>
  <si>
    <t>PRINCESS</t>
  </si>
  <si>
    <t>DAVILA MARINA, NOEMI</t>
  </si>
  <si>
    <t>10426-063-240913</t>
  </si>
  <si>
    <t>PA-0471-AF</t>
  </si>
  <si>
    <t>PC-2</t>
  </si>
  <si>
    <t>116118-063-090815</t>
  </si>
  <si>
    <t>RAUL ELIAS INGA PAUCAR</t>
  </si>
  <si>
    <t>JR. URUBAMBA N°611</t>
  </si>
  <si>
    <t>PA-42226-BF</t>
  </si>
  <si>
    <t>BEATRIZ I</t>
  </si>
  <si>
    <t>116970-063-250915</t>
  </si>
  <si>
    <t>MILLENNIUM SHIPPING AND TRADING SAC</t>
  </si>
  <si>
    <t>AV. JOSE LARCO N° 743 OF. 703</t>
  </si>
  <si>
    <t>CO-50762-AM</t>
  </si>
  <si>
    <t>PACIFIC MOON</t>
  </si>
  <si>
    <t>HERACLIDES GONZALES MINAYA</t>
  </si>
  <si>
    <t>108947-063-190320</t>
  </si>
  <si>
    <t>EMPRESA FLUVIAL GRIFOS UNIDOS SOCIEDAD ANONIMA CERRADA</t>
  </si>
  <si>
    <t>AV. PRINCIPAL S/N MZA 120 LOTE 1, COMUNIDAD PUNKIRI CHICO</t>
  </si>
  <si>
    <t>PM-43800-MF</t>
  </si>
  <si>
    <t>M/F HYERSY</t>
  </si>
  <si>
    <t>Diesel B5 S-50, GASOLINA 84</t>
  </si>
  <si>
    <t>95025-063-131211</t>
  </si>
  <si>
    <t>ENERGY SERVICES DEL PERU SAC</t>
  </si>
  <si>
    <t>AV JAVIER PRADO ESTE Nº 5812</t>
  </si>
  <si>
    <t>40982-063-191213</t>
  </si>
  <si>
    <t>IQ-021734-AF</t>
  </si>
  <si>
    <t>KENIA III</t>
  </si>
  <si>
    <t>141279-063-160219</t>
  </si>
  <si>
    <t>SERVICIOS MULTIPLES VALENTINA E.I.R.L.</t>
  </si>
  <si>
    <t>JR. COPAIBAS MZ. C-2 LT. 13</t>
  </si>
  <si>
    <t>PA-60652-MF</t>
  </si>
  <si>
    <t>DOÑA GLORIA I</t>
  </si>
  <si>
    <t>96949-063-200612</t>
  </si>
  <si>
    <t xml:space="preserve">AV MANUEL OLGUIN N° 501 PISO 12 MONTERRICO </t>
  </si>
  <si>
    <t>IMO-9154957</t>
  </si>
  <si>
    <t>AMAZONAS</t>
  </si>
  <si>
    <t>0001-BTCL-15-2002</t>
  </si>
  <si>
    <t>NAVIERA MIRAFLORES S.A.C</t>
  </si>
  <si>
    <t>TN 387 BONITO</t>
  </si>
  <si>
    <t>106438-063-280114</t>
  </si>
  <si>
    <t>TRANSPORTE FLUVIAL SIMAPREC S.R.L.</t>
  </si>
  <si>
    <t>CALLE PRINCIPAL MZ. D, LT.6 HUAYPETUHE</t>
  </si>
  <si>
    <t>HUEPETUHE</t>
  </si>
  <si>
    <t>PM-50027-MF</t>
  </si>
  <si>
    <t>M/F TRIUNFO</t>
  </si>
  <si>
    <t>JOSÉ CHACACANTA NÚÑEZ DE LA TORRE</t>
  </si>
  <si>
    <t>116116-063-090815</t>
  </si>
  <si>
    <t xml:space="preserve">KATIWSHKA YUPANQUI VARGAS </t>
  </si>
  <si>
    <t xml:space="preserve">JR IQUITOS S/N </t>
  </si>
  <si>
    <t>PA-31521-BF</t>
  </si>
  <si>
    <t>ANDREA VALERIA</t>
  </si>
  <si>
    <t>130546-063-181117</t>
  </si>
  <si>
    <t>TRANSGAS SHIPPING LINES S.A.C</t>
  </si>
  <si>
    <t>AV LA ENCALADA 995, OFICINA 301, URB CENTRO COMERCIAL MONTERRICO</t>
  </si>
  <si>
    <t>IMO-9212371</t>
  </si>
  <si>
    <t>B/T ALEJANDRO</t>
  </si>
  <si>
    <t>COMBUSTIBLES RESIDUALES DE USO MARINO, DIESEL BX, GASOLINAS PARA USO AUTOMOTOR, PETROLEO CRUDO, RESIDUALES</t>
  </si>
  <si>
    <t>126674-063-250618</t>
  </si>
  <si>
    <t>AV. LA ENCALADA 995 OFICINA 301</t>
  </si>
  <si>
    <t>CO-52034-MM</t>
  </si>
  <si>
    <t>B/T ADRIAN</t>
  </si>
  <si>
    <t>COMBUSTIBLES RESIDUALES DE USO MARINO, DIESEL BX, IFOS, PETRÓLEO INDUSTRIAL Nº 6</t>
  </si>
  <si>
    <t>123171-063-120916</t>
  </si>
  <si>
    <t>IQ-51378-AF</t>
  </si>
  <si>
    <t>AMAZONAS II</t>
  </si>
  <si>
    <t>44490-063-070920</t>
  </si>
  <si>
    <t>NAVIERA TRAMARSA S.A.</t>
  </si>
  <si>
    <t>AV. SAENZ PEÑA Nº 177</t>
  </si>
  <si>
    <t>CO-00061-EM</t>
  </si>
  <si>
    <t>DIESEL B5, IFOS</t>
  </si>
  <si>
    <t>FERNANDO SALERNO CASTAÑEDA</t>
  </si>
  <si>
    <t>0001-BZGL-16-2004</t>
  </si>
  <si>
    <t>CALLE PEVAS N° 316</t>
  </si>
  <si>
    <t>7300AF</t>
  </si>
  <si>
    <t>111914-063-031114</t>
  </si>
  <si>
    <t>CALLE EDILBERTO VALLES N° 904</t>
  </si>
  <si>
    <t>IQ-43964-MF</t>
  </si>
  <si>
    <t>M/F JESSMARA I</t>
  </si>
  <si>
    <t>JESSICA MARIBEL RAMIREZ ARCE</t>
  </si>
  <si>
    <t>13176-063-270514</t>
  </si>
  <si>
    <t xml:space="preserve">TRANSPORTES JUPITER S.R.L. </t>
  </si>
  <si>
    <t>IQ-07991-AF</t>
  </si>
  <si>
    <t>IRENE</t>
  </si>
  <si>
    <t>88338-063-2010</t>
  </si>
  <si>
    <t>AV. LA MARINA S/N</t>
  </si>
  <si>
    <t>IQ-32101-MF</t>
  </si>
  <si>
    <t>MARY I</t>
  </si>
  <si>
    <t>82633-063-300819</t>
  </si>
  <si>
    <t>SERVICIOS GENERALES JHON MARINO E.I.R.L.</t>
  </si>
  <si>
    <t>JR. IPUATIA MZ. 281 LOTE 21</t>
  </si>
  <si>
    <t>PA-29364-MF</t>
  </si>
  <si>
    <t>MIA VALENTINA II</t>
  </si>
  <si>
    <t>DIESEL B5, Diesel B5 S-50, GASOLINAS PARA USO AUTOMOTOR, TURBO A-1</t>
  </si>
  <si>
    <t>MARINO DE LA CRUZ ROMERO</t>
  </si>
  <si>
    <t>103290-063-200913</t>
  </si>
  <si>
    <t>PERENCO PERU PETROLEUM LIMITED SUCURSAL DEL PERU</t>
  </si>
  <si>
    <t>AV. REPUBLICA DE PANAMA Nº 3030, PISO 14</t>
  </si>
  <si>
    <t>IQ-42378-AF</t>
  </si>
  <si>
    <t>AF/ EL MANATÍ</t>
  </si>
  <si>
    <t>BENOIT DE LA FOUCHARDIERE</t>
  </si>
  <si>
    <t>108785-063-190514</t>
  </si>
  <si>
    <t>ANA ROJAS CURINUQUI DE LINARES</t>
  </si>
  <si>
    <t xml:space="preserve">PASAJE SECOYA N° 255 MICAELA BASTIDAS </t>
  </si>
  <si>
    <t>IQ-21337-MF</t>
  </si>
  <si>
    <t>M/F LINARES II</t>
  </si>
  <si>
    <t>IQ-17978-EF</t>
  </si>
  <si>
    <t>122088-063-080716</t>
  </si>
  <si>
    <t>TRANSPORTES CONTA E.I.R.L.</t>
  </si>
  <si>
    <t>JR. JOSÉ DEL CARMEN CABREJOS N° 356</t>
  </si>
  <si>
    <t>PA-29011-MF</t>
  </si>
  <si>
    <t>M/F CONTA</t>
  </si>
  <si>
    <t xml:space="preserve">JHONY EYNER TORRES GONZALES </t>
  </si>
  <si>
    <t>144237-063-030619</t>
  </si>
  <si>
    <t>CALLE PUEBLO DIGNO MZ. R LOTE 34 - AH SOL NACIENTE</t>
  </si>
  <si>
    <t>IQ-60400-AF</t>
  </si>
  <si>
    <t>EL MAESTRO I</t>
  </si>
  <si>
    <t>82560-063-080618</t>
  </si>
  <si>
    <t>FORESTAL MENDOZA EIRL</t>
  </si>
  <si>
    <t>AV. SANTA CLARA MZ. D LOTE 8 Y 9</t>
  </si>
  <si>
    <t>PA-21292-AF</t>
  </si>
  <si>
    <t>DALILA</t>
  </si>
  <si>
    <t>JUAN SIMON VICTOR MENDOZA DE SOUZA</t>
  </si>
  <si>
    <t>146131-063-260819</t>
  </si>
  <si>
    <t>PA-61831-AF</t>
  </si>
  <si>
    <t>RIO URUBAMBA</t>
  </si>
  <si>
    <t>0013-BZCL-16-2000</t>
  </si>
  <si>
    <t>IQ-8018-AF</t>
  </si>
  <si>
    <t>0015-BZCL-16-2000</t>
  </si>
  <si>
    <t>IQ-007930-AF</t>
  </si>
  <si>
    <t>112617-063-091214</t>
  </si>
  <si>
    <t>BERTLING-TRANSGAS TANKERS S.A.C</t>
  </si>
  <si>
    <t>CALLE MARTIR OLAYA 129. OF. 1003</t>
  </si>
  <si>
    <t>IMO N° 9126003</t>
  </si>
  <si>
    <t>NASCA</t>
  </si>
  <si>
    <t>DIESEL BX, DIESEL MARINO N° 2, GASOLINAS PARA USO AUTOMOTOR, IFOS, NAFTA</t>
  </si>
  <si>
    <t>117189-063-291015</t>
  </si>
  <si>
    <t>JR. RAYMONDI N° 384</t>
  </si>
  <si>
    <t>IQ-37889-AF</t>
  </si>
  <si>
    <t>DON ENRIQUE I</t>
  </si>
  <si>
    <t xml:space="preserve">MIRZA RAFAELA SANCHEZ GONZALEZ DE PINEDO </t>
  </si>
  <si>
    <t>117995-063-171115</t>
  </si>
  <si>
    <t>PA-50048-BF</t>
  </si>
  <si>
    <t>S.G.A. VI</t>
  </si>
  <si>
    <t>141112-063-050219</t>
  </si>
  <si>
    <t>SOLIO FILDER MEJIA ACUÑA</t>
  </si>
  <si>
    <t>MARISCAL CACERES N° 232</t>
  </si>
  <si>
    <t>PA-60526-BF</t>
  </si>
  <si>
    <t>GRIFO IPARIA</t>
  </si>
  <si>
    <t>BOTE FLUVIAL</t>
  </si>
  <si>
    <t>13360-063-240913</t>
  </si>
  <si>
    <t>SERVICIOS Y EQUIPOS AMAZONICOS S.A. C.</t>
  </si>
  <si>
    <t>AV. LA MARINA N° 486</t>
  </si>
  <si>
    <t>IQ-008017-AF</t>
  </si>
  <si>
    <t>CC-7</t>
  </si>
  <si>
    <t>118001-063-171115</t>
  </si>
  <si>
    <t>PA-50041-BF</t>
  </si>
  <si>
    <t>S.G.A. I</t>
  </si>
  <si>
    <t>123187-063-241016</t>
  </si>
  <si>
    <t>IQ-08632-AF</t>
  </si>
  <si>
    <t>LASA 24</t>
  </si>
  <si>
    <t>107793-063-250214</t>
  </si>
  <si>
    <t>NAVIERA CURACAY S.A.C</t>
  </si>
  <si>
    <t>IQ-50095-AF</t>
  </si>
  <si>
    <t>A/F CURARAY 7</t>
  </si>
  <si>
    <t>135915-063-040518</t>
  </si>
  <si>
    <t>JAYAVI GOLDEN CENTER I S.A.C.</t>
  </si>
  <si>
    <t>JR. CUSCO MZ. 7 LOTE- 20-B A.H. MADRE DE DIOS</t>
  </si>
  <si>
    <t>PM-58244-MM</t>
  </si>
  <si>
    <t>PACIFICO</t>
  </si>
  <si>
    <t>JUSTO QUISPE QUISPE</t>
  </si>
  <si>
    <t>141743-063-010719</t>
  </si>
  <si>
    <t xml:space="preserve">PA-61409-AM </t>
  </si>
  <si>
    <t>PACIFICO XXV</t>
  </si>
  <si>
    <t>DIESEL B5, GASOLINA 90, GASOLINA 95</t>
  </si>
  <si>
    <t>138089-063-160818</t>
  </si>
  <si>
    <t>WILFORD TOMAS PEREZ PEREZ</t>
  </si>
  <si>
    <t>JR. LADISLAO ESPINAR S/N</t>
  </si>
  <si>
    <t>PA-45501-MF</t>
  </si>
  <si>
    <t>JEYSON I</t>
  </si>
  <si>
    <t>137896-063-130818</t>
  </si>
  <si>
    <t>ROBINSON BRAVO RAMOS</t>
  </si>
  <si>
    <t>CALLE MALECON S/N</t>
  </si>
  <si>
    <t>PA-52257-MF</t>
  </si>
  <si>
    <t>DON ADRIANO</t>
  </si>
  <si>
    <t>116138-063-090815</t>
  </si>
  <si>
    <t xml:space="preserve">CARLOS ALBERTO ZUÑIGA ARIAS </t>
  </si>
  <si>
    <t>JR. BUENOS AIRES N°295</t>
  </si>
  <si>
    <t>PA-50244-BF</t>
  </si>
  <si>
    <t>JULIO CESAR - B</t>
  </si>
  <si>
    <t>116134-063-090815</t>
  </si>
  <si>
    <t xml:space="preserve">LIZBETH ZAPATA CUSHICHINARI </t>
  </si>
  <si>
    <t>JR. IQUITOS S/N</t>
  </si>
  <si>
    <t>PA-42024-BF</t>
  </si>
  <si>
    <t>MAR Y CIELO II</t>
  </si>
  <si>
    <t>125088-063-280918</t>
  </si>
  <si>
    <t>SERVICENTRO VILUSSA S.A.C.</t>
  </si>
  <si>
    <t>AV. JOSE A. QUIÑONEZ KM 4.5</t>
  </si>
  <si>
    <t>YU-42544-BF</t>
  </si>
  <si>
    <t>MOBIDICK</t>
  </si>
  <si>
    <t>TEODORO VILCA ACHO</t>
  </si>
  <si>
    <t>120484-063-050516</t>
  </si>
  <si>
    <t>IQ45585-AF</t>
  </si>
  <si>
    <t>ERIKA II</t>
  </si>
  <si>
    <t>DIESEL B5, Diesel B5 S-50, GASOLINAS PARA USO AUTOMOTOR, PETROLEO CRUDO, PETRÓLEOS INDUSTRIALES</t>
  </si>
  <si>
    <t>MARIO CÉSAR DA COSTA MANZUR E.I.R.L.</t>
  </si>
  <si>
    <t>IQ-1241-AF</t>
  </si>
  <si>
    <t>133841-063-050118</t>
  </si>
  <si>
    <t>PA-23256-MF</t>
  </si>
  <si>
    <t>PACIFICO IV</t>
  </si>
  <si>
    <t>DIESEL BX, DIESEL B5, GASOLINA 84, GASOLINA 90, GASOLINA 95, PETROLEO CRUDO, SOLVENTES, TURBO A-1</t>
  </si>
  <si>
    <t>0001-BZCL-07-2004</t>
  </si>
  <si>
    <t>CISTERNAS MARITIMAS S.R.L. - SAM-1</t>
  </si>
  <si>
    <t>JR. TITICACA N° 121 - CHUCUITO</t>
  </si>
  <si>
    <t>CO-9966-EM</t>
  </si>
  <si>
    <t>122300-063-240816</t>
  </si>
  <si>
    <t>INVERSIONES FORESTALES N Y S E.I.R.L</t>
  </si>
  <si>
    <t>JR.LOS CIPRECES MZ.A-185 LT.02</t>
  </si>
  <si>
    <t>PA-15720-MF</t>
  </si>
  <si>
    <t>SAHID II</t>
  </si>
  <si>
    <t>FERNANDO GRANDEZ ZARATE</t>
  </si>
  <si>
    <t>148963-063-310120</t>
  </si>
  <si>
    <t>TRANSROMER E.I.R.L.</t>
  </si>
  <si>
    <t>AV. LA MARINA N° 37</t>
  </si>
  <si>
    <t>IQ-61948-BF</t>
  </si>
  <si>
    <t>TRANSROMER II</t>
  </si>
  <si>
    <t>JHEAN ROMER TAPULLIMA MEZA</t>
  </si>
  <si>
    <t>133277-063-131217</t>
  </si>
  <si>
    <t>IQ-10098-AF</t>
  </si>
  <si>
    <t>NAVISA IV</t>
  </si>
  <si>
    <t>118467-063-110116</t>
  </si>
  <si>
    <t>PA-29578-MF</t>
  </si>
  <si>
    <t>MF/ BRANDO II</t>
  </si>
  <si>
    <t>IQ-8613-AF</t>
  </si>
  <si>
    <t>116261-063-090815</t>
  </si>
  <si>
    <t xml:space="preserve">SILVIA JHAJAIRA PAREDES ACHING </t>
  </si>
  <si>
    <t>JR. CESAR CALVO DE ARAUJO 796</t>
  </si>
  <si>
    <t>PA-41847-BF</t>
  </si>
  <si>
    <t>THAYSI</t>
  </si>
  <si>
    <t>SILVIA JHAJAIRA PAREDES ACHING</t>
  </si>
  <si>
    <t>117998-063-171115</t>
  </si>
  <si>
    <t>PA-50045-BF</t>
  </si>
  <si>
    <t>S.G.A. III</t>
  </si>
  <si>
    <t>0001-BZCL-25-2006</t>
  </si>
  <si>
    <t xml:space="preserve">JR. RÍMAC N° 124 </t>
  </si>
  <si>
    <t>PA-23113-AF</t>
  </si>
  <si>
    <t>0003-BZCL-16-2003</t>
  </si>
  <si>
    <t>JR. RAMIREZ HURTADO N° 712</t>
  </si>
  <si>
    <t>IQ-008902</t>
  </si>
  <si>
    <t>97851-063-090915</t>
  </si>
  <si>
    <t>JR. YAVARI 363 INTERIOR 20</t>
  </si>
  <si>
    <t>PA-29664-MF</t>
  </si>
  <si>
    <t>ANDREA ISIDORA</t>
  </si>
  <si>
    <t>DIESEL, GASOLINAS PARA USO AUTOMOTOR, NAFTA, PETROLEO CRUDO, PETRÓLEOS INDUSTRIALES, TURBO JP-1</t>
  </si>
  <si>
    <t>96641-063-080713</t>
  </si>
  <si>
    <t>IMO-9293985</t>
  </si>
  <si>
    <t>URUBAMBA</t>
  </si>
  <si>
    <t xml:space="preserve">DIEGO ALBERTO FLOREZ ROGGERO </t>
  </si>
  <si>
    <t>104057-063-300913</t>
  </si>
  <si>
    <t>AV. MANUEL OLGUIN N° 501 PISO 12 EDIFICIO MACROS</t>
  </si>
  <si>
    <t>IMO-9369875</t>
  </si>
  <si>
    <t>MANTARO</t>
  </si>
  <si>
    <t>DIEGO FLORES ROGGERO</t>
  </si>
  <si>
    <t>118000-063-171115</t>
  </si>
  <si>
    <t>PA-50044-BF</t>
  </si>
  <si>
    <t>S.G.A. II</t>
  </si>
  <si>
    <t>136070-063-100518</t>
  </si>
  <si>
    <t>PA-29665-MF</t>
  </si>
  <si>
    <t>CONTA II</t>
  </si>
  <si>
    <t>GLP - E</t>
  </si>
  <si>
    <t>41075-063-160917</t>
  </si>
  <si>
    <t>IQ-08510-MF</t>
  </si>
  <si>
    <t>DON NICO</t>
  </si>
  <si>
    <t>Cilindros de 10 Kg de GLP, Cilindros de 15 Kg de GLP, Cilindros de 3 Kg de GLP, Cilindros de 45 Kg de GLP, Cilindros de 5 Kg de GLP, GLP ENVASADO</t>
  </si>
  <si>
    <t>FRANCISCO ANTONIO CACERES ALIAGA</t>
  </si>
  <si>
    <t>145667-063-080819</t>
  </si>
  <si>
    <t>IQ-62051-AF</t>
  </si>
  <si>
    <t>M Y J VII</t>
  </si>
  <si>
    <t>117017-063-140915</t>
  </si>
  <si>
    <t xml:space="preserve">EMPRESA SEGAKIATO S.A.C. </t>
  </si>
  <si>
    <t>PA-42097-MF</t>
  </si>
  <si>
    <t>MAQUISAPA II</t>
  </si>
  <si>
    <t>0009-BZCL-16-2009</t>
  </si>
  <si>
    <t>FLOR DE MARIA FLORES DE COLOME</t>
  </si>
  <si>
    <t>AV. LA MARINA KM. 1.5</t>
  </si>
  <si>
    <t>IQ-29357-MF</t>
  </si>
  <si>
    <t>117018-063-140915</t>
  </si>
  <si>
    <t>EMPRESA SEGAKIATO S.A.C.</t>
  </si>
  <si>
    <t>PA-42098-MEF</t>
  </si>
  <si>
    <t>MAQUISAPA I</t>
  </si>
  <si>
    <t>145189-063-110719</t>
  </si>
  <si>
    <t>PA-62030-MF</t>
  </si>
  <si>
    <t>CIELITO I</t>
  </si>
  <si>
    <t>135717-063-140718</t>
  </si>
  <si>
    <t>TROPICAL GAS E.I.R.L.</t>
  </si>
  <si>
    <t>AV. QUIÑONES KM. 5</t>
  </si>
  <si>
    <t>IQ-43782-MF</t>
  </si>
  <si>
    <t>TROPICAL GAS I</t>
  </si>
  <si>
    <t>FEDERICO MARCELO HUERTA TORRE</t>
  </si>
  <si>
    <t>0001-BZCL-16-2008</t>
  </si>
  <si>
    <t>M&amp;G GABRIELA SERVICIOS GENERALES S.R.L.</t>
  </si>
  <si>
    <t>CALLE CELENDIN 624</t>
  </si>
  <si>
    <t>PA-28478-MF</t>
  </si>
  <si>
    <t>117997-063-131115</t>
  </si>
  <si>
    <t>PA-50046-BF</t>
  </si>
  <si>
    <t>S.G.A. IV</t>
  </si>
  <si>
    <t>IQ-8609-AF</t>
  </si>
  <si>
    <t>107792-063-250214</t>
  </si>
  <si>
    <t>CALLE FITZCARRAL 225</t>
  </si>
  <si>
    <t>IQ-50094-AF</t>
  </si>
  <si>
    <t>A/F CURARAY 5</t>
  </si>
  <si>
    <t>117132-063-130519</t>
  </si>
  <si>
    <t xml:space="preserve">EMPRESA DE TRANSPOTE FLUVIAL "ACG" E.I.R.L. </t>
  </si>
  <si>
    <t xml:space="preserve">PUERTO ROCHA- RIO UCAYALI </t>
  </si>
  <si>
    <t>PA-43907-MF</t>
  </si>
  <si>
    <t>ACG</t>
  </si>
  <si>
    <t>ALEX CORRALES GORDILLO</t>
  </si>
  <si>
    <t>13266-063-240913</t>
  </si>
  <si>
    <t>IQ-7938-AF</t>
  </si>
  <si>
    <t>LASA-12</t>
  </si>
  <si>
    <t>108130-063-110314</t>
  </si>
  <si>
    <t>SERVICIOS Y TRANSPORTES AARON E.I.R.L.</t>
  </si>
  <si>
    <t>AV. LA MARINA Nº 486</t>
  </si>
  <si>
    <t>IQ-43594-MF</t>
  </si>
  <si>
    <t>M/F ELOI ELOI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</si>
</sst>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4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13.8515625" style="0" customWidth="1"/>
    <col min="3" max="3" width="19.421875" style="0" bestFit="1" customWidth="1"/>
    <col min="4" max="4" width="17.140625" style="0" bestFit="1" customWidth="1"/>
    <col min="5" max="5" width="11.8515625" style="0" bestFit="1" customWidth="1"/>
    <col min="6" max="7" width="44.8515625" style="0" bestFit="1" customWidth="1"/>
    <col min="8" max="8" width="23.140625" style="0" bestFit="1" customWidth="1"/>
    <col min="9" max="9" width="24.7109375" style="0" bestFit="1" customWidth="1"/>
    <col min="10" max="10" width="18.57421875" style="0" bestFit="1" customWidth="1"/>
    <col min="11" max="11" width="15.140625" style="0" bestFit="1" customWidth="1"/>
    <col min="12" max="12" width="32.140625" style="0" bestFit="1" customWidth="1"/>
    <col min="13" max="14" width="44.8515625" style="0" bestFit="1" customWidth="1"/>
    <col min="15" max="15" width="10.8515625" style="0" customWidth="1"/>
    <col min="16" max="16" width="15.28125" style="0" bestFit="1" customWidth="1"/>
    <col min="17" max="17" width="12.140625" style="0" bestFit="1" customWidth="1"/>
    <col min="18" max="18" width="20.421875" style="0" bestFit="1" customWidth="1"/>
    <col min="19" max="19" width="42.140625" style="0" bestFit="1" customWidth="1"/>
  </cols>
  <sheetData>
    <row r="2" spans="1:19" ht="13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6" spans="1:19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</row>
    <row r="7" spans="1:19" ht="13.5">
      <c r="A7" s="3">
        <v>1</v>
      </c>
      <c r="B7" s="3" t="str">
        <f>"1512264"</f>
        <v>1512264</v>
      </c>
      <c r="C7" s="3">
        <v>90606</v>
      </c>
      <c r="D7" s="3" t="s">
        <v>20</v>
      </c>
      <c r="E7" s="3">
        <v>10053351340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/>
      <c r="O7" s="3">
        <v>170857</v>
      </c>
      <c r="P7" s="3" t="s">
        <v>29</v>
      </c>
      <c r="Q7" s="4">
        <v>40865</v>
      </c>
      <c r="R7" s="3" t="s">
        <v>30</v>
      </c>
      <c r="S7" s="3" t="s">
        <v>21</v>
      </c>
    </row>
    <row r="8" spans="1:19" ht="13.5">
      <c r="A8" s="3">
        <v>2</v>
      </c>
      <c r="B8" s="3" t="str">
        <f>"201900018085"</f>
        <v>201900018085</v>
      </c>
      <c r="C8" s="3">
        <v>141116</v>
      </c>
      <c r="D8" s="3" t="s">
        <v>31</v>
      </c>
      <c r="E8" s="3">
        <v>10427258080</v>
      </c>
      <c r="F8" s="3" t="s">
        <v>32</v>
      </c>
      <c r="G8" s="3" t="s">
        <v>33</v>
      </c>
      <c r="H8" s="3" t="s">
        <v>23</v>
      </c>
      <c r="I8" s="3" t="s">
        <v>34</v>
      </c>
      <c r="J8" s="3" t="s">
        <v>35</v>
      </c>
      <c r="K8" s="3" t="s">
        <v>36</v>
      </c>
      <c r="L8" s="3" t="s">
        <v>37</v>
      </c>
      <c r="M8" s="3" t="s">
        <v>38</v>
      </c>
      <c r="N8" s="3" t="s">
        <v>39</v>
      </c>
      <c r="O8" s="3">
        <v>5500</v>
      </c>
      <c r="P8" s="3" t="s">
        <v>29</v>
      </c>
      <c r="Q8" s="4">
        <v>43515</v>
      </c>
      <c r="R8" s="3" t="s">
        <v>30</v>
      </c>
      <c r="S8" s="3" t="s">
        <v>32</v>
      </c>
    </row>
    <row r="9" spans="1:19" ht="13.5">
      <c r="A9" s="3">
        <v>3</v>
      </c>
      <c r="B9" s="3" t="str">
        <f>"1358739"</f>
        <v>1358739</v>
      </c>
      <c r="C9" s="3">
        <v>21783</v>
      </c>
      <c r="D9" s="3" t="s">
        <v>40</v>
      </c>
      <c r="E9" s="3">
        <v>20103808121</v>
      </c>
      <c r="F9" s="3" t="s">
        <v>41</v>
      </c>
      <c r="G9" s="3" t="s">
        <v>42</v>
      </c>
      <c r="H9" s="3" t="s">
        <v>23</v>
      </c>
      <c r="I9" s="3" t="s">
        <v>24</v>
      </c>
      <c r="J9" s="3" t="s">
        <v>43</v>
      </c>
      <c r="K9" s="3" t="s">
        <v>44</v>
      </c>
      <c r="L9" s="3"/>
      <c r="M9" s="3"/>
      <c r="N9" s="3"/>
      <c r="O9" s="3">
        <v>221767</v>
      </c>
      <c r="P9" s="3" t="s">
        <v>29</v>
      </c>
      <c r="Q9" s="4">
        <v>37370</v>
      </c>
      <c r="R9" s="3" t="s">
        <v>30</v>
      </c>
      <c r="S9" s="3"/>
    </row>
    <row r="10" spans="1:19" ht="13.5">
      <c r="A10" s="3">
        <v>4</v>
      </c>
      <c r="B10" s="3" t="str">
        <f>"201400014329"</f>
        <v>201400014329</v>
      </c>
      <c r="C10" s="3">
        <v>107817</v>
      </c>
      <c r="D10" s="3" t="s">
        <v>45</v>
      </c>
      <c r="E10" s="3">
        <v>20103912297</v>
      </c>
      <c r="F10" s="3" t="s">
        <v>46</v>
      </c>
      <c r="G10" s="3" t="s">
        <v>47</v>
      </c>
      <c r="H10" s="3" t="s">
        <v>23</v>
      </c>
      <c r="I10" s="3" t="s">
        <v>24</v>
      </c>
      <c r="J10" s="3" t="s">
        <v>43</v>
      </c>
      <c r="K10" s="3" t="s">
        <v>48</v>
      </c>
      <c r="L10" s="3" t="s">
        <v>49</v>
      </c>
      <c r="M10" s="3" t="s">
        <v>50</v>
      </c>
      <c r="N10" s="3"/>
      <c r="O10" s="3">
        <v>358870</v>
      </c>
      <c r="P10" s="3" t="s">
        <v>29</v>
      </c>
      <c r="Q10" s="4">
        <v>41717</v>
      </c>
      <c r="R10" s="3" t="s">
        <v>30</v>
      </c>
      <c r="S10" s="3" t="s">
        <v>51</v>
      </c>
    </row>
    <row r="11" spans="1:19" ht="27.75">
      <c r="A11" s="3">
        <v>5</v>
      </c>
      <c r="B11" s="3" t="str">
        <f>"201900198118"</f>
        <v>201900198118</v>
      </c>
      <c r="C11" s="3">
        <v>121664</v>
      </c>
      <c r="D11" s="3" t="s">
        <v>52</v>
      </c>
      <c r="E11" s="3">
        <v>20280300021</v>
      </c>
      <c r="F11" s="3" t="s">
        <v>53</v>
      </c>
      <c r="G11" s="3" t="s">
        <v>54</v>
      </c>
      <c r="H11" s="3" t="s">
        <v>23</v>
      </c>
      <c r="I11" s="3" t="s">
        <v>24</v>
      </c>
      <c r="J11" s="3" t="s">
        <v>25</v>
      </c>
      <c r="K11" s="3" t="s">
        <v>55</v>
      </c>
      <c r="L11" s="3" t="s">
        <v>56</v>
      </c>
      <c r="M11" s="3" t="s">
        <v>50</v>
      </c>
      <c r="N11" s="3" t="s">
        <v>57</v>
      </c>
      <c r="O11" s="3">
        <v>521150</v>
      </c>
      <c r="P11" s="3" t="s">
        <v>29</v>
      </c>
      <c r="Q11" s="4">
        <v>43808</v>
      </c>
      <c r="R11" s="3" t="s">
        <v>30</v>
      </c>
      <c r="S11" s="3" t="s">
        <v>58</v>
      </c>
    </row>
    <row r="12" spans="1:19" ht="27.75">
      <c r="A12" s="3">
        <v>6</v>
      </c>
      <c r="B12" s="3" t="str">
        <f>"201500137005"</f>
        <v>201500137005</v>
      </c>
      <c r="C12" s="3">
        <v>117991</v>
      </c>
      <c r="D12" s="3" t="s">
        <v>59</v>
      </c>
      <c r="E12" s="3">
        <v>20493368614</v>
      </c>
      <c r="F12" s="3" t="s">
        <v>60</v>
      </c>
      <c r="G12" s="3" t="s">
        <v>61</v>
      </c>
      <c r="H12" s="3" t="s">
        <v>23</v>
      </c>
      <c r="I12" s="3" t="s">
        <v>24</v>
      </c>
      <c r="J12" s="3" t="s">
        <v>43</v>
      </c>
      <c r="K12" s="3" t="s">
        <v>62</v>
      </c>
      <c r="L12" s="3" t="s">
        <v>63</v>
      </c>
      <c r="M12" s="3" t="s">
        <v>64</v>
      </c>
      <c r="N12" s="3" t="s">
        <v>65</v>
      </c>
      <c r="O12" s="3">
        <v>1500</v>
      </c>
      <c r="P12" s="3" t="s">
        <v>29</v>
      </c>
      <c r="Q12" s="4">
        <v>42327</v>
      </c>
      <c r="R12" s="3" t="s">
        <v>30</v>
      </c>
      <c r="S12" s="3" t="s">
        <v>66</v>
      </c>
    </row>
    <row r="13" spans="1:19" ht="13.5">
      <c r="A13" s="3">
        <v>7</v>
      </c>
      <c r="B13" s="3" t="str">
        <f>"201800012323"</f>
        <v>201800012323</v>
      </c>
      <c r="C13" s="3">
        <v>134183</v>
      </c>
      <c r="D13" s="3" t="s">
        <v>67</v>
      </c>
      <c r="E13" s="3">
        <v>20393443783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73</v>
      </c>
      <c r="L13" s="3" t="s">
        <v>74</v>
      </c>
      <c r="M13" s="3" t="s">
        <v>75</v>
      </c>
      <c r="N13" s="3" t="s">
        <v>76</v>
      </c>
      <c r="O13" s="3">
        <v>6750</v>
      </c>
      <c r="P13" s="3" t="s">
        <v>29</v>
      </c>
      <c r="Q13" s="4">
        <v>43139</v>
      </c>
      <c r="R13" s="3" t="s">
        <v>30</v>
      </c>
      <c r="S13" s="3" t="s">
        <v>77</v>
      </c>
    </row>
    <row r="14" spans="1:19" ht="27.75">
      <c r="A14" s="3">
        <v>8</v>
      </c>
      <c r="B14" s="3" t="str">
        <f>"201900095158"</f>
        <v>201900095158</v>
      </c>
      <c r="C14" s="3">
        <v>95495</v>
      </c>
      <c r="D14" s="3" t="s">
        <v>78</v>
      </c>
      <c r="E14" s="3">
        <v>20541257048</v>
      </c>
      <c r="F14" s="3" t="s">
        <v>79</v>
      </c>
      <c r="G14" s="3" t="s">
        <v>80</v>
      </c>
      <c r="H14" s="3" t="s">
        <v>23</v>
      </c>
      <c r="I14" s="3" t="s">
        <v>24</v>
      </c>
      <c r="J14" s="3" t="s">
        <v>25</v>
      </c>
      <c r="K14" s="3" t="s">
        <v>81</v>
      </c>
      <c r="L14" s="3" t="s">
        <v>82</v>
      </c>
      <c r="M14" s="3" t="s">
        <v>83</v>
      </c>
      <c r="N14" s="3" t="s">
        <v>84</v>
      </c>
      <c r="O14" s="3">
        <v>60112</v>
      </c>
      <c r="P14" s="3" t="s">
        <v>29</v>
      </c>
      <c r="Q14" s="4">
        <v>43637</v>
      </c>
      <c r="R14" s="3" t="s">
        <v>30</v>
      </c>
      <c r="S14" s="3" t="s">
        <v>85</v>
      </c>
    </row>
    <row r="15" spans="1:19" ht="27.75">
      <c r="A15" s="3">
        <v>9</v>
      </c>
      <c r="B15" s="3" t="str">
        <f>"201500149463"</f>
        <v>201500149463</v>
      </c>
      <c r="C15" s="3">
        <v>116490</v>
      </c>
      <c r="D15" s="3" t="s">
        <v>86</v>
      </c>
      <c r="E15" s="3">
        <v>10211479774</v>
      </c>
      <c r="F15" s="3" t="s">
        <v>87</v>
      </c>
      <c r="G15" s="3" t="s">
        <v>88</v>
      </c>
      <c r="H15" s="3" t="s">
        <v>70</v>
      </c>
      <c r="I15" s="3" t="s">
        <v>89</v>
      </c>
      <c r="J15" s="3" t="s">
        <v>90</v>
      </c>
      <c r="K15" s="3" t="s">
        <v>91</v>
      </c>
      <c r="L15" s="3" t="s">
        <v>92</v>
      </c>
      <c r="M15" s="3" t="s">
        <v>93</v>
      </c>
      <c r="N15" s="3" t="s">
        <v>94</v>
      </c>
      <c r="O15" s="3">
        <v>3500</v>
      </c>
      <c r="P15" s="3" t="s">
        <v>29</v>
      </c>
      <c r="Q15" s="4">
        <v>42367</v>
      </c>
      <c r="R15" s="3" t="s">
        <v>30</v>
      </c>
      <c r="S15" s="3" t="s">
        <v>87</v>
      </c>
    </row>
    <row r="16" spans="1:19" ht="13.5">
      <c r="A16" s="3">
        <v>10</v>
      </c>
      <c r="B16" s="3" t="str">
        <f>"201400165544"</f>
        <v>201400165544</v>
      </c>
      <c r="C16" s="3">
        <v>112966</v>
      </c>
      <c r="D16" s="3" t="s">
        <v>95</v>
      </c>
      <c r="E16" s="3">
        <v>20528229477</v>
      </c>
      <c r="F16" s="3" t="s">
        <v>96</v>
      </c>
      <c r="G16" s="3" t="s">
        <v>97</v>
      </c>
      <c r="H16" s="3" t="s">
        <v>23</v>
      </c>
      <c r="I16" s="3" t="s">
        <v>24</v>
      </c>
      <c r="J16" s="3" t="s">
        <v>25</v>
      </c>
      <c r="K16" s="3" t="s">
        <v>98</v>
      </c>
      <c r="L16" s="3" t="s">
        <v>99</v>
      </c>
      <c r="M16" s="3" t="s">
        <v>100</v>
      </c>
      <c r="N16" s="3" t="s">
        <v>101</v>
      </c>
      <c r="O16" s="3">
        <v>19152</v>
      </c>
      <c r="P16" s="3" t="s">
        <v>29</v>
      </c>
      <c r="Q16" s="4">
        <v>42072</v>
      </c>
      <c r="R16" s="3" t="s">
        <v>30</v>
      </c>
      <c r="S16" s="3" t="s">
        <v>102</v>
      </c>
    </row>
    <row r="17" spans="1:19" ht="27.75">
      <c r="A17" s="3">
        <v>11</v>
      </c>
      <c r="B17" s="3" t="str">
        <f>"201500137010"</f>
        <v>201500137010</v>
      </c>
      <c r="C17" s="3">
        <v>117992</v>
      </c>
      <c r="D17" s="3" t="s">
        <v>103</v>
      </c>
      <c r="E17" s="3">
        <v>20493368614</v>
      </c>
      <c r="F17" s="3" t="s">
        <v>60</v>
      </c>
      <c r="G17" s="3" t="s">
        <v>61</v>
      </c>
      <c r="H17" s="3" t="s">
        <v>23</v>
      </c>
      <c r="I17" s="3" t="s">
        <v>24</v>
      </c>
      <c r="J17" s="3" t="s">
        <v>43</v>
      </c>
      <c r="K17" s="3" t="s">
        <v>104</v>
      </c>
      <c r="L17" s="3" t="s">
        <v>105</v>
      </c>
      <c r="M17" s="3" t="s">
        <v>64</v>
      </c>
      <c r="N17" s="3" t="s">
        <v>65</v>
      </c>
      <c r="O17" s="3">
        <v>1500</v>
      </c>
      <c r="P17" s="3" t="s">
        <v>29</v>
      </c>
      <c r="Q17" s="4">
        <v>42320</v>
      </c>
      <c r="R17" s="3" t="s">
        <v>30</v>
      </c>
      <c r="S17" s="3" t="s">
        <v>66</v>
      </c>
    </row>
    <row r="18" spans="1:19" ht="13.5">
      <c r="A18" s="3">
        <v>12</v>
      </c>
      <c r="B18" s="3" t="str">
        <f>"1866734"</f>
        <v>1866734</v>
      </c>
      <c r="C18" s="3">
        <v>82860</v>
      </c>
      <c r="D18" s="3" t="s">
        <v>106</v>
      </c>
      <c r="E18" s="3">
        <v>20103808121</v>
      </c>
      <c r="F18" s="3" t="s">
        <v>107</v>
      </c>
      <c r="G18" s="3" t="s">
        <v>108</v>
      </c>
      <c r="H18" s="3" t="s">
        <v>23</v>
      </c>
      <c r="I18" s="3" t="s">
        <v>24</v>
      </c>
      <c r="J18" s="3" t="s">
        <v>43</v>
      </c>
      <c r="K18" s="3" t="s">
        <v>109</v>
      </c>
      <c r="L18" s="3"/>
      <c r="M18" s="3"/>
      <c r="N18" s="3"/>
      <c r="O18" s="3">
        <v>74944</v>
      </c>
      <c r="P18" s="3" t="s">
        <v>29</v>
      </c>
      <c r="Q18" s="4">
        <v>39876</v>
      </c>
      <c r="R18" s="3" t="s">
        <v>30</v>
      </c>
      <c r="S18" s="3"/>
    </row>
    <row r="19" spans="1:19" ht="13.5">
      <c r="A19" s="3">
        <v>13</v>
      </c>
      <c r="B19" s="3" t="str">
        <f>"201400003154"</f>
        <v>201400003154</v>
      </c>
      <c r="C19" s="3">
        <v>107429</v>
      </c>
      <c r="D19" s="3" t="s">
        <v>110</v>
      </c>
      <c r="E19" s="3">
        <v>20528464042</v>
      </c>
      <c r="F19" s="3" t="s">
        <v>111</v>
      </c>
      <c r="G19" s="3" t="s">
        <v>112</v>
      </c>
      <c r="H19" s="3" t="s">
        <v>23</v>
      </c>
      <c r="I19" s="3" t="s">
        <v>24</v>
      </c>
      <c r="J19" s="3" t="s">
        <v>43</v>
      </c>
      <c r="K19" s="3" t="s">
        <v>113</v>
      </c>
      <c r="L19" s="3" t="s">
        <v>114</v>
      </c>
      <c r="M19" s="3" t="s">
        <v>50</v>
      </c>
      <c r="N19" s="3" t="s">
        <v>115</v>
      </c>
      <c r="O19" s="3">
        <v>497836</v>
      </c>
      <c r="P19" s="3" t="s">
        <v>29</v>
      </c>
      <c r="Q19" s="4">
        <v>41684</v>
      </c>
      <c r="R19" s="3" t="s">
        <v>30</v>
      </c>
      <c r="S19" s="3" t="s">
        <v>116</v>
      </c>
    </row>
    <row r="20" spans="1:19" ht="27.75">
      <c r="A20" s="3">
        <v>14</v>
      </c>
      <c r="B20" s="3" t="str">
        <f>"201500094696"</f>
        <v>201500094696</v>
      </c>
      <c r="C20" s="3">
        <v>116493</v>
      </c>
      <c r="D20" s="3" t="s">
        <v>117</v>
      </c>
      <c r="E20" s="3">
        <v>10076291930</v>
      </c>
      <c r="F20" s="3" t="s">
        <v>118</v>
      </c>
      <c r="G20" s="3" t="s">
        <v>119</v>
      </c>
      <c r="H20" s="3" t="s">
        <v>70</v>
      </c>
      <c r="I20" s="3" t="s">
        <v>89</v>
      </c>
      <c r="J20" s="3" t="s">
        <v>90</v>
      </c>
      <c r="K20" s="3" t="s">
        <v>120</v>
      </c>
      <c r="L20" s="3" t="s">
        <v>121</v>
      </c>
      <c r="M20" s="3" t="s">
        <v>93</v>
      </c>
      <c r="N20" s="3" t="s">
        <v>122</v>
      </c>
      <c r="O20" s="3">
        <v>1500</v>
      </c>
      <c r="P20" s="3" t="s">
        <v>29</v>
      </c>
      <c r="Q20" s="4">
        <v>42222</v>
      </c>
      <c r="R20" s="3" t="s">
        <v>30</v>
      </c>
      <c r="S20" s="3" t="s">
        <v>118</v>
      </c>
    </row>
    <row r="21" spans="1:19" ht="27.75">
      <c r="A21" s="3">
        <v>15</v>
      </c>
      <c r="B21" s="3" t="str">
        <f>"201900057989"</f>
        <v>201900057989</v>
      </c>
      <c r="C21" s="3">
        <v>113590</v>
      </c>
      <c r="D21" s="3" t="s">
        <v>123</v>
      </c>
      <c r="E21" s="3">
        <v>20103808121</v>
      </c>
      <c r="F21" s="3" t="s">
        <v>124</v>
      </c>
      <c r="G21" s="3" t="s">
        <v>125</v>
      </c>
      <c r="H21" s="3" t="s">
        <v>23</v>
      </c>
      <c r="I21" s="3" t="s">
        <v>24</v>
      </c>
      <c r="J21" s="3" t="s">
        <v>25</v>
      </c>
      <c r="K21" s="3" t="s">
        <v>126</v>
      </c>
      <c r="L21" s="3" t="s">
        <v>127</v>
      </c>
      <c r="M21" s="3" t="s">
        <v>75</v>
      </c>
      <c r="N21" s="3" t="s">
        <v>128</v>
      </c>
      <c r="O21" s="3">
        <v>339360</v>
      </c>
      <c r="P21" s="3" t="s">
        <v>29</v>
      </c>
      <c r="Q21" s="4">
        <v>43568</v>
      </c>
      <c r="R21" s="3" t="s">
        <v>30</v>
      </c>
      <c r="S21" s="3" t="s">
        <v>129</v>
      </c>
    </row>
    <row r="22" spans="1:19" ht="13.5">
      <c r="A22" s="3">
        <v>16</v>
      </c>
      <c r="B22" s="3" t="str">
        <f>"201800161190"</f>
        <v>201800161190</v>
      </c>
      <c r="C22" s="3">
        <v>138911</v>
      </c>
      <c r="D22" s="3" t="s">
        <v>130</v>
      </c>
      <c r="E22" s="3">
        <v>20394006697</v>
      </c>
      <c r="F22" s="3" t="s">
        <v>131</v>
      </c>
      <c r="G22" s="3" t="s">
        <v>132</v>
      </c>
      <c r="H22" s="3" t="s">
        <v>23</v>
      </c>
      <c r="I22" s="3" t="s">
        <v>70</v>
      </c>
      <c r="J22" s="3" t="s">
        <v>133</v>
      </c>
      <c r="K22" s="3" t="s">
        <v>134</v>
      </c>
      <c r="L22" s="3" t="s">
        <v>135</v>
      </c>
      <c r="M22" s="3" t="s">
        <v>75</v>
      </c>
      <c r="N22" s="3" t="s">
        <v>136</v>
      </c>
      <c r="O22" s="3">
        <v>13200</v>
      </c>
      <c r="P22" s="3" t="s">
        <v>29</v>
      </c>
      <c r="Q22" s="4">
        <v>43378</v>
      </c>
      <c r="R22" s="3" t="s">
        <v>30</v>
      </c>
      <c r="S22" s="3" t="s">
        <v>137</v>
      </c>
    </row>
    <row r="23" spans="1:19" ht="42">
      <c r="A23" s="3">
        <v>17</v>
      </c>
      <c r="B23" s="3" t="str">
        <f>"202000036302"</f>
        <v>202000036302</v>
      </c>
      <c r="C23" s="3">
        <v>85301</v>
      </c>
      <c r="D23" s="3" t="s">
        <v>138</v>
      </c>
      <c r="E23" s="3">
        <v>20280300021</v>
      </c>
      <c r="F23" s="3" t="s">
        <v>139</v>
      </c>
      <c r="G23" s="3" t="s">
        <v>140</v>
      </c>
      <c r="H23" s="3" t="s">
        <v>23</v>
      </c>
      <c r="I23" s="3" t="s">
        <v>24</v>
      </c>
      <c r="J23" s="3" t="s">
        <v>25</v>
      </c>
      <c r="K23" s="3" t="s">
        <v>141</v>
      </c>
      <c r="L23" s="3" t="s">
        <v>142</v>
      </c>
      <c r="M23" s="3" t="s">
        <v>50</v>
      </c>
      <c r="N23" s="3" t="s">
        <v>143</v>
      </c>
      <c r="O23" s="3">
        <v>151715</v>
      </c>
      <c r="P23" s="3" t="s">
        <v>29</v>
      </c>
      <c r="Q23" s="4">
        <v>43892</v>
      </c>
      <c r="R23" s="3" t="s">
        <v>30</v>
      </c>
      <c r="S23" s="3" t="s">
        <v>58</v>
      </c>
    </row>
    <row r="24" spans="1:19" ht="27.75">
      <c r="A24" s="3">
        <v>18</v>
      </c>
      <c r="B24" s="3" t="str">
        <f>"201900057985"</f>
        <v>201900057985</v>
      </c>
      <c r="C24" s="3">
        <v>83545</v>
      </c>
      <c r="D24" s="3" t="s">
        <v>144</v>
      </c>
      <c r="E24" s="3">
        <v>20541294831</v>
      </c>
      <c r="F24" s="3" t="s">
        <v>124</v>
      </c>
      <c r="G24" s="3" t="s">
        <v>145</v>
      </c>
      <c r="H24" s="3" t="s">
        <v>23</v>
      </c>
      <c r="I24" s="3" t="s">
        <v>24</v>
      </c>
      <c r="J24" s="3" t="s">
        <v>25</v>
      </c>
      <c r="K24" s="3" t="s">
        <v>146</v>
      </c>
      <c r="L24" s="3" t="s">
        <v>147</v>
      </c>
      <c r="M24" s="3" t="s">
        <v>148</v>
      </c>
      <c r="N24" s="3" t="s">
        <v>149</v>
      </c>
      <c r="O24" s="3">
        <v>74752</v>
      </c>
      <c r="P24" s="3" t="s">
        <v>29</v>
      </c>
      <c r="Q24" s="4">
        <v>43571</v>
      </c>
      <c r="R24" s="3" t="s">
        <v>30</v>
      </c>
      <c r="S24" s="3" t="s">
        <v>129</v>
      </c>
    </row>
    <row r="25" spans="1:19" ht="13.5">
      <c r="A25" s="3">
        <v>19</v>
      </c>
      <c r="B25" s="3" t="str">
        <f>"201400165549"</f>
        <v>201400165549</v>
      </c>
      <c r="C25" s="3">
        <v>112967</v>
      </c>
      <c r="D25" s="3" t="s">
        <v>150</v>
      </c>
      <c r="E25" s="3">
        <v>10059578273</v>
      </c>
      <c r="F25" s="3" t="s">
        <v>151</v>
      </c>
      <c r="G25" s="3" t="s">
        <v>152</v>
      </c>
      <c r="H25" s="3" t="s">
        <v>70</v>
      </c>
      <c r="I25" s="3" t="s">
        <v>71</v>
      </c>
      <c r="J25" s="3" t="s">
        <v>72</v>
      </c>
      <c r="K25" s="3" t="s">
        <v>153</v>
      </c>
      <c r="L25" s="3" t="s">
        <v>154</v>
      </c>
      <c r="M25" s="3" t="s">
        <v>75</v>
      </c>
      <c r="N25" s="3" t="s">
        <v>155</v>
      </c>
      <c r="O25" s="3">
        <v>22000</v>
      </c>
      <c r="P25" s="3" t="s">
        <v>29</v>
      </c>
      <c r="Q25" s="4">
        <v>42073</v>
      </c>
      <c r="R25" s="3" t="s">
        <v>30</v>
      </c>
      <c r="S25" s="3" t="s">
        <v>151</v>
      </c>
    </row>
    <row r="26" spans="1:19" ht="13.5">
      <c r="A26" s="3">
        <v>20</v>
      </c>
      <c r="B26" s="3" t="str">
        <f>"202000046631"</f>
        <v>202000046631</v>
      </c>
      <c r="C26" s="3">
        <v>104431</v>
      </c>
      <c r="D26" s="3" t="s">
        <v>156</v>
      </c>
      <c r="E26" s="3">
        <v>20563807955</v>
      </c>
      <c r="F26" s="3" t="s">
        <v>157</v>
      </c>
      <c r="G26" s="3" t="s">
        <v>158</v>
      </c>
      <c r="H26" s="3" t="s">
        <v>159</v>
      </c>
      <c r="I26" s="3" t="s">
        <v>160</v>
      </c>
      <c r="J26" s="3" t="s">
        <v>159</v>
      </c>
      <c r="K26" s="3" t="s">
        <v>161</v>
      </c>
      <c r="L26" s="3" t="s">
        <v>162</v>
      </c>
      <c r="M26" s="3" t="s">
        <v>163</v>
      </c>
      <c r="N26" s="3" t="s">
        <v>164</v>
      </c>
      <c r="O26" s="3">
        <v>3430</v>
      </c>
      <c r="P26" s="3" t="s">
        <v>29</v>
      </c>
      <c r="Q26" s="4">
        <v>43909</v>
      </c>
      <c r="R26" s="3" t="s">
        <v>30</v>
      </c>
      <c r="S26" s="3" t="s">
        <v>165</v>
      </c>
    </row>
    <row r="27" spans="1:19" ht="13.5">
      <c r="A27" s="3">
        <v>21</v>
      </c>
      <c r="B27" s="3" t="str">
        <f>"1849721"</f>
        <v>1849721</v>
      </c>
      <c r="C27" s="3">
        <v>64376</v>
      </c>
      <c r="D27" s="3" t="s">
        <v>166</v>
      </c>
      <c r="E27" s="3">
        <v>20393251957</v>
      </c>
      <c r="F27" s="3" t="s">
        <v>167</v>
      </c>
      <c r="G27" s="3" t="s">
        <v>168</v>
      </c>
      <c r="H27" s="3" t="s">
        <v>70</v>
      </c>
      <c r="I27" s="3" t="s">
        <v>89</v>
      </c>
      <c r="J27" s="3" t="s">
        <v>90</v>
      </c>
      <c r="K27" s="3" t="s">
        <v>169</v>
      </c>
      <c r="L27" s="3"/>
      <c r="M27" s="3"/>
      <c r="N27" s="3"/>
      <c r="O27" s="3">
        <v>51744</v>
      </c>
      <c r="P27" s="3" t="s">
        <v>29</v>
      </c>
      <c r="Q27" s="4">
        <v>39812</v>
      </c>
      <c r="R27" s="3" t="s">
        <v>30</v>
      </c>
      <c r="S27" s="3"/>
    </row>
    <row r="28" spans="1:19" ht="27.75">
      <c r="A28" s="3">
        <v>22</v>
      </c>
      <c r="B28" s="3" t="str">
        <f>"201600186254"</f>
        <v>201600186254</v>
      </c>
      <c r="C28" s="3">
        <v>124662</v>
      </c>
      <c r="D28" s="3" t="s">
        <v>170</v>
      </c>
      <c r="E28" s="3">
        <v>20541294831</v>
      </c>
      <c r="F28" s="3" t="s">
        <v>171</v>
      </c>
      <c r="G28" s="3" t="s">
        <v>172</v>
      </c>
      <c r="H28" s="3" t="s">
        <v>23</v>
      </c>
      <c r="I28" s="3" t="s">
        <v>24</v>
      </c>
      <c r="J28" s="3" t="s">
        <v>25</v>
      </c>
      <c r="K28" s="3" t="s">
        <v>173</v>
      </c>
      <c r="L28" s="3" t="s">
        <v>174</v>
      </c>
      <c r="M28" s="3" t="s">
        <v>50</v>
      </c>
      <c r="N28" s="3" t="s">
        <v>175</v>
      </c>
      <c r="O28" s="3">
        <v>246516</v>
      </c>
      <c r="P28" s="3" t="s">
        <v>29</v>
      </c>
      <c r="Q28" s="4">
        <v>42747</v>
      </c>
      <c r="R28" s="3" t="s">
        <v>30</v>
      </c>
      <c r="S28" s="3" t="s">
        <v>129</v>
      </c>
    </row>
    <row r="29" spans="1:19" ht="13.5">
      <c r="A29" s="3">
        <v>23</v>
      </c>
      <c r="B29" s="3" t="str">
        <f>"201500168009"</f>
        <v>201500168009</v>
      </c>
      <c r="C29" s="3">
        <v>119032</v>
      </c>
      <c r="D29" s="3" t="s">
        <v>176</v>
      </c>
      <c r="E29" s="3">
        <v>10000024032</v>
      </c>
      <c r="F29" s="3" t="s">
        <v>177</v>
      </c>
      <c r="G29" s="3" t="s">
        <v>178</v>
      </c>
      <c r="H29" s="3" t="s">
        <v>70</v>
      </c>
      <c r="I29" s="3" t="s">
        <v>71</v>
      </c>
      <c r="J29" s="3" t="s">
        <v>72</v>
      </c>
      <c r="K29" s="3" t="s">
        <v>179</v>
      </c>
      <c r="L29" s="3" t="s">
        <v>180</v>
      </c>
      <c r="M29" s="3" t="s">
        <v>75</v>
      </c>
      <c r="N29" s="3"/>
      <c r="O29" s="3">
        <v>13200</v>
      </c>
      <c r="P29" s="3" t="s">
        <v>29</v>
      </c>
      <c r="Q29" s="4">
        <v>42489</v>
      </c>
      <c r="R29" s="3" t="s">
        <v>30</v>
      </c>
      <c r="S29" s="3" t="s">
        <v>181</v>
      </c>
    </row>
    <row r="30" spans="1:19" ht="13.5">
      <c r="A30" s="3">
        <v>24</v>
      </c>
      <c r="B30" s="3" t="str">
        <f>"1512276"</f>
        <v>1512276</v>
      </c>
      <c r="C30" s="3">
        <v>90607</v>
      </c>
      <c r="D30" s="3" t="s">
        <v>182</v>
      </c>
      <c r="E30" s="3">
        <v>10053351340</v>
      </c>
      <c r="F30" s="3" t="s">
        <v>21</v>
      </c>
      <c r="G30" s="3" t="s">
        <v>22</v>
      </c>
      <c r="H30" s="3" t="s">
        <v>23</v>
      </c>
      <c r="I30" s="3" t="s">
        <v>24</v>
      </c>
      <c r="J30" s="3" t="s">
        <v>25</v>
      </c>
      <c r="K30" s="3" t="s">
        <v>183</v>
      </c>
      <c r="L30" s="3" t="s">
        <v>184</v>
      </c>
      <c r="M30" s="3" t="s">
        <v>28</v>
      </c>
      <c r="N30" s="3"/>
      <c r="O30" s="3">
        <v>44294</v>
      </c>
      <c r="P30" s="3" t="s">
        <v>29</v>
      </c>
      <c r="Q30" s="4">
        <v>40865</v>
      </c>
      <c r="R30" s="3" t="s">
        <v>30</v>
      </c>
      <c r="S30" s="3" t="s">
        <v>21</v>
      </c>
    </row>
    <row r="31" spans="1:19" ht="13.5">
      <c r="A31" s="3">
        <v>25</v>
      </c>
      <c r="B31" s="3" t="str">
        <f>"201400003157"</f>
        <v>201400003157</v>
      </c>
      <c r="C31" s="3">
        <v>107428</v>
      </c>
      <c r="D31" s="3" t="s">
        <v>185</v>
      </c>
      <c r="E31" s="3">
        <v>20528464042</v>
      </c>
      <c r="F31" s="3" t="s">
        <v>186</v>
      </c>
      <c r="G31" s="3" t="s">
        <v>187</v>
      </c>
      <c r="H31" s="3" t="s">
        <v>23</v>
      </c>
      <c r="I31" s="3" t="s">
        <v>24</v>
      </c>
      <c r="J31" s="3" t="s">
        <v>43</v>
      </c>
      <c r="K31" s="3" t="s">
        <v>188</v>
      </c>
      <c r="L31" s="3" t="s">
        <v>189</v>
      </c>
      <c r="M31" s="3" t="s">
        <v>50</v>
      </c>
      <c r="N31" s="3" t="s">
        <v>115</v>
      </c>
      <c r="O31" s="3">
        <v>497873</v>
      </c>
      <c r="P31" s="3" t="s">
        <v>29</v>
      </c>
      <c r="Q31" s="4">
        <v>41684</v>
      </c>
      <c r="R31" s="3" t="s">
        <v>30</v>
      </c>
      <c r="S31" s="3" t="s">
        <v>116</v>
      </c>
    </row>
    <row r="32" spans="1:19" ht="13.5">
      <c r="A32" s="3">
        <v>26</v>
      </c>
      <c r="B32" s="3" t="str">
        <f>"1147256"</f>
        <v>1147256</v>
      </c>
      <c r="C32" s="3">
        <v>14301</v>
      </c>
      <c r="D32" s="3">
        <v>1147256</v>
      </c>
      <c r="E32" s="3">
        <v>20280114660</v>
      </c>
      <c r="F32" s="3" t="s">
        <v>190</v>
      </c>
      <c r="G32" s="3" t="s">
        <v>191</v>
      </c>
      <c r="H32" s="3" t="s">
        <v>23</v>
      </c>
      <c r="I32" s="3" t="s">
        <v>24</v>
      </c>
      <c r="J32" s="3" t="s">
        <v>25</v>
      </c>
      <c r="K32" s="3" t="s">
        <v>192</v>
      </c>
      <c r="L32" s="3"/>
      <c r="M32" s="3"/>
      <c r="N32" s="3"/>
      <c r="O32" s="3">
        <v>222600</v>
      </c>
      <c r="P32" s="3" t="s">
        <v>29</v>
      </c>
      <c r="Q32" s="4">
        <v>35669</v>
      </c>
      <c r="R32" s="3" t="s">
        <v>30</v>
      </c>
      <c r="S32" s="3"/>
    </row>
    <row r="33" spans="1:19" ht="42">
      <c r="A33" s="3">
        <v>27</v>
      </c>
      <c r="B33" s="3" t="str">
        <f>"201900072400"</f>
        <v>201900072400</v>
      </c>
      <c r="C33" s="3">
        <v>142979</v>
      </c>
      <c r="D33" s="3" t="s">
        <v>193</v>
      </c>
      <c r="E33" s="3">
        <v>20100128218</v>
      </c>
      <c r="F33" s="3" t="s">
        <v>194</v>
      </c>
      <c r="G33" s="3" t="s">
        <v>195</v>
      </c>
      <c r="H33" s="3" t="s">
        <v>23</v>
      </c>
      <c r="I33" s="3" t="s">
        <v>24</v>
      </c>
      <c r="J33" s="3" t="s">
        <v>43</v>
      </c>
      <c r="K33" s="3" t="s">
        <v>196</v>
      </c>
      <c r="L33" s="3" t="s">
        <v>197</v>
      </c>
      <c r="M33" s="3" t="s">
        <v>50</v>
      </c>
      <c r="N33" s="3" t="s">
        <v>198</v>
      </c>
      <c r="O33" s="3">
        <v>956004</v>
      </c>
      <c r="P33" s="3" t="s">
        <v>29</v>
      </c>
      <c r="Q33" s="4">
        <v>43595</v>
      </c>
      <c r="R33" s="3" t="s">
        <v>30</v>
      </c>
      <c r="S33" s="3" t="s">
        <v>199</v>
      </c>
    </row>
    <row r="34" spans="1:19" ht="13.5">
      <c r="A34" s="3">
        <v>28</v>
      </c>
      <c r="B34" s="3" t="str">
        <f>"201400033494"</f>
        <v>201400033494</v>
      </c>
      <c r="C34" s="3">
        <v>108466</v>
      </c>
      <c r="D34" s="3" t="s">
        <v>200</v>
      </c>
      <c r="E34" s="3">
        <v>20528464042</v>
      </c>
      <c r="F34" s="3" t="s">
        <v>186</v>
      </c>
      <c r="G34" s="3" t="s">
        <v>187</v>
      </c>
      <c r="H34" s="3" t="s">
        <v>23</v>
      </c>
      <c r="I34" s="3" t="s">
        <v>24</v>
      </c>
      <c r="J34" s="3" t="s">
        <v>43</v>
      </c>
      <c r="K34" s="3" t="s">
        <v>201</v>
      </c>
      <c r="L34" s="3" t="s">
        <v>202</v>
      </c>
      <c r="M34" s="3" t="s">
        <v>50</v>
      </c>
      <c r="N34" s="3" t="s">
        <v>115</v>
      </c>
      <c r="O34" s="3">
        <v>500554</v>
      </c>
      <c r="P34" s="3" t="s">
        <v>29</v>
      </c>
      <c r="Q34" s="4">
        <v>41733</v>
      </c>
      <c r="R34" s="3" t="s">
        <v>30</v>
      </c>
      <c r="S34" s="3" t="s">
        <v>116</v>
      </c>
    </row>
    <row r="35" spans="1:19" ht="13.5">
      <c r="A35" s="3">
        <v>29</v>
      </c>
      <c r="B35" s="3" t="str">
        <f>"201800183286"</f>
        <v>201800183286</v>
      </c>
      <c r="C35" s="3">
        <v>139475</v>
      </c>
      <c r="D35" s="3" t="s">
        <v>203</v>
      </c>
      <c r="E35" s="3">
        <v>20394091511</v>
      </c>
      <c r="F35" s="3" t="s">
        <v>204</v>
      </c>
      <c r="G35" s="3" t="s">
        <v>205</v>
      </c>
      <c r="H35" s="3" t="s">
        <v>70</v>
      </c>
      <c r="I35" s="3" t="s">
        <v>71</v>
      </c>
      <c r="J35" s="3" t="s">
        <v>72</v>
      </c>
      <c r="K35" s="3" t="s">
        <v>206</v>
      </c>
      <c r="L35" s="3" t="s">
        <v>207</v>
      </c>
      <c r="M35" s="3" t="s">
        <v>75</v>
      </c>
      <c r="N35" s="3" t="s">
        <v>101</v>
      </c>
      <c r="O35" s="3">
        <v>47900</v>
      </c>
      <c r="P35" s="3" t="s">
        <v>29</v>
      </c>
      <c r="Q35" s="4">
        <v>43410</v>
      </c>
      <c r="R35" s="3" t="s">
        <v>30</v>
      </c>
      <c r="S35" s="3" t="s">
        <v>208</v>
      </c>
    </row>
    <row r="36" spans="1:19" ht="27.75">
      <c r="A36" s="3">
        <v>30</v>
      </c>
      <c r="B36" s="3" t="str">
        <f>"201900041667"</f>
        <v>201900041667</v>
      </c>
      <c r="C36" s="3">
        <v>45375</v>
      </c>
      <c r="D36" s="3" t="s">
        <v>209</v>
      </c>
      <c r="E36" s="3">
        <v>20541294831</v>
      </c>
      <c r="F36" s="3" t="s">
        <v>171</v>
      </c>
      <c r="G36" s="3" t="s">
        <v>210</v>
      </c>
      <c r="H36" s="3" t="s">
        <v>23</v>
      </c>
      <c r="I36" s="3" t="s">
        <v>24</v>
      </c>
      <c r="J36" s="3" t="s">
        <v>25</v>
      </c>
      <c r="K36" s="3" t="s">
        <v>211</v>
      </c>
      <c r="L36" s="3" t="s">
        <v>212</v>
      </c>
      <c r="M36" s="3" t="s">
        <v>75</v>
      </c>
      <c r="N36" s="3"/>
      <c r="O36" s="3">
        <v>176720</v>
      </c>
      <c r="P36" s="3" t="s">
        <v>29</v>
      </c>
      <c r="Q36" s="4">
        <v>43539</v>
      </c>
      <c r="R36" s="3" t="s">
        <v>30</v>
      </c>
      <c r="S36" s="3" t="s">
        <v>129</v>
      </c>
    </row>
    <row r="37" spans="1:19" ht="27.75">
      <c r="A37" s="3">
        <v>31</v>
      </c>
      <c r="B37" s="3" t="str">
        <f>"201500150037"</f>
        <v>201500150037</v>
      </c>
      <c r="C37" s="3">
        <v>118436</v>
      </c>
      <c r="D37" s="3" t="s">
        <v>213</v>
      </c>
      <c r="E37" s="3">
        <v>20493312821</v>
      </c>
      <c r="F37" s="3" t="s">
        <v>214</v>
      </c>
      <c r="G37" s="3" t="s">
        <v>215</v>
      </c>
      <c r="H37" s="3" t="s">
        <v>23</v>
      </c>
      <c r="I37" s="3" t="s">
        <v>24</v>
      </c>
      <c r="J37" s="3" t="s">
        <v>43</v>
      </c>
      <c r="K37" s="3" t="s">
        <v>216</v>
      </c>
      <c r="L37" s="3" t="s">
        <v>217</v>
      </c>
      <c r="M37" s="3" t="s">
        <v>50</v>
      </c>
      <c r="N37" s="3" t="s">
        <v>175</v>
      </c>
      <c r="O37" s="3">
        <v>333151</v>
      </c>
      <c r="P37" s="3" t="s">
        <v>29</v>
      </c>
      <c r="Q37" s="4">
        <v>42366</v>
      </c>
      <c r="R37" s="3" t="s">
        <v>30</v>
      </c>
      <c r="S37" s="3" t="s">
        <v>218</v>
      </c>
    </row>
    <row r="38" spans="1:19" ht="27.75">
      <c r="A38" s="3">
        <v>32</v>
      </c>
      <c r="B38" s="3" t="str">
        <f>"201700014601"</f>
        <v>201700014601</v>
      </c>
      <c r="C38" s="3">
        <v>125871</v>
      </c>
      <c r="D38" s="3" t="s">
        <v>219</v>
      </c>
      <c r="E38" s="3">
        <v>20528481303</v>
      </c>
      <c r="F38" s="3" t="s">
        <v>220</v>
      </c>
      <c r="G38" s="3" t="s">
        <v>221</v>
      </c>
      <c r="H38" s="3" t="s">
        <v>23</v>
      </c>
      <c r="I38" s="3" t="s">
        <v>24</v>
      </c>
      <c r="J38" s="3" t="s">
        <v>222</v>
      </c>
      <c r="K38" s="3" t="s">
        <v>223</v>
      </c>
      <c r="L38" s="3" t="s">
        <v>224</v>
      </c>
      <c r="M38" s="3" t="s">
        <v>50</v>
      </c>
      <c r="N38" s="3" t="s">
        <v>225</v>
      </c>
      <c r="O38" s="3">
        <v>601537</v>
      </c>
      <c r="P38" s="3" t="s">
        <v>29</v>
      </c>
      <c r="Q38" s="4">
        <v>42767</v>
      </c>
      <c r="R38" s="3" t="s">
        <v>30</v>
      </c>
      <c r="S38" s="3" t="s">
        <v>226</v>
      </c>
    </row>
    <row r="39" spans="1:19" ht="27.75">
      <c r="A39" s="3">
        <v>33</v>
      </c>
      <c r="B39" s="3" t="str">
        <f>"201500083756"</f>
        <v>201500083756</v>
      </c>
      <c r="C39" s="3">
        <v>116127</v>
      </c>
      <c r="D39" s="3" t="s">
        <v>227</v>
      </c>
      <c r="E39" s="3">
        <v>10214663801</v>
      </c>
      <c r="F39" s="3" t="s">
        <v>228</v>
      </c>
      <c r="G39" s="3" t="s">
        <v>229</v>
      </c>
      <c r="H39" s="3" t="s">
        <v>70</v>
      </c>
      <c r="I39" s="3" t="s">
        <v>89</v>
      </c>
      <c r="J39" s="3" t="s">
        <v>90</v>
      </c>
      <c r="K39" s="3" t="s">
        <v>230</v>
      </c>
      <c r="L39" s="3" t="s">
        <v>231</v>
      </c>
      <c r="M39" s="3" t="s">
        <v>93</v>
      </c>
      <c r="N39" s="3" t="s">
        <v>122</v>
      </c>
      <c r="O39" s="3">
        <v>1500</v>
      </c>
      <c r="P39" s="3" t="s">
        <v>29</v>
      </c>
      <c r="Q39" s="4">
        <v>42225</v>
      </c>
      <c r="R39" s="3" t="s">
        <v>30</v>
      </c>
      <c r="S39" s="3" t="s">
        <v>228</v>
      </c>
    </row>
    <row r="40" spans="1:19" ht="27.75">
      <c r="A40" s="3">
        <v>34</v>
      </c>
      <c r="B40" s="3" t="str">
        <f>"201900174168"</f>
        <v>201900174168</v>
      </c>
      <c r="C40" s="3">
        <v>131099</v>
      </c>
      <c r="D40" s="3" t="s">
        <v>232</v>
      </c>
      <c r="E40" s="3">
        <v>20541294831</v>
      </c>
      <c r="F40" s="3" t="s">
        <v>171</v>
      </c>
      <c r="G40" s="3" t="s">
        <v>233</v>
      </c>
      <c r="H40" s="3" t="s">
        <v>23</v>
      </c>
      <c r="I40" s="3" t="s">
        <v>24</v>
      </c>
      <c r="J40" s="3" t="s">
        <v>25</v>
      </c>
      <c r="K40" s="3" t="s">
        <v>234</v>
      </c>
      <c r="L40" s="3" t="s">
        <v>235</v>
      </c>
      <c r="M40" s="3" t="s">
        <v>50</v>
      </c>
      <c r="N40" s="3" t="s">
        <v>57</v>
      </c>
      <c r="O40" s="3">
        <v>246960</v>
      </c>
      <c r="P40" s="3" t="s">
        <v>29</v>
      </c>
      <c r="Q40" s="4">
        <v>43773</v>
      </c>
      <c r="R40" s="3" t="s">
        <v>30</v>
      </c>
      <c r="S40" s="3" t="s">
        <v>129</v>
      </c>
    </row>
    <row r="41" spans="1:19" ht="13.5">
      <c r="A41" s="3">
        <v>35</v>
      </c>
      <c r="B41" s="3" t="str">
        <f>"1147254"</f>
        <v>1147254</v>
      </c>
      <c r="C41" s="3">
        <v>13161</v>
      </c>
      <c r="D41" s="3">
        <v>1147254</v>
      </c>
      <c r="E41" s="3">
        <v>10052607979</v>
      </c>
      <c r="F41" s="3" t="s">
        <v>236</v>
      </c>
      <c r="G41" s="3" t="s">
        <v>237</v>
      </c>
      <c r="H41" s="3" t="s">
        <v>23</v>
      </c>
      <c r="I41" s="3" t="s">
        <v>24</v>
      </c>
      <c r="J41" s="3" t="s">
        <v>25</v>
      </c>
      <c r="K41" s="3" t="s">
        <v>238</v>
      </c>
      <c r="L41" s="3"/>
      <c r="M41" s="3"/>
      <c r="N41" s="3"/>
      <c r="O41" s="3">
        <v>222600</v>
      </c>
      <c r="P41" s="3" t="s">
        <v>29</v>
      </c>
      <c r="Q41" s="4">
        <v>35669</v>
      </c>
      <c r="R41" s="3" t="s">
        <v>30</v>
      </c>
      <c r="S41" s="3"/>
    </row>
    <row r="42" spans="1:19" ht="27.75">
      <c r="A42" s="3">
        <v>36</v>
      </c>
      <c r="B42" s="3" t="str">
        <f>"201800150770"</f>
        <v>201800150770</v>
      </c>
      <c r="C42" s="3">
        <v>95001</v>
      </c>
      <c r="D42" s="3" t="s">
        <v>239</v>
      </c>
      <c r="E42" s="3">
        <v>20511922578</v>
      </c>
      <c r="F42" s="3" t="s">
        <v>240</v>
      </c>
      <c r="G42" s="3" t="s">
        <v>241</v>
      </c>
      <c r="H42" s="3" t="s">
        <v>242</v>
      </c>
      <c r="I42" s="3" t="s">
        <v>242</v>
      </c>
      <c r="J42" s="3" t="s">
        <v>243</v>
      </c>
      <c r="K42" s="3" t="s">
        <v>244</v>
      </c>
      <c r="L42" s="3" t="s">
        <v>245</v>
      </c>
      <c r="M42" s="3" t="s">
        <v>246</v>
      </c>
      <c r="N42" s="3" t="s">
        <v>247</v>
      </c>
      <c r="O42" s="3">
        <v>97834</v>
      </c>
      <c r="P42" s="3" t="s">
        <v>248</v>
      </c>
      <c r="Q42" s="4">
        <v>43367</v>
      </c>
      <c r="R42" s="3" t="s">
        <v>30</v>
      </c>
      <c r="S42" s="3" t="s">
        <v>249</v>
      </c>
    </row>
    <row r="43" spans="1:19" ht="27.75">
      <c r="A43" s="3">
        <v>37</v>
      </c>
      <c r="B43" s="3" t="str">
        <f>"201700153580"</f>
        <v>201700153580</v>
      </c>
      <c r="C43" s="3">
        <v>115210</v>
      </c>
      <c r="D43" s="3" t="s">
        <v>250</v>
      </c>
      <c r="E43" s="3">
        <v>20159469388</v>
      </c>
      <c r="F43" s="3" t="s">
        <v>251</v>
      </c>
      <c r="G43" s="3" t="s">
        <v>252</v>
      </c>
      <c r="H43" s="3" t="s">
        <v>242</v>
      </c>
      <c r="I43" s="3" t="s">
        <v>242</v>
      </c>
      <c r="J43" s="3" t="s">
        <v>243</v>
      </c>
      <c r="K43" s="3" t="s">
        <v>253</v>
      </c>
      <c r="L43" s="3" t="s">
        <v>254</v>
      </c>
      <c r="M43" s="3" t="s">
        <v>246</v>
      </c>
      <c r="N43" s="3" t="s">
        <v>255</v>
      </c>
      <c r="O43" s="3">
        <v>838759</v>
      </c>
      <c r="P43" s="3" t="s">
        <v>29</v>
      </c>
      <c r="Q43" s="4">
        <v>43018</v>
      </c>
      <c r="R43" s="3" t="s">
        <v>30</v>
      </c>
      <c r="S43" s="3" t="s">
        <v>256</v>
      </c>
    </row>
    <row r="44" spans="1:19" ht="27.75">
      <c r="A44" s="3">
        <v>38</v>
      </c>
      <c r="B44" s="3" t="str">
        <f>"1834381"</f>
        <v>1834381</v>
      </c>
      <c r="C44" s="3">
        <v>63967</v>
      </c>
      <c r="D44" s="3" t="s">
        <v>257</v>
      </c>
      <c r="E44" s="3">
        <v>20100128218</v>
      </c>
      <c r="F44" s="3" t="s">
        <v>258</v>
      </c>
      <c r="G44" s="3" t="s">
        <v>259</v>
      </c>
      <c r="H44" s="3" t="s">
        <v>23</v>
      </c>
      <c r="I44" s="3" t="s">
        <v>24</v>
      </c>
      <c r="J44" s="3" t="s">
        <v>43</v>
      </c>
      <c r="K44" s="3" t="s">
        <v>260</v>
      </c>
      <c r="L44" s="3"/>
      <c r="M44" s="3"/>
      <c r="N44" s="3"/>
      <c r="O44" s="3">
        <v>4930</v>
      </c>
      <c r="P44" s="3" t="s">
        <v>261</v>
      </c>
      <c r="Q44" s="4">
        <v>39749</v>
      </c>
      <c r="R44" s="3" t="s">
        <v>30</v>
      </c>
      <c r="S44" s="3"/>
    </row>
    <row r="45" spans="1:19" ht="27.75">
      <c r="A45" s="3">
        <v>39</v>
      </c>
      <c r="B45" s="3" t="str">
        <f>"201900057996"</f>
        <v>201900057996</v>
      </c>
      <c r="C45" s="3">
        <v>82858</v>
      </c>
      <c r="D45" s="3" t="s">
        <v>262</v>
      </c>
      <c r="E45" s="3">
        <v>20103808121</v>
      </c>
      <c r="F45" s="3" t="s">
        <v>171</v>
      </c>
      <c r="G45" s="3" t="s">
        <v>263</v>
      </c>
      <c r="H45" s="3" t="s">
        <v>23</v>
      </c>
      <c r="I45" s="3" t="s">
        <v>24</v>
      </c>
      <c r="J45" s="3" t="s">
        <v>25</v>
      </c>
      <c r="K45" s="3" t="s">
        <v>264</v>
      </c>
      <c r="L45" s="3" t="s">
        <v>265</v>
      </c>
      <c r="M45" s="3" t="s">
        <v>75</v>
      </c>
      <c r="N45" s="3" t="s">
        <v>266</v>
      </c>
      <c r="O45" s="3">
        <v>74836</v>
      </c>
      <c r="P45" s="3" t="s">
        <v>29</v>
      </c>
      <c r="Q45" s="4">
        <v>43568</v>
      </c>
      <c r="R45" s="3" t="s">
        <v>30</v>
      </c>
      <c r="S45" s="3" t="s">
        <v>267</v>
      </c>
    </row>
    <row r="46" spans="1:19" ht="13.5">
      <c r="A46" s="3">
        <v>40</v>
      </c>
      <c r="B46" s="3" t="str">
        <f>"201300196142"</f>
        <v>201300196142</v>
      </c>
      <c r="C46" s="3">
        <v>106616</v>
      </c>
      <c r="D46" s="3" t="s">
        <v>268</v>
      </c>
      <c r="E46" s="3">
        <v>10059578273</v>
      </c>
      <c r="F46" s="3" t="s">
        <v>151</v>
      </c>
      <c r="G46" s="3" t="s">
        <v>269</v>
      </c>
      <c r="H46" s="3" t="s">
        <v>70</v>
      </c>
      <c r="I46" s="3" t="s">
        <v>71</v>
      </c>
      <c r="J46" s="3" t="s">
        <v>72</v>
      </c>
      <c r="K46" s="3" t="s">
        <v>270</v>
      </c>
      <c r="L46" s="3" t="s">
        <v>271</v>
      </c>
      <c r="M46" s="3" t="s">
        <v>75</v>
      </c>
      <c r="N46" s="3" t="s">
        <v>136</v>
      </c>
      <c r="O46" s="3">
        <v>7920</v>
      </c>
      <c r="P46" s="3" t="s">
        <v>29</v>
      </c>
      <c r="Q46" s="4">
        <v>41683</v>
      </c>
      <c r="R46" s="3" t="s">
        <v>30</v>
      </c>
      <c r="S46" s="3" t="s">
        <v>151</v>
      </c>
    </row>
    <row r="47" spans="1:19" ht="13.5">
      <c r="A47" s="3">
        <v>41</v>
      </c>
      <c r="B47" s="3" t="str">
        <f>"201900155439"</f>
        <v>201900155439</v>
      </c>
      <c r="C47" s="3">
        <v>44443</v>
      </c>
      <c r="D47" s="3" t="s">
        <v>272</v>
      </c>
      <c r="E47" s="3">
        <v>20394091511</v>
      </c>
      <c r="F47" s="3" t="s">
        <v>273</v>
      </c>
      <c r="G47" s="3" t="s">
        <v>205</v>
      </c>
      <c r="H47" s="3" t="s">
        <v>70</v>
      </c>
      <c r="I47" s="3" t="s">
        <v>71</v>
      </c>
      <c r="J47" s="3" t="s">
        <v>72</v>
      </c>
      <c r="K47" s="3" t="s">
        <v>274</v>
      </c>
      <c r="L47" s="3" t="s">
        <v>275</v>
      </c>
      <c r="M47" s="3" t="s">
        <v>75</v>
      </c>
      <c r="N47" s="3"/>
      <c r="O47" s="3">
        <v>28160</v>
      </c>
      <c r="P47" s="3" t="s">
        <v>29</v>
      </c>
      <c r="Q47" s="4">
        <v>43732</v>
      </c>
      <c r="R47" s="3" t="s">
        <v>30</v>
      </c>
      <c r="S47" s="3" t="s">
        <v>208</v>
      </c>
    </row>
    <row r="48" spans="1:19" ht="27.75">
      <c r="A48" s="3">
        <v>42</v>
      </c>
      <c r="B48" s="3" t="str">
        <f>"201700136988"</f>
        <v>201700136988</v>
      </c>
      <c r="C48" s="3">
        <v>121026</v>
      </c>
      <c r="D48" s="3" t="s">
        <v>276</v>
      </c>
      <c r="E48" s="3">
        <v>20393443783</v>
      </c>
      <c r="F48" s="3" t="s">
        <v>277</v>
      </c>
      <c r="G48" s="3" t="s">
        <v>278</v>
      </c>
      <c r="H48" s="3" t="s">
        <v>70</v>
      </c>
      <c r="I48" s="3" t="s">
        <v>71</v>
      </c>
      <c r="J48" s="3" t="s">
        <v>72</v>
      </c>
      <c r="K48" s="3" t="s">
        <v>279</v>
      </c>
      <c r="L48" s="3" t="s">
        <v>280</v>
      </c>
      <c r="M48" s="3" t="s">
        <v>75</v>
      </c>
      <c r="N48" s="3" t="s">
        <v>281</v>
      </c>
      <c r="O48" s="3">
        <v>30250</v>
      </c>
      <c r="P48" s="3" t="s">
        <v>29</v>
      </c>
      <c r="Q48" s="4">
        <v>42990</v>
      </c>
      <c r="R48" s="3" t="s">
        <v>30</v>
      </c>
      <c r="S48" s="3" t="s">
        <v>282</v>
      </c>
    </row>
    <row r="49" spans="1:19" ht="13.5">
      <c r="A49" s="3">
        <v>43</v>
      </c>
      <c r="B49" s="3" t="str">
        <f>"1140746"</f>
        <v>1140746</v>
      </c>
      <c r="C49" s="3">
        <v>10453</v>
      </c>
      <c r="D49" s="3">
        <v>961691</v>
      </c>
      <c r="E49" s="3">
        <v>20128973169</v>
      </c>
      <c r="F49" s="3" t="s">
        <v>283</v>
      </c>
      <c r="G49" s="3" t="s">
        <v>284</v>
      </c>
      <c r="H49" s="3" t="s">
        <v>23</v>
      </c>
      <c r="I49" s="3" t="s">
        <v>24</v>
      </c>
      <c r="J49" s="3" t="s">
        <v>43</v>
      </c>
      <c r="K49" s="3" t="s">
        <v>285</v>
      </c>
      <c r="L49" s="3"/>
      <c r="M49" s="3"/>
      <c r="N49" s="3"/>
      <c r="O49" s="3">
        <v>237361</v>
      </c>
      <c r="P49" s="3" t="s">
        <v>29</v>
      </c>
      <c r="Q49" s="4">
        <v>35636</v>
      </c>
      <c r="R49" s="3" t="s">
        <v>30</v>
      </c>
      <c r="S49" s="3"/>
    </row>
    <row r="50" spans="1:19" ht="13.5">
      <c r="A50" s="3">
        <v>44</v>
      </c>
      <c r="B50" s="3" t="str">
        <f>"201700144017"</f>
        <v>201700144017</v>
      </c>
      <c r="C50" s="3">
        <v>131668</v>
      </c>
      <c r="D50" s="3" t="s">
        <v>286</v>
      </c>
      <c r="E50" s="3">
        <v>17168325703</v>
      </c>
      <c r="F50" s="3" t="s">
        <v>129</v>
      </c>
      <c r="G50" s="3" t="s">
        <v>287</v>
      </c>
      <c r="H50" s="3" t="s">
        <v>23</v>
      </c>
      <c r="I50" s="3" t="s">
        <v>24</v>
      </c>
      <c r="J50" s="3" t="s">
        <v>43</v>
      </c>
      <c r="K50" s="3" t="s">
        <v>288</v>
      </c>
      <c r="L50" s="3" t="s">
        <v>289</v>
      </c>
      <c r="M50" s="3" t="s">
        <v>75</v>
      </c>
      <c r="N50" s="3" t="s">
        <v>290</v>
      </c>
      <c r="O50" s="3">
        <v>116820</v>
      </c>
      <c r="P50" s="3" t="s">
        <v>29</v>
      </c>
      <c r="Q50" s="4">
        <v>42985</v>
      </c>
      <c r="R50" s="3" t="s">
        <v>30</v>
      </c>
      <c r="S50" s="3" t="s">
        <v>129</v>
      </c>
    </row>
    <row r="51" spans="1:19" ht="42">
      <c r="A51" s="3">
        <v>45</v>
      </c>
      <c r="B51" s="3" t="str">
        <f>"202000066835"</f>
        <v>202000066835</v>
      </c>
      <c r="C51" s="3">
        <v>95000</v>
      </c>
      <c r="D51" s="3" t="s">
        <v>291</v>
      </c>
      <c r="E51" s="3">
        <v>20451384024</v>
      </c>
      <c r="F51" s="3" t="s">
        <v>292</v>
      </c>
      <c r="G51" s="3" t="s">
        <v>293</v>
      </c>
      <c r="H51" s="3" t="s">
        <v>23</v>
      </c>
      <c r="I51" s="3" t="s">
        <v>24</v>
      </c>
      <c r="J51" s="3" t="s">
        <v>25</v>
      </c>
      <c r="K51" s="3" t="s">
        <v>294</v>
      </c>
      <c r="L51" s="3"/>
      <c r="M51" s="3"/>
      <c r="N51" s="3" t="s">
        <v>295</v>
      </c>
      <c r="O51" s="3">
        <v>147168</v>
      </c>
      <c r="P51" s="3" t="s">
        <v>29</v>
      </c>
      <c r="Q51" s="4">
        <v>44000</v>
      </c>
      <c r="R51" s="3" t="s">
        <v>30</v>
      </c>
      <c r="S51" s="3" t="s">
        <v>296</v>
      </c>
    </row>
    <row r="52" spans="1:19" ht="27.75">
      <c r="A52" s="3">
        <v>46</v>
      </c>
      <c r="B52" s="3" t="str">
        <f>"1452857"</f>
        <v>1452857</v>
      </c>
      <c r="C52" s="3">
        <v>62650</v>
      </c>
      <c r="D52" s="3" t="s">
        <v>297</v>
      </c>
      <c r="E52" s="3">
        <v>20393276607</v>
      </c>
      <c r="F52" s="3" t="s">
        <v>298</v>
      </c>
      <c r="G52" s="3" t="s">
        <v>299</v>
      </c>
      <c r="H52" s="3" t="s">
        <v>70</v>
      </c>
      <c r="I52" s="3" t="s">
        <v>71</v>
      </c>
      <c r="J52" s="3" t="s">
        <v>72</v>
      </c>
      <c r="K52" s="3" t="s">
        <v>300</v>
      </c>
      <c r="L52" s="3" t="s">
        <v>301</v>
      </c>
      <c r="M52" s="3" t="s">
        <v>75</v>
      </c>
      <c r="N52" s="3"/>
      <c r="O52" s="3">
        <v>61830</v>
      </c>
      <c r="P52" s="3" t="s">
        <v>29</v>
      </c>
      <c r="Q52" s="4">
        <v>40548</v>
      </c>
      <c r="R52" s="3" t="s">
        <v>30</v>
      </c>
      <c r="S52" s="3" t="s">
        <v>302</v>
      </c>
    </row>
    <row r="53" spans="1:19" ht="27.75">
      <c r="A53" s="3">
        <v>47</v>
      </c>
      <c r="B53" s="3" t="str">
        <f>"201900175818"</f>
        <v>201900175818</v>
      </c>
      <c r="C53" s="3">
        <v>145668</v>
      </c>
      <c r="D53" s="3" t="s">
        <v>303</v>
      </c>
      <c r="E53" s="3">
        <v>20541294831</v>
      </c>
      <c r="F53" s="3" t="s">
        <v>171</v>
      </c>
      <c r="G53" s="3" t="s">
        <v>233</v>
      </c>
      <c r="H53" s="3" t="s">
        <v>23</v>
      </c>
      <c r="I53" s="3" t="s">
        <v>24</v>
      </c>
      <c r="J53" s="3" t="s">
        <v>25</v>
      </c>
      <c r="K53" s="3" t="s">
        <v>304</v>
      </c>
      <c r="L53" s="3" t="s">
        <v>305</v>
      </c>
      <c r="M53" s="3" t="s">
        <v>50</v>
      </c>
      <c r="N53" s="3"/>
      <c r="O53" s="3">
        <v>258601.98</v>
      </c>
      <c r="P53" s="3" t="s">
        <v>29</v>
      </c>
      <c r="Q53" s="4">
        <v>43773</v>
      </c>
      <c r="R53" s="3" t="s">
        <v>30</v>
      </c>
      <c r="S53" s="3" t="s">
        <v>129</v>
      </c>
    </row>
    <row r="54" spans="1:19" ht="42">
      <c r="A54" s="3">
        <v>48</v>
      </c>
      <c r="B54" s="3" t="str">
        <f>"202000066832"</f>
        <v>202000066832</v>
      </c>
      <c r="C54" s="3">
        <v>86096</v>
      </c>
      <c r="D54" s="3" t="s">
        <v>306</v>
      </c>
      <c r="E54" s="3">
        <v>20451384024</v>
      </c>
      <c r="F54" s="3" t="s">
        <v>292</v>
      </c>
      <c r="G54" s="3" t="s">
        <v>307</v>
      </c>
      <c r="H54" s="3" t="s">
        <v>23</v>
      </c>
      <c r="I54" s="3" t="s">
        <v>24</v>
      </c>
      <c r="J54" s="3" t="s">
        <v>25</v>
      </c>
      <c r="K54" s="3" t="s">
        <v>308</v>
      </c>
      <c r="L54" s="3"/>
      <c r="M54" s="3"/>
      <c r="N54" s="3" t="s">
        <v>295</v>
      </c>
      <c r="O54" s="3">
        <v>147180</v>
      </c>
      <c r="P54" s="3" t="s">
        <v>29</v>
      </c>
      <c r="Q54" s="4">
        <v>44000</v>
      </c>
      <c r="R54" s="3" t="s">
        <v>30</v>
      </c>
      <c r="S54" s="3" t="s">
        <v>296</v>
      </c>
    </row>
    <row r="55" spans="1:19" ht="13.5">
      <c r="A55" s="3">
        <v>49</v>
      </c>
      <c r="B55" s="3" t="str">
        <f>"201300144275"</f>
        <v>201300144275</v>
      </c>
      <c r="C55" s="3">
        <v>105149</v>
      </c>
      <c r="D55" s="3" t="s">
        <v>309</v>
      </c>
      <c r="E55" s="3">
        <v>20393718715</v>
      </c>
      <c r="F55" s="3" t="s">
        <v>310</v>
      </c>
      <c r="G55" s="3" t="s">
        <v>311</v>
      </c>
      <c r="H55" s="3" t="s">
        <v>70</v>
      </c>
      <c r="I55" s="3" t="s">
        <v>71</v>
      </c>
      <c r="J55" s="3" t="s">
        <v>72</v>
      </c>
      <c r="K55" s="3" t="s">
        <v>312</v>
      </c>
      <c r="L55" s="3" t="s">
        <v>313</v>
      </c>
      <c r="M55" s="3" t="s">
        <v>50</v>
      </c>
      <c r="N55" s="3"/>
      <c r="O55" s="3">
        <v>501140</v>
      </c>
      <c r="P55" s="3" t="s">
        <v>29</v>
      </c>
      <c r="Q55" s="4">
        <v>41561</v>
      </c>
      <c r="R55" s="3" t="s">
        <v>30</v>
      </c>
      <c r="S55" s="3" t="s">
        <v>314</v>
      </c>
    </row>
    <row r="56" spans="1:19" ht="13.5">
      <c r="A56" s="3">
        <v>50</v>
      </c>
      <c r="B56" s="3" t="str">
        <f>"201300144274"</f>
        <v>201300144274</v>
      </c>
      <c r="C56" s="3">
        <v>105145</v>
      </c>
      <c r="D56" s="3" t="s">
        <v>315</v>
      </c>
      <c r="E56" s="3">
        <v>20393718715</v>
      </c>
      <c r="F56" s="3" t="s">
        <v>316</v>
      </c>
      <c r="G56" s="3" t="s">
        <v>317</v>
      </c>
      <c r="H56" s="3" t="s">
        <v>70</v>
      </c>
      <c r="I56" s="3" t="s">
        <v>71</v>
      </c>
      <c r="J56" s="3" t="s">
        <v>72</v>
      </c>
      <c r="K56" s="3" t="s">
        <v>318</v>
      </c>
      <c r="L56" s="3" t="s">
        <v>319</v>
      </c>
      <c r="M56" s="3" t="s">
        <v>50</v>
      </c>
      <c r="N56" s="3"/>
      <c r="O56" s="3">
        <v>501140</v>
      </c>
      <c r="P56" s="3" t="s">
        <v>29</v>
      </c>
      <c r="Q56" s="4">
        <v>41561</v>
      </c>
      <c r="R56" s="3" t="s">
        <v>30</v>
      </c>
      <c r="S56" s="3" t="s">
        <v>314</v>
      </c>
    </row>
    <row r="57" spans="1:19" ht="27.75">
      <c r="A57" s="3">
        <v>51</v>
      </c>
      <c r="B57" s="3" t="str">
        <f>"201700136980"</f>
        <v>201700136980</v>
      </c>
      <c r="C57" s="3">
        <v>117729</v>
      </c>
      <c r="D57" s="3" t="s">
        <v>320</v>
      </c>
      <c r="E57" s="3">
        <v>20393443783</v>
      </c>
      <c r="F57" s="3" t="s">
        <v>321</v>
      </c>
      <c r="G57" s="3" t="s">
        <v>322</v>
      </c>
      <c r="H57" s="3" t="s">
        <v>70</v>
      </c>
      <c r="I57" s="3" t="s">
        <v>71</v>
      </c>
      <c r="J57" s="3" t="s">
        <v>72</v>
      </c>
      <c r="K57" s="3" t="s">
        <v>323</v>
      </c>
      <c r="L57" s="3" t="s">
        <v>324</v>
      </c>
      <c r="M57" s="3" t="s">
        <v>50</v>
      </c>
      <c r="N57" s="3" t="s">
        <v>281</v>
      </c>
      <c r="O57" s="3">
        <v>176400</v>
      </c>
      <c r="P57" s="3" t="s">
        <v>29</v>
      </c>
      <c r="Q57" s="4">
        <v>42991</v>
      </c>
      <c r="R57" s="3" t="s">
        <v>30</v>
      </c>
      <c r="S57" s="3" t="s">
        <v>314</v>
      </c>
    </row>
    <row r="58" spans="1:19" ht="13.5">
      <c r="A58" s="3">
        <v>52</v>
      </c>
      <c r="B58" s="3" t="str">
        <f>"1321046"</f>
        <v>1321046</v>
      </c>
      <c r="C58" s="3">
        <v>10454</v>
      </c>
      <c r="D58" s="3" t="s">
        <v>325</v>
      </c>
      <c r="E58" s="3">
        <v>20128973169</v>
      </c>
      <c r="F58" s="3" t="s">
        <v>283</v>
      </c>
      <c r="G58" s="3" t="s">
        <v>326</v>
      </c>
      <c r="H58" s="3" t="s">
        <v>70</v>
      </c>
      <c r="I58" s="3" t="s">
        <v>71</v>
      </c>
      <c r="J58" s="3" t="s">
        <v>72</v>
      </c>
      <c r="K58" s="3" t="s">
        <v>327</v>
      </c>
      <c r="L58" s="3" t="s">
        <v>328</v>
      </c>
      <c r="M58" s="3" t="s">
        <v>50</v>
      </c>
      <c r="N58" s="3"/>
      <c r="O58" s="3">
        <v>236670</v>
      </c>
      <c r="P58" s="3" t="s">
        <v>29</v>
      </c>
      <c r="Q58" s="4">
        <v>37041</v>
      </c>
      <c r="R58" s="3" t="s">
        <v>30</v>
      </c>
      <c r="S58" s="3" t="s">
        <v>329</v>
      </c>
    </row>
    <row r="59" spans="1:19" ht="27.75">
      <c r="A59" s="3">
        <v>53</v>
      </c>
      <c r="B59" s="3" t="str">
        <f>"201500149478"</f>
        <v>201500149478</v>
      </c>
      <c r="C59" s="3">
        <v>116489</v>
      </c>
      <c r="D59" s="3" t="s">
        <v>330</v>
      </c>
      <c r="E59" s="3">
        <v>10001629102</v>
      </c>
      <c r="F59" s="3" t="s">
        <v>331</v>
      </c>
      <c r="G59" s="3" t="s">
        <v>119</v>
      </c>
      <c r="H59" s="3" t="s">
        <v>70</v>
      </c>
      <c r="I59" s="3" t="s">
        <v>89</v>
      </c>
      <c r="J59" s="3" t="s">
        <v>90</v>
      </c>
      <c r="K59" s="3" t="s">
        <v>332</v>
      </c>
      <c r="L59" s="3" t="s">
        <v>333</v>
      </c>
      <c r="M59" s="3" t="s">
        <v>93</v>
      </c>
      <c r="N59" s="3" t="s">
        <v>94</v>
      </c>
      <c r="O59" s="3">
        <v>3500</v>
      </c>
      <c r="P59" s="3" t="s">
        <v>29</v>
      </c>
      <c r="Q59" s="4">
        <v>42375</v>
      </c>
      <c r="R59" s="3" t="s">
        <v>30</v>
      </c>
      <c r="S59" s="3" t="s">
        <v>331</v>
      </c>
    </row>
    <row r="60" spans="1:19" ht="13.5">
      <c r="A60" s="3">
        <v>54</v>
      </c>
      <c r="B60" s="3" t="str">
        <f>"201300144271"</f>
        <v>201300144271</v>
      </c>
      <c r="C60" s="3">
        <v>105146</v>
      </c>
      <c r="D60" s="3" t="s">
        <v>334</v>
      </c>
      <c r="E60" s="3">
        <v>20393718715</v>
      </c>
      <c r="F60" s="3" t="s">
        <v>310</v>
      </c>
      <c r="G60" s="3" t="s">
        <v>335</v>
      </c>
      <c r="H60" s="3" t="s">
        <v>70</v>
      </c>
      <c r="I60" s="3" t="s">
        <v>71</v>
      </c>
      <c r="J60" s="3" t="s">
        <v>72</v>
      </c>
      <c r="K60" s="3" t="s">
        <v>336</v>
      </c>
      <c r="L60" s="3" t="s">
        <v>337</v>
      </c>
      <c r="M60" s="3" t="s">
        <v>50</v>
      </c>
      <c r="N60" s="3"/>
      <c r="O60" s="3">
        <v>501140</v>
      </c>
      <c r="P60" s="3" t="s">
        <v>29</v>
      </c>
      <c r="Q60" s="4">
        <v>41557</v>
      </c>
      <c r="R60" s="3" t="s">
        <v>30</v>
      </c>
      <c r="S60" s="3" t="s">
        <v>314</v>
      </c>
    </row>
    <row r="61" spans="1:19" ht="13.5">
      <c r="A61" s="3">
        <v>55</v>
      </c>
      <c r="B61" s="3" t="str">
        <f>"1154625"</f>
        <v>1154625</v>
      </c>
      <c r="C61" s="3">
        <v>13273</v>
      </c>
      <c r="D61" s="3" t="s">
        <v>338</v>
      </c>
      <c r="E61" s="3">
        <v>10052620029</v>
      </c>
      <c r="F61" s="3" t="s">
        <v>339</v>
      </c>
      <c r="G61" s="3" t="s">
        <v>340</v>
      </c>
      <c r="H61" s="3" t="s">
        <v>23</v>
      </c>
      <c r="I61" s="3" t="s">
        <v>24</v>
      </c>
      <c r="J61" s="3" t="s">
        <v>43</v>
      </c>
      <c r="K61" s="3" t="s">
        <v>341</v>
      </c>
      <c r="L61" s="3"/>
      <c r="M61" s="3"/>
      <c r="N61" s="3"/>
      <c r="O61" s="3">
        <v>111426</v>
      </c>
      <c r="P61" s="3" t="s">
        <v>29</v>
      </c>
      <c r="Q61" s="4">
        <v>35726</v>
      </c>
      <c r="R61" s="3" t="s">
        <v>30</v>
      </c>
      <c r="S61" s="3"/>
    </row>
    <row r="62" spans="1:19" ht="13.5">
      <c r="A62" s="3">
        <v>56</v>
      </c>
      <c r="B62" s="3" t="str">
        <f>"1354985"</f>
        <v>1354985</v>
      </c>
      <c r="C62" s="3">
        <v>21666</v>
      </c>
      <c r="D62" s="3" t="s">
        <v>342</v>
      </c>
      <c r="E62" s="3">
        <v>20103951781</v>
      </c>
      <c r="F62" s="3" t="s">
        <v>343</v>
      </c>
      <c r="G62" s="3" t="s">
        <v>344</v>
      </c>
      <c r="H62" s="3" t="s">
        <v>23</v>
      </c>
      <c r="I62" s="3" t="s">
        <v>24</v>
      </c>
      <c r="J62" s="3" t="s">
        <v>43</v>
      </c>
      <c r="K62" s="3" t="s">
        <v>345</v>
      </c>
      <c r="L62" s="3"/>
      <c r="M62" s="3"/>
      <c r="N62" s="3"/>
      <c r="O62" s="3">
        <v>124235</v>
      </c>
      <c r="P62" s="3" t="s">
        <v>29</v>
      </c>
      <c r="Q62" s="4">
        <v>37323</v>
      </c>
      <c r="R62" s="3" t="s">
        <v>30</v>
      </c>
      <c r="S62" s="3"/>
    </row>
    <row r="63" spans="1:19" ht="42">
      <c r="A63" s="3">
        <v>57</v>
      </c>
      <c r="B63" s="3" t="str">
        <f>"201900137391"</f>
        <v>201900137391</v>
      </c>
      <c r="C63" s="3">
        <v>146127</v>
      </c>
      <c r="D63" s="3" t="s">
        <v>346</v>
      </c>
      <c r="E63" s="3">
        <v>20100128218</v>
      </c>
      <c r="F63" s="3" t="s">
        <v>194</v>
      </c>
      <c r="G63" s="3" t="s">
        <v>195</v>
      </c>
      <c r="H63" s="3" t="s">
        <v>23</v>
      </c>
      <c r="I63" s="3" t="s">
        <v>24</v>
      </c>
      <c r="J63" s="3" t="s">
        <v>43</v>
      </c>
      <c r="K63" s="3" t="s">
        <v>347</v>
      </c>
      <c r="L63" s="3" t="s">
        <v>348</v>
      </c>
      <c r="M63" s="3" t="s">
        <v>50</v>
      </c>
      <c r="N63" s="3" t="s">
        <v>349</v>
      </c>
      <c r="O63" s="3">
        <v>390678.96</v>
      </c>
      <c r="P63" s="3" t="s">
        <v>29</v>
      </c>
      <c r="Q63" s="4">
        <v>43703</v>
      </c>
      <c r="R63" s="3" t="s">
        <v>30</v>
      </c>
      <c r="S63" s="3" t="s">
        <v>350</v>
      </c>
    </row>
    <row r="64" spans="1:19" ht="13.5">
      <c r="A64" s="3">
        <v>58</v>
      </c>
      <c r="B64" s="3" t="str">
        <f>"1447885"</f>
        <v>1447885</v>
      </c>
      <c r="C64" s="3">
        <v>37912</v>
      </c>
      <c r="D64" s="3" t="s">
        <v>351</v>
      </c>
      <c r="E64" s="3">
        <v>20304177552</v>
      </c>
      <c r="F64" s="3" t="s">
        <v>352</v>
      </c>
      <c r="G64" s="3" t="s">
        <v>353</v>
      </c>
      <c r="H64" s="3" t="s">
        <v>242</v>
      </c>
      <c r="I64" s="3" t="s">
        <v>242</v>
      </c>
      <c r="J64" s="3" t="s">
        <v>354</v>
      </c>
      <c r="K64" s="3" t="s">
        <v>355</v>
      </c>
      <c r="L64" s="3"/>
      <c r="M64" s="3"/>
      <c r="N64" s="3"/>
      <c r="O64" s="3">
        <v>42090</v>
      </c>
      <c r="P64" s="3" t="s">
        <v>29</v>
      </c>
      <c r="Q64" s="4">
        <v>38006</v>
      </c>
      <c r="R64" s="3" t="s">
        <v>30</v>
      </c>
      <c r="S64" s="3"/>
    </row>
    <row r="65" spans="1:19" ht="13.5">
      <c r="A65" s="3">
        <v>59</v>
      </c>
      <c r="B65" s="3" t="str">
        <f>"1334700"</f>
        <v>1334700</v>
      </c>
      <c r="C65" s="3">
        <v>21300</v>
      </c>
      <c r="D65" s="3" t="s">
        <v>356</v>
      </c>
      <c r="E65" s="3">
        <v>20103951781</v>
      </c>
      <c r="F65" s="3" t="s">
        <v>357</v>
      </c>
      <c r="G65" s="3" t="s">
        <v>344</v>
      </c>
      <c r="H65" s="3" t="s">
        <v>23</v>
      </c>
      <c r="I65" s="3" t="s">
        <v>24</v>
      </c>
      <c r="J65" s="3" t="s">
        <v>43</v>
      </c>
      <c r="K65" s="3" t="s">
        <v>358</v>
      </c>
      <c r="L65" s="3" t="s">
        <v>359</v>
      </c>
      <c r="M65" s="3" t="s">
        <v>50</v>
      </c>
      <c r="N65" s="3"/>
      <c r="O65" s="3">
        <v>45130</v>
      </c>
      <c r="P65" s="3" t="s">
        <v>29</v>
      </c>
      <c r="Q65" s="4">
        <v>37146</v>
      </c>
      <c r="R65" s="3" t="s">
        <v>30</v>
      </c>
      <c r="S65" s="3" t="s">
        <v>360</v>
      </c>
    </row>
    <row r="66" spans="1:19" ht="27.75">
      <c r="A66" s="3">
        <v>60</v>
      </c>
      <c r="B66" s="3" t="str">
        <f>"201500149485"</f>
        <v>201500149485</v>
      </c>
      <c r="C66" s="3">
        <v>116491</v>
      </c>
      <c r="D66" s="3" t="s">
        <v>361</v>
      </c>
      <c r="E66" s="3">
        <v>10000972369</v>
      </c>
      <c r="F66" s="3" t="s">
        <v>362</v>
      </c>
      <c r="G66" s="3" t="s">
        <v>363</v>
      </c>
      <c r="H66" s="3" t="s">
        <v>70</v>
      </c>
      <c r="I66" s="3" t="s">
        <v>71</v>
      </c>
      <c r="J66" s="3" t="s">
        <v>72</v>
      </c>
      <c r="K66" s="3" t="s">
        <v>364</v>
      </c>
      <c r="L66" s="3" t="s">
        <v>365</v>
      </c>
      <c r="M66" s="3" t="s">
        <v>93</v>
      </c>
      <c r="N66" s="3" t="s">
        <v>94</v>
      </c>
      <c r="O66" s="3">
        <v>3500</v>
      </c>
      <c r="P66" s="3" t="s">
        <v>29</v>
      </c>
      <c r="Q66" s="4">
        <v>42367</v>
      </c>
      <c r="R66" s="3" t="s">
        <v>30</v>
      </c>
      <c r="S66" s="3" t="s">
        <v>362</v>
      </c>
    </row>
    <row r="67" spans="1:19" ht="13.5">
      <c r="A67" s="3">
        <v>61</v>
      </c>
      <c r="B67" s="3" t="str">
        <f>"1447882"</f>
        <v>1447882</v>
      </c>
      <c r="C67" s="3">
        <v>37911</v>
      </c>
      <c r="D67" s="3" t="s">
        <v>366</v>
      </c>
      <c r="E67" s="3">
        <v>20304177552</v>
      </c>
      <c r="F67" s="3" t="s">
        <v>352</v>
      </c>
      <c r="G67" s="3" t="s">
        <v>367</v>
      </c>
      <c r="H67" s="3" t="s">
        <v>242</v>
      </c>
      <c r="I67" s="3" t="s">
        <v>242</v>
      </c>
      <c r="J67" s="3" t="s">
        <v>354</v>
      </c>
      <c r="K67" s="3" t="s">
        <v>368</v>
      </c>
      <c r="L67" s="3"/>
      <c r="M67" s="3"/>
      <c r="N67" s="3"/>
      <c r="O67" s="3">
        <v>42090</v>
      </c>
      <c r="P67" s="3" t="s">
        <v>29</v>
      </c>
      <c r="Q67" s="4">
        <v>38006</v>
      </c>
      <c r="R67" s="3" t="s">
        <v>30</v>
      </c>
      <c r="S67" s="3"/>
    </row>
    <row r="68" spans="1:19" ht="42">
      <c r="A68" s="3">
        <v>62</v>
      </c>
      <c r="B68" s="3" t="str">
        <f>"201900124384"</f>
        <v>201900124384</v>
      </c>
      <c r="C68" s="3">
        <v>142417</v>
      </c>
      <c r="D68" s="3" t="s">
        <v>369</v>
      </c>
      <c r="E68" s="3">
        <v>20393443783</v>
      </c>
      <c r="F68" s="3" t="s">
        <v>321</v>
      </c>
      <c r="G68" s="3" t="s">
        <v>370</v>
      </c>
      <c r="H68" s="3" t="s">
        <v>70</v>
      </c>
      <c r="I68" s="3" t="s">
        <v>71</v>
      </c>
      <c r="J68" s="3" t="s">
        <v>72</v>
      </c>
      <c r="K68" s="3" t="s">
        <v>371</v>
      </c>
      <c r="L68" s="3" t="s">
        <v>372</v>
      </c>
      <c r="M68" s="3" t="s">
        <v>50</v>
      </c>
      <c r="N68" s="3" t="s">
        <v>373</v>
      </c>
      <c r="O68" s="3">
        <v>14669.95</v>
      </c>
      <c r="P68" s="3" t="s">
        <v>29</v>
      </c>
      <c r="Q68" s="4">
        <v>43682</v>
      </c>
      <c r="R68" s="3" t="s">
        <v>30</v>
      </c>
      <c r="S68" s="3" t="s">
        <v>314</v>
      </c>
    </row>
    <row r="69" spans="1:19" ht="42">
      <c r="A69" s="3">
        <v>63</v>
      </c>
      <c r="B69" s="3" t="str">
        <f>"201900004152"</f>
        <v>201900004152</v>
      </c>
      <c r="C69" s="3">
        <v>140706</v>
      </c>
      <c r="D69" s="3" t="s">
        <v>374</v>
      </c>
      <c r="E69" s="3">
        <v>20528343687</v>
      </c>
      <c r="F69" s="3" t="s">
        <v>375</v>
      </c>
      <c r="G69" s="3" t="s">
        <v>263</v>
      </c>
      <c r="H69" s="3" t="s">
        <v>23</v>
      </c>
      <c r="I69" s="3" t="s">
        <v>24</v>
      </c>
      <c r="J69" s="3" t="s">
        <v>25</v>
      </c>
      <c r="K69" s="3" t="s">
        <v>376</v>
      </c>
      <c r="L69" s="3" t="s">
        <v>377</v>
      </c>
      <c r="M69" s="3" t="s">
        <v>50</v>
      </c>
      <c r="N69" s="3" t="s">
        <v>378</v>
      </c>
      <c r="O69" s="3">
        <v>514464</v>
      </c>
      <c r="P69" s="3" t="s">
        <v>29</v>
      </c>
      <c r="Q69" s="4">
        <v>43482</v>
      </c>
      <c r="R69" s="3" t="s">
        <v>30</v>
      </c>
      <c r="S69" s="3" t="s">
        <v>379</v>
      </c>
    </row>
    <row r="70" spans="1:19" ht="27.75">
      <c r="A70" s="3">
        <v>64</v>
      </c>
      <c r="B70" s="3" t="str">
        <f>"201500167358"</f>
        <v>201500167358</v>
      </c>
      <c r="C70" s="3">
        <v>119013</v>
      </c>
      <c r="D70" s="3" t="s">
        <v>380</v>
      </c>
      <c r="E70" s="3">
        <v>20100010136</v>
      </c>
      <c r="F70" s="3" t="s">
        <v>381</v>
      </c>
      <c r="G70" s="3" t="s">
        <v>382</v>
      </c>
      <c r="H70" s="3" t="s">
        <v>70</v>
      </c>
      <c r="I70" s="3" t="s">
        <v>71</v>
      </c>
      <c r="J70" s="3" t="s">
        <v>72</v>
      </c>
      <c r="K70" s="3" t="s">
        <v>383</v>
      </c>
      <c r="L70" s="3" t="s">
        <v>384</v>
      </c>
      <c r="M70" s="3" t="s">
        <v>64</v>
      </c>
      <c r="N70" s="3" t="s">
        <v>385</v>
      </c>
      <c r="O70" s="3">
        <v>1500</v>
      </c>
      <c r="P70" s="3" t="s">
        <v>29</v>
      </c>
      <c r="Q70" s="4">
        <v>42398</v>
      </c>
      <c r="R70" s="3" t="s">
        <v>30</v>
      </c>
      <c r="S70" s="3" t="s">
        <v>386</v>
      </c>
    </row>
    <row r="71" spans="1:19" ht="27.75">
      <c r="A71" s="3">
        <v>65</v>
      </c>
      <c r="B71" s="3" t="str">
        <f>"201700079255"</f>
        <v>201700079255</v>
      </c>
      <c r="C71" s="3">
        <v>124128</v>
      </c>
      <c r="D71" s="3" t="s">
        <v>387</v>
      </c>
      <c r="E71" s="3">
        <v>20103912297</v>
      </c>
      <c r="F71" s="3" t="s">
        <v>388</v>
      </c>
      <c r="G71" s="3" t="s">
        <v>389</v>
      </c>
      <c r="H71" s="3" t="s">
        <v>23</v>
      </c>
      <c r="I71" s="3" t="s">
        <v>24</v>
      </c>
      <c r="J71" s="3" t="s">
        <v>43</v>
      </c>
      <c r="K71" s="3" t="s">
        <v>390</v>
      </c>
      <c r="L71" s="3" t="s">
        <v>391</v>
      </c>
      <c r="M71" s="3" t="s">
        <v>50</v>
      </c>
      <c r="N71" s="3" t="s">
        <v>84</v>
      </c>
      <c r="O71" s="3">
        <v>130598</v>
      </c>
      <c r="P71" s="3" t="s">
        <v>29</v>
      </c>
      <c r="Q71" s="4">
        <v>42893</v>
      </c>
      <c r="R71" s="3" t="s">
        <v>30</v>
      </c>
      <c r="S71" s="3" t="s">
        <v>392</v>
      </c>
    </row>
    <row r="72" spans="1:19" ht="27.75">
      <c r="A72" s="3">
        <v>66</v>
      </c>
      <c r="B72" s="3" t="str">
        <f>"201500137031"</f>
        <v>201500137031</v>
      </c>
      <c r="C72" s="3">
        <v>117993</v>
      </c>
      <c r="D72" s="3" t="s">
        <v>393</v>
      </c>
      <c r="E72" s="3">
        <v>20493368614</v>
      </c>
      <c r="F72" s="3" t="s">
        <v>60</v>
      </c>
      <c r="G72" s="3" t="s">
        <v>61</v>
      </c>
      <c r="H72" s="3" t="s">
        <v>23</v>
      </c>
      <c r="I72" s="3" t="s">
        <v>24</v>
      </c>
      <c r="J72" s="3" t="s">
        <v>43</v>
      </c>
      <c r="K72" s="3" t="s">
        <v>394</v>
      </c>
      <c r="L72" s="3" t="s">
        <v>395</v>
      </c>
      <c r="M72" s="3" t="s">
        <v>64</v>
      </c>
      <c r="N72" s="3" t="s">
        <v>65</v>
      </c>
      <c r="O72" s="3">
        <v>1500</v>
      </c>
      <c r="P72" s="3" t="s">
        <v>29</v>
      </c>
      <c r="Q72" s="4">
        <v>42327</v>
      </c>
      <c r="R72" s="3" t="s">
        <v>30</v>
      </c>
      <c r="S72" s="3" t="s">
        <v>66</v>
      </c>
    </row>
    <row r="73" spans="1:19" ht="13.5">
      <c r="A73" s="3">
        <v>67</v>
      </c>
      <c r="B73" s="3" t="str">
        <f>"201500167355"</f>
        <v>201500167355</v>
      </c>
      <c r="C73" s="3">
        <v>119014</v>
      </c>
      <c r="D73" s="3" t="s">
        <v>396</v>
      </c>
      <c r="E73" s="3">
        <v>20100010136</v>
      </c>
      <c r="F73" s="3" t="s">
        <v>397</v>
      </c>
      <c r="G73" s="3" t="s">
        <v>398</v>
      </c>
      <c r="H73" s="3" t="s">
        <v>70</v>
      </c>
      <c r="I73" s="3" t="s">
        <v>71</v>
      </c>
      <c r="J73" s="3" t="s">
        <v>72</v>
      </c>
      <c r="K73" s="3" t="s">
        <v>399</v>
      </c>
      <c r="L73" s="3" t="s">
        <v>400</v>
      </c>
      <c r="M73" s="3" t="s">
        <v>64</v>
      </c>
      <c r="N73" s="3" t="s">
        <v>401</v>
      </c>
      <c r="O73" s="3">
        <v>1500</v>
      </c>
      <c r="P73" s="3" t="s">
        <v>29</v>
      </c>
      <c r="Q73" s="4">
        <v>42397</v>
      </c>
      <c r="R73" s="3" t="s">
        <v>30</v>
      </c>
      <c r="S73" s="3" t="s">
        <v>386</v>
      </c>
    </row>
    <row r="74" spans="1:19" ht="13.5">
      <c r="A74" s="3">
        <v>68</v>
      </c>
      <c r="B74" s="3" t="str">
        <f>"201500023441"</f>
        <v>201500023441</v>
      </c>
      <c r="C74" s="3">
        <v>114028</v>
      </c>
      <c r="D74" s="3" t="s">
        <v>402</v>
      </c>
      <c r="E74" s="3">
        <v>20393276607</v>
      </c>
      <c r="F74" s="3" t="s">
        <v>403</v>
      </c>
      <c r="G74" s="3" t="s">
        <v>404</v>
      </c>
      <c r="H74" s="3" t="s">
        <v>70</v>
      </c>
      <c r="I74" s="3" t="s">
        <v>71</v>
      </c>
      <c r="J74" s="3" t="s">
        <v>72</v>
      </c>
      <c r="K74" s="3" t="s">
        <v>405</v>
      </c>
      <c r="L74" s="3" t="s">
        <v>406</v>
      </c>
      <c r="M74" s="3" t="s">
        <v>75</v>
      </c>
      <c r="N74" s="3" t="s">
        <v>155</v>
      </c>
      <c r="O74" s="3">
        <v>5500</v>
      </c>
      <c r="P74" s="3" t="s">
        <v>29</v>
      </c>
      <c r="Q74" s="4">
        <v>42072</v>
      </c>
      <c r="R74" s="3" t="s">
        <v>30</v>
      </c>
      <c r="S74" s="3" t="s">
        <v>302</v>
      </c>
    </row>
    <row r="75" spans="1:19" ht="13.5">
      <c r="A75" s="3">
        <v>69</v>
      </c>
      <c r="B75" s="3" t="str">
        <f>"1174562"</f>
        <v>1174562</v>
      </c>
      <c r="C75" s="3">
        <v>13695</v>
      </c>
      <c r="D75" s="3">
        <v>1174562</v>
      </c>
      <c r="E75" s="3">
        <v>20366452533</v>
      </c>
      <c r="F75" s="3" t="s">
        <v>407</v>
      </c>
      <c r="G75" s="3" t="s">
        <v>408</v>
      </c>
      <c r="H75" s="3" t="s">
        <v>23</v>
      </c>
      <c r="I75" s="3" t="s">
        <v>24</v>
      </c>
      <c r="J75" s="3" t="s">
        <v>43</v>
      </c>
      <c r="K75" s="3" t="s">
        <v>409</v>
      </c>
      <c r="L75" s="3"/>
      <c r="M75" s="3"/>
      <c r="N75" s="3"/>
      <c r="O75" s="3">
        <v>138540</v>
      </c>
      <c r="P75" s="3" t="s">
        <v>29</v>
      </c>
      <c r="Q75" s="4">
        <v>35864</v>
      </c>
      <c r="R75" s="3" t="s">
        <v>30</v>
      </c>
      <c r="S75" s="3"/>
    </row>
    <row r="76" spans="1:19" ht="27.75">
      <c r="A76" s="3">
        <v>70</v>
      </c>
      <c r="B76" s="3" t="str">
        <f>"201500137034"</f>
        <v>201500137034</v>
      </c>
      <c r="C76" s="3">
        <v>117994</v>
      </c>
      <c r="D76" s="3" t="s">
        <v>410</v>
      </c>
      <c r="E76" s="3">
        <v>20493368614</v>
      </c>
      <c r="F76" s="3" t="s">
        <v>60</v>
      </c>
      <c r="G76" s="3" t="s">
        <v>61</v>
      </c>
      <c r="H76" s="3" t="s">
        <v>23</v>
      </c>
      <c r="I76" s="3" t="s">
        <v>24</v>
      </c>
      <c r="J76" s="3" t="s">
        <v>43</v>
      </c>
      <c r="K76" s="3" t="s">
        <v>411</v>
      </c>
      <c r="L76" s="3" t="s">
        <v>412</v>
      </c>
      <c r="M76" s="3" t="s">
        <v>64</v>
      </c>
      <c r="N76" s="3" t="s">
        <v>65</v>
      </c>
      <c r="O76" s="3">
        <v>1500</v>
      </c>
      <c r="P76" s="3" t="s">
        <v>29</v>
      </c>
      <c r="Q76" s="4">
        <v>42320</v>
      </c>
      <c r="R76" s="3" t="s">
        <v>30</v>
      </c>
      <c r="S76" s="3" t="s">
        <v>66</v>
      </c>
    </row>
    <row r="77" spans="1:19" ht="13.5">
      <c r="A77" s="3">
        <v>71</v>
      </c>
      <c r="B77" s="3" t="str">
        <f>"1140739"</f>
        <v>1140739</v>
      </c>
      <c r="C77" s="3">
        <v>13106</v>
      </c>
      <c r="D77" s="3">
        <v>1140739</v>
      </c>
      <c r="E77" s="3">
        <v>20128973169</v>
      </c>
      <c r="F77" s="3" t="s">
        <v>413</v>
      </c>
      <c r="G77" s="3" t="s">
        <v>284</v>
      </c>
      <c r="H77" s="3" t="s">
        <v>23</v>
      </c>
      <c r="I77" s="3" t="s">
        <v>24</v>
      </c>
      <c r="J77" s="3" t="s">
        <v>43</v>
      </c>
      <c r="K77" s="3" t="s">
        <v>414</v>
      </c>
      <c r="L77" s="3"/>
      <c r="M77" s="3"/>
      <c r="N77" s="3"/>
      <c r="O77" s="3">
        <v>63210</v>
      </c>
      <c r="P77" s="3" t="s">
        <v>29</v>
      </c>
      <c r="Q77" s="4">
        <v>35636</v>
      </c>
      <c r="R77" s="3" t="s">
        <v>30</v>
      </c>
      <c r="S77" s="3"/>
    </row>
    <row r="78" spans="1:19" ht="13.5">
      <c r="A78" s="3">
        <v>72</v>
      </c>
      <c r="B78" s="3" t="str">
        <f>"1175584"</f>
        <v>1175584</v>
      </c>
      <c r="C78" s="3">
        <v>13710</v>
      </c>
      <c r="D78" s="3">
        <v>1175584</v>
      </c>
      <c r="E78" s="3">
        <v>20114044726</v>
      </c>
      <c r="F78" s="3" t="s">
        <v>415</v>
      </c>
      <c r="G78" s="3" t="s">
        <v>416</v>
      </c>
      <c r="H78" s="3" t="s">
        <v>23</v>
      </c>
      <c r="I78" s="3" t="s">
        <v>24</v>
      </c>
      <c r="J78" s="3" t="s">
        <v>25</v>
      </c>
      <c r="K78" s="3" t="s">
        <v>417</v>
      </c>
      <c r="L78" s="3"/>
      <c r="M78" s="3"/>
      <c r="N78" s="3"/>
      <c r="O78" s="3">
        <v>248322</v>
      </c>
      <c r="P78" s="3" t="s">
        <v>29</v>
      </c>
      <c r="Q78" s="4">
        <v>35873</v>
      </c>
      <c r="R78" s="3" t="s">
        <v>30</v>
      </c>
      <c r="S78" s="3"/>
    </row>
    <row r="79" spans="1:19" ht="13.5">
      <c r="A79" s="3">
        <v>73</v>
      </c>
      <c r="B79" s="3" t="str">
        <f>"202000008055"</f>
        <v>202000008055</v>
      </c>
      <c r="C79" s="3">
        <v>148787</v>
      </c>
      <c r="D79" s="3" t="s">
        <v>418</v>
      </c>
      <c r="E79" s="3">
        <v>10001900809</v>
      </c>
      <c r="F79" s="3" t="s">
        <v>419</v>
      </c>
      <c r="G79" s="3" t="s">
        <v>420</v>
      </c>
      <c r="H79" s="3" t="s">
        <v>70</v>
      </c>
      <c r="I79" s="3" t="s">
        <v>421</v>
      </c>
      <c r="J79" s="3" t="s">
        <v>421</v>
      </c>
      <c r="K79" s="3" t="s">
        <v>422</v>
      </c>
      <c r="L79" s="3" t="s">
        <v>423</v>
      </c>
      <c r="M79" s="3" t="s">
        <v>50</v>
      </c>
      <c r="N79" s="3" t="s">
        <v>101</v>
      </c>
      <c r="O79" s="3">
        <v>22330</v>
      </c>
      <c r="P79" s="3" t="s">
        <v>29</v>
      </c>
      <c r="Q79" s="4">
        <v>43850</v>
      </c>
      <c r="R79" s="3" t="s">
        <v>30</v>
      </c>
      <c r="S79" s="3" t="s">
        <v>419</v>
      </c>
    </row>
    <row r="80" spans="1:19" ht="27.75">
      <c r="A80" s="3">
        <v>74</v>
      </c>
      <c r="B80" s="3" t="str">
        <f>"201400009460"</f>
        <v>201400009460</v>
      </c>
      <c r="C80" s="3">
        <v>106373</v>
      </c>
      <c r="D80" s="3" t="s">
        <v>424</v>
      </c>
      <c r="E80" s="3">
        <v>20563987163</v>
      </c>
      <c r="F80" s="3" t="s">
        <v>425</v>
      </c>
      <c r="G80" s="3" t="s">
        <v>426</v>
      </c>
      <c r="H80" s="3" t="s">
        <v>159</v>
      </c>
      <c r="I80" s="3" t="s">
        <v>427</v>
      </c>
      <c r="J80" s="3" t="s">
        <v>428</v>
      </c>
      <c r="K80" s="3" t="s">
        <v>429</v>
      </c>
      <c r="L80" s="3" t="s">
        <v>430</v>
      </c>
      <c r="M80" s="3" t="s">
        <v>163</v>
      </c>
      <c r="N80" s="3" t="s">
        <v>431</v>
      </c>
      <c r="O80" s="3">
        <v>3430</v>
      </c>
      <c r="P80" s="3" t="s">
        <v>29</v>
      </c>
      <c r="Q80" s="4">
        <v>41663</v>
      </c>
      <c r="R80" s="3" t="s">
        <v>30</v>
      </c>
      <c r="S80" s="3" t="s">
        <v>432</v>
      </c>
    </row>
    <row r="81" spans="1:19" ht="13.5">
      <c r="A81" s="3">
        <v>75</v>
      </c>
      <c r="B81" s="3" t="str">
        <f>"1149208"</f>
        <v>1149208</v>
      </c>
      <c r="C81" s="3">
        <v>13177</v>
      </c>
      <c r="D81" s="3" t="s">
        <v>433</v>
      </c>
      <c r="E81" s="3">
        <v>20103912297</v>
      </c>
      <c r="F81" s="3" t="s">
        <v>434</v>
      </c>
      <c r="G81" s="3" t="s">
        <v>435</v>
      </c>
      <c r="H81" s="3" t="s">
        <v>23</v>
      </c>
      <c r="I81" s="3" t="s">
        <v>24</v>
      </c>
      <c r="J81" s="3" t="s">
        <v>43</v>
      </c>
      <c r="K81" s="3" t="s">
        <v>436</v>
      </c>
      <c r="L81" s="3"/>
      <c r="M81" s="3"/>
      <c r="N81" s="3"/>
      <c r="O81" s="3">
        <v>210305</v>
      </c>
      <c r="P81" s="3" t="s">
        <v>29</v>
      </c>
      <c r="Q81" s="4">
        <v>35685</v>
      </c>
      <c r="R81" s="3" t="s">
        <v>30</v>
      </c>
      <c r="S81" s="3"/>
    </row>
    <row r="82" spans="1:19" ht="27.75">
      <c r="A82" s="3">
        <v>76</v>
      </c>
      <c r="B82" s="3" t="str">
        <f>"1571624"</f>
        <v>1571624</v>
      </c>
      <c r="C82" s="3">
        <v>42057</v>
      </c>
      <c r="D82" s="3" t="s">
        <v>437</v>
      </c>
      <c r="E82" s="3">
        <v>20280144496</v>
      </c>
      <c r="F82" s="3" t="s">
        <v>438</v>
      </c>
      <c r="G82" s="3" t="s">
        <v>439</v>
      </c>
      <c r="H82" s="3" t="s">
        <v>70</v>
      </c>
      <c r="I82" s="3" t="s">
        <v>71</v>
      </c>
      <c r="J82" s="3" t="s">
        <v>72</v>
      </c>
      <c r="K82" s="3" t="s">
        <v>440</v>
      </c>
      <c r="L82" s="3"/>
      <c r="M82" s="3"/>
      <c r="N82" s="3"/>
      <c r="O82" s="3">
        <v>25300</v>
      </c>
      <c r="P82" s="3" t="s">
        <v>29</v>
      </c>
      <c r="Q82" s="4">
        <v>38664</v>
      </c>
      <c r="R82" s="3" t="s">
        <v>30</v>
      </c>
      <c r="S82" s="3"/>
    </row>
    <row r="83" spans="1:19" ht="13.5">
      <c r="A83" s="3">
        <v>77</v>
      </c>
      <c r="B83" s="3" t="str">
        <f>"201400016567"</f>
        <v>201400016567</v>
      </c>
      <c r="C83" s="3">
        <v>85314</v>
      </c>
      <c r="D83" s="3" t="s">
        <v>441</v>
      </c>
      <c r="E83" s="3">
        <v>20280300021</v>
      </c>
      <c r="F83" s="3" t="s">
        <v>442</v>
      </c>
      <c r="G83" s="3" t="s">
        <v>443</v>
      </c>
      <c r="H83" s="3" t="s">
        <v>23</v>
      </c>
      <c r="I83" s="3" t="s">
        <v>24</v>
      </c>
      <c r="J83" s="3" t="s">
        <v>25</v>
      </c>
      <c r="K83" s="3" t="s">
        <v>444</v>
      </c>
      <c r="L83" s="3" t="s">
        <v>445</v>
      </c>
      <c r="M83" s="3" t="s">
        <v>75</v>
      </c>
      <c r="N83" s="3"/>
      <c r="O83" s="3">
        <v>79548</v>
      </c>
      <c r="P83" s="3" t="s">
        <v>29</v>
      </c>
      <c r="Q83" s="4">
        <v>41711</v>
      </c>
      <c r="R83" s="3" t="s">
        <v>30</v>
      </c>
      <c r="S83" s="3" t="s">
        <v>446</v>
      </c>
    </row>
    <row r="84" spans="1:19" ht="27.75">
      <c r="A84" s="3">
        <v>78</v>
      </c>
      <c r="B84" s="3" t="str">
        <f>"201700136995"</f>
        <v>201700136995</v>
      </c>
      <c r="C84" s="3">
        <v>121029</v>
      </c>
      <c r="D84" s="3" t="s">
        <v>447</v>
      </c>
      <c r="E84" s="3">
        <v>20393443783</v>
      </c>
      <c r="F84" s="3" t="s">
        <v>277</v>
      </c>
      <c r="G84" s="3" t="s">
        <v>278</v>
      </c>
      <c r="H84" s="3" t="s">
        <v>70</v>
      </c>
      <c r="I84" s="3" t="s">
        <v>71</v>
      </c>
      <c r="J84" s="3" t="s">
        <v>72</v>
      </c>
      <c r="K84" s="3" t="s">
        <v>448</v>
      </c>
      <c r="L84" s="3" t="s">
        <v>449</v>
      </c>
      <c r="M84" s="3" t="s">
        <v>75</v>
      </c>
      <c r="N84" s="3" t="s">
        <v>281</v>
      </c>
      <c r="O84" s="3">
        <v>30250</v>
      </c>
      <c r="P84" s="3" t="s">
        <v>29</v>
      </c>
      <c r="Q84" s="4">
        <v>42991</v>
      </c>
      <c r="R84" s="3" t="s">
        <v>30</v>
      </c>
      <c r="S84" s="3" t="s">
        <v>282</v>
      </c>
    </row>
    <row r="85" spans="1:19" ht="13.5">
      <c r="A85" s="3">
        <v>79</v>
      </c>
      <c r="B85" s="3" t="str">
        <f>"201500061889"</f>
        <v>201500061889</v>
      </c>
      <c r="C85" s="3">
        <v>114222</v>
      </c>
      <c r="D85" s="3" t="s">
        <v>450</v>
      </c>
      <c r="E85" s="3">
        <v>20493584589</v>
      </c>
      <c r="F85" s="3" t="s">
        <v>451</v>
      </c>
      <c r="G85" s="3" t="s">
        <v>452</v>
      </c>
      <c r="H85" s="3" t="s">
        <v>23</v>
      </c>
      <c r="I85" s="3" t="s">
        <v>24</v>
      </c>
      <c r="J85" s="3" t="s">
        <v>453</v>
      </c>
      <c r="K85" s="3" t="s">
        <v>454</v>
      </c>
      <c r="L85" s="3" t="s">
        <v>455</v>
      </c>
      <c r="M85" s="3" t="s">
        <v>75</v>
      </c>
      <c r="N85" s="3" t="s">
        <v>155</v>
      </c>
      <c r="O85" s="3">
        <v>63258</v>
      </c>
      <c r="P85" s="3" t="s">
        <v>29</v>
      </c>
      <c r="Q85" s="4">
        <v>42174</v>
      </c>
      <c r="R85" s="3" t="s">
        <v>30</v>
      </c>
      <c r="S85" s="3" t="s">
        <v>456</v>
      </c>
    </row>
    <row r="86" spans="1:19" ht="13.5">
      <c r="A86" s="3">
        <v>80</v>
      </c>
      <c r="B86" s="3" t="str">
        <f>"201800131386"</f>
        <v>201800131386</v>
      </c>
      <c r="C86" s="3">
        <v>137946</v>
      </c>
      <c r="D86" s="3" t="s">
        <v>457</v>
      </c>
      <c r="E86" s="3">
        <v>20601553270</v>
      </c>
      <c r="F86" s="3" t="s">
        <v>458</v>
      </c>
      <c r="G86" s="3" t="s">
        <v>459</v>
      </c>
      <c r="H86" s="3" t="s">
        <v>23</v>
      </c>
      <c r="I86" s="3" t="s">
        <v>23</v>
      </c>
      <c r="J86" s="3" t="s">
        <v>460</v>
      </c>
      <c r="K86" s="3" t="s">
        <v>461</v>
      </c>
      <c r="L86" s="3" t="s">
        <v>462</v>
      </c>
      <c r="M86" s="3" t="s">
        <v>64</v>
      </c>
      <c r="N86" s="3" t="s">
        <v>136</v>
      </c>
      <c r="O86" s="3">
        <v>4800</v>
      </c>
      <c r="P86" s="3" t="s">
        <v>29</v>
      </c>
      <c r="Q86" s="4">
        <v>43329</v>
      </c>
      <c r="R86" s="3" t="s">
        <v>30</v>
      </c>
      <c r="S86" s="3" t="s">
        <v>463</v>
      </c>
    </row>
    <row r="87" spans="1:19" ht="13.5">
      <c r="A87" s="3">
        <v>81</v>
      </c>
      <c r="B87" s="3" t="str">
        <f>"201300144281"</f>
        <v>201300144281</v>
      </c>
      <c r="C87" s="3">
        <v>105148</v>
      </c>
      <c r="D87" s="3" t="s">
        <v>464</v>
      </c>
      <c r="E87" s="3">
        <v>20393718715</v>
      </c>
      <c r="F87" s="3" t="s">
        <v>465</v>
      </c>
      <c r="G87" s="3" t="s">
        <v>317</v>
      </c>
      <c r="H87" s="3" t="s">
        <v>70</v>
      </c>
      <c r="I87" s="3" t="s">
        <v>71</v>
      </c>
      <c r="J87" s="3" t="s">
        <v>72</v>
      </c>
      <c r="K87" s="3" t="s">
        <v>466</v>
      </c>
      <c r="L87" s="3" t="s">
        <v>467</v>
      </c>
      <c r="M87" s="3" t="s">
        <v>50</v>
      </c>
      <c r="N87" s="3"/>
      <c r="O87" s="3">
        <v>501140</v>
      </c>
      <c r="P87" s="3" t="s">
        <v>29</v>
      </c>
      <c r="Q87" s="4">
        <v>41561</v>
      </c>
      <c r="R87" s="3" t="s">
        <v>30</v>
      </c>
      <c r="S87" s="3" t="s">
        <v>314</v>
      </c>
    </row>
    <row r="88" spans="1:19" ht="27.75">
      <c r="A88" s="3">
        <v>82</v>
      </c>
      <c r="B88" s="3" t="str">
        <f>"201500083736"</f>
        <v>201500083736</v>
      </c>
      <c r="C88" s="3">
        <v>116124</v>
      </c>
      <c r="D88" s="3" t="s">
        <v>468</v>
      </c>
      <c r="E88" s="3">
        <v>10001597553</v>
      </c>
      <c r="F88" s="3" t="s">
        <v>469</v>
      </c>
      <c r="G88" s="3" t="s">
        <v>470</v>
      </c>
      <c r="H88" s="3" t="s">
        <v>70</v>
      </c>
      <c r="I88" s="3" t="s">
        <v>89</v>
      </c>
      <c r="J88" s="3" t="s">
        <v>90</v>
      </c>
      <c r="K88" s="3" t="s">
        <v>471</v>
      </c>
      <c r="L88" s="3" t="s">
        <v>472</v>
      </c>
      <c r="M88" s="3" t="s">
        <v>93</v>
      </c>
      <c r="N88" s="3" t="s">
        <v>94</v>
      </c>
      <c r="O88" s="3">
        <v>7500</v>
      </c>
      <c r="P88" s="3" t="s">
        <v>29</v>
      </c>
      <c r="Q88" s="4">
        <v>42225</v>
      </c>
      <c r="R88" s="3" t="s">
        <v>30</v>
      </c>
      <c r="S88" s="3" t="s">
        <v>469</v>
      </c>
    </row>
    <row r="89" spans="1:19" ht="42">
      <c r="A89" s="3">
        <v>83</v>
      </c>
      <c r="B89" s="3" t="str">
        <f>"201700204552"</f>
        <v>201700204552</v>
      </c>
      <c r="C89" s="3">
        <v>113588</v>
      </c>
      <c r="D89" s="3" t="s">
        <v>473</v>
      </c>
      <c r="E89" s="3">
        <v>20528343687</v>
      </c>
      <c r="F89" s="3" t="s">
        <v>375</v>
      </c>
      <c r="G89" s="3" t="s">
        <v>474</v>
      </c>
      <c r="H89" s="3" t="s">
        <v>23</v>
      </c>
      <c r="I89" s="3" t="s">
        <v>24</v>
      </c>
      <c r="J89" s="3" t="s">
        <v>25</v>
      </c>
      <c r="K89" s="3" t="s">
        <v>475</v>
      </c>
      <c r="L89" s="3" t="s">
        <v>476</v>
      </c>
      <c r="M89" s="3" t="s">
        <v>75</v>
      </c>
      <c r="N89" s="3" t="s">
        <v>378</v>
      </c>
      <c r="O89" s="3">
        <v>339360</v>
      </c>
      <c r="P89" s="3" t="s">
        <v>29</v>
      </c>
      <c r="Q89" s="4">
        <v>43073</v>
      </c>
      <c r="R89" s="3" t="s">
        <v>30</v>
      </c>
      <c r="S89" s="3" t="s">
        <v>379</v>
      </c>
    </row>
    <row r="90" spans="1:19" ht="13.5">
      <c r="A90" s="3">
        <v>84</v>
      </c>
      <c r="B90" s="3" t="str">
        <f>"1972019"</f>
        <v>1972019</v>
      </c>
      <c r="C90" s="3">
        <v>40300</v>
      </c>
      <c r="D90" s="3" t="s">
        <v>477</v>
      </c>
      <c r="E90" s="3">
        <v>20393276607</v>
      </c>
      <c r="F90" s="3" t="s">
        <v>403</v>
      </c>
      <c r="G90" s="3" t="s">
        <v>478</v>
      </c>
      <c r="H90" s="3" t="s">
        <v>70</v>
      </c>
      <c r="I90" s="3" t="s">
        <v>71</v>
      </c>
      <c r="J90" s="3" t="s">
        <v>72</v>
      </c>
      <c r="K90" s="3" t="s">
        <v>479</v>
      </c>
      <c r="L90" s="3"/>
      <c r="M90" s="3"/>
      <c r="N90" s="3"/>
      <c r="O90" s="3">
        <v>24609</v>
      </c>
      <c r="P90" s="3" t="s">
        <v>29</v>
      </c>
      <c r="Q90" s="4">
        <v>40235</v>
      </c>
      <c r="R90" s="3" t="s">
        <v>30</v>
      </c>
      <c r="S90" s="3"/>
    </row>
    <row r="91" spans="1:19" ht="13.5">
      <c r="A91" s="3">
        <v>85</v>
      </c>
      <c r="B91" s="3" t="str">
        <f>"1447891"</f>
        <v>1447891</v>
      </c>
      <c r="C91" s="3">
        <v>37914</v>
      </c>
      <c r="D91" s="3" t="s">
        <v>480</v>
      </c>
      <c r="E91" s="3">
        <v>20304177552</v>
      </c>
      <c r="F91" s="3" t="s">
        <v>352</v>
      </c>
      <c r="G91" s="3" t="s">
        <v>367</v>
      </c>
      <c r="H91" s="3" t="s">
        <v>242</v>
      </c>
      <c r="I91" s="3" t="s">
        <v>242</v>
      </c>
      <c r="J91" s="3" t="s">
        <v>354</v>
      </c>
      <c r="K91" s="3" t="s">
        <v>481</v>
      </c>
      <c r="L91" s="3"/>
      <c r="M91" s="3"/>
      <c r="N91" s="3"/>
      <c r="O91" s="3">
        <v>42090</v>
      </c>
      <c r="P91" s="3" t="s">
        <v>29</v>
      </c>
      <c r="Q91" s="4">
        <v>38005</v>
      </c>
      <c r="R91" s="3" t="s">
        <v>30</v>
      </c>
      <c r="S91" s="3"/>
    </row>
    <row r="92" spans="1:19" ht="27.75">
      <c r="A92" s="3">
        <v>86</v>
      </c>
      <c r="B92" s="3" t="str">
        <f>"201500149495"</f>
        <v>201500149495</v>
      </c>
      <c r="C92" s="3">
        <v>116494</v>
      </c>
      <c r="D92" s="3" t="s">
        <v>482</v>
      </c>
      <c r="E92" s="3">
        <v>10422519438</v>
      </c>
      <c r="F92" s="3" t="s">
        <v>483</v>
      </c>
      <c r="G92" s="3" t="s">
        <v>119</v>
      </c>
      <c r="H92" s="3" t="s">
        <v>70</v>
      </c>
      <c r="I92" s="3" t="s">
        <v>89</v>
      </c>
      <c r="J92" s="3" t="s">
        <v>90</v>
      </c>
      <c r="K92" s="3" t="s">
        <v>484</v>
      </c>
      <c r="L92" s="3" t="s">
        <v>485</v>
      </c>
      <c r="M92" s="3" t="s">
        <v>93</v>
      </c>
      <c r="N92" s="3" t="s">
        <v>94</v>
      </c>
      <c r="O92" s="3">
        <v>3500</v>
      </c>
      <c r="P92" s="3" t="s">
        <v>29</v>
      </c>
      <c r="Q92" s="4">
        <v>42375</v>
      </c>
      <c r="R92" s="3" t="s">
        <v>30</v>
      </c>
      <c r="S92" s="3" t="s">
        <v>483</v>
      </c>
    </row>
    <row r="93" spans="1:19" ht="27.75">
      <c r="A93" s="3">
        <v>87</v>
      </c>
      <c r="B93" s="3" t="str">
        <f>"201900187589"</f>
        <v>201900187589</v>
      </c>
      <c r="C93" s="3">
        <v>141726</v>
      </c>
      <c r="D93" s="3" t="s">
        <v>486</v>
      </c>
      <c r="E93" s="3">
        <v>20280300021</v>
      </c>
      <c r="F93" s="3" t="s">
        <v>53</v>
      </c>
      <c r="G93" s="3" t="s">
        <v>237</v>
      </c>
      <c r="H93" s="3" t="s">
        <v>23</v>
      </c>
      <c r="I93" s="3" t="s">
        <v>24</v>
      </c>
      <c r="J93" s="3" t="s">
        <v>25</v>
      </c>
      <c r="K93" s="3" t="s">
        <v>487</v>
      </c>
      <c r="L93" s="3" t="s">
        <v>488</v>
      </c>
      <c r="M93" s="3" t="s">
        <v>50</v>
      </c>
      <c r="N93" s="3" t="s">
        <v>57</v>
      </c>
      <c r="O93" s="3">
        <v>866455.38</v>
      </c>
      <c r="P93" s="3" t="s">
        <v>29</v>
      </c>
      <c r="Q93" s="4">
        <v>43787</v>
      </c>
      <c r="R93" s="3" t="s">
        <v>30</v>
      </c>
      <c r="S93" s="3" t="s">
        <v>58</v>
      </c>
    </row>
    <row r="94" spans="1:19" ht="13.5">
      <c r="A94" s="3">
        <v>88</v>
      </c>
      <c r="B94" s="3" t="str">
        <f>"1447895"</f>
        <v>1447895</v>
      </c>
      <c r="C94" s="3">
        <v>37913</v>
      </c>
      <c r="D94" s="3" t="s">
        <v>489</v>
      </c>
      <c r="E94" s="3">
        <v>20304177552</v>
      </c>
      <c r="F94" s="3" t="s">
        <v>352</v>
      </c>
      <c r="G94" s="3" t="s">
        <v>367</v>
      </c>
      <c r="H94" s="3" t="s">
        <v>242</v>
      </c>
      <c r="I94" s="3" t="s">
        <v>242</v>
      </c>
      <c r="J94" s="3" t="s">
        <v>354</v>
      </c>
      <c r="K94" s="3" t="s">
        <v>490</v>
      </c>
      <c r="L94" s="3"/>
      <c r="M94" s="3"/>
      <c r="N94" s="3"/>
      <c r="O94" s="3">
        <v>42090</v>
      </c>
      <c r="P94" s="3" t="s">
        <v>29</v>
      </c>
      <c r="Q94" s="4">
        <v>38006</v>
      </c>
      <c r="R94" s="3" t="s">
        <v>30</v>
      </c>
      <c r="S94" s="3"/>
    </row>
    <row r="95" spans="1:19" ht="42">
      <c r="A95" s="3">
        <v>89</v>
      </c>
      <c r="B95" s="3" t="str">
        <f>"201700204558"</f>
        <v>201700204558</v>
      </c>
      <c r="C95" s="3">
        <v>113589</v>
      </c>
      <c r="D95" s="3" t="s">
        <v>491</v>
      </c>
      <c r="E95" s="3">
        <v>20528343687</v>
      </c>
      <c r="F95" s="3" t="s">
        <v>375</v>
      </c>
      <c r="G95" s="3" t="s">
        <v>492</v>
      </c>
      <c r="H95" s="3" t="s">
        <v>23</v>
      </c>
      <c r="I95" s="3" t="s">
        <v>24</v>
      </c>
      <c r="J95" s="3" t="s">
        <v>25</v>
      </c>
      <c r="K95" s="3" t="s">
        <v>493</v>
      </c>
      <c r="L95" s="3" t="s">
        <v>494</v>
      </c>
      <c r="M95" s="3" t="s">
        <v>75</v>
      </c>
      <c r="N95" s="3" t="s">
        <v>378</v>
      </c>
      <c r="O95" s="3">
        <v>339360</v>
      </c>
      <c r="P95" s="3" t="s">
        <v>29</v>
      </c>
      <c r="Q95" s="4">
        <v>43073</v>
      </c>
      <c r="R95" s="3" t="s">
        <v>30</v>
      </c>
      <c r="S95" s="3" t="s">
        <v>379</v>
      </c>
    </row>
    <row r="96" spans="1:19" ht="13.5">
      <c r="A96" s="3">
        <v>90</v>
      </c>
      <c r="B96" s="3" t="str">
        <f>"201800057288"</f>
        <v>201800057288</v>
      </c>
      <c r="C96" s="3">
        <v>135495</v>
      </c>
      <c r="D96" s="3" t="s">
        <v>495</v>
      </c>
      <c r="E96" s="3">
        <v>10001526893</v>
      </c>
      <c r="F96" s="3" t="s">
        <v>496</v>
      </c>
      <c r="G96" s="3" t="s">
        <v>497</v>
      </c>
      <c r="H96" s="3" t="s">
        <v>70</v>
      </c>
      <c r="I96" s="3" t="s">
        <v>71</v>
      </c>
      <c r="J96" s="3" t="s">
        <v>72</v>
      </c>
      <c r="K96" s="3" t="s">
        <v>498</v>
      </c>
      <c r="L96" s="3" t="s">
        <v>499</v>
      </c>
      <c r="M96" s="3" t="s">
        <v>75</v>
      </c>
      <c r="N96" s="3" t="s">
        <v>500</v>
      </c>
      <c r="O96" s="3">
        <v>33440</v>
      </c>
      <c r="P96" s="3" t="s">
        <v>29</v>
      </c>
      <c r="Q96" s="4">
        <v>43201</v>
      </c>
      <c r="R96" s="3" t="s">
        <v>30</v>
      </c>
      <c r="S96" s="3" t="s">
        <v>496</v>
      </c>
    </row>
    <row r="97" spans="1:19" ht="27.75">
      <c r="A97" s="3">
        <v>91</v>
      </c>
      <c r="B97" s="3" t="str">
        <f>"201700079245"</f>
        <v>201700079245</v>
      </c>
      <c r="C97" s="3">
        <v>124129</v>
      </c>
      <c r="D97" s="3" t="s">
        <v>501</v>
      </c>
      <c r="E97" s="3">
        <v>20103912297</v>
      </c>
      <c r="F97" s="3" t="s">
        <v>388</v>
      </c>
      <c r="G97" s="3" t="s">
        <v>389</v>
      </c>
      <c r="H97" s="3" t="s">
        <v>23</v>
      </c>
      <c r="I97" s="3" t="s">
        <v>24</v>
      </c>
      <c r="J97" s="3" t="s">
        <v>43</v>
      </c>
      <c r="K97" s="3" t="s">
        <v>502</v>
      </c>
      <c r="L97" s="3" t="s">
        <v>503</v>
      </c>
      <c r="M97" s="3" t="s">
        <v>50</v>
      </c>
      <c r="N97" s="3" t="s">
        <v>84</v>
      </c>
      <c r="O97" s="3">
        <v>130598</v>
      </c>
      <c r="P97" s="3" t="s">
        <v>29</v>
      </c>
      <c r="Q97" s="4">
        <v>42894</v>
      </c>
      <c r="R97" s="3" t="s">
        <v>30</v>
      </c>
      <c r="S97" s="3" t="s">
        <v>392</v>
      </c>
    </row>
    <row r="98" spans="1:19" ht="13.5">
      <c r="A98" s="3">
        <v>92</v>
      </c>
      <c r="B98" s="3" t="str">
        <f>"202000111376"</f>
        <v>202000111376</v>
      </c>
      <c r="C98" s="3">
        <v>119586</v>
      </c>
      <c r="D98" s="3" t="s">
        <v>504</v>
      </c>
      <c r="E98" s="3">
        <v>20393303931</v>
      </c>
      <c r="F98" s="3" t="s">
        <v>505</v>
      </c>
      <c r="G98" s="3" t="s">
        <v>506</v>
      </c>
      <c r="H98" s="3" t="s">
        <v>70</v>
      </c>
      <c r="I98" s="3" t="s">
        <v>71</v>
      </c>
      <c r="J98" s="3" t="s">
        <v>72</v>
      </c>
      <c r="K98" s="3" t="s">
        <v>507</v>
      </c>
      <c r="L98" s="3" t="s">
        <v>508</v>
      </c>
      <c r="M98" s="3" t="s">
        <v>50</v>
      </c>
      <c r="N98" s="3" t="s">
        <v>290</v>
      </c>
      <c r="O98" s="3">
        <v>177840</v>
      </c>
      <c r="P98" s="3" t="s">
        <v>29</v>
      </c>
      <c r="Q98" s="4">
        <v>44077</v>
      </c>
      <c r="R98" s="3" t="s">
        <v>30</v>
      </c>
      <c r="S98" s="3" t="s">
        <v>509</v>
      </c>
    </row>
    <row r="99" spans="1:19" ht="27.75">
      <c r="A99" s="3">
        <v>93</v>
      </c>
      <c r="B99" s="3" t="str">
        <f>"201900116832"</f>
        <v>201900116832</v>
      </c>
      <c r="C99" s="3">
        <v>145344</v>
      </c>
      <c r="D99" s="3" t="s">
        <v>510</v>
      </c>
      <c r="E99" s="3">
        <v>10053775883</v>
      </c>
      <c r="F99" s="3" t="s">
        <v>511</v>
      </c>
      <c r="G99" s="3" t="s">
        <v>512</v>
      </c>
      <c r="H99" s="3" t="s">
        <v>70</v>
      </c>
      <c r="I99" s="3" t="s">
        <v>71</v>
      </c>
      <c r="J99" s="3" t="s">
        <v>513</v>
      </c>
      <c r="K99" s="3" t="s">
        <v>514</v>
      </c>
      <c r="L99" s="3" t="s">
        <v>515</v>
      </c>
      <c r="M99" s="3" t="s">
        <v>64</v>
      </c>
      <c r="N99" s="3" t="s">
        <v>516</v>
      </c>
      <c r="O99" s="3">
        <v>3410</v>
      </c>
      <c r="P99" s="3" t="s">
        <v>29</v>
      </c>
      <c r="Q99" s="4">
        <v>43668</v>
      </c>
      <c r="R99" s="3" t="s">
        <v>30</v>
      </c>
      <c r="S99" s="3" t="s">
        <v>511</v>
      </c>
    </row>
    <row r="100" spans="1:19" ht="13.5">
      <c r="A100" s="3">
        <v>94</v>
      </c>
      <c r="B100" s="3" t="str">
        <f>"201600105038"</f>
        <v>201600105038</v>
      </c>
      <c r="C100" s="3">
        <v>122810</v>
      </c>
      <c r="D100" s="3" t="s">
        <v>517</v>
      </c>
      <c r="E100" s="3">
        <v>20393443783</v>
      </c>
      <c r="F100" s="3" t="s">
        <v>518</v>
      </c>
      <c r="G100" s="3" t="s">
        <v>519</v>
      </c>
      <c r="H100" s="3" t="s">
        <v>70</v>
      </c>
      <c r="I100" s="3" t="s">
        <v>71</v>
      </c>
      <c r="J100" s="3" t="s">
        <v>72</v>
      </c>
      <c r="K100" s="3" t="s">
        <v>520</v>
      </c>
      <c r="L100" s="3" t="s">
        <v>521</v>
      </c>
      <c r="M100" s="3" t="s">
        <v>522</v>
      </c>
      <c r="N100" s="3" t="s">
        <v>500</v>
      </c>
      <c r="O100" s="3">
        <v>6340</v>
      </c>
      <c r="P100" s="3" t="s">
        <v>29</v>
      </c>
      <c r="Q100" s="4">
        <v>42592</v>
      </c>
      <c r="R100" s="3" t="s">
        <v>30</v>
      </c>
      <c r="S100" s="3" t="s">
        <v>282</v>
      </c>
    </row>
    <row r="101" spans="1:19" ht="13.5">
      <c r="A101" s="3">
        <v>95</v>
      </c>
      <c r="B101" s="3" t="str">
        <f>"1447866"</f>
        <v>1447866</v>
      </c>
      <c r="C101" s="3">
        <v>34753</v>
      </c>
      <c r="D101" s="3" t="s">
        <v>523</v>
      </c>
      <c r="E101" s="3">
        <v>20304177552</v>
      </c>
      <c r="F101" s="3" t="s">
        <v>352</v>
      </c>
      <c r="G101" s="3" t="s">
        <v>524</v>
      </c>
      <c r="H101" s="3" t="s">
        <v>242</v>
      </c>
      <c r="I101" s="3" t="s">
        <v>242</v>
      </c>
      <c r="J101" s="3" t="s">
        <v>354</v>
      </c>
      <c r="K101" s="3" t="s">
        <v>525</v>
      </c>
      <c r="L101" s="3"/>
      <c r="M101" s="3"/>
      <c r="N101" s="3"/>
      <c r="O101" s="3">
        <v>42090</v>
      </c>
      <c r="P101" s="3" t="s">
        <v>29</v>
      </c>
      <c r="Q101" s="4">
        <v>38005</v>
      </c>
      <c r="R101" s="3" t="s">
        <v>30</v>
      </c>
      <c r="S101" s="3"/>
    </row>
    <row r="102" spans="1:19" ht="13.5">
      <c r="A102" s="3">
        <v>96</v>
      </c>
      <c r="B102" s="3" t="str">
        <f>"201400033550"</f>
        <v>201400033550</v>
      </c>
      <c r="C102" s="3">
        <v>108470</v>
      </c>
      <c r="D102" s="3" t="s">
        <v>526</v>
      </c>
      <c r="E102" s="3">
        <v>20528464042</v>
      </c>
      <c r="F102" s="3" t="s">
        <v>186</v>
      </c>
      <c r="G102" s="3" t="s">
        <v>187</v>
      </c>
      <c r="H102" s="3" t="s">
        <v>23</v>
      </c>
      <c r="I102" s="3" t="s">
        <v>24</v>
      </c>
      <c r="J102" s="3" t="s">
        <v>43</v>
      </c>
      <c r="K102" s="3" t="s">
        <v>527</v>
      </c>
      <c r="L102" s="3" t="s">
        <v>528</v>
      </c>
      <c r="M102" s="3" t="s">
        <v>50</v>
      </c>
      <c r="N102" s="3" t="s">
        <v>529</v>
      </c>
      <c r="O102" s="3">
        <v>497874</v>
      </c>
      <c r="P102" s="3" t="s">
        <v>29</v>
      </c>
      <c r="Q102" s="4">
        <v>41754</v>
      </c>
      <c r="R102" s="3" t="s">
        <v>30</v>
      </c>
      <c r="S102" s="3" t="s">
        <v>116</v>
      </c>
    </row>
    <row r="103" spans="1:19" ht="27.75">
      <c r="A103" s="3">
        <v>97</v>
      </c>
      <c r="B103" s="3" t="str">
        <f>"201600086801"</f>
        <v>201600086801</v>
      </c>
      <c r="C103" s="3">
        <v>118617</v>
      </c>
      <c r="D103" s="3" t="s">
        <v>530</v>
      </c>
      <c r="E103" s="3">
        <v>20280300021</v>
      </c>
      <c r="F103" s="3" t="s">
        <v>53</v>
      </c>
      <c r="G103" s="3" t="s">
        <v>531</v>
      </c>
      <c r="H103" s="3" t="s">
        <v>23</v>
      </c>
      <c r="I103" s="3" t="s">
        <v>24</v>
      </c>
      <c r="J103" s="3" t="s">
        <v>25</v>
      </c>
      <c r="K103" s="3" t="s">
        <v>532</v>
      </c>
      <c r="L103" s="3" t="s">
        <v>533</v>
      </c>
      <c r="M103" s="3" t="s">
        <v>50</v>
      </c>
      <c r="N103" s="3" t="s">
        <v>175</v>
      </c>
      <c r="O103" s="3">
        <v>410018</v>
      </c>
      <c r="P103" s="3" t="s">
        <v>29</v>
      </c>
      <c r="Q103" s="4">
        <v>42667</v>
      </c>
      <c r="R103" s="3" t="s">
        <v>30</v>
      </c>
      <c r="S103" s="3" t="s">
        <v>58</v>
      </c>
    </row>
    <row r="104" spans="1:19" ht="27.75">
      <c r="A104" s="3">
        <v>98</v>
      </c>
      <c r="B104" s="3" t="str">
        <f>"201500094658"</f>
        <v>201500094658</v>
      </c>
      <c r="C104" s="3">
        <v>116487</v>
      </c>
      <c r="D104" s="3" t="s">
        <v>534</v>
      </c>
      <c r="E104" s="3">
        <v>10001631522</v>
      </c>
      <c r="F104" s="3" t="s">
        <v>535</v>
      </c>
      <c r="G104" s="3" t="s">
        <v>536</v>
      </c>
      <c r="H104" s="3" t="s">
        <v>70</v>
      </c>
      <c r="I104" s="3" t="s">
        <v>89</v>
      </c>
      <c r="J104" s="3" t="s">
        <v>90</v>
      </c>
      <c r="K104" s="3" t="s">
        <v>537</v>
      </c>
      <c r="L104" s="3" t="s">
        <v>538</v>
      </c>
      <c r="M104" s="3" t="s">
        <v>93</v>
      </c>
      <c r="N104" s="3" t="s">
        <v>122</v>
      </c>
      <c r="O104" s="3">
        <v>1500</v>
      </c>
      <c r="P104" s="3" t="s">
        <v>29</v>
      </c>
      <c r="Q104" s="4">
        <v>42222</v>
      </c>
      <c r="R104" s="3" t="s">
        <v>30</v>
      </c>
      <c r="S104" s="3" t="s">
        <v>535</v>
      </c>
    </row>
    <row r="105" spans="1:19" ht="27.75">
      <c r="A105" s="3">
        <v>99</v>
      </c>
      <c r="B105" s="3" t="str">
        <f>"201400069028"</f>
        <v>201400069028</v>
      </c>
      <c r="C105" s="3">
        <v>109766</v>
      </c>
      <c r="D105" s="3" t="s">
        <v>539</v>
      </c>
      <c r="E105" s="3">
        <v>20393379678</v>
      </c>
      <c r="F105" s="3" t="s">
        <v>540</v>
      </c>
      <c r="G105" s="3" t="s">
        <v>541</v>
      </c>
      <c r="H105" s="3" t="s">
        <v>23</v>
      </c>
      <c r="I105" s="3" t="s">
        <v>24</v>
      </c>
      <c r="J105" s="3" t="s">
        <v>25</v>
      </c>
      <c r="K105" s="3" t="s">
        <v>542</v>
      </c>
      <c r="L105" s="3" t="s">
        <v>543</v>
      </c>
      <c r="M105" s="3" t="s">
        <v>75</v>
      </c>
      <c r="N105" s="3"/>
      <c r="O105" s="3">
        <v>3300</v>
      </c>
      <c r="P105" s="3" t="s">
        <v>29</v>
      </c>
      <c r="Q105" s="4">
        <v>41843</v>
      </c>
      <c r="R105" s="3" t="s">
        <v>30</v>
      </c>
      <c r="S105" s="3" t="s">
        <v>544</v>
      </c>
    </row>
    <row r="106" spans="1:19" ht="27.75">
      <c r="A106" s="3">
        <v>100</v>
      </c>
      <c r="B106" s="3" t="str">
        <f>"201600124610"</f>
        <v>201600124610</v>
      </c>
      <c r="C106" s="3">
        <v>93119</v>
      </c>
      <c r="D106" s="3" t="s">
        <v>545</v>
      </c>
      <c r="E106" s="3">
        <v>20103912297</v>
      </c>
      <c r="F106" s="3" t="s">
        <v>546</v>
      </c>
      <c r="G106" s="3" t="s">
        <v>547</v>
      </c>
      <c r="H106" s="3" t="s">
        <v>23</v>
      </c>
      <c r="I106" s="3" t="s">
        <v>24</v>
      </c>
      <c r="J106" s="3" t="s">
        <v>43</v>
      </c>
      <c r="K106" s="3" t="s">
        <v>548</v>
      </c>
      <c r="L106" s="3" t="s">
        <v>549</v>
      </c>
      <c r="M106" s="3" t="s">
        <v>75</v>
      </c>
      <c r="N106" s="3" t="s">
        <v>84</v>
      </c>
      <c r="O106" s="3">
        <v>136478</v>
      </c>
      <c r="P106" s="3" t="s">
        <v>29</v>
      </c>
      <c r="Q106" s="4">
        <v>42689</v>
      </c>
      <c r="R106" s="3" t="s">
        <v>30</v>
      </c>
      <c r="S106" s="3" t="s">
        <v>550</v>
      </c>
    </row>
    <row r="107" spans="1:19" ht="27.75">
      <c r="A107" s="3">
        <v>101</v>
      </c>
      <c r="B107" s="3" t="str">
        <f>"202000014810"</f>
        <v>202000014810</v>
      </c>
      <c r="C107" s="3">
        <v>148952</v>
      </c>
      <c r="D107" s="3" t="s">
        <v>551</v>
      </c>
      <c r="E107" s="3">
        <v>20541294831</v>
      </c>
      <c r="F107" s="3" t="s">
        <v>171</v>
      </c>
      <c r="G107" s="3" t="s">
        <v>233</v>
      </c>
      <c r="H107" s="3" t="s">
        <v>23</v>
      </c>
      <c r="I107" s="3" t="s">
        <v>24</v>
      </c>
      <c r="J107" s="3" t="s">
        <v>25</v>
      </c>
      <c r="K107" s="3" t="s">
        <v>552</v>
      </c>
      <c r="L107" s="3" t="s">
        <v>553</v>
      </c>
      <c r="M107" s="3" t="s">
        <v>50</v>
      </c>
      <c r="N107" s="3" t="s">
        <v>554</v>
      </c>
      <c r="O107" s="3">
        <v>251544.64</v>
      </c>
      <c r="P107" s="3" t="s">
        <v>29</v>
      </c>
      <c r="Q107" s="4">
        <v>43861</v>
      </c>
      <c r="R107" s="3" t="s">
        <v>30</v>
      </c>
      <c r="S107" s="3" t="s">
        <v>129</v>
      </c>
    </row>
    <row r="108" spans="1:19" ht="13.5">
      <c r="A108" s="3">
        <v>102</v>
      </c>
      <c r="B108" s="3" t="str">
        <f>"201500104625"</f>
        <v>201500104625</v>
      </c>
      <c r="C108" s="3">
        <v>116851</v>
      </c>
      <c r="D108" s="3" t="s">
        <v>555</v>
      </c>
      <c r="E108" s="3">
        <v>10424033273</v>
      </c>
      <c r="F108" s="3" t="s">
        <v>556</v>
      </c>
      <c r="G108" s="3" t="s">
        <v>557</v>
      </c>
      <c r="H108" s="3" t="s">
        <v>70</v>
      </c>
      <c r="I108" s="3" t="s">
        <v>89</v>
      </c>
      <c r="J108" s="3" t="s">
        <v>90</v>
      </c>
      <c r="K108" s="3" t="s">
        <v>558</v>
      </c>
      <c r="L108" s="3" t="s">
        <v>559</v>
      </c>
      <c r="M108" s="3" t="s">
        <v>560</v>
      </c>
      <c r="N108" s="3" t="s">
        <v>122</v>
      </c>
      <c r="O108" s="3">
        <v>1500</v>
      </c>
      <c r="P108" s="3" t="s">
        <v>29</v>
      </c>
      <c r="Q108" s="4">
        <v>42253</v>
      </c>
      <c r="R108" s="3" t="s">
        <v>30</v>
      </c>
      <c r="S108" s="3" t="s">
        <v>556</v>
      </c>
    </row>
    <row r="109" spans="1:19" ht="13.5">
      <c r="A109" s="3">
        <v>103</v>
      </c>
      <c r="B109" s="3" t="str">
        <f>"1149189"</f>
        <v>1149189</v>
      </c>
      <c r="C109" s="3">
        <v>13171</v>
      </c>
      <c r="D109" s="3" t="s">
        <v>561</v>
      </c>
      <c r="E109" s="3">
        <v>20103912297</v>
      </c>
      <c r="F109" s="3" t="s">
        <v>434</v>
      </c>
      <c r="G109" s="3" t="s">
        <v>562</v>
      </c>
      <c r="H109" s="3" t="s">
        <v>23</v>
      </c>
      <c r="I109" s="3" t="s">
        <v>24</v>
      </c>
      <c r="J109" s="3" t="s">
        <v>43</v>
      </c>
      <c r="K109" s="3" t="s">
        <v>563</v>
      </c>
      <c r="L109" s="3"/>
      <c r="M109" s="3"/>
      <c r="N109" s="3"/>
      <c r="O109" s="3">
        <v>130284</v>
      </c>
      <c r="P109" s="3" t="s">
        <v>29</v>
      </c>
      <c r="Q109" s="4">
        <v>35681</v>
      </c>
      <c r="R109" s="3" t="s">
        <v>30</v>
      </c>
      <c r="S109" s="3"/>
    </row>
    <row r="110" spans="1:19" ht="13.5">
      <c r="A110" s="3">
        <v>104</v>
      </c>
      <c r="B110" s="3" t="str">
        <f>"1775133"</f>
        <v>1775133</v>
      </c>
      <c r="C110" s="3">
        <v>62426</v>
      </c>
      <c r="D110" s="3" t="s">
        <v>564</v>
      </c>
      <c r="E110" s="3">
        <v>10200794112</v>
      </c>
      <c r="F110" s="3" t="s">
        <v>565</v>
      </c>
      <c r="G110" s="3" t="s">
        <v>566</v>
      </c>
      <c r="H110" s="3" t="s">
        <v>70</v>
      </c>
      <c r="I110" s="3" t="s">
        <v>89</v>
      </c>
      <c r="J110" s="3" t="s">
        <v>90</v>
      </c>
      <c r="K110" s="3" t="s">
        <v>567</v>
      </c>
      <c r="L110" s="3" t="s">
        <v>568</v>
      </c>
      <c r="M110" s="3" t="s">
        <v>50</v>
      </c>
      <c r="N110" s="3"/>
      <c r="O110" s="3">
        <v>12319.98</v>
      </c>
      <c r="P110" s="3" t="s">
        <v>29</v>
      </c>
      <c r="Q110" s="4">
        <v>39547</v>
      </c>
      <c r="R110" s="3" t="s">
        <v>30</v>
      </c>
      <c r="S110" s="3" t="s">
        <v>569</v>
      </c>
    </row>
    <row r="111" spans="1:19" ht="13.5">
      <c r="A111" s="3">
        <v>105</v>
      </c>
      <c r="B111" s="3" t="str">
        <f>"201800057901"</f>
        <v>201800057901</v>
      </c>
      <c r="C111" s="3">
        <v>135606</v>
      </c>
      <c r="D111" s="3" t="s">
        <v>570</v>
      </c>
      <c r="E111" s="3">
        <v>20172976434</v>
      </c>
      <c r="F111" s="3" t="s">
        <v>571</v>
      </c>
      <c r="G111" s="3" t="s">
        <v>572</v>
      </c>
      <c r="H111" s="3" t="s">
        <v>242</v>
      </c>
      <c r="I111" s="3" t="s">
        <v>242</v>
      </c>
      <c r="J111" s="3" t="s">
        <v>354</v>
      </c>
      <c r="K111" s="3" t="s">
        <v>573</v>
      </c>
      <c r="L111" s="3" t="s">
        <v>574</v>
      </c>
      <c r="M111" s="3" t="s">
        <v>246</v>
      </c>
      <c r="N111" s="3" t="s">
        <v>247</v>
      </c>
      <c r="O111" s="3">
        <v>38090</v>
      </c>
      <c r="P111" s="3" t="s">
        <v>29</v>
      </c>
      <c r="Q111" s="4">
        <v>43229</v>
      </c>
      <c r="R111" s="3" t="s">
        <v>30</v>
      </c>
      <c r="S111" s="3" t="s">
        <v>575</v>
      </c>
    </row>
    <row r="112" spans="1:19" ht="13.5">
      <c r="A112" s="3">
        <v>106</v>
      </c>
      <c r="B112" s="3" t="str">
        <f>"201400104331"</f>
        <v>201400104331</v>
      </c>
      <c r="C112" s="3">
        <v>111034</v>
      </c>
      <c r="D112" s="3" t="s">
        <v>576</v>
      </c>
      <c r="E112" s="3">
        <v>10052494856</v>
      </c>
      <c r="F112" s="3" t="s">
        <v>296</v>
      </c>
      <c r="G112" s="3" t="s">
        <v>577</v>
      </c>
      <c r="H112" s="3" t="s">
        <v>23</v>
      </c>
      <c r="I112" s="3" t="s">
        <v>24</v>
      </c>
      <c r="J112" s="3" t="s">
        <v>43</v>
      </c>
      <c r="K112" s="3" t="s">
        <v>578</v>
      </c>
      <c r="L112" s="3" t="s">
        <v>579</v>
      </c>
      <c r="M112" s="3" t="s">
        <v>580</v>
      </c>
      <c r="N112" s="3"/>
      <c r="O112" s="3">
        <v>7765</v>
      </c>
      <c r="P112" s="3" t="s">
        <v>29</v>
      </c>
      <c r="Q112" s="4">
        <v>41971</v>
      </c>
      <c r="R112" s="3" t="s">
        <v>30</v>
      </c>
      <c r="S112" s="3" t="s">
        <v>296</v>
      </c>
    </row>
    <row r="113" spans="1:19" ht="42">
      <c r="A113" s="3">
        <v>107</v>
      </c>
      <c r="B113" s="3" t="str">
        <f>"201500129021"</f>
        <v>201500129021</v>
      </c>
      <c r="C113" s="3">
        <v>83511</v>
      </c>
      <c r="D113" s="3" t="s">
        <v>581</v>
      </c>
      <c r="E113" s="3">
        <v>20493684371</v>
      </c>
      <c r="F113" s="3" t="s">
        <v>582</v>
      </c>
      <c r="G113" s="3" t="s">
        <v>583</v>
      </c>
      <c r="H113" s="3" t="s">
        <v>23</v>
      </c>
      <c r="I113" s="3" t="s">
        <v>24</v>
      </c>
      <c r="J113" s="3" t="s">
        <v>43</v>
      </c>
      <c r="K113" s="3" t="s">
        <v>584</v>
      </c>
      <c r="L113" s="3" t="s">
        <v>585</v>
      </c>
      <c r="M113" s="3" t="s">
        <v>75</v>
      </c>
      <c r="N113" s="3" t="s">
        <v>586</v>
      </c>
      <c r="O113" s="3">
        <v>108463</v>
      </c>
      <c r="P113" s="3" t="s">
        <v>29</v>
      </c>
      <c r="Q113" s="4">
        <v>42290</v>
      </c>
      <c r="R113" s="3" t="s">
        <v>30</v>
      </c>
      <c r="S113" s="3" t="s">
        <v>587</v>
      </c>
    </row>
    <row r="114" spans="1:19" ht="27.75">
      <c r="A114" s="3">
        <v>108</v>
      </c>
      <c r="B114" s="3" t="str">
        <f>"201600181633"</f>
        <v>201600181633</v>
      </c>
      <c r="C114" s="3">
        <v>116633</v>
      </c>
      <c r="D114" s="3" t="s">
        <v>588</v>
      </c>
      <c r="E114" s="3">
        <v>20280300021</v>
      </c>
      <c r="F114" s="3" t="s">
        <v>53</v>
      </c>
      <c r="G114" s="3" t="s">
        <v>589</v>
      </c>
      <c r="H114" s="3" t="s">
        <v>23</v>
      </c>
      <c r="I114" s="3" t="s">
        <v>24</v>
      </c>
      <c r="J114" s="3" t="s">
        <v>25</v>
      </c>
      <c r="K114" s="3" t="s">
        <v>590</v>
      </c>
      <c r="L114" s="3" t="s">
        <v>75</v>
      </c>
      <c r="M114" s="3" t="s">
        <v>75</v>
      </c>
      <c r="N114" s="3" t="s">
        <v>175</v>
      </c>
      <c r="O114" s="3">
        <v>324126</v>
      </c>
      <c r="P114" s="3" t="s">
        <v>29</v>
      </c>
      <c r="Q114" s="4">
        <v>42739</v>
      </c>
      <c r="R114" s="3" t="s">
        <v>30</v>
      </c>
      <c r="S114" s="3" t="s">
        <v>58</v>
      </c>
    </row>
    <row r="115" spans="1:19" ht="27.75">
      <c r="A115" s="3">
        <v>109</v>
      </c>
      <c r="B115" s="3" t="str">
        <f>"201900183327"</f>
        <v>201900183327</v>
      </c>
      <c r="C115" s="3">
        <v>127009</v>
      </c>
      <c r="D115" s="3" t="s">
        <v>591</v>
      </c>
      <c r="E115" s="3">
        <v>20280300021</v>
      </c>
      <c r="F115" s="3" t="s">
        <v>53</v>
      </c>
      <c r="G115" s="3" t="s">
        <v>237</v>
      </c>
      <c r="H115" s="3" t="s">
        <v>23</v>
      </c>
      <c r="I115" s="3" t="s">
        <v>24</v>
      </c>
      <c r="J115" s="3" t="s">
        <v>25</v>
      </c>
      <c r="K115" s="3" t="s">
        <v>592</v>
      </c>
      <c r="L115" s="3" t="s">
        <v>593</v>
      </c>
      <c r="M115" s="3" t="s">
        <v>50</v>
      </c>
      <c r="N115" s="3" t="s">
        <v>57</v>
      </c>
      <c r="O115" s="3">
        <v>529267</v>
      </c>
      <c r="P115" s="3" t="s">
        <v>29</v>
      </c>
      <c r="Q115" s="4">
        <v>43785</v>
      </c>
      <c r="R115" s="3" t="s">
        <v>30</v>
      </c>
      <c r="S115" s="3" t="s">
        <v>58</v>
      </c>
    </row>
    <row r="116" spans="1:19" ht="27.75">
      <c r="A116" s="3">
        <v>110</v>
      </c>
      <c r="B116" s="3" t="str">
        <f>"201400169270"</f>
        <v>201400169270</v>
      </c>
      <c r="C116" s="3">
        <v>91315</v>
      </c>
      <c r="D116" s="3" t="s">
        <v>594</v>
      </c>
      <c r="E116" s="3">
        <v>20385218029</v>
      </c>
      <c r="F116" s="3" t="s">
        <v>595</v>
      </c>
      <c r="G116" s="3" t="s">
        <v>596</v>
      </c>
      <c r="H116" s="3" t="s">
        <v>242</v>
      </c>
      <c r="I116" s="3" t="s">
        <v>242</v>
      </c>
      <c r="J116" s="3" t="s">
        <v>243</v>
      </c>
      <c r="K116" s="3" t="s">
        <v>597</v>
      </c>
      <c r="L116" s="3" t="s">
        <v>598</v>
      </c>
      <c r="M116" s="3" t="s">
        <v>50</v>
      </c>
      <c r="N116" s="3"/>
      <c r="O116" s="3">
        <v>41904</v>
      </c>
      <c r="P116" s="3" t="s">
        <v>29</v>
      </c>
      <c r="Q116" s="4">
        <v>42045</v>
      </c>
      <c r="R116" s="3" t="s">
        <v>30</v>
      </c>
      <c r="S116" s="3" t="s">
        <v>599</v>
      </c>
    </row>
    <row r="117" spans="1:19" ht="13.5">
      <c r="A117" s="3">
        <v>111</v>
      </c>
      <c r="B117" s="3" t="str">
        <f>"201500112812"</f>
        <v>201500112812</v>
      </c>
      <c r="C117" s="3">
        <v>117133</v>
      </c>
      <c r="D117" s="3" t="s">
        <v>600</v>
      </c>
      <c r="E117" s="3">
        <v>10435855186</v>
      </c>
      <c r="F117" s="3" t="s">
        <v>601</v>
      </c>
      <c r="G117" s="3" t="s">
        <v>602</v>
      </c>
      <c r="H117" s="3" t="s">
        <v>70</v>
      </c>
      <c r="I117" s="3" t="s">
        <v>89</v>
      </c>
      <c r="J117" s="3" t="s">
        <v>90</v>
      </c>
      <c r="K117" s="3" t="s">
        <v>603</v>
      </c>
      <c r="L117" s="3" t="s">
        <v>559</v>
      </c>
      <c r="M117" s="3" t="s">
        <v>604</v>
      </c>
      <c r="N117" s="3" t="s">
        <v>605</v>
      </c>
      <c r="O117" s="3">
        <v>6000</v>
      </c>
      <c r="P117" s="3" t="s">
        <v>29</v>
      </c>
      <c r="Q117" s="4">
        <v>42252</v>
      </c>
      <c r="R117" s="3" t="s">
        <v>30</v>
      </c>
      <c r="S117" s="3" t="s">
        <v>601</v>
      </c>
    </row>
    <row r="118" spans="1:19" ht="13.5">
      <c r="A118" s="3">
        <v>112</v>
      </c>
      <c r="B118" s="3" t="str">
        <f>"1447877"</f>
        <v>1447877</v>
      </c>
      <c r="C118" s="3">
        <v>37910</v>
      </c>
      <c r="D118" s="3" t="s">
        <v>606</v>
      </c>
      <c r="E118" s="3">
        <v>20304177552</v>
      </c>
      <c r="F118" s="3" t="s">
        <v>352</v>
      </c>
      <c r="G118" s="3" t="s">
        <v>367</v>
      </c>
      <c r="H118" s="3" t="s">
        <v>242</v>
      </c>
      <c r="I118" s="3" t="s">
        <v>242</v>
      </c>
      <c r="J118" s="3" t="s">
        <v>354</v>
      </c>
      <c r="K118" s="3" t="s">
        <v>607</v>
      </c>
      <c r="L118" s="3"/>
      <c r="M118" s="3"/>
      <c r="N118" s="3"/>
      <c r="O118" s="3">
        <v>42090</v>
      </c>
      <c r="P118" s="3" t="s">
        <v>29</v>
      </c>
      <c r="Q118" s="4">
        <v>38005</v>
      </c>
      <c r="R118" s="3" t="s">
        <v>30</v>
      </c>
      <c r="S118" s="3"/>
    </row>
    <row r="119" spans="1:19" ht="13.5">
      <c r="A119" s="3">
        <v>113</v>
      </c>
      <c r="B119" s="3" t="str">
        <f>"1600001"</f>
        <v>1600001</v>
      </c>
      <c r="C119" s="3">
        <v>43139</v>
      </c>
      <c r="D119" s="3" t="s">
        <v>608</v>
      </c>
      <c r="E119" s="3">
        <v>20103951781</v>
      </c>
      <c r="F119" s="3" t="s">
        <v>343</v>
      </c>
      <c r="G119" s="3" t="s">
        <v>609</v>
      </c>
      <c r="H119" s="3" t="s">
        <v>23</v>
      </c>
      <c r="I119" s="3" t="s">
        <v>24</v>
      </c>
      <c r="J119" s="3" t="s">
        <v>43</v>
      </c>
      <c r="K119" s="3" t="s">
        <v>610</v>
      </c>
      <c r="L119" s="3" t="s">
        <v>611</v>
      </c>
      <c r="M119" s="3" t="s">
        <v>50</v>
      </c>
      <c r="N119" s="3"/>
      <c r="O119" s="3">
        <v>28728.55</v>
      </c>
      <c r="P119" s="3" t="s">
        <v>248</v>
      </c>
      <c r="Q119" s="4">
        <v>38811</v>
      </c>
      <c r="R119" s="3" t="s">
        <v>30</v>
      </c>
      <c r="S119" s="3" t="s">
        <v>360</v>
      </c>
    </row>
    <row r="120" spans="1:19" ht="27.75">
      <c r="A120" s="3">
        <v>114</v>
      </c>
      <c r="B120" s="3" t="str">
        <f>"1846255"</f>
        <v>1846255</v>
      </c>
      <c r="C120" s="3">
        <v>64471</v>
      </c>
      <c r="D120" s="3" t="s">
        <v>612</v>
      </c>
      <c r="E120" s="3">
        <v>10211453384</v>
      </c>
      <c r="F120" s="3" t="s">
        <v>613</v>
      </c>
      <c r="G120" s="3" t="s">
        <v>614</v>
      </c>
      <c r="H120" s="3" t="s">
        <v>70</v>
      </c>
      <c r="I120" s="3" t="s">
        <v>71</v>
      </c>
      <c r="J120" s="3" t="s">
        <v>513</v>
      </c>
      <c r="K120" s="3" t="s">
        <v>615</v>
      </c>
      <c r="L120" s="3"/>
      <c r="M120" s="3"/>
      <c r="N120" s="3"/>
      <c r="O120" s="3">
        <v>28126</v>
      </c>
      <c r="P120" s="3" t="s">
        <v>29</v>
      </c>
      <c r="Q120" s="4">
        <v>39785</v>
      </c>
      <c r="R120" s="3" t="s">
        <v>30</v>
      </c>
      <c r="S120" s="3"/>
    </row>
    <row r="121" spans="1:19" ht="27.75">
      <c r="A121" s="3">
        <v>115</v>
      </c>
      <c r="B121" s="3" t="str">
        <f>"202000129130"</f>
        <v>202000129130</v>
      </c>
      <c r="C121" s="3">
        <v>149654</v>
      </c>
      <c r="D121" s="3" t="s">
        <v>616</v>
      </c>
      <c r="E121" s="3">
        <v>20493935802</v>
      </c>
      <c r="F121" s="3" t="s">
        <v>617</v>
      </c>
      <c r="G121" s="3" t="s">
        <v>618</v>
      </c>
      <c r="H121" s="3" t="s">
        <v>23</v>
      </c>
      <c r="I121" s="3" t="s">
        <v>24</v>
      </c>
      <c r="J121" s="3" t="s">
        <v>25</v>
      </c>
      <c r="K121" s="3" t="s">
        <v>619</v>
      </c>
      <c r="L121" s="3" t="s">
        <v>620</v>
      </c>
      <c r="M121" s="3" t="s">
        <v>75</v>
      </c>
      <c r="N121" s="3" t="s">
        <v>290</v>
      </c>
      <c r="O121" s="3"/>
      <c r="P121" s="3" t="s">
        <v>29</v>
      </c>
      <c r="Q121" s="4">
        <v>44098</v>
      </c>
      <c r="R121" s="3" t="s">
        <v>30</v>
      </c>
      <c r="S121" s="3" t="s">
        <v>621</v>
      </c>
    </row>
    <row r="122" spans="1:19" ht="27.75">
      <c r="A122" s="3">
        <v>116</v>
      </c>
      <c r="B122" s="3" t="str">
        <f>"201600185070"</f>
        <v>201600185070</v>
      </c>
      <c r="C122" s="3">
        <v>124663</v>
      </c>
      <c r="D122" s="3" t="s">
        <v>622</v>
      </c>
      <c r="E122" s="3">
        <v>20541294831</v>
      </c>
      <c r="F122" s="3" t="s">
        <v>171</v>
      </c>
      <c r="G122" s="3" t="s">
        <v>172</v>
      </c>
      <c r="H122" s="3" t="s">
        <v>23</v>
      </c>
      <c r="I122" s="3" t="s">
        <v>24</v>
      </c>
      <c r="J122" s="3" t="s">
        <v>25</v>
      </c>
      <c r="K122" s="3" t="s">
        <v>623</v>
      </c>
      <c r="L122" s="3" t="s">
        <v>624</v>
      </c>
      <c r="M122" s="3" t="s">
        <v>50</v>
      </c>
      <c r="N122" s="3" t="s">
        <v>175</v>
      </c>
      <c r="O122" s="3">
        <v>246516</v>
      </c>
      <c r="P122" s="3" t="s">
        <v>29</v>
      </c>
      <c r="Q122" s="4">
        <v>42747</v>
      </c>
      <c r="R122" s="3" t="s">
        <v>30</v>
      </c>
      <c r="S122" s="3" t="s">
        <v>129</v>
      </c>
    </row>
    <row r="123" spans="1:19" ht="27.75">
      <c r="A123" s="3">
        <v>117</v>
      </c>
      <c r="B123" s="3" t="str">
        <f>"202000014802"</f>
        <v>202000014802</v>
      </c>
      <c r="C123" s="3">
        <v>148953</v>
      </c>
      <c r="D123" s="3" t="s">
        <v>625</v>
      </c>
      <c r="E123" s="3">
        <v>20541294831</v>
      </c>
      <c r="F123" s="3" t="s">
        <v>171</v>
      </c>
      <c r="G123" s="3" t="s">
        <v>233</v>
      </c>
      <c r="H123" s="3" t="s">
        <v>23</v>
      </c>
      <c r="I123" s="3" t="s">
        <v>24</v>
      </c>
      <c r="J123" s="3" t="s">
        <v>25</v>
      </c>
      <c r="K123" s="3" t="s">
        <v>626</v>
      </c>
      <c r="L123" s="3" t="s">
        <v>627</v>
      </c>
      <c r="M123" s="3" t="s">
        <v>50</v>
      </c>
      <c r="N123" s="3" t="s">
        <v>554</v>
      </c>
      <c r="O123" s="3">
        <v>251544.64</v>
      </c>
      <c r="P123" s="3" t="s">
        <v>29</v>
      </c>
      <c r="Q123" s="4">
        <v>43861</v>
      </c>
      <c r="R123" s="3" t="s">
        <v>30</v>
      </c>
      <c r="S123" s="3" t="s">
        <v>129</v>
      </c>
    </row>
    <row r="124" spans="1:19" ht="13.5">
      <c r="A124" s="3">
        <v>118</v>
      </c>
      <c r="B124" s="3" t="str">
        <f>"201600060500"</f>
        <v>201600060500</v>
      </c>
      <c r="C124" s="3">
        <v>119307</v>
      </c>
      <c r="D124" s="3" t="s">
        <v>628</v>
      </c>
      <c r="E124" s="3">
        <v>10059578273</v>
      </c>
      <c r="F124" s="3" t="s">
        <v>151</v>
      </c>
      <c r="G124" s="3" t="s">
        <v>629</v>
      </c>
      <c r="H124" s="3" t="s">
        <v>70</v>
      </c>
      <c r="I124" s="3" t="s">
        <v>71</v>
      </c>
      <c r="J124" s="3" t="s">
        <v>72</v>
      </c>
      <c r="K124" s="3" t="s">
        <v>630</v>
      </c>
      <c r="L124" s="3" t="s">
        <v>631</v>
      </c>
      <c r="M124" s="3" t="s">
        <v>75</v>
      </c>
      <c r="N124" s="3" t="s">
        <v>155</v>
      </c>
      <c r="O124" s="3">
        <v>8800</v>
      </c>
      <c r="P124" s="3" t="s">
        <v>29</v>
      </c>
      <c r="Q124" s="4">
        <v>42531</v>
      </c>
      <c r="R124" s="3" t="s">
        <v>30</v>
      </c>
      <c r="S124" s="3" t="s">
        <v>151</v>
      </c>
    </row>
    <row r="125" spans="1:19" ht="13.5">
      <c r="A125" s="3">
        <v>119</v>
      </c>
      <c r="B125" s="3" t="str">
        <f>"201300146021"</f>
        <v>201300146021</v>
      </c>
      <c r="C125" s="3">
        <v>16030</v>
      </c>
      <c r="D125" s="3" t="s">
        <v>632</v>
      </c>
      <c r="E125" s="3">
        <v>20280300021</v>
      </c>
      <c r="F125" s="3" t="s">
        <v>53</v>
      </c>
      <c r="G125" s="3" t="s">
        <v>237</v>
      </c>
      <c r="H125" s="3" t="s">
        <v>23</v>
      </c>
      <c r="I125" s="3" t="s">
        <v>24</v>
      </c>
      <c r="J125" s="3" t="s">
        <v>25</v>
      </c>
      <c r="K125" s="3" t="s">
        <v>633</v>
      </c>
      <c r="L125" s="3" t="s">
        <v>634</v>
      </c>
      <c r="M125" s="3" t="s">
        <v>50</v>
      </c>
      <c r="N125" s="3"/>
      <c r="O125" s="3">
        <v>138586</v>
      </c>
      <c r="P125" s="3" t="s">
        <v>29</v>
      </c>
      <c r="Q125" s="4">
        <v>41627</v>
      </c>
      <c r="R125" s="3" t="s">
        <v>30</v>
      </c>
      <c r="S125" s="3" t="s">
        <v>446</v>
      </c>
    </row>
    <row r="126" spans="1:19" ht="13.5">
      <c r="A126" s="3">
        <v>120</v>
      </c>
      <c r="B126" s="3" t="str">
        <f>"201500023430"</f>
        <v>201500023430</v>
      </c>
      <c r="C126" s="3">
        <v>114029</v>
      </c>
      <c r="D126" s="3" t="s">
        <v>635</v>
      </c>
      <c r="E126" s="3">
        <v>20393276607</v>
      </c>
      <c r="F126" s="3" t="s">
        <v>636</v>
      </c>
      <c r="G126" s="3" t="s">
        <v>637</v>
      </c>
      <c r="H126" s="3" t="s">
        <v>70</v>
      </c>
      <c r="I126" s="3" t="s">
        <v>71</v>
      </c>
      <c r="J126" s="3" t="s">
        <v>72</v>
      </c>
      <c r="K126" s="3" t="s">
        <v>638</v>
      </c>
      <c r="L126" s="3" t="s">
        <v>639</v>
      </c>
      <c r="M126" s="3" t="s">
        <v>75</v>
      </c>
      <c r="N126" s="3"/>
      <c r="O126" s="3">
        <v>5500</v>
      </c>
      <c r="P126" s="3" t="s">
        <v>29</v>
      </c>
      <c r="Q126" s="4">
        <v>42072</v>
      </c>
      <c r="R126" s="3" t="s">
        <v>30</v>
      </c>
      <c r="S126" s="3" t="s">
        <v>302</v>
      </c>
    </row>
    <row r="127" spans="1:19" ht="13.5">
      <c r="A127" s="3">
        <v>121</v>
      </c>
      <c r="B127" s="3" t="str">
        <f>"1161762"</f>
        <v>1161762</v>
      </c>
      <c r="C127" s="3">
        <v>13338</v>
      </c>
      <c r="D127" s="3" t="s">
        <v>640</v>
      </c>
      <c r="E127" s="3">
        <v>20103912297</v>
      </c>
      <c r="F127" s="3" t="s">
        <v>434</v>
      </c>
      <c r="G127" s="3" t="s">
        <v>641</v>
      </c>
      <c r="H127" s="3" t="s">
        <v>23</v>
      </c>
      <c r="I127" s="3" t="s">
        <v>24</v>
      </c>
      <c r="J127" s="3" t="s">
        <v>43</v>
      </c>
      <c r="K127" s="3" t="s">
        <v>642</v>
      </c>
      <c r="L127" s="3"/>
      <c r="M127" s="3"/>
      <c r="N127" s="3"/>
      <c r="O127" s="3">
        <v>172629</v>
      </c>
      <c r="P127" s="3" t="s">
        <v>29</v>
      </c>
      <c r="Q127" s="4">
        <v>35761</v>
      </c>
      <c r="R127" s="3" t="s">
        <v>30</v>
      </c>
      <c r="S127" s="3"/>
    </row>
    <row r="128" spans="1:19" ht="27.75">
      <c r="A128" s="3">
        <v>122</v>
      </c>
      <c r="B128" s="3" t="str">
        <f>"201500128352"</f>
        <v>201500128352</v>
      </c>
      <c r="C128" s="3">
        <v>117652</v>
      </c>
      <c r="D128" s="3" t="s">
        <v>643</v>
      </c>
      <c r="E128" s="3">
        <v>20385218029</v>
      </c>
      <c r="F128" s="3" t="s">
        <v>595</v>
      </c>
      <c r="G128" s="3" t="s">
        <v>644</v>
      </c>
      <c r="H128" s="3" t="s">
        <v>242</v>
      </c>
      <c r="I128" s="3" t="s">
        <v>242</v>
      </c>
      <c r="J128" s="3" t="s">
        <v>645</v>
      </c>
      <c r="K128" s="3" t="s">
        <v>646</v>
      </c>
      <c r="L128" s="3" t="s">
        <v>647</v>
      </c>
      <c r="M128" s="3" t="s">
        <v>648</v>
      </c>
      <c r="N128" s="3" t="s">
        <v>84</v>
      </c>
      <c r="O128" s="3">
        <v>11703</v>
      </c>
      <c r="P128" s="3" t="s">
        <v>29</v>
      </c>
      <c r="Q128" s="4">
        <v>42377</v>
      </c>
      <c r="R128" s="3" t="s">
        <v>30</v>
      </c>
      <c r="S128" s="3" t="s">
        <v>649</v>
      </c>
    </row>
    <row r="129" spans="1:19" ht="13.5">
      <c r="A129" s="3">
        <v>123</v>
      </c>
      <c r="B129" s="3" t="str">
        <f>"1321987"</f>
        <v>1321987</v>
      </c>
      <c r="C129" s="3">
        <v>20884</v>
      </c>
      <c r="D129" s="3" t="s">
        <v>650</v>
      </c>
      <c r="E129" s="3">
        <v>10052620029</v>
      </c>
      <c r="F129" s="3" t="s">
        <v>651</v>
      </c>
      <c r="G129" s="3" t="s">
        <v>340</v>
      </c>
      <c r="H129" s="3" t="s">
        <v>23</v>
      </c>
      <c r="I129" s="3" t="s">
        <v>24</v>
      </c>
      <c r="J129" s="3" t="s">
        <v>43</v>
      </c>
      <c r="K129" s="3" t="s">
        <v>652</v>
      </c>
      <c r="L129" s="3"/>
      <c r="M129" s="3"/>
      <c r="N129" s="3"/>
      <c r="O129" s="3">
        <v>41340</v>
      </c>
      <c r="P129" s="3" t="s">
        <v>29</v>
      </c>
      <c r="Q129" s="4">
        <v>37067</v>
      </c>
      <c r="R129" s="3" t="s">
        <v>30</v>
      </c>
      <c r="S129" s="3"/>
    </row>
    <row r="130" spans="1:19" ht="42">
      <c r="A130" s="3">
        <v>124</v>
      </c>
      <c r="B130" s="3" t="str">
        <f>"201900161509"</f>
        <v>201900161509</v>
      </c>
      <c r="C130" s="3">
        <v>146941</v>
      </c>
      <c r="D130" s="3" t="s">
        <v>653</v>
      </c>
      <c r="E130" s="3">
        <v>20100128218</v>
      </c>
      <c r="F130" s="3" t="s">
        <v>194</v>
      </c>
      <c r="G130" s="3" t="s">
        <v>654</v>
      </c>
      <c r="H130" s="3" t="s">
        <v>23</v>
      </c>
      <c r="I130" s="3" t="s">
        <v>24</v>
      </c>
      <c r="J130" s="3" t="s">
        <v>43</v>
      </c>
      <c r="K130" s="3" t="s">
        <v>655</v>
      </c>
      <c r="L130" s="3" t="s">
        <v>656</v>
      </c>
      <c r="M130" s="3" t="s">
        <v>50</v>
      </c>
      <c r="N130" s="3" t="s">
        <v>657</v>
      </c>
      <c r="O130" s="3">
        <v>390678.96</v>
      </c>
      <c r="P130" s="3" t="s">
        <v>29</v>
      </c>
      <c r="Q130" s="4">
        <v>43744</v>
      </c>
      <c r="R130" s="3" t="s">
        <v>30</v>
      </c>
      <c r="S130" s="3" t="s">
        <v>199</v>
      </c>
    </row>
    <row r="131" spans="1:19" ht="13.5">
      <c r="A131" s="3">
        <v>125</v>
      </c>
      <c r="B131" s="3" t="str">
        <f>"201700151428"</f>
        <v>201700151428</v>
      </c>
      <c r="C131" s="3">
        <v>128044</v>
      </c>
      <c r="D131" s="3" t="s">
        <v>658</v>
      </c>
      <c r="E131" s="3">
        <v>20545490910</v>
      </c>
      <c r="F131" s="3" t="s">
        <v>659</v>
      </c>
      <c r="G131" s="3" t="s">
        <v>660</v>
      </c>
      <c r="H131" s="3" t="s">
        <v>242</v>
      </c>
      <c r="I131" s="3" t="s">
        <v>242</v>
      </c>
      <c r="J131" s="3" t="s">
        <v>661</v>
      </c>
      <c r="K131" s="3" t="s">
        <v>662</v>
      </c>
      <c r="L131" s="3" t="s">
        <v>663</v>
      </c>
      <c r="M131" s="3" t="s">
        <v>50</v>
      </c>
      <c r="N131" s="3" t="s">
        <v>664</v>
      </c>
      <c r="O131" s="3">
        <v>1303692</v>
      </c>
      <c r="P131" s="3" t="s">
        <v>29</v>
      </c>
      <c r="Q131" s="4">
        <v>43000</v>
      </c>
      <c r="R131" s="3" t="s">
        <v>30</v>
      </c>
      <c r="S131" s="3" t="s">
        <v>665</v>
      </c>
    </row>
    <row r="132" spans="1:19" ht="13.5">
      <c r="A132" s="3">
        <v>126</v>
      </c>
      <c r="B132" s="3" t="str">
        <f>"1447873"</f>
        <v>1447873</v>
      </c>
      <c r="C132" s="3">
        <v>37915</v>
      </c>
      <c r="D132" s="3" t="s">
        <v>666</v>
      </c>
      <c r="E132" s="3">
        <v>20304177552</v>
      </c>
      <c r="F132" s="3" t="s">
        <v>352</v>
      </c>
      <c r="G132" s="3" t="s">
        <v>367</v>
      </c>
      <c r="H132" s="3" t="s">
        <v>242</v>
      </c>
      <c r="I132" s="3" t="s">
        <v>242</v>
      </c>
      <c r="J132" s="3" t="s">
        <v>354</v>
      </c>
      <c r="K132" s="3" t="s">
        <v>667</v>
      </c>
      <c r="L132" s="3"/>
      <c r="M132" s="3"/>
      <c r="N132" s="3"/>
      <c r="O132" s="3">
        <v>42090</v>
      </c>
      <c r="P132" s="3" t="s">
        <v>29</v>
      </c>
      <c r="Q132" s="4">
        <v>38007</v>
      </c>
      <c r="R132" s="3" t="s">
        <v>30</v>
      </c>
      <c r="S132" s="3"/>
    </row>
    <row r="133" spans="1:19" ht="27.75">
      <c r="A133" s="3">
        <v>127</v>
      </c>
      <c r="B133" s="3" t="str">
        <f>"201500083712"</f>
        <v>201500083712</v>
      </c>
      <c r="C133" s="3">
        <v>116123</v>
      </c>
      <c r="D133" s="3" t="s">
        <v>668</v>
      </c>
      <c r="E133" s="3">
        <v>10001519919</v>
      </c>
      <c r="F133" s="3" t="s">
        <v>669</v>
      </c>
      <c r="G133" s="3" t="s">
        <v>670</v>
      </c>
      <c r="H133" s="3" t="s">
        <v>70</v>
      </c>
      <c r="I133" s="3" t="s">
        <v>89</v>
      </c>
      <c r="J133" s="3" t="s">
        <v>90</v>
      </c>
      <c r="K133" s="3" t="s">
        <v>671</v>
      </c>
      <c r="L133" s="3" t="s">
        <v>672</v>
      </c>
      <c r="M133" s="3" t="s">
        <v>93</v>
      </c>
      <c r="N133" s="3" t="s">
        <v>122</v>
      </c>
      <c r="O133" s="3">
        <v>1500</v>
      </c>
      <c r="P133" s="3" t="s">
        <v>29</v>
      </c>
      <c r="Q133" s="4">
        <v>42225</v>
      </c>
      <c r="R133" s="3" t="s">
        <v>30</v>
      </c>
      <c r="S133" s="3" t="s">
        <v>669</v>
      </c>
    </row>
    <row r="134" spans="1:19" ht="13.5">
      <c r="A134" s="3">
        <v>128</v>
      </c>
      <c r="B134" s="3" t="str">
        <f>"201400049665"</f>
        <v>201400049665</v>
      </c>
      <c r="C134" s="3">
        <v>109018</v>
      </c>
      <c r="D134" s="3" t="s">
        <v>673</v>
      </c>
      <c r="E134" s="3">
        <v>20393804395</v>
      </c>
      <c r="F134" s="3" t="s">
        <v>674</v>
      </c>
      <c r="G134" s="3" t="s">
        <v>675</v>
      </c>
      <c r="H134" s="3" t="s">
        <v>70</v>
      </c>
      <c r="I134" s="3" t="s">
        <v>71</v>
      </c>
      <c r="J134" s="3" t="s">
        <v>72</v>
      </c>
      <c r="K134" s="3" t="s">
        <v>676</v>
      </c>
      <c r="L134" s="3" t="s">
        <v>677</v>
      </c>
      <c r="M134" s="3" t="s">
        <v>75</v>
      </c>
      <c r="N134" s="3"/>
      <c r="O134" s="3">
        <v>34300</v>
      </c>
      <c r="P134" s="3" t="s">
        <v>29</v>
      </c>
      <c r="Q134" s="4">
        <v>41807</v>
      </c>
      <c r="R134" s="3" t="s">
        <v>30</v>
      </c>
      <c r="S134" s="3" t="s">
        <v>678</v>
      </c>
    </row>
    <row r="135" spans="1:19" ht="13.5">
      <c r="A135" s="3">
        <v>129</v>
      </c>
      <c r="B135" s="3" t="str">
        <f>"1447870"</f>
        <v>1447870</v>
      </c>
      <c r="C135" s="3">
        <v>33597</v>
      </c>
      <c r="D135" s="3" t="s">
        <v>679</v>
      </c>
      <c r="E135" s="3">
        <v>20304177552</v>
      </c>
      <c r="F135" s="3" t="s">
        <v>352</v>
      </c>
      <c r="G135" s="3" t="s">
        <v>680</v>
      </c>
      <c r="H135" s="3" t="s">
        <v>242</v>
      </c>
      <c r="I135" s="3" t="s">
        <v>242</v>
      </c>
      <c r="J135" s="3" t="s">
        <v>354</v>
      </c>
      <c r="K135" s="3" t="s">
        <v>681</v>
      </c>
      <c r="L135" s="3"/>
      <c r="M135" s="3"/>
      <c r="N135" s="3"/>
      <c r="O135" s="3">
        <v>42090</v>
      </c>
      <c r="P135" s="3" t="s">
        <v>29</v>
      </c>
      <c r="Q135" s="4">
        <v>38005</v>
      </c>
      <c r="R135" s="3" t="s">
        <v>30</v>
      </c>
      <c r="S135" s="3"/>
    </row>
    <row r="136" spans="1:19" ht="13.5">
      <c r="A136" s="3">
        <v>130</v>
      </c>
      <c r="B136" s="3" t="str">
        <f>"201900203644"</f>
        <v>201900203644</v>
      </c>
      <c r="C136" s="3">
        <v>148211</v>
      </c>
      <c r="D136" s="3" t="s">
        <v>682</v>
      </c>
      <c r="E136" s="3">
        <v>20602933106</v>
      </c>
      <c r="F136" s="3" t="s">
        <v>683</v>
      </c>
      <c r="G136" s="3" t="s">
        <v>684</v>
      </c>
      <c r="H136" s="3" t="s">
        <v>242</v>
      </c>
      <c r="I136" s="3" t="s">
        <v>242</v>
      </c>
      <c r="J136" s="3" t="s">
        <v>661</v>
      </c>
      <c r="K136" s="3" t="s">
        <v>685</v>
      </c>
      <c r="L136" s="3" t="s">
        <v>686</v>
      </c>
      <c r="M136" s="3" t="s">
        <v>50</v>
      </c>
      <c r="N136" s="3" t="s">
        <v>687</v>
      </c>
      <c r="O136" s="3">
        <v>236140</v>
      </c>
      <c r="P136" s="3" t="s">
        <v>29</v>
      </c>
      <c r="Q136" s="4">
        <v>43829</v>
      </c>
      <c r="R136" s="3" t="s">
        <v>30</v>
      </c>
      <c r="S136" s="3" t="s">
        <v>688</v>
      </c>
    </row>
    <row r="137" spans="1:19" ht="13.5">
      <c r="A137" s="3">
        <v>131</v>
      </c>
      <c r="B137" s="3" t="str">
        <f>"201900035006"</f>
        <v>201900035006</v>
      </c>
      <c r="C137" s="3">
        <v>141717</v>
      </c>
      <c r="D137" s="3" t="s">
        <v>689</v>
      </c>
      <c r="E137" s="3">
        <v>20528475320</v>
      </c>
      <c r="F137" s="3" t="s">
        <v>690</v>
      </c>
      <c r="G137" s="3" t="s">
        <v>691</v>
      </c>
      <c r="H137" s="3" t="s">
        <v>23</v>
      </c>
      <c r="I137" s="3" t="s">
        <v>24</v>
      </c>
      <c r="J137" s="3" t="s">
        <v>25</v>
      </c>
      <c r="K137" s="3" t="s">
        <v>692</v>
      </c>
      <c r="L137" s="3" t="s">
        <v>693</v>
      </c>
      <c r="M137" s="3" t="s">
        <v>694</v>
      </c>
      <c r="N137" s="3" t="s">
        <v>101</v>
      </c>
      <c r="O137" s="3">
        <v>330</v>
      </c>
      <c r="P137" s="3" t="s">
        <v>29</v>
      </c>
      <c r="Q137" s="4">
        <v>43532</v>
      </c>
      <c r="R137" s="3" t="s">
        <v>30</v>
      </c>
      <c r="S137" s="3" t="s">
        <v>695</v>
      </c>
    </row>
    <row r="138" spans="1:19" ht="42">
      <c r="A138" s="3">
        <v>132</v>
      </c>
      <c r="B138" s="3" t="str">
        <f>"201400156304"</f>
        <v>201400156304</v>
      </c>
      <c r="C138" s="3">
        <v>64387</v>
      </c>
      <c r="D138" s="3" t="s">
        <v>696</v>
      </c>
      <c r="E138" s="3">
        <v>20493684371</v>
      </c>
      <c r="F138" s="3" t="s">
        <v>697</v>
      </c>
      <c r="G138" s="3" t="s">
        <v>698</v>
      </c>
      <c r="H138" s="3" t="s">
        <v>23</v>
      </c>
      <c r="I138" s="3" t="s">
        <v>24</v>
      </c>
      <c r="J138" s="3" t="s">
        <v>43</v>
      </c>
      <c r="K138" s="3" t="s">
        <v>699</v>
      </c>
      <c r="L138" s="3" t="s">
        <v>700</v>
      </c>
      <c r="M138" s="3" t="s">
        <v>50</v>
      </c>
      <c r="N138" s="3" t="s">
        <v>701</v>
      </c>
      <c r="O138" s="3">
        <v>153816</v>
      </c>
      <c r="P138" s="3" t="s">
        <v>29</v>
      </c>
      <c r="Q138" s="4">
        <v>41977</v>
      </c>
      <c r="R138" s="3" t="s">
        <v>30</v>
      </c>
      <c r="S138" s="3" t="s">
        <v>702</v>
      </c>
    </row>
    <row r="139" spans="1:19" ht="13.5">
      <c r="A139" s="3">
        <v>133</v>
      </c>
      <c r="B139" s="3" t="str">
        <f>"201800012304"</f>
        <v>201800012304</v>
      </c>
      <c r="C139" s="3">
        <v>122809</v>
      </c>
      <c r="D139" s="3" t="s">
        <v>703</v>
      </c>
      <c r="E139" s="3">
        <v>20393443783</v>
      </c>
      <c r="F139" s="3" t="s">
        <v>518</v>
      </c>
      <c r="G139" s="3" t="s">
        <v>704</v>
      </c>
      <c r="H139" s="3" t="s">
        <v>70</v>
      </c>
      <c r="I139" s="3" t="s">
        <v>71</v>
      </c>
      <c r="J139" s="3" t="s">
        <v>72</v>
      </c>
      <c r="K139" s="3" t="s">
        <v>705</v>
      </c>
      <c r="L139" s="3" t="s">
        <v>706</v>
      </c>
      <c r="M139" s="3" t="s">
        <v>75</v>
      </c>
      <c r="N139" s="3" t="s">
        <v>707</v>
      </c>
      <c r="O139" s="3">
        <v>4050</v>
      </c>
      <c r="P139" s="3" t="s">
        <v>29</v>
      </c>
      <c r="Q139" s="4">
        <v>43145</v>
      </c>
      <c r="R139" s="3" t="s">
        <v>30</v>
      </c>
      <c r="S139" s="3" t="s">
        <v>282</v>
      </c>
    </row>
    <row r="140" spans="1:19" ht="42">
      <c r="A140" s="3">
        <v>134</v>
      </c>
      <c r="B140" s="3" t="str">
        <f>"202000126333"</f>
        <v>202000126333</v>
      </c>
      <c r="C140" s="3">
        <v>151335</v>
      </c>
      <c r="D140" s="3" t="s">
        <v>708</v>
      </c>
      <c r="E140" s="3">
        <v>20100128218</v>
      </c>
      <c r="F140" s="3" t="s">
        <v>194</v>
      </c>
      <c r="G140" s="3" t="s">
        <v>195</v>
      </c>
      <c r="H140" s="3" t="s">
        <v>23</v>
      </c>
      <c r="I140" s="3" t="s">
        <v>24</v>
      </c>
      <c r="J140" s="3" t="s">
        <v>43</v>
      </c>
      <c r="K140" s="3" t="s">
        <v>709</v>
      </c>
      <c r="L140" s="3"/>
      <c r="M140" s="3"/>
      <c r="N140" s="3" t="s">
        <v>710</v>
      </c>
      <c r="O140" s="3">
        <v>936800</v>
      </c>
      <c r="P140" s="3" t="s">
        <v>29</v>
      </c>
      <c r="Q140" s="4">
        <v>44097</v>
      </c>
      <c r="R140" s="3" t="s">
        <v>30</v>
      </c>
      <c r="S140" s="3" t="s">
        <v>711</v>
      </c>
    </row>
    <row r="141" spans="1:19" ht="13.5">
      <c r="A141" s="3">
        <v>135</v>
      </c>
      <c r="B141" s="3" t="str">
        <f>"1150296"</f>
        <v>1150296</v>
      </c>
      <c r="C141" s="3">
        <v>13188</v>
      </c>
      <c r="D141" s="3">
        <v>1150296</v>
      </c>
      <c r="E141" s="3">
        <v>20103808121</v>
      </c>
      <c r="F141" s="3" t="s">
        <v>41</v>
      </c>
      <c r="G141" s="3" t="s">
        <v>712</v>
      </c>
      <c r="H141" s="3" t="s">
        <v>23</v>
      </c>
      <c r="I141" s="3" t="s">
        <v>24</v>
      </c>
      <c r="J141" s="3" t="s">
        <v>43</v>
      </c>
      <c r="K141" s="3" t="s">
        <v>713</v>
      </c>
      <c r="L141" s="3"/>
      <c r="M141" s="3"/>
      <c r="N141" s="3"/>
      <c r="O141" s="3">
        <v>120476</v>
      </c>
      <c r="P141" s="3" t="s">
        <v>29</v>
      </c>
      <c r="Q141" s="4">
        <v>35695</v>
      </c>
      <c r="R141" s="3" t="s">
        <v>30</v>
      </c>
      <c r="S141" s="3"/>
    </row>
    <row r="142" spans="1:19" ht="13.5">
      <c r="A142" s="3">
        <v>136</v>
      </c>
      <c r="B142" s="3" t="str">
        <f>"201400033535"</f>
        <v>201400033535</v>
      </c>
      <c r="C142" s="3">
        <v>108465</v>
      </c>
      <c r="D142" s="3" t="s">
        <v>714</v>
      </c>
      <c r="E142" s="3">
        <v>20528464042</v>
      </c>
      <c r="F142" s="3" t="s">
        <v>186</v>
      </c>
      <c r="G142" s="3" t="s">
        <v>187</v>
      </c>
      <c r="H142" s="3" t="s">
        <v>23</v>
      </c>
      <c r="I142" s="3" t="s">
        <v>24</v>
      </c>
      <c r="J142" s="3" t="s">
        <v>43</v>
      </c>
      <c r="K142" s="3" t="s">
        <v>715</v>
      </c>
      <c r="L142" s="3" t="s">
        <v>716</v>
      </c>
      <c r="M142" s="3" t="s">
        <v>50</v>
      </c>
      <c r="N142" s="3" t="s">
        <v>529</v>
      </c>
      <c r="O142" s="3">
        <v>497874</v>
      </c>
      <c r="P142" s="3" t="s">
        <v>29</v>
      </c>
      <c r="Q142" s="4">
        <v>41774</v>
      </c>
      <c r="R142" s="3" t="s">
        <v>30</v>
      </c>
      <c r="S142" s="3" t="s">
        <v>116</v>
      </c>
    </row>
    <row r="143" spans="1:19" ht="13.5">
      <c r="A143" s="3">
        <v>137</v>
      </c>
      <c r="B143" s="3" t="str">
        <f>"201800206458"</f>
        <v>201800206458</v>
      </c>
      <c r="C143" s="3">
        <v>140311</v>
      </c>
      <c r="D143" s="3" t="s">
        <v>717</v>
      </c>
      <c r="E143" s="3">
        <v>20602238581</v>
      </c>
      <c r="F143" s="3" t="s">
        <v>718</v>
      </c>
      <c r="G143" s="3" t="s">
        <v>719</v>
      </c>
      <c r="H143" s="3" t="s">
        <v>70</v>
      </c>
      <c r="I143" s="3" t="s">
        <v>71</v>
      </c>
      <c r="J143" s="3" t="s">
        <v>513</v>
      </c>
      <c r="K143" s="3" t="s">
        <v>720</v>
      </c>
      <c r="L143" s="3" t="s">
        <v>721</v>
      </c>
      <c r="M143" s="3" t="s">
        <v>75</v>
      </c>
      <c r="N143" s="3" t="s">
        <v>707</v>
      </c>
      <c r="O143" s="3">
        <v>20080</v>
      </c>
      <c r="P143" s="3" t="s">
        <v>29</v>
      </c>
      <c r="Q143" s="4">
        <v>43446</v>
      </c>
      <c r="R143" s="3" t="s">
        <v>30</v>
      </c>
      <c r="S143" s="3" t="s">
        <v>722</v>
      </c>
    </row>
    <row r="144" spans="1:19" ht="27.75">
      <c r="A144" s="3">
        <v>138</v>
      </c>
      <c r="B144" s="3" t="str">
        <f>"201700019052"</f>
        <v>201700019052</v>
      </c>
      <c r="C144" s="3">
        <v>90177</v>
      </c>
      <c r="D144" s="3" t="s">
        <v>723</v>
      </c>
      <c r="E144" s="3">
        <v>20393276607</v>
      </c>
      <c r="F144" s="3" t="s">
        <v>298</v>
      </c>
      <c r="G144" s="3" t="s">
        <v>724</v>
      </c>
      <c r="H144" s="3" t="s">
        <v>70</v>
      </c>
      <c r="I144" s="3" t="s">
        <v>71</v>
      </c>
      <c r="J144" s="3" t="s">
        <v>72</v>
      </c>
      <c r="K144" s="3" t="s">
        <v>725</v>
      </c>
      <c r="L144" s="3" t="s">
        <v>726</v>
      </c>
      <c r="M144" s="3" t="s">
        <v>83</v>
      </c>
      <c r="N144" s="3" t="s">
        <v>727</v>
      </c>
      <c r="O144" s="3">
        <v>218644.94</v>
      </c>
      <c r="P144" s="3" t="s">
        <v>29</v>
      </c>
      <c r="Q144" s="4">
        <v>42781</v>
      </c>
      <c r="R144" s="3" t="s">
        <v>30</v>
      </c>
      <c r="S144" s="3" t="s">
        <v>302</v>
      </c>
    </row>
    <row r="145" spans="1:19" ht="13.5">
      <c r="A145" s="3">
        <v>139</v>
      </c>
      <c r="B145" s="3" t="str">
        <f>"201900157989"</f>
        <v>201900157989</v>
      </c>
      <c r="C145" s="3">
        <v>146814</v>
      </c>
      <c r="D145" s="3" t="s">
        <v>728</v>
      </c>
      <c r="E145" s="3">
        <v>20537243709</v>
      </c>
      <c r="F145" s="3" t="s">
        <v>729</v>
      </c>
      <c r="G145" s="3" t="s">
        <v>730</v>
      </c>
      <c r="H145" s="3" t="s">
        <v>242</v>
      </c>
      <c r="I145" s="3" t="s">
        <v>242</v>
      </c>
      <c r="J145" s="3" t="s">
        <v>354</v>
      </c>
      <c r="K145" s="3" t="s">
        <v>731</v>
      </c>
      <c r="L145" s="3" t="s">
        <v>732</v>
      </c>
      <c r="M145" s="3" t="s">
        <v>246</v>
      </c>
      <c r="N145" s="3" t="s">
        <v>687</v>
      </c>
      <c r="O145" s="3">
        <v>177032</v>
      </c>
      <c r="P145" s="3" t="s">
        <v>29</v>
      </c>
      <c r="Q145" s="4">
        <v>43760</v>
      </c>
      <c r="R145" s="3" t="s">
        <v>30</v>
      </c>
      <c r="S145" s="3" t="s">
        <v>733</v>
      </c>
    </row>
    <row r="146" spans="1:19" ht="13.5">
      <c r="A146" s="3">
        <v>140</v>
      </c>
      <c r="B146" s="3" t="str">
        <f>"201500145679"</f>
        <v>201500145679</v>
      </c>
      <c r="C146" s="3">
        <v>118326</v>
      </c>
      <c r="D146" s="3" t="s">
        <v>734</v>
      </c>
      <c r="E146" s="3">
        <v>10060006275</v>
      </c>
      <c r="F146" s="3" t="s">
        <v>735</v>
      </c>
      <c r="G146" s="3" t="s">
        <v>736</v>
      </c>
      <c r="H146" s="3" t="s">
        <v>70</v>
      </c>
      <c r="I146" s="3" t="s">
        <v>71</v>
      </c>
      <c r="J146" s="3" t="s">
        <v>72</v>
      </c>
      <c r="K146" s="3" t="s">
        <v>737</v>
      </c>
      <c r="L146" s="3" t="s">
        <v>738</v>
      </c>
      <c r="M146" s="3" t="s">
        <v>75</v>
      </c>
      <c r="N146" s="3" t="s">
        <v>155</v>
      </c>
      <c r="O146" s="3">
        <v>17144</v>
      </c>
      <c r="P146" s="3" t="s">
        <v>29</v>
      </c>
      <c r="Q146" s="4">
        <v>42347</v>
      </c>
      <c r="R146" s="3" t="s">
        <v>30</v>
      </c>
      <c r="S146" s="3" t="s">
        <v>735</v>
      </c>
    </row>
    <row r="147" spans="1:19" ht="13.5">
      <c r="A147" s="3">
        <v>141</v>
      </c>
      <c r="B147" s="3" t="str">
        <f>"201400046763"</f>
        <v>201400046763</v>
      </c>
      <c r="C147" s="3">
        <v>13861</v>
      </c>
      <c r="D147" s="3" t="s">
        <v>739</v>
      </c>
      <c r="E147" s="3">
        <v>20280300021</v>
      </c>
      <c r="F147" s="3" t="s">
        <v>740</v>
      </c>
      <c r="G147" s="3" t="s">
        <v>237</v>
      </c>
      <c r="H147" s="3" t="s">
        <v>23</v>
      </c>
      <c r="I147" s="3" t="s">
        <v>24</v>
      </c>
      <c r="J147" s="3" t="s">
        <v>25</v>
      </c>
      <c r="K147" s="3" t="s">
        <v>741</v>
      </c>
      <c r="L147" s="3" t="s">
        <v>742</v>
      </c>
      <c r="M147" s="3" t="s">
        <v>50</v>
      </c>
      <c r="N147" s="3"/>
      <c r="O147" s="3">
        <v>100252</v>
      </c>
      <c r="P147" s="3" t="s">
        <v>29</v>
      </c>
      <c r="Q147" s="4">
        <v>41779</v>
      </c>
      <c r="R147" s="3" t="s">
        <v>30</v>
      </c>
      <c r="S147" s="3" t="s">
        <v>446</v>
      </c>
    </row>
    <row r="148" spans="1:19" ht="27.75">
      <c r="A148" s="3">
        <v>142</v>
      </c>
      <c r="B148" s="3" t="str">
        <f>"201500129041"</f>
        <v>201500129041</v>
      </c>
      <c r="C148" s="3">
        <v>83987</v>
      </c>
      <c r="D148" s="3" t="s">
        <v>743</v>
      </c>
      <c r="E148" s="3">
        <v>20493684371</v>
      </c>
      <c r="F148" s="3" t="s">
        <v>744</v>
      </c>
      <c r="G148" s="3" t="s">
        <v>745</v>
      </c>
      <c r="H148" s="3" t="s">
        <v>23</v>
      </c>
      <c r="I148" s="3" t="s">
        <v>24</v>
      </c>
      <c r="J148" s="3" t="s">
        <v>43</v>
      </c>
      <c r="K148" s="3" t="s">
        <v>746</v>
      </c>
      <c r="L148" s="3" t="s">
        <v>747</v>
      </c>
      <c r="M148" s="3" t="s">
        <v>50</v>
      </c>
      <c r="N148" s="3" t="s">
        <v>748</v>
      </c>
      <c r="O148" s="3">
        <v>121783</v>
      </c>
      <c r="P148" s="3" t="s">
        <v>29</v>
      </c>
      <c r="Q148" s="4">
        <v>42291</v>
      </c>
      <c r="R148" s="3" t="s">
        <v>30</v>
      </c>
      <c r="S148" s="3" t="s">
        <v>749</v>
      </c>
    </row>
    <row r="149" spans="1:19" ht="27.75">
      <c r="A149" s="3">
        <v>143</v>
      </c>
      <c r="B149" s="3" t="str">
        <f>"201900125916"</f>
        <v>201900125916</v>
      </c>
      <c r="C149" s="3">
        <v>145661</v>
      </c>
      <c r="D149" s="3" t="s">
        <v>750</v>
      </c>
      <c r="E149" s="3">
        <v>20528481303</v>
      </c>
      <c r="F149" s="3" t="s">
        <v>220</v>
      </c>
      <c r="G149" s="3" t="s">
        <v>751</v>
      </c>
      <c r="H149" s="3" t="s">
        <v>23</v>
      </c>
      <c r="I149" s="3" t="s">
        <v>24</v>
      </c>
      <c r="J149" s="3" t="s">
        <v>25</v>
      </c>
      <c r="K149" s="3" t="s">
        <v>752</v>
      </c>
      <c r="L149" s="3" t="s">
        <v>753</v>
      </c>
      <c r="M149" s="3" t="s">
        <v>50</v>
      </c>
      <c r="N149" s="3" t="s">
        <v>554</v>
      </c>
      <c r="O149" s="3">
        <v>903472.92</v>
      </c>
      <c r="P149" s="3" t="s">
        <v>29</v>
      </c>
      <c r="Q149" s="4">
        <v>43686</v>
      </c>
      <c r="R149" s="3" t="s">
        <v>30</v>
      </c>
      <c r="S149" s="3" t="s">
        <v>226</v>
      </c>
    </row>
    <row r="150" spans="1:19" ht="13.5">
      <c r="A150" s="3">
        <v>144</v>
      </c>
      <c r="B150" s="3" t="str">
        <f>"201400024188"</f>
        <v>201400024188</v>
      </c>
      <c r="C150" s="3">
        <v>108159</v>
      </c>
      <c r="D150" s="3" t="s">
        <v>754</v>
      </c>
      <c r="E150" s="3">
        <v>20528464042</v>
      </c>
      <c r="F150" s="3" t="s">
        <v>186</v>
      </c>
      <c r="G150" s="3" t="s">
        <v>755</v>
      </c>
      <c r="H150" s="3" t="s">
        <v>23</v>
      </c>
      <c r="I150" s="3" t="s">
        <v>24</v>
      </c>
      <c r="J150" s="3" t="s">
        <v>43</v>
      </c>
      <c r="K150" s="3" t="s">
        <v>756</v>
      </c>
      <c r="L150" s="3" t="s">
        <v>757</v>
      </c>
      <c r="M150" s="3" t="s">
        <v>50</v>
      </c>
      <c r="N150" s="3" t="s">
        <v>529</v>
      </c>
      <c r="O150" s="3">
        <v>498968</v>
      </c>
      <c r="P150" s="3" t="s">
        <v>29</v>
      </c>
      <c r="Q150" s="4">
        <v>41773</v>
      </c>
      <c r="R150" s="3" t="s">
        <v>30</v>
      </c>
      <c r="S150" s="3" t="s">
        <v>116</v>
      </c>
    </row>
    <row r="151" spans="1:19" ht="13.5">
      <c r="A151" s="3">
        <v>145</v>
      </c>
      <c r="B151" s="3" t="str">
        <f>"201400113808"</f>
        <v>201400113808</v>
      </c>
      <c r="C151" s="3">
        <v>111322</v>
      </c>
      <c r="D151" s="3" t="s">
        <v>758</v>
      </c>
      <c r="E151" s="3">
        <v>20542824272</v>
      </c>
      <c r="F151" s="3" t="s">
        <v>759</v>
      </c>
      <c r="G151" s="3" t="s">
        <v>760</v>
      </c>
      <c r="H151" s="3" t="s">
        <v>159</v>
      </c>
      <c r="I151" s="3" t="s">
        <v>160</v>
      </c>
      <c r="J151" s="3" t="s">
        <v>159</v>
      </c>
      <c r="K151" s="3" t="s">
        <v>761</v>
      </c>
      <c r="L151" s="3" t="s">
        <v>762</v>
      </c>
      <c r="M151" s="3" t="s">
        <v>580</v>
      </c>
      <c r="N151" s="3" t="s">
        <v>155</v>
      </c>
      <c r="O151" s="3">
        <v>3430</v>
      </c>
      <c r="P151" s="3" t="s">
        <v>29</v>
      </c>
      <c r="Q151" s="4">
        <v>41939</v>
      </c>
      <c r="R151" s="3" t="s">
        <v>30</v>
      </c>
      <c r="S151" s="3" t="s">
        <v>763</v>
      </c>
    </row>
    <row r="152" spans="1:19" ht="13.5">
      <c r="A152" s="3">
        <v>146</v>
      </c>
      <c r="B152" s="3" t="str">
        <f>"201500104603"</f>
        <v>201500104603</v>
      </c>
      <c r="C152" s="3">
        <v>116949</v>
      </c>
      <c r="D152" s="3" t="s">
        <v>764</v>
      </c>
      <c r="E152" s="3">
        <v>10424033273</v>
      </c>
      <c r="F152" s="3" t="s">
        <v>556</v>
      </c>
      <c r="G152" s="3" t="s">
        <v>557</v>
      </c>
      <c r="H152" s="3" t="s">
        <v>70</v>
      </c>
      <c r="I152" s="3" t="s">
        <v>89</v>
      </c>
      <c r="J152" s="3" t="s">
        <v>90</v>
      </c>
      <c r="K152" s="3" t="s">
        <v>765</v>
      </c>
      <c r="L152" s="3" t="s">
        <v>559</v>
      </c>
      <c r="M152" s="3" t="s">
        <v>560</v>
      </c>
      <c r="N152" s="3" t="s">
        <v>122</v>
      </c>
      <c r="O152" s="3">
        <v>1500</v>
      </c>
      <c r="P152" s="3" t="s">
        <v>29</v>
      </c>
      <c r="Q152" s="4">
        <v>42252</v>
      </c>
      <c r="R152" s="3" t="s">
        <v>30</v>
      </c>
      <c r="S152" s="3" t="s">
        <v>556</v>
      </c>
    </row>
    <row r="153" spans="1:19" ht="13.5">
      <c r="A153" s="3">
        <v>147</v>
      </c>
      <c r="B153" s="3" t="str">
        <f>"1150916"</f>
        <v>1150916</v>
      </c>
      <c r="C153" s="3">
        <v>14303</v>
      </c>
      <c r="D153" s="3">
        <v>1150916</v>
      </c>
      <c r="E153" s="3">
        <v>20103808121</v>
      </c>
      <c r="F153" s="3" t="s">
        <v>41</v>
      </c>
      <c r="G153" s="3" t="s">
        <v>712</v>
      </c>
      <c r="H153" s="3" t="s">
        <v>23</v>
      </c>
      <c r="I153" s="3" t="s">
        <v>24</v>
      </c>
      <c r="J153" s="3" t="s">
        <v>43</v>
      </c>
      <c r="K153" s="3" t="s">
        <v>766</v>
      </c>
      <c r="L153" s="3"/>
      <c r="M153" s="3"/>
      <c r="N153" s="3"/>
      <c r="O153" s="3">
        <v>78636</v>
      </c>
      <c r="P153" s="3" t="s">
        <v>29</v>
      </c>
      <c r="Q153" s="4">
        <v>35697</v>
      </c>
      <c r="R153" s="3" t="s">
        <v>30</v>
      </c>
      <c r="S153" s="3"/>
    </row>
    <row r="154" spans="1:19" ht="27.75">
      <c r="A154" s="3">
        <v>148</v>
      </c>
      <c r="B154" s="3" t="str">
        <f>"201900104696"</f>
        <v>201900104696</v>
      </c>
      <c r="C154" s="3">
        <v>141742</v>
      </c>
      <c r="D154" s="3" t="s">
        <v>767</v>
      </c>
      <c r="E154" s="3">
        <v>20393443783</v>
      </c>
      <c r="F154" s="3" t="s">
        <v>277</v>
      </c>
      <c r="G154" s="3" t="s">
        <v>519</v>
      </c>
      <c r="H154" s="3" t="s">
        <v>70</v>
      </c>
      <c r="I154" s="3" t="s">
        <v>71</v>
      </c>
      <c r="J154" s="3" t="s">
        <v>72</v>
      </c>
      <c r="K154" s="3" t="s">
        <v>768</v>
      </c>
      <c r="L154" s="3" t="s">
        <v>769</v>
      </c>
      <c r="M154" s="3" t="s">
        <v>50</v>
      </c>
      <c r="N154" s="3" t="s">
        <v>57</v>
      </c>
      <c r="O154" s="3">
        <v>23831.78</v>
      </c>
      <c r="P154" s="3" t="s">
        <v>29</v>
      </c>
      <c r="Q154" s="4">
        <v>43648</v>
      </c>
      <c r="R154" s="3" t="s">
        <v>30</v>
      </c>
      <c r="S154" s="3" t="s">
        <v>314</v>
      </c>
    </row>
    <row r="155" spans="1:19" ht="13.5">
      <c r="A155" s="3">
        <v>149</v>
      </c>
      <c r="B155" s="3" t="str">
        <f>"1163267"</f>
        <v>1163267</v>
      </c>
      <c r="C155" s="3">
        <v>13348</v>
      </c>
      <c r="D155" s="3" t="s">
        <v>770</v>
      </c>
      <c r="E155" s="3">
        <v>20103951781</v>
      </c>
      <c r="F155" s="3" t="s">
        <v>343</v>
      </c>
      <c r="G155" s="3" t="s">
        <v>344</v>
      </c>
      <c r="H155" s="3" t="s">
        <v>23</v>
      </c>
      <c r="I155" s="3" t="s">
        <v>24</v>
      </c>
      <c r="J155" s="3" t="s">
        <v>43</v>
      </c>
      <c r="K155" s="3" t="s">
        <v>771</v>
      </c>
      <c r="L155" s="3" t="s">
        <v>772</v>
      </c>
      <c r="M155" s="3" t="s">
        <v>50</v>
      </c>
      <c r="N155" s="3"/>
      <c r="O155" s="3">
        <v>210948</v>
      </c>
      <c r="P155" s="3" t="s">
        <v>29</v>
      </c>
      <c r="Q155" s="4">
        <v>35780</v>
      </c>
      <c r="R155" s="3" t="s">
        <v>30</v>
      </c>
      <c r="S155" s="3" t="s">
        <v>360</v>
      </c>
    </row>
    <row r="156" spans="1:19" ht="27.75">
      <c r="A156" s="3">
        <v>150</v>
      </c>
      <c r="B156" s="3" t="str">
        <f>"201700125757"</f>
        <v>201700125757</v>
      </c>
      <c r="C156" s="3">
        <v>131045</v>
      </c>
      <c r="D156" s="3" t="s">
        <v>773</v>
      </c>
      <c r="E156" s="3">
        <v>20493166078</v>
      </c>
      <c r="F156" s="3" t="s">
        <v>774</v>
      </c>
      <c r="G156" s="3" t="s">
        <v>775</v>
      </c>
      <c r="H156" s="3" t="s">
        <v>23</v>
      </c>
      <c r="I156" s="3" t="s">
        <v>24</v>
      </c>
      <c r="J156" s="3" t="s">
        <v>25</v>
      </c>
      <c r="K156" s="3" t="s">
        <v>776</v>
      </c>
      <c r="L156" s="3" t="s">
        <v>777</v>
      </c>
      <c r="M156" s="3" t="s">
        <v>75</v>
      </c>
      <c r="N156" s="3" t="s">
        <v>155</v>
      </c>
      <c r="O156" s="3">
        <v>19600</v>
      </c>
      <c r="P156" s="3" t="s">
        <v>29</v>
      </c>
      <c r="Q156" s="4">
        <v>42962</v>
      </c>
      <c r="R156" s="3" t="s">
        <v>30</v>
      </c>
      <c r="S156" s="3" t="s">
        <v>778</v>
      </c>
    </row>
    <row r="157" spans="1:19" ht="13.5">
      <c r="A157" s="3">
        <v>151</v>
      </c>
      <c r="B157" s="3" t="str">
        <f>"201800084504"</f>
        <v>201800084504</v>
      </c>
      <c r="C157" s="3">
        <v>108419</v>
      </c>
      <c r="D157" s="3" t="s">
        <v>779</v>
      </c>
      <c r="E157" s="3">
        <v>20393804395</v>
      </c>
      <c r="F157" s="3" t="s">
        <v>780</v>
      </c>
      <c r="G157" s="3" t="s">
        <v>781</v>
      </c>
      <c r="H157" s="3" t="s">
        <v>70</v>
      </c>
      <c r="I157" s="3" t="s">
        <v>71</v>
      </c>
      <c r="J157" s="3" t="s">
        <v>72</v>
      </c>
      <c r="K157" s="3" t="s">
        <v>782</v>
      </c>
      <c r="L157" s="3" t="s">
        <v>783</v>
      </c>
      <c r="M157" s="3" t="s">
        <v>75</v>
      </c>
      <c r="N157" s="3" t="s">
        <v>290</v>
      </c>
      <c r="O157" s="3">
        <v>2160</v>
      </c>
      <c r="P157" s="3" t="s">
        <v>784</v>
      </c>
      <c r="Q157" s="4">
        <v>43245</v>
      </c>
      <c r="R157" s="3" t="s">
        <v>30</v>
      </c>
      <c r="S157" s="3" t="s">
        <v>785</v>
      </c>
    </row>
    <row r="158" spans="1:19" ht="13.5">
      <c r="A158" s="3">
        <v>152</v>
      </c>
      <c r="B158" s="3" t="str">
        <f>"1933489"</f>
        <v>1933489</v>
      </c>
      <c r="C158" s="3">
        <v>84381</v>
      </c>
      <c r="D158" s="3" t="s">
        <v>786</v>
      </c>
      <c r="E158" s="3">
        <v>20393379678</v>
      </c>
      <c r="F158" s="3" t="s">
        <v>787</v>
      </c>
      <c r="G158" s="3" t="s">
        <v>788</v>
      </c>
      <c r="H158" s="3" t="s">
        <v>23</v>
      </c>
      <c r="I158" s="3" t="s">
        <v>24</v>
      </c>
      <c r="J158" s="3" t="s">
        <v>25</v>
      </c>
      <c r="K158" s="3" t="s">
        <v>789</v>
      </c>
      <c r="L158" s="3"/>
      <c r="M158" s="3"/>
      <c r="N158" s="3"/>
      <c r="O158" s="3">
        <v>94352</v>
      </c>
      <c r="P158" s="3" t="s">
        <v>29</v>
      </c>
      <c r="Q158" s="4">
        <v>40107</v>
      </c>
      <c r="R158" s="3" t="s">
        <v>30</v>
      </c>
      <c r="S158" s="3"/>
    </row>
    <row r="159" spans="1:19" ht="42">
      <c r="A159" s="3">
        <v>153</v>
      </c>
      <c r="B159" s="3" t="str">
        <f>"201800153614"</f>
        <v>201800153614</v>
      </c>
      <c r="C159" s="3">
        <v>138642</v>
      </c>
      <c r="D159" s="3" t="s">
        <v>790</v>
      </c>
      <c r="E159" s="3">
        <v>20547737904</v>
      </c>
      <c r="F159" s="3" t="s">
        <v>791</v>
      </c>
      <c r="G159" s="3" t="s">
        <v>792</v>
      </c>
      <c r="H159" s="3" t="s">
        <v>793</v>
      </c>
      <c r="I159" s="3" t="s">
        <v>793</v>
      </c>
      <c r="J159" s="3" t="s">
        <v>794</v>
      </c>
      <c r="K159" s="3" t="s">
        <v>795</v>
      </c>
      <c r="L159" s="3" t="s">
        <v>796</v>
      </c>
      <c r="M159" s="3" t="s">
        <v>50</v>
      </c>
      <c r="N159" s="3" t="s">
        <v>797</v>
      </c>
      <c r="O159" s="3">
        <v>118584</v>
      </c>
      <c r="P159" s="3" t="s">
        <v>29</v>
      </c>
      <c r="Q159" s="4">
        <v>43378</v>
      </c>
      <c r="R159" s="3" t="s">
        <v>30</v>
      </c>
      <c r="S159" s="3" t="s">
        <v>665</v>
      </c>
    </row>
    <row r="160" spans="1:19" ht="13.5">
      <c r="A160" s="3">
        <v>154</v>
      </c>
      <c r="B160" s="3" t="str">
        <f>"201400030635"</f>
        <v>201400030635</v>
      </c>
      <c r="C160" s="3">
        <v>108385</v>
      </c>
      <c r="D160" s="3" t="s">
        <v>798</v>
      </c>
      <c r="E160" s="3">
        <v>20528464042</v>
      </c>
      <c r="F160" s="3" t="s">
        <v>186</v>
      </c>
      <c r="G160" s="3" t="s">
        <v>755</v>
      </c>
      <c r="H160" s="3" t="s">
        <v>23</v>
      </c>
      <c r="I160" s="3" t="s">
        <v>24</v>
      </c>
      <c r="J160" s="3" t="s">
        <v>43</v>
      </c>
      <c r="K160" s="3" t="s">
        <v>799</v>
      </c>
      <c r="L160" s="3" t="s">
        <v>800</v>
      </c>
      <c r="M160" s="3" t="s">
        <v>50</v>
      </c>
      <c r="N160" s="3" t="s">
        <v>529</v>
      </c>
      <c r="O160" s="3">
        <v>498734</v>
      </c>
      <c r="P160" s="3" t="s">
        <v>29</v>
      </c>
      <c r="Q160" s="4">
        <v>41759</v>
      </c>
      <c r="R160" s="3" t="s">
        <v>30</v>
      </c>
      <c r="S160" s="3" t="s">
        <v>116</v>
      </c>
    </row>
    <row r="161" spans="1:19" ht="13.5">
      <c r="A161" s="3">
        <v>155</v>
      </c>
      <c r="B161" s="3" t="str">
        <f>"201900096794"</f>
        <v>201900096794</v>
      </c>
      <c r="C161" s="3">
        <v>41508</v>
      </c>
      <c r="D161" s="3" t="s">
        <v>801</v>
      </c>
      <c r="E161" s="3">
        <v>20393303931</v>
      </c>
      <c r="F161" s="3" t="s">
        <v>505</v>
      </c>
      <c r="G161" s="3" t="s">
        <v>802</v>
      </c>
      <c r="H161" s="3" t="s">
        <v>70</v>
      </c>
      <c r="I161" s="3" t="s">
        <v>71</v>
      </c>
      <c r="J161" s="3" t="s">
        <v>72</v>
      </c>
      <c r="K161" s="3" t="s">
        <v>803</v>
      </c>
      <c r="L161" s="3" t="s">
        <v>804</v>
      </c>
      <c r="M161" s="3" t="s">
        <v>75</v>
      </c>
      <c r="N161" s="3" t="s">
        <v>707</v>
      </c>
      <c r="O161" s="3">
        <v>111600</v>
      </c>
      <c r="P161" s="3" t="s">
        <v>29</v>
      </c>
      <c r="Q161" s="4">
        <v>43633</v>
      </c>
      <c r="R161" s="3" t="s">
        <v>30</v>
      </c>
      <c r="S161" s="3" t="s">
        <v>805</v>
      </c>
    </row>
    <row r="162" spans="1:19" ht="13.5">
      <c r="A162" s="3">
        <v>156</v>
      </c>
      <c r="B162" s="3" t="str">
        <f>"202000126906"</f>
        <v>202000126906</v>
      </c>
      <c r="C162" s="3">
        <v>151350</v>
      </c>
      <c r="D162" s="3" t="s">
        <v>806</v>
      </c>
      <c r="E162" s="3">
        <v>20522163890</v>
      </c>
      <c r="F162" s="3" t="s">
        <v>807</v>
      </c>
      <c r="G162" s="3" t="s">
        <v>808</v>
      </c>
      <c r="H162" s="3" t="s">
        <v>242</v>
      </c>
      <c r="I162" s="3" t="s">
        <v>242</v>
      </c>
      <c r="J162" s="3" t="s">
        <v>243</v>
      </c>
      <c r="K162" s="3" t="s">
        <v>809</v>
      </c>
      <c r="L162" s="3" t="s">
        <v>810</v>
      </c>
      <c r="M162" s="3" t="s">
        <v>246</v>
      </c>
      <c r="N162" s="3" t="s">
        <v>811</v>
      </c>
      <c r="O162" s="3">
        <v>20587323</v>
      </c>
      <c r="P162" s="3" t="s">
        <v>29</v>
      </c>
      <c r="Q162" s="4">
        <v>44096</v>
      </c>
      <c r="R162" s="3" t="s">
        <v>30</v>
      </c>
      <c r="S162" s="3" t="s">
        <v>812</v>
      </c>
    </row>
    <row r="163" spans="1:19" ht="27.75">
      <c r="A163" s="3">
        <v>157</v>
      </c>
      <c r="B163" s="3" t="str">
        <f>"201400009423"</f>
        <v>201400009423</v>
      </c>
      <c r="C163" s="3">
        <v>106375</v>
      </c>
      <c r="D163" s="3" t="s">
        <v>813</v>
      </c>
      <c r="E163" s="3">
        <v>20542800331</v>
      </c>
      <c r="F163" s="3" t="s">
        <v>814</v>
      </c>
      <c r="G163" s="3" t="s">
        <v>815</v>
      </c>
      <c r="H163" s="3" t="s">
        <v>159</v>
      </c>
      <c r="I163" s="3" t="s">
        <v>427</v>
      </c>
      <c r="J163" s="3" t="s">
        <v>428</v>
      </c>
      <c r="K163" s="3" t="s">
        <v>816</v>
      </c>
      <c r="L163" s="3" t="s">
        <v>817</v>
      </c>
      <c r="M163" s="3" t="s">
        <v>818</v>
      </c>
      <c r="N163" s="3" t="s">
        <v>164</v>
      </c>
      <c r="O163" s="3">
        <v>3430</v>
      </c>
      <c r="P163" s="3" t="s">
        <v>29</v>
      </c>
      <c r="Q163" s="4">
        <v>41663</v>
      </c>
      <c r="R163" s="3" t="s">
        <v>30</v>
      </c>
      <c r="S163" s="3" t="s">
        <v>819</v>
      </c>
    </row>
    <row r="164" spans="1:19" ht="27.75">
      <c r="A164" s="3">
        <v>158</v>
      </c>
      <c r="B164" s="3" t="str">
        <f>"201600181629"</f>
        <v>201600181629</v>
      </c>
      <c r="C164" s="3">
        <v>84328</v>
      </c>
      <c r="D164" s="3" t="s">
        <v>820</v>
      </c>
      <c r="E164" s="3">
        <v>20280300021</v>
      </c>
      <c r="F164" s="3" t="s">
        <v>53</v>
      </c>
      <c r="G164" s="3" t="s">
        <v>237</v>
      </c>
      <c r="H164" s="3" t="s">
        <v>23</v>
      </c>
      <c r="I164" s="3" t="s">
        <v>24</v>
      </c>
      <c r="J164" s="3" t="s">
        <v>25</v>
      </c>
      <c r="K164" s="3" t="s">
        <v>821</v>
      </c>
      <c r="L164" s="3" t="s">
        <v>822</v>
      </c>
      <c r="M164" s="3" t="s">
        <v>75</v>
      </c>
      <c r="N164" s="3" t="s">
        <v>84</v>
      </c>
      <c r="O164" s="3">
        <v>145707</v>
      </c>
      <c r="P164" s="3" t="s">
        <v>29</v>
      </c>
      <c r="Q164" s="4">
        <v>42746</v>
      </c>
      <c r="R164" s="3" t="s">
        <v>30</v>
      </c>
      <c r="S164" s="3" t="s">
        <v>58</v>
      </c>
    </row>
    <row r="165" spans="1:19" ht="42">
      <c r="A165" s="3">
        <v>159</v>
      </c>
      <c r="B165" s="3" t="str">
        <f>"202000004642"</f>
        <v>202000004642</v>
      </c>
      <c r="C165" s="3">
        <v>137787</v>
      </c>
      <c r="D165" s="3" t="s">
        <v>823</v>
      </c>
      <c r="E165" s="3">
        <v>20515920774</v>
      </c>
      <c r="F165" s="3" t="s">
        <v>824</v>
      </c>
      <c r="G165" s="3" t="s">
        <v>825</v>
      </c>
      <c r="H165" s="3" t="s">
        <v>793</v>
      </c>
      <c r="I165" s="3" t="s">
        <v>793</v>
      </c>
      <c r="J165" s="3" t="s">
        <v>794</v>
      </c>
      <c r="K165" s="3" t="s">
        <v>826</v>
      </c>
      <c r="L165" s="3" t="s">
        <v>827</v>
      </c>
      <c r="M165" s="3" t="s">
        <v>50</v>
      </c>
      <c r="N165" s="3" t="s">
        <v>828</v>
      </c>
      <c r="O165" s="3">
        <v>8488488.4</v>
      </c>
      <c r="P165" s="3" t="s">
        <v>29</v>
      </c>
      <c r="Q165" s="4">
        <v>43846</v>
      </c>
      <c r="R165" s="3" t="s">
        <v>30</v>
      </c>
      <c r="S165" s="3" t="s">
        <v>829</v>
      </c>
    </row>
    <row r="166" spans="1:19" ht="13.5">
      <c r="A166" s="3">
        <v>160</v>
      </c>
      <c r="B166" s="3" t="str">
        <f>"1447855"</f>
        <v>1447855</v>
      </c>
      <c r="C166" s="3">
        <v>35070</v>
      </c>
      <c r="D166" s="3" t="s">
        <v>830</v>
      </c>
      <c r="E166" s="3">
        <v>20304177552</v>
      </c>
      <c r="F166" s="3" t="s">
        <v>352</v>
      </c>
      <c r="G166" s="3" t="s">
        <v>353</v>
      </c>
      <c r="H166" s="3" t="s">
        <v>242</v>
      </c>
      <c r="I166" s="3" t="s">
        <v>242</v>
      </c>
      <c r="J166" s="3" t="s">
        <v>354</v>
      </c>
      <c r="K166" s="3" t="s">
        <v>831</v>
      </c>
      <c r="L166" s="3"/>
      <c r="M166" s="3"/>
      <c r="N166" s="3"/>
      <c r="O166" s="3">
        <v>42083</v>
      </c>
      <c r="P166" s="3" t="s">
        <v>29</v>
      </c>
      <c r="Q166" s="4">
        <v>38006</v>
      </c>
      <c r="R166" s="3" t="s">
        <v>30</v>
      </c>
      <c r="S166" s="3"/>
    </row>
    <row r="167" spans="1:19" ht="13.5">
      <c r="A167" s="3">
        <v>161</v>
      </c>
      <c r="B167" s="3" t="str">
        <f>"1164292"</f>
        <v>1164292</v>
      </c>
      <c r="C167" s="3">
        <v>13366</v>
      </c>
      <c r="D167" s="3">
        <v>1164292</v>
      </c>
      <c r="E167" s="3">
        <v>10105441482</v>
      </c>
      <c r="F167" s="3" t="s">
        <v>832</v>
      </c>
      <c r="G167" s="3" t="s">
        <v>833</v>
      </c>
      <c r="H167" s="3" t="s">
        <v>23</v>
      </c>
      <c r="I167" s="3" t="s">
        <v>24</v>
      </c>
      <c r="J167" s="3" t="s">
        <v>43</v>
      </c>
      <c r="K167" s="3" t="s">
        <v>834</v>
      </c>
      <c r="L167" s="3"/>
      <c r="M167" s="3"/>
      <c r="N167" s="3"/>
      <c r="O167" s="3">
        <v>70612</v>
      </c>
      <c r="P167" s="3" t="s">
        <v>29</v>
      </c>
      <c r="Q167" s="4">
        <v>35795</v>
      </c>
      <c r="R167" s="3" t="s">
        <v>30</v>
      </c>
      <c r="S167" s="3"/>
    </row>
    <row r="168" spans="1:19" ht="13.5">
      <c r="A168" s="3">
        <v>162</v>
      </c>
      <c r="B168" s="3" t="str">
        <f>"201400039594"</f>
        <v>201400039594</v>
      </c>
      <c r="C168" s="3">
        <v>108707</v>
      </c>
      <c r="D168" s="3" t="s">
        <v>835</v>
      </c>
      <c r="E168" s="3">
        <v>20393453746</v>
      </c>
      <c r="F168" s="3" t="s">
        <v>836</v>
      </c>
      <c r="G168" s="3" t="s">
        <v>837</v>
      </c>
      <c r="H168" s="3" t="s">
        <v>70</v>
      </c>
      <c r="I168" s="3" t="s">
        <v>71</v>
      </c>
      <c r="J168" s="3" t="s">
        <v>513</v>
      </c>
      <c r="K168" s="3" t="s">
        <v>838</v>
      </c>
      <c r="L168" s="3" t="s">
        <v>839</v>
      </c>
      <c r="M168" s="3" t="s">
        <v>75</v>
      </c>
      <c r="N168" s="3"/>
      <c r="O168" s="3">
        <v>11340</v>
      </c>
      <c r="P168" s="3" t="s">
        <v>784</v>
      </c>
      <c r="Q168" s="4">
        <v>41801</v>
      </c>
      <c r="R168" s="3" t="s">
        <v>30</v>
      </c>
      <c r="S168" s="3" t="s">
        <v>840</v>
      </c>
    </row>
    <row r="169" spans="1:19" ht="27.75">
      <c r="A169" s="3">
        <v>163</v>
      </c>
      <c r="B169" s="3" t="str">
        <f>"201500147655"</f>
        <v>201500147655</v>
      </c>
      <c r="C169" s="3">
        <v>116177</v>
      </c>
      <c r="D169" s="3" t="s">
        <v>841</v>
      </c>
      <c r="E169" s="3">
        <v>10240073809</v>
      </c>
      <c r="F169" s="3" t="s">
        <v>842</v>
      </c>
      <c r="G169" s="3" t="s">
        <v>843</v>
      </c>
      <c r="H169" s="3" t="s">
        <v>159</v>
      </c>
      <c r="I169" s="3" t="s">
        <v>160</v>
      </c>
      <c r="J169" s="3" t="s">
        <v>159</v>
      </c>
      <c r="K169" s="3" t="s">
        <v>844</v>
      </c>
      <c r="L169" s="3" t="s">
        <v>845</v>
      </c>
      <c r="M169" s="3" t="s">
        <v>846</v>
      </c>
      <c r="N169" s="3" t="s">
        <v>847</v>
      </c>
      <c r="O169" s="3">
        <v>3626</v>
      </c>
      <c r="P169" s="3" t="s">
        <v>29</v>
      </c>
      <c r="Q169" s="4">
        <v>42314</v>
      </c>
      <c r="R169" s="3" t="s">
        <v>30</v>
      </c>
      <c r="S169" s="3" t="s">
        <v>848</v>
      </c>
    </row>
    <row r="170" spans="1:19" ht="13.5">
      <c r="A170" s="3">
        <v>164</v>
      </c>
      <c r="B170" s="3" t="str">
        <f>"201400033526"</f>
        <v>201400033526</v>
      </c>
      <c r="C170" s="3">
        <v>108468</v>
      </c>
      <c r="D170" s="3" t="s">
        <v>849</v>
      </c>
      <c r="E170" s="3">
        <v>20528464042</v>
      </c>
      <c r="F170" s="3" t="s">
        <v>186</v>
      </c>
      <c r="G170" s="3" t="s">
        <v>187</v>
      </c>
      <c r="H170" s="3" t="s">
        <v>23</v>
      </c>
      <c r="I170" s="3" t="s">
        <v>24</v>
      </c>
      <c r="J170" s="3" t="s">
        <v>43</v>
      </c>
      <c r="K170" s="3" t="s">
        <v>850</v>
      </c>
      <c r="L170" s="3" t="s">
        <v>851</v>
      </c>
      <c r="M170" s="3" t="s">
        <v>50</v>
      </c>
      <c r="N170" s="3" t="s">
        <v>529</v>
      </c>
      <c r="O170" s="3">
        <v>497874</v>
      </c>
      <c r="P170" s="3" t="s">
        <v>29</v>
      </c>
      <c r="Q170" s="4">
        <v>41739</v>
      </c>
      <c r="R170" s="3" t="s">
        <v>30</v>
      </c>
      <c r="S170" s="3" t="s">
        <v>116</v>
      </c>
    </row>
    <row r="171" spans="1:19" ht="13.5">
      <c r="A171" s="3">
        <v>165</v>
      </c>
      <c r="B171" s="3" t="str">
        <f>"201800059364"</f>
        <v>201800059364</v>
      </c>
      <c r="C171" s="3">
        <v>135573</v>
      </c>
      <c r="D171" s="3" t="s">
        <v>852</v>
      </c>
      <c r="E171" s="3">
        <v>10059614237</v>
      </c>
      <c r="F171" s="3" t="s">
        <v>853</v>
      </c>
      <c r="G171" s="3" t="s">
        <v>854</v>
      </c>
      <c r="H171" s="3" t="s">
        <v>70</v>
      </c>
      <c r="I171" s="3" t="s">
        <v>71</v>
      </c>
      <c r="J171" s="3" t="s">
        <v>513</v>
      </c>
      <c r="K171" s="3" t="s">
        <v>855</v>
      </c>
      <c r="L171" s="3" t="s">
        <v>856</v>
      </c>
      <c r="M171" s="3" t="s">
        <v>75</v>
      </c>
      <c r="N171" s="3" t="s">
        <v>857</v>
      </c>
      <c r="O171" s="3">
        <v>30000</v>
      </c>
      <c r="P171" s="3" t="s">
        <v>29</v>
      </c>
      <c r="Q171" s="4">
        <v>43206</v>
      </c>
      <c r="R171" s="3" t="s">
        <v>30</v>
      </c>
      <c r="S171" s="3" t="s">
        <v>853</v>
      </c>
    </row>
    <row r="172" spans="1:19" ht="13.5">
      <c r="A172" s="3">
        <v>166</v>
      </c>
      <c r="B172" s="3" t="str">
        <f>"1145951"</f>
        <v>1145951</v>
      </c>
      <c r="C172" s="3">
        <v>13121</v>
      </c>
      <c r="D172" s="3">
        <v>1145951</v>
      </c>
      <c r="E172" s="3">
        <v>10052607979</v>
      </c>
      <c r="F172" s="3" t="s">
        <v>236</v>
      </c>
      <c r="G172" s="3" t="s">
        <v>237</v>
      </c>
      <c r="H172" s="3" t="s">
        <v>23</v>
      </c>
      <c r="I172" s="3" t="s">
        <v>24</v>
      </c>
      <c r="J172" s="3" t="s">
        <v>25</v>
      </c>
      <c r="K172" s="3" t="s">
        <v>858</v>
      </c>
      <c r="L172" s="3"/>
      <c r="M172" s="3"/>
      <c r="N172" s="3"/>
      <c r="O172" s="3">
        <v>46082</v>
      </c>
      <c r="P172" s="3" t="s">
        <v>29</v>
      </c>
      <c r="Q172" s="4">
        <v>35660</v>
      </c>
      <c r="R172" s="3" t="s">
        <v>30</v>
      </c>
      <c r="S172" s="3"/>
    </row>
    <row r="173" spans="1:19" ht="13.5">
      <c r="A173" s="3">
        <v>167</v>
      </c>
      <c r="B173" s="3" t="str">
        <f>"1835376"</f>
        <v>1835376</v>
      </c>
      <c r="C173" s="3">
        <v>82089</v>
      </c>
      <c r="D173" s="3" t="s">
        <v>859</v>
      </c>
      <c r="E173" s="3">
        <v>20393379678</v>
      </c>
      <c r="F173" s="3" t="s">
        <v>860</v>
      </c>
      <c r="G173" s="3" t="s">
        <v>861</v>
      </c>
      <c r="H173" s="3" t="s">
        <v>23</v>
      </c>
      <c r="I173" s="3" t="s">
        <v>24</v>
      </c>
      <c r="J173" s="3" t="s">
        <v>25</v>
      </c>
      <c r="K173" s="3" t="s">
        <v>862</v>
      </c>
      <c r="L173" s="3"/>
      <c r="M173" s="3"/>
      <c r="N173" s="3"/>
      <c r="O173" s="3">
        <v>61830</v>
      </c>
      <c r="P173" s="3" t="s">
        <v>29</v>
      </c>
      <c r="Q173" s="4">
        <v>39757</v>
      </c>
      <c r="R173" s="3" t="s">
        <v>30</v>
      </c>
      <c r="S173" s="3"/>
    </row>
    <row r="174" spans="1:19" ht="13.5">
      <c r="A174" s="3">
        <v>168</v>
      </c>
      <c r="B174" s="3" t="str">
        <f>"201600060490"</f>
        <v>201600060490</v>
      </c>
      <c r="C174" s="3">
        <v>119306</v>
      </c>
      <c r="D174" s="3" t="s">
        <v>863</v>
      </c>
      <c r="E174" s="3">
        <v>10059578273</v>
      </c>
      <c r="F174" s="3" t="s">
        <v>151</v>
      </c>
      <c r="G174" s="3" t="s">
        <v>864</v>
      </c>
      <c r="H174" s="3" t="s">
        <v>70</v>
      </c>
      <c r="I174" s="3" t="s">
        <v>71</v>
      </c>
      <c r="J174" s="3" t="s">
        <v>72</v>
      </c>
      <c r="K174" s="3" t="s">
        <v>865</v>
      </c>
      <c r="L174" s="3" t="s">
        <v>866</v>
      </c>
      <c r="M174" s="3" t="s">
        <v>75</v>
      </c>
      <c r="N174" s="3" t="s">
        <v>155</v>
      </c>
      <c r="O174" s="3">
        <v>19800</v>
      </c>
      <c r="P174" s="3" t="s">
        <v>29</v>
      </c>
      <c r="Q174" s="4">
        <v>42531</v>
      </c>
      <c r="R174" s="3" t="s">
        <v>30</v>
      </c>
      <c r="S174" s="3" t="s">
        <v>151</v>
      </c>
    </row>
    <row r="175" spans="1:19" ht="27.75">
      <c r="A175" s="3">
        <v>169</v>
      </c>
      <c r="B175" s="3" t="str">
        <f>"201700016181"</f>
        <v>201700016181</v>
      </c>
      <c r="C175" s="3">
        <v>83596</v>
      </c>
      <c r="D175" s="3" t="s">
        <v>867</v>
      </c>
      <c r="E175" s="3">
        <v>20393276607</v>
      </c>
      <c r="F175" s="3" t="s">
        <v>403</v>
      </c>
      <c r="G175" s="3" t="s">
        <v>724</v>
      </c>
      <c r="H175" s="3" t="s">
        <v>70</v>
      </c>
      <c r="I175" s="3" t="s">
        <v>71</v>
      </c>
      <c r="J175" s="3" t="s">
        <v>72</v>
      </c>
      <c r="K175" s="3" t="s">
        <v>868</v>
      </c>
      <c r="L175" s="3" t="s">
        <v>869</v>
      </c>
      <c r="M175" s="3" t="s">
        <v>83</v>
      </c>
      <c r="N175" s="3" t="s">
        <v>870</v>
      </c>
      <c r="O175" s="3">
        <v>36810</v>
      </c>
      <c r="P175" s="3" t="s">
        <v>29</v>
      </c>
      <c r="Q175" s="4">
        <v>42781</v>
      </c>
      <c r="R175" s="3" t="s">
        <v>30</v>
      </c>
      <c r="S175" s="3" t="s">
        <v>302</v>
      </c>
    </row>
    <row r="176" spans="1:19" ht="13.5">
      <c r="A176" s="3">
        <v>170</v>
      </c>
      <c r="B176" s="3" t="str">
        <f>"1513585"</f>
        <v>1513585</v>
      </c>
      <c r="C176" s="3">
        <v>40170</v>
      </c>
      <c r="D176" s="3" t="s">
        <v>871</v>
      </c>
      <c r="E176" s="3">
        <v>10068324110</v>
      </c>
      <c r="F176" s="3" t="s">
        <v>872</v>
      </c>
      <c r="G176" s="3" t="s">
        <v>873</v>
      </c>
      <c r="H176" s="3" t="s">
        <v>70</v>
      </c>
      <c r="I176" s="3" t="s">
        <v>71</v>
      </c>
      <c r="J176" s="3" t="s">
        <v>72</v>
      </c>
      <c r="K176" s="3" t="s">
        <v>874</v>
      </c>
      <c r="L176" s="3"/>
      <c r="M176" s="3"/>
      <c r="N176" s="3"/>
      <c r="O176" s="3">
        <v>36936</v>
      </c>
      <c r="P176" s="3" t="s">
        <v>29</v>
      </c>
      <c r="Q176" s="4">
        <v>38371</v>
      </c>
      <c r="R176" s="3" t="s">
        <v>30</v>
      </c>
      <c r="S176" s="3"/>
    </row>
    <row r="177" spans="1:19" ht="13.5">
      <c r="A177" s="3">
        <v>171</v>
      </c>
      <c r="B177" s="3" t="str">
        <f>"1694702"</f>
        <v>1694702</v>
      </c>
      <c r="C177" s="3">
        <v>45514</v>
      </c>
      <c r="D177" s="3" t="s">
        <v>875</v>
      </c>
      <c r="E177" s="3">
        <v>10283087862</v>
      </c>
      <c r="F177" s="3" t="s">
        <v>876</v>
      </c>
      <c r="G177" s="3" t="s">
        <v>877</v>
      </c>
      <c r="H177" s="3" t="s">
        <v>70</v>
      </c>
      <c r="I177" s="3" t="s">
        <v>89</v>
      </c>
      <c r="J177" s="3" t="s">
        <v>90</v>
      </c>
      <c r="K177" s="3" t="s">
        <v>878</v>
      </c>
      <c r="L177" s="3" t="s">
        <v>879</v>
      </c>
      <c r="M177" s="3" t="s">
        <v>50</v>
      </c>
      <c r="N177" s="3"/>
      <c r="O177" s="3">
        <v>14626</v>
      </c>
      <c r="P177" s="3" t="s">
        <v>29</v>
      </c>
      <c r="Q177" s="4">
        <v>39211</v>
      </c>
      <c r="R177" s="3" t="s">
        <v>30</v>
      </c>
      <c r="S177" s="3" t="s">
        <v>880</v>
      </c>
    </row>
    <row r="178" spans="1:19" ht="13.5">
      <c r="A178" s="3">
        <v>172</v>
      </c>
      <c r="B178" s="3" t="str">
        <f>"201400067125"</f>
        <v>201400067125</v>
      </c>
      <c r="C178" s="3">
        <v>109667</v>
      </c>
      <c r="D178" s="3" t="s">
        <v>881</v>
      </c>
      <c r="E178" s="3">
        <v>20393434105</v>
      </c>
      <c r="F178" s="3" t="s">
        <v>882</v>
      </c>
      <c r="G178" s="3" t="s">
        <v>883</v>
      </c>
      <c r="H178" s="3" t="s">
        <v>70</v>
      </c>
      <c r="I178" s="3" t="s">
        <v>71</v>
      </c>
      <c r="J178" s="3" t="s">
        <v>72</v>
      </c>
      <c r="K178" s="3" t="s">
        <v>884</v>
      </c>
      <c r="L178" s="3" t="s">
        <v>885</v>
      </c>
      <c r="M178" s="3" t="s">
        <v>75</v>
      </c>
      <c r="N178" s="3" t="s">
        <v>155</v>
      </c>
      <c r="O178" s="3">
        <v>42768</v>
      </c>
      <c r="P178" s="3" t="s">
        <v>29</v>
      </c>
      <c r="Q178" s="4">
        <v>41802</v>
      </c>
      <c r="R178" s="3" t="s">
        <v>30</v>
      </c>
      <c r="S178" s="3" t="s">
        <v>886</v>
      </c>
    </row>
    <row r="179" spans="1:19" ht="27.75">
      <c r="A179" s="3">
        <v>173</v>
      </c>
      <c r="B179" s="3" t="str">
        <f>"201700036373"</f>
        <v>201700036373</v>
      </c>
      <c r="C179" s="3">
        <v>126764</v>
      </c>
      <c r="D179" s="3" t="s">
        <v>887</v>
      </c>
      <c r="E179" s="3">
        <v>20600109201</v>
      </c>
      <c r="F179" s="3" t="s">
        <v>888</v>
      </c>
      <c r="G179" s="3" t="s">
        <v>889</v>
      </c>
      <c r="H179" s="3" t="s">
        <v>23</v>
      </c>
      <c r="I179" s="3" t="s">
        <v>24</v>
      </c>
      <c r="J179" s="3" t="s">
        <v>222</v>
      </c>
      <c r="K179" s="3" t="s">
        <v>890</v>
      </c>
      <c r="L179" s="3" t="s">
        <v>891</v>
      </c>
      <c r="M179" s="3" t="s">
        <v>75</v>
      </c>
      <c r="N179" s="3" t="s">
        <v>155</v>
      </c>
      <c r="O179" s="3">
        <v>93316</v>
      </c>
      <c r="P179" s="3" t="s">
        <v>29</v>
      </c>
      <c r="Q179" s="4">
        <v>42814</v>
      </c>
      <c r="R179" s="3" t="s">
        <v>30</v>
      </c>
      <c r="S179" s="3" t="s">
        <v>892</v>
      </c>
    </row>
    <row r="180" spans="1:19" ht="13.5">
      <c r="A180" s="3">
        <v>174</v>
      </c>
      <c r="B180" s="3" t="str">
        <f>"201400030643"</f>
        <v>201400030643</v>
      </c>
      <c r="C180" s="3">
        <v>108386</v>
      </c>
      <c r="D180" s="3" t="s">
        <v>893</v>
      </c>
      <c r="E180" s="3">
        <v>20528464042</v>
      </c>
      <c r="F180" s="3" t="s">
        <v>186</v>
      </c>
      <c r="G180" s="3" t="s">
        <v>894</v>
      </c>
      <c r="H180" s="3" t="s">
        <v>23</v>
      </c>
      <c r="I180" s="3" t="s">
        <v>24</v>
      </c>
      <c r="J180" s="3" t="s">
        <v>43</v>
      </c>
      <c r="K180" s="3" t="s">
        <v>895</v>
      </c>
      <c r="L180" s="3" t="s">
        <v>896</v>
      </c>
      <c r="M180" s="3" t="s">
        <v>50</v>
      </c>
      <c r="N180" s="3" t="s">
        <v>529</v>
      </c>
      <c r="O180" s="3">
        <v>499330</v>
      </c>
      <c r="P180" s="3" t="s">
        <v>29</v>
      </c>
      <c r="Q180" s="4">
        <v>41759</v>
      </c>
      <c r="R180" s="3" t="s">
        <v>30</v>
      </c>
      <c r="S180" s="3" t="s">
        <v>116</v>
      </c>
    </row>
    <row r="181" spans="1:19" ht="27.75">
      <c r="A181" s="3">
        <v>175</v>
      </c>
      <c r="B181" s="3" t="str">
        <f>"201700032817"</f>
        <v>201700032817</v>
      </c>
      <c r="C181" s="3">
        <v>126403</v>
      </c>
      <c r="D181" s="3" t="s">
        <v>897</v>
      </c>
      <c r="E181" s="3">
        <v>20541294831</v>
      </c>
      <c r="F181" s="3" t="s">
        <v>171</v>
      </c>
      <c r="G181" s="3" t="s">
        <v>263</v>
      </c>
      <c r="H181" s="3" t="s">
        <v>23</v>
      </c>
      <c r="I181" s="3" t="s">
        <v>24</v>
      </c>
      <c r="J181" s="3" t="s">
        <v>25</v>
      </c>
      <c r="K181" s="3" t="s">
        <v>898</v>
      </c>
      <c r="L181" s="3" t="s">
        <v>899</v>
      </c>
      <c r="M181" s="3" t="s">
        <v>50</v>
      </c>
      <c r="N181" s="3" t="s">
        <v>225</v>
      </c>
      <c r="O181" s="3">
        <v>246960</v>
      </c>
      <c r="P181" s="3" t="s">
        <v>29</v>
      </c>
      <c r="Q181" s="4">
        <v>42802</v>
      </c>
      <c r="R181" s="3" t="s">
        <v>30</v>
      </c>
      <c r="S181" s="3" t="s">
        <v>129</v>
      </c>
    </row>
    <row r="182" spans="1:19" ht="13.5">
      <c r="A182" s="3">
        <v>176</v>
      </c>
      <c r="B182" s="3" t="str">
        <f>"201900096787"</f>
        <v>201900096787</v>
      </c>
      <c r="C182" s="3">
        <v>102386</v>
      </c>
      <c r="D182" s="3" t="s">
        <v>900</v>
      </c>
      <c r="E182" s="3">
        <v>20393303931</v>
      </c>
      <c r="F182" s="3" t="s">
        <v>505</v>
      </c>
      <c r="G182" s="3" t="s">
        <v>901</v>
      </c>
      <c r="H182" s="3" t="s">
        <v>70</v>
      </c>
      <c r="I182" s="3" t="s">
        <v>71</v>
      </c>
      <c r="J182" s="3" t="s">
        <v>72</v>
      </c>
      <c r="K182" s="3" t="s">
        <v>902</v>
      </c>
      <c r="L182" s="3" t="s">
        <v>903</v>
      </c>
      <c r="M182" s="3" t="s">
        <v>75</v>
      </c>
      <c r="N182" s="3" t="s">
        <v>290</v>
      </c>
      <c r="O182" s="3">
        <v>123600</v>
      </c>
      <c r="P182" s="3" t="s">
        <v>29</v>
      </c>
      <c r="Q182" s="4">
        <v>43634</v>
      </c>
      <c r="R182" s="3" t="s">
        <v>30</v>
      </c>
      <c r="S182" s="3" t="s">
        <v>805</v>
      </c>
    </row>
    <row r="183" spans="1:19" ht="13.5">
      <c r="A183" s="3">
        <v>177</v>
      </c>
      <c r="B183" s="3" t="str">
        <f>"201400046656"</f>
        <v>201400046656</v>
      </c>
      <c r="C183" s="3">
        <v>13156</v>
      </c>
      <c r="D183" s="3" t="s">
        <v>904</v>
      </c>
      <c r="E183" s="3">
        <v>10052607979</v>
      </c>
      <c r="F183" s="3" t="s">
        <v>905</v>
      </c>
      <c r="G183" s="3" t="s">
        <v>906</v>
      </c>
      <c r="H183" s="3" t="s">
        <v>23</v>
      </c>
      <c r="I183" s="3" t="s">
        <v>24</v>
      </c>
      <c r="J183" s="3" t="s">
        <v>25</v>
      </c>
      <c r="K183" s="3" t="s">
        <v>907</v>
      </c>
      <c r="L183" s="3" t="s">
        <v>908</v>
      </c>
      <c r="M183" s="3" t="s">
        <v>50</v>
      </c>
      <c r="N183" s="3"/>
      <c r="O183" s="3">
        <v>89824</v>
      </c>
      <c r="P183" s="3" t="s">
        <v>29</v>
      </c>
      <c r="Q183" s="4">
        <v>41823</v>
      </c>
      <c r="R183" s="3" t="s">
        <v>30</v>
      </c>
      <c r="S183" s="3" t="s">
        <v>446</v>
      </c>
    </row>
    <row r="184" spans="1:19" ht="13.5">
      <c r="A184" s="3">
        <v>178</v>
      </c>
      <c r="B184" s="3" t="str">
        <f>"201900119954"</f>
        <v>201900119954</v>
      </c>
      <c r="C184" s="3">
        <v>145455</v>
      </c>
      <c r="D184" s="3" t="s">
        <v>909</v>
      </c>
      <c r="E184" s="3">
        <v>10001522863</v>
      </c>
      <c r="F184" s="3" t="s">
        <v>910</v>
      </c>
      <c r="G184" s="3" t="s">
        <v>911</v>
      </c>
      <c r="H184" s="3" t="s">
        <v>70</v>
      </c>
      <c r="I184" s="3" t="s">
        <v>89</v>
      </c>
      <c r="J184" s="3" t="s">
        <v>90</v>
      </c>
      <c r="K184" s="3" t="s">
        <v>912</v>
      </c>
      <c r="L184" s="3" t="s">
        <v>913</v>
      </c>
      <c r="M184" s="3" t="s">
        <v>75</v>
      </c>
      <c r="N184" s="3" t="s">
        <v>101</v>
      </c>
      <c r="O184" s="3">
        <v>18000</v>
      </c>
      <c r="P184" s="3" t="s">
        <v>29</v>
      </c>
      <c r="Q184" s="4">
        <v>43677</v>
      </c>
      <c r="R184" s="3" t="s">
        <v>30</v>
      </c>
      <c r="S184" s="3" t="s">
        <v>910</v>
      </c>
    </row>
    <row r="185" spans="1:19" ht="27.75">
      <c r="A185" s="3">
        <v>179</v>
      </c>
      <c r="B185" s="3" t="str">
        <f>"201900104681"</f>
        <v>201900104681</v>
      </c>
      <c r="C185" s="3">
        <v>106967</v>
      </c>
      <c r="D185" s="3" t="s">
        <v>914</v>
      </c>
      <c r="E185" s="3">
        <v>20393443783</v>
      </c>
      <c r="F185" s="3" t="s">
        <v>518</v>
      </c>
      <c r="G185" s="3" t="s">
        <v>704</v>
      </c>
      <c r="H185" s="3" t="s">
        <v>70</v>
      </c>
      <c r="I185" s="3" t="s">
        <v>71</v>
      </c>
      <c r="J185" s="3" t="s">
        <v>72</v>
      </c>
      <c r="K185" s="3" t="s">
        <v>915</v>
      </c>
      <c r="L185" s="3" t="s">
        <v>916</v>
      </c>
      <c r="M185" s="3" t="s">
        <v>50</v>
      </c>
      <c r="N185" s="3" t="s">
        <v>917</v>
      </c>
      <c r="O185" s="3">
        <v>501140</v>
      </c>
      <c r="P185" s="3" t="s">
        <v>29</v>
      </c>
      <c r="Q185" s="4">
        <v>43647</v>
      </c>
      <c r="R185" s="3" t="s">
        <v>30</v>
      </c>
      <c r="S185" s="3" t="s">
        <v>314</v>
      </c>
    </row>
    <row r="186" spans="1:19" ht="13.5">
      <c r="A186" s="3">
        <v>180</v>
      </c>
      <c r="B186" s="3" t="str">
        <f>"1129108"</f>
        <v>1129108</v>
      </c>
      <c r="C186" s="3">
        <v>14133</v>
      </c>
      <c r="D186" s="3">
        <v>961706</v>
      </c>
      <c r="E186" s="3">
        <v>20128973169</v>
      </c>
      <c r="F186" s="3" t="s">
        <v>918</v>
      </c>
      <c r="G186" s="3" t="s">
        <v>284</v>
      </c>
      <c r="H186" s="3" t="s">
        <v>23</v>
      </c>
      <c r="I186" s="3" t="s">
        <v>24</v>
      </c>
      <c r="J186" s="3" t="s">
        <v>43</v>
      </c>
      <c r="K186" s="3" t="s">
        <v>919</v>
      </c>
      <c r="L186" s="3"/>
      <c r="M186" s="3"/>
      <c r="N186" s="3"/>
      <c r="O186" s="3">
        <v>123178</v>
      </c>
      <c r="P186" s="3" t="s">
        <v>29</v>
      </c>
      <c r="Q186" s="4">
        <v>35636</v>
      </c>
      <c r="R186" s="3" t="s">
        <v>30</v>
      </c>
      <c r="S186" s="3"/>
    </row>
    <row r="187" spans="1:19" ht="27.75">
      <c r="A187" s="3">
        <v>181</v>
      </c>
      <c r="B187" s="3" t="str">
        <f>"201900133858"</f>
        <v>201900133858</v>
      </c>
      <c r="C187" s="3">
        <v>82859</v>
      </c>
      <c r="D187" s="3" t="s">
        <v>920</v>
      </c>
      <c r="E187" s="3">
        <v>20103808121</v>
      </c>
      <c r="F187" s="3" t="s">
        <v>171</v>
      </c>
      <c r="G187" s="3" t="s">
        <v>263</v>
      </c>
      <c r="H187" s="3" t="s">
        <v>23</v>
      </c>
      <c r="I187" s="3" t="s">
        <v>24</v>
      </c>
      <c r="J187" s="3" t="s">
        <v>43</v>
      </c>
      <c r="K187" s="3" t="s">
        <v>921</v>
      </c>
      <c r="L187" s="3" t="s">
        <v>922</v>
      </c>
      <c r="M187" s="3" t="s">
        <v>75</v>
      </c>
      <c r="N187" s="3" t="s">
        <v>266</v>
      </c>
      <c r="O187" s="3">
        <v>74581</v>
      </c>
      <c r="P187" s="3" t="s">
        <v>29</v>
      </c>
      <c r="Q187" s="4">
        <v>43694</v>
      </c>
      <c r="R187" s="3" t="s">
        <v>30</v>
      </c>
      <c r="S187" s="3" t="s">
        <v>129</v>
      </c>
    </row>
    <row r="188" spans="1:19" ht="13.5">
      <c r="A188" s="3">
        <v>182</v>
      </c>
      <c r="B188" s="3" t="str">
        <f>"1158253"</f>
        <v>1158253</v>
      </c>
      <c r="C188" s="3">
        <v>13293</v>
      </c>
      <c r="D188" s="3">
        <v>959719</v>
      </c>
      <c r="E188" s="3">
        <v>10052620029</v>
      </c>
      <c r="F188" s="3" t="s">
        <v>923</v>
      </c>
      <c r="G188" s="3" t="s">
        <v>340</v>
      </c>
      <c r="H188" s="3" t="s">
        <v>23</v>
      </c>
      <c r="I188" s="3" t="s">
        <v>24</v>
      </c>
      <c r="J188" s="3" t="s">
        <v>43</v>
      </c>
      <c r="K188" s="3" t="s">
        <v>924</v>
      </c>
      <c r="L188" s="3"/>
      <c r="M188" s="3"/>
      <c r="N188" s="3"/>
      <c r="O188" s="3">
        <v>67040</v>
      </c>
      <c r="P188" s="3" t="s">
        <v>29</v>
      </c>
      <c r="Q188" s="4">
        <v>35741</v>
      </c>
      <c r="R188" s="3" t="s">
        <v>30</v>
      </c>
      <c r="S188" s="3"/>
    </row>
    <row r="189" spans="1:19" ht="13.5">
      <c r="A189" s="3">
        <v>183</v>
      </c>
      <c r="B189" s="3" t="str">
        <f>"201900201113"</f>
        <v>201900201113</v>
      </c>
      <c r="C189" s="3">
        <v>137884</v>
      </c>
      <c r="D189" s="3" t="s">
        <v>925</v>
      </c>
      <c r="E189" s="3">
        <v>20280300021</v>
      </c>
      <c r="F189" s="3" t="s">
        <v>139</v>
      </c>
      <c r="G189" s="3" t="s">
        <v>237</v>
      </c>
      <c r="H189" s="3" t="s">
        <v>23</v>
      </c>
      <c r="I189" s="3" t="s">
        <v>24</v>
      </c>
      <c r="J189" s="3" t="s">
        <v>25</v>
      </c>
      <c r="K189" s="3" t="s">
        <v>926</v>
      </c>
      <c r="L189" s="3" t="s">
        <v>927</v>
      </c>
      <c r="M189" s="3" t="s">
        <v>50</v>
      </c>
      <c r="N189" s="3"/>
      <c r="O189" s="3">
        <v>823648</v>
      </c>
      <c r="P189" s="3" t="s">
        <v>29</v>
      </c>
      <c r="Q189" s="4">
        <v>43809</v>
      </c>
      <c r="R189" s="3" t="s">
        <v>30</v>
      </c>
      <c r="S189" s="3" t="s">
        <v>58</v>
      </c>
    </row>
    <row r="190" spans="1:19" ht="27.75">
      <c r="A190" s="3">
        <v>184</v>
      </c>
      <c r="B190" s="3" t="str">
        <f>"201500094612"</f>
        <v>201500094612</v>
      </c>
      <c r="C190" s="3">
        <v>116485</v>
      </c>
      <c r="D190" s="3" t="s">
        <v>928</v>
      </c>
      <c r="E190" s="3">
        <v>10001631522</v>
      </c>
      <c r="F190" s="3" t="s">
        <v>929</v>
      </c>
      <c r="G190" s="3" t="s">
        <v>930</v>
      </c>
      <c r="H190" s="3" t="s">
        <v>70</v>
      </c>
      <c r="I190" s="3" t="s">
        <v>89</v>
      </c>
      <c r="J190" s="3" t="s">
        <v>90</v>
      </c>
      <c r="K190" s="3" t="s">
        <v>931</v>
      </c>
      <c r="L190" s="3" t="s">
        <v>932</v>
      </c>
      <c r="M190" s="3" t="s">
        <v>933</v>
      </c>
      <c r="N190" s="3" t="s">
        <v>122</v>
      </c>
      <c r="O190" s="3">
        <v>1500</v>
      </c>
      <c r="P190" s="3" t="s">
        <v>29</v>
      </c>
      <c r="Q190" s="4">
        <v>42221</v>
      </c>
      <c r="R190" s="3" t="s">
        <v>30</v>
      </c>
      <c r="S190" s="3" t="s">
        <v>929</v>
      </c>
    </row>
    <row r="191" spans="1:19" ht="13.5">
      <c r="A191" s="3">
        <v>185</v>
      </c>
      <c r="B191" s="3" t="str">
        <f>"1451640"</f>
        <v>1451640</v>
      </c>
      <c r="C191" s="3">
        <v>37985</v>
      </c>
      <c r="D191" s="3" t="s">
        <v>934</v>
      </c>
      <c r="E191" s="3">
        <v>20103808121</v>
      </c>
      <c r="F191" s="3" t="s">
        <v>935</v>
      </c>
      <c r="G191" s="3" t="s">
        <v>936</v>
      </c>
      <c r="H191" s="3" t="s">
        <v>23</v>
      </c>
      <c r="I191" s="3" t="s">
        <v>24</v>
      </c>
      <c r="J191" s="3" t="s">
        <v>43</v>
      </c>
      <c r="K191" s="3" t="s">
        <v>937</v>
      </c>
      <c r="L191" s="3"/>
      <c r="M191" s="3"/>
      <c r="N191" s="3"/>
      <c r="O191" s="3">
        <v>291564</v>
      </c>
      <c r="P191" s="3" t="s">
        <v>29</v>
      </c>
      <c r="Q191" s="4">
        <v>38007</v>
      </c>
      <c r="R191" s="3" t="s">
        <v>30</v>
      </c>
      <c r="S191" s="3"/>
    </row>
    <row r="192" spans="1:19" ht="27.75">
      <c r="A192" s="3">
        <v>186</v>
      </c>
      <c r="B192" s="3" t="str">
        <f>"201300112740"</f>
        <v>201300112740</v>
      </c>
      <c r="C192" s="3">
        <v>101098</v>
      </c>
      <c r="D192" s="3" t="s">
        <v>938</v>
      </c>
      <c r="E192" s="3">
        <v>20100128218</v>
      </c>
      <c r="F192" s="3" t="s">
        <v>939</v>
      </c>
      <c r="G192" s="3" t="s">
        <v>940</v>
      </c>
      <c r="H192" s="3" t="s">
        <v>23</v>
      </c>
      <c r="I192" s="3" t="s">
        <v>24</v>
      </c>
      <c r="J192" s="3" t="s">
        <v>25</v>
      </c>
      <c r="K192" s="3" t="s">
        <v>941</v>
      </c>
      <c r="L192" s="3" t="s">
        <v>942</v>
      </c>
      <c r="M192" s="3" t="s">
        <v>50</v>
      </c>
      <c r="N192" s="3"/>
      <c r="O192" s="3"/>
      <c r="P192" s="3" t="s">
        <v>29</v>
      </c>
      <c r="Q192" s="4">
        <v>41533</v>
      </c>
      <c r="R192" s="3" t="s">
        <v>30</v>
      </c>
      <c r="S192" s="3" t="s">
        <v>943</v>
      </c>
    </row>
    <row r="193" spans="1:19" ht="13.5">
      <c r="A193" s="3">
        <v>187</v>
      </c>
      <c r="B193" s="3" t="str">
        <f>"1450668"</f>
        <v>1450668</v>
      </c>
      <c r="C193" s="3">
        <v>16907</v>
      </c>
      <c r="D193" s="3" t="s">
        <v>944</v>
      </c>
      <c r="E193" s="3">
        <v>10052498037</v>
      </c>
      <c r="F193" s="3" t="s">
        <v>945</v>
      </c>
      <c r="G193" s="3" t="s">
        <v>946</v>
      </c>
      <c r="H193" s="3" t="s">
        <v>23</v>
      </c>
      <c r="I193" s="3" t="s">
        <v>24</v>
      </c>
      <c r="J193" s="3" t="s">
        <v>43</v>
      </c>
      <c r="K193" s="3" t="s">
        <v>947</v>
      </c>
      <c r="L193" s="3"/>
      <c r="M193" s="3"/>
      <c r="N193" s="3"/>
      <c r="O193" s="3">
        <v>52001</v>
      </c>
      <c r="P193" s="3" t="s">
        <v>29</v>
      </c>
      <c r="Q193" s="4">
        <v>37936</v>
      </c>
      <c r="R193" s="3" t="s">
        <v>30</v>
      </c>
      <c r="S193" s="3"/>
    </row>
    <row r="194" spans="1:19" ht="27.75">
      <c r="A194" s="3">
        <v>188</v>
      </c>
      <c r="B194" s="3" t="str">
        <f>"201500174786"</f>
        <v>201500174786</v>
      </c>
      <c r="C194" s="3">
        <v>107339</v>
      </c>
      <c r="D194" s="3" t="s">
        <v>948</v>
      </c>
      <c r="E194" s="3">
        <v>20550878659</v>
      </c>
      <c r="F194" s="3" t="s">
        <v>949</v>
      </c>
      <c r="G194" s="3" t="s">
        <v>950</v>
      </c>
      <c r="H194" s="3" t="s">
        <v>242</v>
      </c>
      <c r="I194" s="3" t="s">
        <v>242</v>
      </c>
      <c r="J194" s="3" t="s">
        <v>354</v>
      </c>
      <c r="K194" s="3" t="s">
        <v>951</v>
      </c>
      <c r="L194" s="3" t="s">
        <v>952</v>
      </c>
      <c r="M194" s="3" t="s">
        <v>953</v>
      </c>
      <c r="N194" s="3" t="s">
        <v>431</v>
      </c>
      <c r="O194" s="3">
        <v>3430</v>
      </c>
      <c r="P194" s="3" t="s">
        <v>29</v>
      </c>
      <c r="Q194" s="4">
        <v>42382</v>
      </c>
      <c r="R194" s="3" t="s">
        <v>30</v>
      </c>
      <c r="S194" s="3" t="s">
        <v>954</v>
      </c>
    </row>
    <row r="195" spans="1:19" ht="27.75">
      <c r="A195" s="3">
        <v>189</v>
      </c>
      <c r="B195" s="3" t="str">
        <f>"201500149501"</f>
        <v>201500149501</v>
      </c>
      <c r="C195" s="3">
        <v>116495</v>
      </c>
      <c r="D195" s="3" t="s">
        <v>955</v>
      </c>
      <c r="E195" s="3">
        <v>10001644438</v>
      </c>
      <c r="F195" s="3" t="s">
        <v>956</v>
      </c>
      <c r="G195" s="3" t="s">
        <v>957</v>
      </c>
      <c r="H195" s="3" t="s">
        <v>70</v>
      </c>
      <c r="I195" s="3" t="s">
        <v>89</v>
      </c>
      <c r="J195" s="3" t="s">
        <v>958</v>
      </c>
      <c r="K195" s="3" t="s">
        <v>959</v>
      </c>
      <c r="L195" s="3" t="s">
        <v>960</v>
      </c>
      <c r="M195" s="3" t="s">
        <v>93</v>
      </c>
      <c r="N195" s="3" t="s">
        <v>94</v>
      </c>
      <c r="O195" s="3">
        <v>7500</v>
      </c>
      <c r="P195" s="3" t="s">
        <v>29</v>
      </c>
      <c r="Q195" s="4">
        <v>42360</v>
      </c>
      <c r="R195" s="3" t="s">
        <v>30</v>
      </c>
      <c r="S195" s="3" t="s">
        <v>956</v>
      </c>
    </row>
    <row r="196" spans="1:19" ht="13.5">
      <c r="A196" s="3">
        <v>190</v>
      </c>
      <c r="B196" s="3" t="str">
        <f>"201500172454"</f>
        <v>201500172454</v>
      </c>
      <c r="C196" s="3">
        <v>119166</v>
      </c>
      <c r="D196" s="3" t="s">
        <v>961</v>
      </c>
      <c r="E196" s="3">
        <v>20103912297</v>
      </c>
      <c r="F196" s="3" t="s">
        <v>962</v>
      </c>
      <c r="G196" s="3" t="s">
        <v>963</v>
      </c>
      <c r="H196" s="3" t="s">
        <v>23</v>
      </c>
      <c r="I196" s="3" t="s">
        <v>24</v>
      </c>
      <c r="J196" s="3" t="s">
        <v>43</v>
      </c>
      <c r="K196" s="3" t="s">
        <v>964</v>
      </c>
      <c r="L196" s="3" t="s">
        <v>965</v>
      </c>
      <c r="M196" s="3" t="s">
        <v>100</v>
      </c>
      <c r="N196" s="3"/>
      <c r="O196" s="3">
        <v>116869</v>
      </c>
      <c r="P196" s="3" t="s">
        <v>29</v>
      </c>
      <c r="Q196" s="4">
        <v>42401</v>
      </c>
      <c r="R196" s="3" t="s">
        <v>30</v>
      </c>
      <c r="S196" s="3" t="s">
        <v>550</v>
      </c>
    </row>
    <row r="197" spans="1:19" ht="13.5">
      <c r="A197" s="3">
        <v>191</v>
      </c>
      <c r="B197" s="3" t="str">
        <f>"1281243"</f>
        <v>1281243</v>
      </c>
      <c r="C197" s="3">
        <v>18906</v>
      </c>
      <c r="D197" s="3" t="s">
        <v>966</v>
      </c>
      <c r="E197" s="3">
        <v>20366574051</v>
      </c>
      <c r="F197" s="3" t="s">
        <v>967</v>
      </c>
      <c r="G197" s="3" t="s">
        <v>968</v>
      </c>
      <c r="H197" s="3" t="s">
        <v>23</v>
      </c>
      <c r="I197" s="3" t="s">
        <v>23</v>
      </c>
      <c r="J197" s="3" t="s">
        <v>460</v>
      </c>
      <c r="K197" s="3" t="s">
        <v>969</v>
      </c>
      <c r="L197" s="3"/>
      <c r="M197" s="3"/>
      <c r="N197" s="3"/>
      <c r="O197" s="3">
        <v>4224</v>
      </c>
      <c r="P197" s="3" t="s">
        <v>29</v>
      </c>
      <c r="Q197" s="4">
        <v>36691</v>
      </c>
      <c r="R197" s="3" t="s">
        <v>30</v>
      </c>
      <c r="S197" s="3"/>
    </row>
    <row r="198" spans="1:19" ht="27.75">
      <c r="A198" s="3">
        <v>192</v>
      </c>
      <c r="B198" s="3" t="str">
        <f>"201900133857"</f>
        <v>201900133857</v>
      </c>
      <c r="C198" s="3">
        <v>84676</v>
      </c>
      <c r="D198" s="3" t="s">
        <v>970</v>
      </c>
      <c r="E198" s="3">
        <v>20103808121</v>
      </c>
      <c r="F198" s="3" t="s">
        <v>171</v>
      </c>
      <c r="G198" s="3" t="s">
        <v>971</v>
      </c>
      <c r="H198" s="3" t="s">
        <v>23</v>
      </c>
      <c r="I198" s="3" t="s">
        <v>24</v>
      </c>
      <c r="J198" s="3" t="s">
        <v>25</v>
      </c>
      <c r="K198" s="3" t="s">
        <v>972</v>
      </c>
      <c r="L198" s="3" t="s">
        <v>973</v>
      </c>
      <c r="M198" s="3" t="s">
        <v>75</v>
      </c>
      <c r="N198" s="3" t="s">
        <v>974</v>
      </c>
      <c r="O198" s="3">
        <v>93618</v>
      </c>
      <c r="P198" s="3" t="s">
        <v>29</v>
      </c>
      <c r="Q198" s="4">
        <v>43695</v>
      </c>
      <c r="R198" s="3" t="s">
        <v>30</v>
      </c>
      <c r="S198" s="3" t="s">
        <v>129</v>
      </c>
    </row>
    <row r="199" spans="1:19" ht="13.5">
      <c r="A199" s="3">
        <v>193</v>
      </c>
      <c r="B199" s="3" t="str">
        <f>"201300089887"</f>
        <v>201300089887</v>
      </c>
      <c r="C199" s="3">
        <v>34562</v>
      </c>
      <c r="D199" s="3" t="s">
        <v>975</v>
      </c>
      <c r="E199" s="3">
        <v>20103912297</v>
      </c>
      <c r="F199" s="3" t="s">
        <v>976</v>
      </c>
      <c r="G199" s="3" t="s">
        <v>977</v>
      </c>
      <c r="H199" s="3" t="s">
        <v>23</v>
      </c>
      <c r="I199" s="3" t="s">
        <v>24</v>
      </c>
      <c r="J199" s="3" t="s">
        <v>43</v>
      </c>
      <c r="K199" s="3" t="s">
        <v>978</v>
      </c>
      <c r="L199" s="3" t="s">
        <v>979</v>
      </c>
      <c r="M199" s="3" t="s">
        <v>50</v>
      </c>
      <c r="N199" s="3"/>
      <c r="O199" s="3">
        <v>207390</v>
      </c>
      <c r="P199" s="3" t="s">
        <v>29</v>
      </c>
      <c r="Q199" s="4">
        <v>41429</v>
      </c>
      <c r="R199" s="3" t="s">
        <v>30</v>
      </c>
      <c r="S199" s="3" t="s">
        <v>980</v>
      </c>
    </row>
    <row r="200" spans="1:19" ht="27.75">
      <c r="A200" s="3">
        <v>194</v>
      </c>
      <c r="B200" s="3" t="str">
        <f>"201700023409"</f>
        <v>201700023409</v>
      </c>
      <c r="C200" s="3">
        <v>126618</v>
      </c>
      <c r="D200" s="3" t="s">
        <v>981</v>
      </c>
      <c r="E200" s="3">
        <v>20522163890</v>
      </c>
      <c r="F200" s="3" t="s">
        <v>982</v>
      </c>
      <c r="G200" s="3" t="s">
        <v>983</v>
      </c>
      <c r="H200" s="3" t="s">
        <v>242</v>
      </c>
      <c r="I200" s="3" t="s">
        <v>242</v>
      </c>
      <c r="J200" s="3" t="s">
        <v>243</v>
      </c>
      <c r="K200" s="3" t="s">
        <v>984</v>
      </c>
      <c r="L200" s="3"/>
      <c r="M200" s="3"/>
      <c r="N200" s="3"/>
      <c r="O200" s="3">
        <v>9356739</v>
      </c>
      <c r="P200" s="3" t="s">
        <v>29</v>
      </c>
      <c r="Q200" s="4">
        <v>42790</v>
      </c>
      <c r="R200" s="3" t="s">
        <v>30</v>
      </c>
      <c r="S200" s="3" t="s">
        <v>985</v>
      </c>
    </row>
    <row r="201" spans="1:19" ht="27.75">
      <c r="A201" s="3">
        <v>195</v>
      </c>
      <c r="B201" s="3" t="str">
        <f>"201800143062"</f>
        <v>201800143062</v>
      </c>
      <c r="C201" s="3">
        <v>136033</v>
      </c>
      <c r="D201" s="3" t="s">
        <v>986</v>
      </c>
      <c r="E201" s="3">
        <v>20103934266</v>
      </c>
      <c r="F201" s="3" t="s">
        <v>987</v>
      </c>
      <c r="G201" s="3" t="s">
        <v>988</v>
      </c>
      <c r="H201" s="3" t="s">
        <v>23</v>
      </c>
      <c r="I201" s="3" t="s">
        <v>24</v>
      </c>
      <c r="J201" s="3" t="s">
        <v>43</v>
      </c>
      <c r="K201" s="3" t="s">
        <v>989</v>
      </c>
      <c r="L201" s="3" t="s">
        <v>990</v>
      </c>
      <c r="M201" s="3" t="s">
        <v>50</v>
      </c>
      <c r="N201" s="3" t="s">
        <v>554</v>
      </c>
      <c r="O201" s="3">
        <v>328451</v>
      </c>
      <c r="P201" s="3" t="s">
        <v>29</v>
      </c>
      <c r="Q201" s="4">
        <v>43346</v>
      </c>
      <c r="R201" s="3" t="s">
        <v>30</v>
      </c>
      <c r="S201" s="3" t="s">
        <v>991</v>
      </c>
    </row>
    <row r="202" spans="1:19" ht="42">
      <c r="A202" s="3">
        <v>196</v>
      </c>
      <c r="B202" s="3" t="str">
        <f>"201900053792"</f>
        <v>201900053792</v>
      </c>
      <c r="C202" s="3">
        <v>142423</v>
      </c>
      <c r="D202" s="3" t="s">
        <v>992</v>
      </c>
      <c r="E202" s="3">
        <v>20100128218</v>
      </c>
      <c r="F202" s="3" t="s">
        <v>993</v>
      </c>
      <c r="G202" s="3" t="s">
        <v>994</v>
      </c>
      <c r="H202" s="3" t="s">
        <v>23</v>
      </c>
      <c r="I202" s="3" t="s">
        <v>24</v>
      </c>
      <c r="J202" s="3" t="s">
        <v>43</v>
      </c>
      <c r="K202" s="3" t="s">
        <v>995</v>
      </c>
      <c r="L202" s="3" t="s">
        <v>996</v>
      </c>
      <c r="M202" s="3" t="s">
        <v>50</v>
      </c>
      <c r="N202" s="3" t="s">
        <v>657</v>
      </c>
      <c r="O202" s="3">
        <v>390678.96</v>
      </c>
      <c r="P202" s="3" t="s">
        <v>29</v>
      </c>
      <c r="Q202" s="4">
        <v>43565</v>
      </c>
      <c r="R202" s="3" t="s">
        <v>30</v>
      </c>
      <c r="S202" s="3" t="s">
        <v>350</v>
      </c>
    </row>
    <row r="203" spans="1:19" ht="13.5">
      <c r="A203" s="3">
        <v>197</v>
      </c>
      <c r="B203" s="3" t="str">
        <f>"201900201108"</f>
        <v>201900201108</v>
      </c>
      <c r="C203" s="3">
        <v>125484</v>
      </c>
      <c r="D203" s="3" t="s">
        <v>997</v>
      </c>
      <c r="E203" s="3">
        <v>20280300021</v>
      </c>
      <c r="F203" s="3" t="s">
        <v>53</v>
      </c>
      <c r="G203" s="3" t="s">
        <v>998</v>
      </c>
      <c r="H203" s="3" t="s">
        <v>23</v>
      </c>
      <c r="I203" s="3" t="s">
        <v>24</v>
      </c>
      <c r="J203" s="3" t="s">
        <v>25</v>
      </c>
      <c r="K203" s="3" t="s">
        <v>999</v>
      </c>
      <c r="L203" s="3" t="s">
        <v>1000</v>
      </c>
      <c r="M203" s="3" t="s">
        <v>50</v>
      </c>
      <c r="N203" s="3"/>
      <c r="O203" s="3">
        <v>524130</v>
      </c>
      <c r="P203" s="3" t="s">
        <v>29</v>
      </c>
      <c r="Q203" s="4">
        <v>43808</v>
      </c>
      <c r="R203" s="3" t="s">
        <v>30</v>
      </c>
      <c r="S203" s="3" t="s">
        <v>58</v>
      </c>
    </row>
    <row r="204" spans="1:19" ht="13.5">
      <c r="A204" s="3">
        <v>198</v>
      </c>
      <c r="B204" s="3" t="str">
        <f>"201800111549"</f>
        <v>201800111549</v>
      </c>
      <c r="C204" s="3">
        <v>84602</v>
      </c>
      <c r="D204" s="3" t="s">
        <v>1001</v>
      </c>
      <c r="E204" s="3">
        <v>20522163890</v>
      </c>
      <c r="F204" s="3" t="s">
        <v>807</v>
      </c>
      <c r="G204" s="3" t="s">
        <v>1002</v>
      </c>
      <c r="H204" s="3" t="s">
        <v>242</v>
      </c>
      <c r="I204" s="3" t="s">
        <v>242</v>
      </c>
      <c r="J204" s="3" t="s">
        <v>243</v>
      </c>
      <c r="K204" s="3" t="s">
        <v>1003</v>
      </c>
      <c r="L204" s="3" t="s">
        <v>1004</v>
      </c>
      <c r="M204" s="3" t="s">
        <v>1005</v>
      </c>
      <c r="N204" s="3"/>
      <c r="O204" s="3">
        <v>12205032</v>
      </c>
      <c r="P204" s="3" t="s">
        <v>29</v>
      </c>
      <c r="Q204" s="4">
        <v>43286</v>
      </c>
      <c r="R204" s="3" t="s">
        <v>30</v>
      </c>
      <c r="S204" s="3" t="s">
        <v>1006</v>
      </c>
    </row>
    <row r="205" spans="1:19" ht="13.5">
      <c r="A205" s="3">
        <v>199</v>
      </c>
      <c r="B205" s="3" t="str">
        <f>"1519782"</f>
        <v>1519782</v>
      </c>
      <c r="C205" s="3">
        <v>10580</v>
      </c>
      <c r="D205" s="3" t="s">
        <v>1007</v>
      </c>
      <c r="E205" s="3">
        <v>20103912297</v>
      </c>
      <c r="F205" s="3" t="s">
        <v>388</v>
      </c>
      <c r="G205" s="3" t="s">
        <v>435</v>
      </c>
      <c r="H205" s="3" t="s">
        <v>23</v>
      </c>
      <c r="I205" s="3" t="s">
        <v>24</v>
      </c>
      <c r="J205" s="3" t="s">
        <v>43</v>
      </c>
      <c r="K205" s="3" t="s">
        <v>1008</v>
      </c>
      <c r="L205" s="3"/>
      <c r="M205" s="3"/>
      <c r="N205" s="3"/>
      <c r="O205" s="3">
        <v>945822</v>
      </c>
      <c r="P205" s="3" t="s">
        <v>29</v>
      </c>
      <c r="Q205" s="4">
        <v>38369</v>
      </c>
      <c r="R205" s="3" t="s">
        <v>30</v>
      </c>
      <c r="S205" s="3"/>
    </row>
    <row r="206" spans="1:19" ht="13.5">
      <c r="A206" s="3">
        <v>200</v>
      </c>
      <c r="B206" s="3" t="str">
        <f>"201500166341"</f>
        <v>201500166341</v>
      </c>
      <c r="C206" s="3">
        <v>118999</v>
      </c>
      <c r="D206" s="3" t="s">
        <v>1009</v>
      </c>
      <c r="E206" s="3">
        <v>20393453746</v>
      </c>
      <c r="F206" s="3" t="s">
        <v>1010</v>
      </c>
      <c r="G206" s="3" t="s">
        <v>1011</v>
      </c>
      <c r="H206" s="3" t="s">
        <v>70</v>
      </c>
      <c r="I206" s="3" t="s">
        <v>71</v>
      </c>
      <c r="J206" s="3" t="s">
        <v>513</v>
      </c>
      <c r="K206" s="3" t="s">
        <v>1012</v>
      </c>
      <c r="L206" s="3" t="s">
        <v>1013</v>
      </c>
      <c r="M206" s="3" t="s">
        <v>75</v>
      </c>
      <c r="N206" s="3" t="s">
        <v>155</v>
      </c>
      <c r="O206" s="3">
        <v>23760</v>
      </c>
      <c r="P206" s="3" t="s">
        <v>29</v>
      </c>
      <c r="Q206" s="4">
        <v>42381</v>
      </c>
      <c r="R206" s="3" t="s">
        <v>30</v>
      </c>
      <c r="S206" s="3" t="s">
        <v>840</v>
      </c>
    </row>
    <row r="207" spans="1:19" ht="42">
      <c r="A207" s="3">
        <v>201</v>
      </c>
      <c r="B207" s="3" t="str">
        <f>"201900124407"</f>
        <v>201900124407</v>
      </c>
      <c r="C207" s="3">
        <v>138704</v>
      </c>
      <c r="D207" s="3" t="s">
        <v>1014</v>
      </c>
      <c r="E207" s="3">
        <v>20393443783</v>
      </c>
      <c r="F207" s="3" t="s">
        <v>277</v>
      </c>
      <c r="G207" s="3" t="s">
        <v>704</v>
      </c>
      <c r="H207" s="3" t="s">
        <v>70</v>
      </c>
      <c r="I207" s="3" t="s">
        <v>71</v>
      </c>
      <c r="J207" s="3" t="s">
        <v>72</v>
      </c>
      <c r="K207" s="3" t="s">
        <v>1015</v>
      </c>
      <c r="L207" s="3" t="s">
        <v>1016</v>
      </c>
      <c r="M207" s="3" t="s">
        <v>50</v>
      </c>
      <c r="N207" s="3" t="s">
        <v>373</v>
      </c>
      <c r="O207" s="3">
        <v>14669.84</v>
      </c>
      <c r="P207" s="3" t="s">
        <v>29</v>
      </c>
      <c r="Q207" s="4">
        <v>43682</v>
      </c>
      <c r="R207" s="3" t="s">
        <v>30</v>
      </c>
      <c r="S207" s="3" t="s">
        <v>314</v>
      </c>
    </row>
    <row r="208" spans="1:19" ht="27.75">
      <c r="A208" s="3">
        <v>202</v>
      </c>
      <c r="B208" s="3" t="str">
        <f>"201800179530"</f>
        <v>201800179530</v>
      </c>
      <c r="C208" s="3">
        <v>96080</v>
      </c>
      <c r="D208" s="3" t="s">
        <v>1017</v>
      </c>
      <c r="E208" s="3">
        <v>20600109201</v>
      </c>
      <c r="F208" s="3" t="s">
        <v>888</v>
      </c>
      <c r="G208" s="3" t="s">
        <v>1018</v>
      </c>
      <c r="H208" s="3" t="s">
        <v>23</v>
      </c>
      <c r="I208" s="3" t="s">
        <v>24</v>
      </c>
      <c r="J208" s="3" t="s">
        <v>222</v>
      </c>
      <c r="K208" s="3" t="s">
        <v>1019</v>
      </c>
      <c r="L208" s="3" t="s">
        <v>1020</v>
      </c>
      <c r="M208" s="3" t="s">
        <v>83</v>
      </c>
      <c r="N208" s="3" t="s">
        <v>65</v>
      </c>
      <c r="O208" s="3">
        <v>261463.22</v>
      </c>
      <c r="P208" s="3" t="s">
        <v>29</v>
      </c>
      <c r="Q208" s="4">
        <v>43404</v>
      </c>
      <c r="R208" s="3" t="s">
        <v>30</v>
      </c>
      <c r="S208" s="3" t="s">
        <v>892</v>
      </c>
    </row>
    <row r="209" spans="1:19" ht="13.5">
      <c r="A209" s="3">
        <v>203</v>
      </c>
      <c r="B209" s="3" t="str">
        <f>"1456066"</f>
        <v>1456066</v>
      </c>
      <c r="C209" s="3">
        <v>34107</v>
      </c>
      <c r="D209" s="3" t="s">
        <v>1021</v>
      </c>
      <c r="E209" s="3">
        <v>20502519426</v>
      </c>
      <c r="F209" s="3" t="s">
        <v>1022</v>
      </c>
      <c r="G209" s="3" t="s">
        <v>1023</v>
      </c>
      <c r="H209" s="3" t="s">
        <v>242</v>
      </c>
      <c r="I209" s="3" t="s">
        <v>242</v>
      </c>
      <c r="J209" s="3" t="s">
        <v>354</v>
      </c>
      <c r="K209" s="3" t="s">
        <v>1024</v>
      </c>
      <c r="L209" s="3"/>
      <c r="M209" s="3"/>
      <c r="N209" s="3"/>
      <c r="O209" s="3">
        <v>16111</v>
      </c>
      <c r="P209" s="3" t="s">
        <v>29</v>
      </c>
      <c r="Q209" s="4">
        <v>38051</v>
      </c>
      <c r="R209" s="3" t="s">
        <v>30</v>
      </c>
      <c r="S209" s="3"/>
    </row>
    <row r="210" spans="1:19" ht="13.5">
      <c r="A210" s="3">
        <v>204</v>
      </c>
      <c r="B210" s="3" t="str">
        <f>"201900066289"</f>
        <v>201900066289</v>
      </c>
      <c r="C210" s="3">
        <v>95617</v>
      </c>
      <c r="D210" s="3" t="s">
        <v>1025</v>
      </c>
      <c r="E210" s="3">
        <v>20280300021</v>
      </c>
      <c r="F210" s="3" t="s">
        <v>1026</v>
      </c>
      <c r="G210" s="3" t="s">
        <v>1027</v>
      </c>
      <c r="H210" s="3" t="s">
        <v>23</v>
      </c>
      <c r="I210" s="3" t="s">
        <v>24</v>
      </c>
      <c r="J210" s="3" t="s">
        <v>25</v>
      </c>
      <c r="K210" s="3" t="s">
        <v>1028</v>
      </c>
      <c r="L210" s="3" t="s">
        <v>1029</v>
      </c>
      <c r="M210" s="3" t="s">
        <v>75</v>
      </c>
      <c r="N210" s="3"/>
      <c r="O210" s="3">
        <v>219107</v>
      </c>
      <c r="P210" s="3" t="s">
        <v>29</v>
      </c>
      <c r="Q210" s="4">
        <v>43587</v>
      </c>
      <c r="R210" s="3" t="s">
        <v>30</v>
      </c>
      <c r="S210" s="3" t="s">
        <v>58</v>
      </c>
    </row>
    <row r="211" spans="1:19" ht="13.5">
      <c r="A211" s="3">
        <v>205</v>
      </c>
      <c r="B211" s="3" t="str">
        <f>"201900034610"</f>
        <v>201900034610</v>
      </c>
      <c r="C211" s="3">
        <v>141709</v>
      </c>
      <c r="D211" s="3" t="s">
        <v>1030</v>
      </c>
      <c r="E211" s="3">
        <v>20528475320</v>
      </c>
      <c r="F211" s="3" t="s">
        <v>690</v>
      </c>
      <c r="G211" s="3" t="s">
        <v>1031</v>
      </c>
      <c r="H211" s="3" t="s">
        <v>23</v>
      </c>
      <c r="I211" s="3" t="s">
        <v>24</v>
      </c>
      <c r="J211" s="3" t="s">
        <v>25</v>
      </c>
      <c r="K211" s="3" t="s">
        <v>1032</v>
      </c>
      <c r="L211" s="3" t="s">
        <v>1033</v>
      </c>
      <c r="M211" s="3" t="s">
        <v>694</v>
      </c>
      <c r="N211" s="3" t="s">
        <v>101</v>
      </c>
      <c r="O211" s="3">
        <v>330</v>
      </c>
      <c r="P211" s="3" t="s">
        <v>29</v>
      </c>
      <c r="Q211" s="4">
        <v>43531</v>
      </c>
      <c r="R211" s="3" t="s">
        <v>30</v>
      </c>
      <c r="S211" s="3" t="s">
        <v>695</v>
      </c>
    </row>
    <row r="212" spans="1:19" ht="13.5">
      <c r="A212" s="3">
        <v>206</v>
      </c>
      <c r="B212" s="3" t="str">
        <f>"201800111542"</f>
        <v>201800111542</v>
      </c>
      <c r="C212" s="3">
        <v>94706</v>
      </c>
      <c r="D212" s="3" t="s">
        <v>1034</v>
      </c>
      <c r="E212" s="3">
        <v>20522163890</v>
      </c>
      <c r="F212" s="3" t="s">
        <v>807</v>
      </c>
      <c r="G212" s="3" t="s">
        <v>1002</v>
      </c>
      <c r="H212" s="3" t="s">
        <v>242</v>
      </c>
      <c r="I212" s="3" t="s">
        <v>242</v>
      </c>
      <c r="J212" s="3" t="s">
        <v>243</v>
      </c>
      <c r="K212" s="3" t="s">
        <v>1035</v>
      </c>
      <c r="L212" s="3" t="s">
        <v>1036</v>
      </c>
      <c r="M212" s="3" t="s">
        <v>246</v>
      </c>
      <c r="N212" s="3"/>
      <c r="O212" s="3">
        <v>265244</v>
      </c>
      <c r="P212" s="3" t="s">
        <v>248</v>
      </c>
      <c r="Q212" s="4">
        <v>43287</v>
      </c>
      <c r="R212" s="3" t="s">
        <v>30</v>
      </c>
      <c r="S212" s="3" t="s">
        <v>1037</v>
      </c>
    </row>
    <row r="213" spans="1:19" ht="13.5">
      <c r="A213" s="3">
        <v>207</v>
      </c>
      <c r="B213" s="3" t="str">
        <f>"201500127358"</f>
        <v>201500127358</v>
      </c>
      <c r="C213" s="3">
        <v>114267</v>
      </c>
      <c r="D213" s="3" t="s">
        <v>1038</v>
      </c>
      <c r="E213" s="3">
        <v>20567267301</v>
      </c>
      <c r="F213" s="3" t="s">
        <v>1039</v>
      </c>
      <c r="G213" s="3" t="s">
        <v>1040</v>
      </c>
      <c r="H213" s="3" t="s">
        <v>23</v>
      </c>
      <c r="I213" s="3" t="s">
        <v>24</v>
      </c>
      <c r="J213" s="3" t="s">
        <v>43</v>
      </c>
      <c r="K213" s="3" t="s">
        <v>1041</v>
      </c>
      <c r="L213" s="3" t="s">
        <v>1042</v>
      </c>
      <c r="M213" s="3" t="s">
        <v>1043</v>
      </c>
      <c r="N213" s="3" t="s">
        <v>136</v>
      </c>
      <c r="O213" s="3">
        <v>16758</v>
      </c>
      <c r="P213" s="3" t="s">
        <v>29</v>
      </c>
      <c r="Q213" s="4">
        <v>42305</v>
      </c>
      <c r="R213" s="3" t="s">
        <v>30</v>
      </c>
      <c r="S213" s="3" t="s">
        <v>1044</v>
      </c>
    </row>
    <row r="214" spans="1:19" ht="13.5">
      <c r="A214" s="3">
        <v>208</v>
      </c>
      <c r="B214" s="3" t="str">
        <f>"201500111599"</f>
        <v>201500111599</v>
      </c>
      <c r="C214" s="3">
        <v>117091</v>
      </c>
      <c r="D214" s="3" t="s">
        <v>1045</v>
      </c>
      <c r="E214" s="3">
        <v>20393769115</v>
      </c>
      <c r="F214" s="3" t="s">
        <v>1046</v>
      </c>
      <c r="G214" s="3" t="s">
        <v>1047</v>
      </c>
      <c r="H214" s="3" t="s">
        <v>70</v>
      </c>
      <c r="I214" s="3" t="s">
        <v>71</v>
      </c>
      <c r="J214" s="3" t="s">
        <v>72</v>
      </c>
      <c r="K214" s="3" t="s">
        <v>1048</v>
      </c>
      <c r="L214" s="3" t="s">
        <v>1049</v>
      </c>
      <c r="M214" s="3" t="s">
        <v>75</v>
      </c>
      <c r="N214" s="3"/>
      <c r="O214" s="3">
        <v>8800</v>
      </c>
      <c r="P214" s="3" t="s">
        <v>29</v>
      </c>
      <c r="Q214" s="4">
        <v>42264</v>
      </c>
      <c r="R214" s="3" t="s">
        <v>30</v>
      </c>
      <c r="S214" s="3" t="s">
        <v>1050</v>
      </c>
    </row>
    <row r="215" spans="1:19" ht="13.5">
      <c r="A215" s="3">
        <v>209</v>
      </c>
      <c r="B215" s="3" t="str">
        <f>"201800182862"</f>
        <v>201800182862</v>
      </c>
      <c r="C215" s="3">
        <v>137753</v>
      </c>
      <c r="D215" s="3" t="s">
        <v>1051</v>
      </c>
      <c r="E215" s="3">
        <v>10000305117</v>
      </c>
      <c r="F215" s="3" t="s">
        <v>1052</v>
      </c>
      <c r="G215" s="3" t="s">
        <v>1053</v>
      </c>
      <c r="H215" s="3" t="s">
        <v>70</v>
      </c>
      <c r="I215" s="3" t="s">
        <v>71</v>
      </c>
      <c r="J215" s="3" t="s">
        <v>72</v>
      </c>
      <c r="K215" s="3" t="s">
        <v>1054</v>
      </c>
      <c r="L215" s="3" t="s">
        <v>1055</v>
      </c>
      <c r="M215" s="3" t="s">
        <v>75</v>
      </c>
      <c r="N215" s="3"/>
      <c r="O215" s="3">
        <v>15000</v>
      </c>
      <c r="P215" s="3" t="s">
        <v>29</v>
      </c>
      <c r="Q215" s="4">
        <v>43413</v>
      </c>
      <c r="R215" s="3" t="s">
        <v>30</v>
      </c>
      <c r="S215" s="3" t="s">
        <v>1052</v>
      </c>
    </row>
    <row r="216" spans="1:19" ht="27.75">
      <c r="A216" s="3">
        <v>210</v>
      </c>
      <c r="B216" s="3" t="str">
        <f>"201800028897"</f>
        <v>201800028897</v>
      </c>
      <c r="C216" s="3">
        <v>125352</v>
      </c>
      <c r="D216" s="3" t="s">
        <v>1056</v>
      </c>
      <c r="E216" s="3">
        <v>20515920774</v>
      </c>
      <c r="F216" s="3" t="s">
        <v>824</v>
      </c>
      <c r="G216" s="3" t="s">
        <v>1057</v>
      </c>
      <c r="H216" s="3" t="s">
        <v>793</v>
      </c>
      <c r="I216" s="3" t="s">
        <v>793</v>
      </c>
      <c r="J216" s="3" t="s">
        <v>794</v>
      </c>
      <c r="K216" s="3" t="s">
        <v>1058</v>
      </c>
      <c r="L216" s="3" t="s">
        <v>1059</v>
      </c>
      <c r="M216" s="3" t="s">
        <v>1060</v>
      </c>
      <c r="N216" s="3" t="s">
        <v>175</v>
      </c>
      <c r="O216" s="3">
        <v>3842466</v>
      </c>
      <c r="P216" s="3" t="s">
        <v>29</v>
      </c>
      <c r="Q216" s="4">
        <v>43157</v>
      </c>
      <c r="R216" s="3" t="s">
        <v>30</v>
      </c>
      <c r="S216" s="3" t="s">
        <v>1061</v>
      </c>
    </row>
    <row r="217" spans="1:19" ht="13.5">
      <c r="A217" s="3">
        <v>211</v>
      </c>
      <c r="B217" s="3" t="str">
        <f>"1450655"</f>
        <v>1450655</v>
      </c>
      <c r="C217" s="3">
        <v>13694</v>
      </c>
      <c r="D217" s="3" t="s">
        <v>1062</v>
      </c>
      <c r="E217" s="3">
        <v>20103912297</v>
      </c>
      <c r="F217" s="3" t="s">
        <v>434</v>
      </c>
      <c r="G217" s="3" t="s">
        <v>284</v>
      </c>
      <c r="H217" s="3" t="s">
        <v>23</v>
      </c>
      <c r="I217" s="3" t="s">
        <v>24</v>
      </c>
      <c r="J217" s="3" t="s">
        <v>43</v>
      </c>
      <c r="K217" s="3" t="s">
        <v>1063</v>
      </c>
      <c r="L217" s="3"/>
      <c r="M217" s="3"/>
      <c r="N217" s="3"/>
      <c r="O217" s="3">
        <v>209770</v>
      </c>
      <c r="P217" s="3" t="s">
        <v>29</v>
      </c>
      <c r="Q217" s="4">
        <v>37936</v>
      </c>
      <c r="R217" s="3" t="s">
        <v>30</v>
      </c>
      <c r="S217" s="3"/>
    </row>
    <row r="218" spans="1:19" ht="27.75">
      <c r="A218" s="3">
        <v>212</v>
      </c>
      <c r="B218" s="3" t="str">
        <f>"201900133860"</f>
        <v>201900133860</v>
      </c>
      <c r="C218" s="3">
        <v>84677</v>
      </c>
      <c r="D218" s="3" t="s">
        <v>1064</v>
      </c>
      <c r="E218" s="3">
        <v>20103808121</v>
      </c>
      <c r="F218" s="3" t="s">
        <v>171</v>
      </c>
      <c r="G218" s="3" t="s">
        <v>971</v>
      </c>
      <c r="H218" s="3" t="s">
        <v>23</v>
      </c>
      <c r="I218" s="3" t="s">
        <v>24</v>
      </c>
      <c r="J218" s="3" t="s">
        <v>25</v>
      </c>
      <c r="K218" s="3" t="s">
        <v>1065</v>
      </c>
      <c r="L218" s="3" t="s">
        <v>1066</v>
      </c>
      <c r="M218" s="3" t="s">
        <v>75</v>
      </c>
      <c r="N218" s="3" t="s">
        <v>974</v>
      </c>
      <c r="O218" s="3">
        <v>93534</v>
      </c>
      <c r="P218" s="3" t="s">
        <v>29</v>
      </c>
      <c r="Q218" s="4">
        <v>43694</v>
      </c>
      <c r="R218" s="3" t="s">
        <v>30</v>
      </c>
      <c r="S218" s="3" t="s">
        <v>129</v>
      </c>
    </row>
    <row r="219" spans="1:19" ht="27.75">
      <c r="A219" s="3">
        <v>213</v>
      </c>
      <c r="B219" s="3" t="str">
        <f>"201500083867"</f>
        <v>201500083867</v>
      </c>
      <c r="C219" s="3">
        <v>116132</v>
      </c>
      <c r="D219" s="3" t="s">
        <v>1067</v>
      </c>
      <c r="E219" s="3">
        <v>10214663801</v>
      </c>
      <c r="F219" s="3" t="s">
        <v>1068</v>
      </c>
      <c r="G219" s="3" t="s">
        <v>229</v>
      </c>
      <c r="H219" s="3" t="s">
        <v>70</v>
      </c>
      <c r="I219" s="3" t="s">
        <v>89</v>
      </c>
      <c r="J219" s="3" t="s">
        <v>90</v>
      </c>
      <c r="K219" s="3" t="s">
        <v>1069</v>
      </c>
      <c r="L219" s="3" t="s">
        <v>1070</v>
      </c>
      <c r="M219" s="3" t="s">
        <v>93</v>
      </c>
      <c r="N219" s="3" t="s">
        <v>94</v>
      </c>
      <c r="O219" s="3">
        <v>7500</v>
      </c>
      <c r="P219" s="3" t="s">
        <v>29</v>
      </c>
      <c r="Q219" s="4">
        <v>42225</v>
      </c>
      <c r="R219" s="3" t="s">
        <v>30</v>
      </c>
      <c r="S219" s="3" t="s">
        <v>1068</v>
      </c>
    </row>
    <row r="220" spans="1:19" ht="13.5">
      <c r="A220" s="3">
        <v>214</v>
      </c>
      <c r="B220" s="3" t="str">
        <f>"201900069894"</f>
        <v>201900069894</v>
      </c>
      <c r="C220" s="3">
        <v>125974</v>
      </c>
      <c r="D220" s="3" t="s">
        <v>1071</v>
      </c>
      <c r="E220" s="3">
        <v>10285915321</v>
      </c>
      <c r="F220" s="3" t="s">
        <v>1072</v>
      </c>
      <c r="G220" s="3" t="s">
        <v>1073</v>
      </c>
      <c r="H220" s="3" t="s">
        <v>70</v>
      </c>
      <c r="I220" s="3" t="s">
        <v>71</v>
      </c>
      <c r="J220" s="3" t="s">
        <v>1074</v>
      </c>
      <c r="K220" s="3" t="s">
        <v>1075</v>
      </c>
      <c r="L220" s="3" t="s">
        <v>1076</v>
      </c>
      <c r="M220" s="3" t="s">
        <v>75</v>
      </c>
      <c r="N220" s="3"/>
      <c r="O220" s="3">
        <v>26400</v>
      </c>
      <c r="P220" s="3" t="s">
        <v>29</v>
      </c>
      <c r="Q220" s="4">
        <v>43592</v>
      </c>
      <c r="R220" s="3" t="s">
        <v>30</v>
      </c>
      <c r="S220" s="3" t="s">
        <v>1072</v>
      </c>
    </row>
    <row r="221" spans="1:19" ht="42">
      <c r="A221" s="3">
        <v>215</v>
      </c>
      <c r="B221" s="3" t="str">
        <f>"202000026572"</f>
        <v>202000026572</v>
      </c>
      <c r="C221" s="3">
        <v>107461</v>
      </c>
      <c r="D221" s="3" t="s">
        <v>1077</v>
      </c>
      <c r="E221" s="3">
        <v>20451384024</v>
      </c>
      <c r="F221" s="3" t="s">
        <v>1078</v>
      </c>
      <c r="G221" s="3" t="s">
        <v>307</v>
      </c>
      <c r="H221" s="3" t="s">
        <v>23</v>
      </c>
      <c r="I221" s="3" t="s">
        <v>24</v>
      </c>
      <c r="J221" s="3" t="s">
        <v>25</v>
      </c>
      <c r="K221" s="3" t="s">
        <v>1079</v>
      </c>
      <c r="L221" s="3" t="s">
        <v>1080</v>
      </c>
      <c r="M221" s="3" t="s">
        <v>50</v>
      </c>
      <c r="N221" s="3" t="s">
        <v>295</v>
      </c>
      <c r="O221" s="3">
        <v>248377</v>
      </c>
      <c r="P221" s="3" t="s">
        <v>29</v>
      </c>
      <c r="Q221" s="4">
        <v>43880</v>
      </c>
      <c r="R221" s="3" t="s">
        <v>30</v>
      </c>
      <c r="S221" s="3" t="s">
        <v>296</v>
      </c>
    </row>
    <row r="222" spans="1:19" ht="13.5">
      <c r="A222" s="3">
        <v>216</v>
      </c>
      <c r="B222" s="3" t="str">
        <f>"202000044820"</f>
        <v>202000044820</v>
      </c>
      <c r="C222" s="3">
        <v>61854</v>
      </c>
      <c r="D222" s="3" t="s">
        <v>1081</v>
      </c>
      <c r="E222" s="3">
        <v>20515920774</v>
      </c>
      <c r="F222" s="3" t="s">
        <v>824</v>
      </c>
      <c r="G222" s="3" t="s">
        <v>1082</v>
      </c>
      <c r="H222" s="3" t="s">
        <v>793</v>
      </c>
      <c r="I222" s="3" t="s">
        <v>793</v>
      </c>
      <c r="J222" s="3" t="s">
        <v>794</v>
      </c>
      <c r="K222" s="3" t="s">
        <v>1083</v>
      </c>
      <c r="L222" s="3" t="s">
        <v>1084</v>
      </c>
      <c r="M222" s="3" t="s">
        <v>50</v>
      </c>
      <c r="N222" s="3" t="s">
        <v>1085</v>
      </c>
      <c r="O222" s="3">
        <v>619528</v>
      </c>
      <c r="P222" s="3" t="s">
        <v>29</v>
      </c>
      <c r="Q222" s="4">
        <v>43970</v>
      </c>
      <c r="R222" s="3" t="s">
        <v>30</v>
      </c>
      <c r="S222" s="3" t="s">
        <v>829</v>
      </c>
    </row>
    <row r="223" spans="1:19" ht="42">
      <c r="A223" s="3">
        <v>217</v>
      </c>
      <c r="B223" s="3" t="str">
        <f>"201900082962"</f>
        <v>201900082962</v>
      </c>
      <c r="C223" s="3">
        <v>144236</v>
      </c>
      <c r="D223" s="3" t="s">
        <v>1086</v>
      </c>
      <c r="E223" s="3">
        <v>20100128218</v>
      </c>
      <c r="F223" s="3" t="s">
        <v>194</v>
      </c>
      <c r="G223" s="3" t="s">
        <v>195</v>
      </c>
      <c r="H223" s="3" t="s">
        <v>23</v>
      </c>
      <c r="I223" s="3" t="s">
        <v>24</v>
      </c>
      <c r="J223" s="3" t="s">
        <v>43</v>
      </c>
      <c r="K223" s="3" t="s">
        <v>1087</v>
      </c>
      <c r="L223" s="3" t="s">
        <v>1088</v>
      </c>
      <c r="M223" s="3" t="s">
        <v>50</v>
      </c>
      <c r="N223" s="3" t="s">
        <v>349</v>
      </c>
      <c r="O223" s="3">
        <v>404628</v>
      </c>
      <c r="P223" s="3" t="s">
        <v>29</v>
      </c>
      <c r="Q223" s="4">
        <v>43609</v>
      </c>
      <c r="R223" s="3" t="s">
        <v>30</v>
      </c>
      <c r="S223" s="3" t="s">
        <v>350</v>
      </c>
    </row>
    <row r="224" spans="1:19" ht="13.5">
      <c r="A224" s="3">
        <v>218</v>
      </c>
      <c r="B224" s="3" t="str">
        <f>"201400045476"</f>
        <v>201400045476</v>
      </c>
      <c r="C224" s="3">
        <v>108158</v>
      </c>
      <c r="D224" s="3" t="s">
        <v>1089</v>
      </c>
      <c r="E224" s="3">
        <v>20528464042</v>
      </c>
      <c r="F224" s="3" t="s">
        <v>186</v>
      </c>
      <c r="G224" s="3" t="s">
        <v>1090</v>
      </c>
      <c r="H224" s="3" t="s">
        <v>23</v>
      </c>
      <c r="I224" s="3" t="s">
        <v>24</v>
      </c>
      <c r="J224" s="3" t="s">
        <v>43</v>
      </c>
      <c r="K224" s="3" t="s">
        <v>1091</v>
      </c>
      <c r="L224" s="3" t="s">
        <v>1092</v>
      </c>
      <c r="M224" s="3" t="s">
        <v>50</v>
      </c>
      <c r="N224" s="3" t="s">
        <v>529</v>
      </c>
      <c r="O224" s="3">
        <v>499356</v>
      </c>
      <c r="P224" s="3" t="s">
        <v>29</v>
      </c>
      <c r="Q224" s="4">
        <v>41778</v>
      </c>
      <c r="R224" s="3" t="s">
        <v>30</v>
      </c>
      <c r="S224" s="3" t="s">
        <v>116</v>
      </c>
    </row>
    <row r="225" spans="1:19" ht="27.75">
      <c r="A225" s="3">
        <v>219</v>
      </c>
      <c r="B225" s="3" t="str">
        <f>"1500686"</f>
        <v>1500686</v>
      </c>
      <c r="C225" s="3">
        <v>90542</v>
      </c>
      <c r="D225" s="3" t="s">
        <v>1093</v>
      </c>
      <c r="E225" s="3">
        <v>20451384024</v>
      </c>
      <c r="F225" s="3" t="s">
        <v>292</v>
      </c>
      <c r="G225" s="3" t="s">
        <v>1094</v>
      </c>
      <c r="H225" s="3" t="s">
        <v>23</v>
      </c>
      <c r="I225" s="3" t="s">
        <v>24</v>
      </c>
      <c r="J225" s="3" t="s">
        <v>43</v>
      </c>
      <c r="K225" s="3" t="s">
        <v>1095</v>
      </c>
      <c r="L225" s="3" t="s">
        <v>1096</v>
      </c>
      <c r="M225" s="3" t="s">
        <v>75</v>
      </c>
      <c r="N225" s="3"/>
      <c r="O225" s="3">
        <v>15451</v>
      </c>
      <c r="P225" s="3" t="s">
        <v>29</v>
      </c>
      <c r="Q225" s="4">
        <v>40787</v>
      </c>
      <c r="R225" s="3" t="s">
        <v>30</v>
      </c>
      <c r="S225" s="3" t="s">
        <v>1097</v>
      </c>
    </row>
    <row r="226" spans="1:19" ht="13.5">
      <c r="A226" s="3">
        <v>220</v>
      </c>
      <c r="B226" s="3" t="str">
        <f>"201400045475"</f>
        <v>201400045475</v>
      </c>
      <c r="C226" s="3">
        <v>108160</v>
      </c>
      <c r="D226" s="3" t="s">
        <v>1098</v>
      </c>
      <c r="E226" s="3">
        <v>20528464042</v>
      </c>
      <c r="F226" s="3" t="s">
        <v>186</v>
      </c>
      <c r="G226" s="3" t="s">
        <v>755</v>
      </c>
      <c r="H226" s="3" t="s">
        <v>23</v>
      </c>
      <c r="I226" s="3" t="s">
        <v>24</v>
      </c>
      <c r="J226" s="3" t="s">
        <v>43</v>
      </c>
      <c r="K226" s="3" t="s">
        <v>1099</v>
      </c>
      <c r="L226" s="3" t="s">
        <v>1100</v>
      </c>
      <c r="M226" s="3" t="s">
        <v>50</v>
      </c>
      <c r="N226" s="3" t="s">
        <v>529</v>
      </c>
      <c r="O226" s="3">
        <v>499607</v>
      </c>
      <c r="P226" s="3" t="s">
        <v>29</v>
      </c>
      <c r="Q226" s="4">
        <v>41778</v>
      </c>
      <c r="R226" s="3" t="s">
        <v>30</v>
      </c>
      <c r="S226" s="3" t="s">
        <v>116</v>
      </c>
    </row>
    <row r="227" spans="1:19" ht="27.75">
      <c r="A227" s="3">
        <v>221</v>
      </c>
      <c r="B227" s="3" t="str">
        <f>"1955288"</f>
        <v>1955288</v>
      </c>
      <c r="C227" s="3">
        <v>83546</v>
      </c>
      <c r="D227" s="3" t="s">
        <v>1101</v>
      </c>
      <c r="E227" s="3">
        <v>20351500132</v>
      </c>
      <c r="F227" s="3" t="s">
        <v>1102</v>
      </c>
      <c r="G227" s="3" t="s">
        <v>1103</v>
      </c>
      <c r="H227" s="3" t="s">
        <v>70</v>
      </c>
      <c r="I227" s="3" t="s">
        <v>71</v>
      </c>
      <c r="J227" s="3" t="s">
        <v>513</v>
      </c>
      <c r="K227" s="3" t="s">
        <v>1104</v>
      </c>
      <c r="L227" s="3"/>
      <c r="M227" s="3"/>
      <c r="N227" s="3"/>
      <c r="O227" s="3">
        <v>37132</v>
      </c>
      <c r="P227" s="3" t="s">
        <v>29</v>
      </c>
      <c r="Q227" s="4">
        <v>40177</v>
      </c>
      <c r="R227" s="3" t="s">
        <v>30</v>
      </c>
      <c r="S227" s="3"/>
    </row>
    <row r="228" spans="1:19" ht="13.5">
      <c r="A228" s="3">
        <v>222</v>
      </c>
      <c r="B228" s="3" t="str">
        <f>"201400047263"</f>
        <v>201400047263</v>
      </c>
      <c r="C228" s="3">
        <v>108946</v>
      </c>
      <c r="D228" s="3" t="s">
        <v>1105</v>
      </c>
      <c r="E228" s="3">
        <v>10424952872</v>
      </c>
      <c r="F228" s="3" t="s">
        <v>1106</v>
      </c>
      <c r="G228" s="3" t="s">
        <v>1107</v>
      </c>
      <c r="H228" s="3" t="s">
        <v>159</v>
      </c>
      <c r="I228" s="3" t="s">
        <v>160</v>
      </c>
      <c r="J228" s="3" t="s">
        <v>159</v>
      </c>
      <c r="K228" s="3" t="s">
        <v>1108</v>
      </c>
      <c r="L228" s="3" t="s">
        <v>1109</v>
      </c>
      <c r="M228" s="3" t="s">
        <v>163</v>
      </c>
      <c r="N228" s="3" t="s">
        <v>155</v>
      </c>
      <c r="O228" s="3">
        <v>3430</v>
      </c>
      <c r="P228" s="3" t="s">
        <v>29</v>
      </c>
      <c r="Q228" s="4">
        <v>41781</v>
      </c>
      <c r="R228" s="3" t="s">
        <v>30</v>
      </c>
      <c r="S228" s="3" t="s">
        <v>1106</v>
      </c>
    </row>
    <row r="229" spans="1:19" ht="27.75">
      <c r="A229" s="3">
        <v>223</v>
      </c>
      <c r="B229" s="3" t="str">
        <f>"201400048946"</f>
        <v>201400048946</v>
      </c>
      <c r="C229" s="3">
        <v>109003</v>
      </c>
      <c r="D229" s="3" t="s">
        <v>1110</v>
      </c>
      <c r="E229" s="3">
        <v>20528139648</v>
      </c>
      <c r="F229" s="3" t="s">
        <v>1111</v>
      </c>
      <c r="G229" s="3" t="s">
        <v>1112</v>
      </c>
      <c r="H229" s="3" t="s">
        <v>23</v>
      </c>
      <c r="I229" s="3" t="s">
        <v>1113</v>
      </c>
      <c r="J229" s="3" t="s">
        <v>1114</v>
      </c>
      <c r="K229" s="3" t="s">
        <v>1115</v>
      </c>
      <c r="L229" s="3" t="s">
        <v>1116</v>
      </c>
      <c r="M229" s="3" t="s">
        <v>75</v>
      </c>
      <c r="N229" s="3" t="s">
        <v>84</v>
      </c>
      <c r="O229" s="3">
        <v>11760</v>
      </c>
      <c r="P229" s="3" t="s">
        <v>29</v>
      </c>
      <c r="Q229" s="4">
        <v>41823</v>
      </c>
      <c r="R229" s="3" t="s">
        <v>30</v>
      </c>
      <c r="S229" s="3" t="s">
        <v>1117</v>
      </c>
    </row>
    <row r="230" spans="1:19" ht="55.5">
      <c r="A230" s="3">
        <v>224</v>
      </c>
      <c r="B230" s="3" t="str">
        <f>"201800111552"</f>
        <v>201800111552</v>
      </c>
      <c r="C230" s="3">
        <v>91838</v>
      </c>
      <c r="D230" s="3" t="s">
        <v>1118</v>
      </c>
      <c r="E230" s="3">
        <v>20522163890</v>
      </c>
      <c r="F230" s="3" t="s">
        <v>807</v>
      </c>
      <c r="G230" s="3" t="s">
        <v>1119</v>
      </c>
      <c r="H230" s="3" t="s">
        <v>242</v>
      </c>
      <c r="I230" s="3" t="s">
        <v>242</v>
      </c>
      <c r="J230" s="3" t="s">
        <v>243</v>
      </c>
      <c r="K230" s="3" t="s">
        <v>1120</v>
      </c>
      <c r="L230" s="3" t="s">
        <v>1121</v>
      </c>
      <c r="M230" s="3" t="s">
        <v>246</v>
      </c>
      <c r="N230" s="3" t="s">
        <v>1122</v>
      </c>
      <c r="O230" s="3">
        <v>325796</v>
      </c>
      <c r="P230" s="3" t="s">
        <v>248</v>
      </c>
      <c r="Q230" s="4">
        <v>43286</v>
      </c>
      <c r="R230" s="3" t="s">
        <v>30</v>
      </c>
      <c r="S230" s="3" t="s">
        <v>1037</v>
      </c>
    </row>
    <row r="231" spans="1:19" ht="13.5">
      <c r="A231" s="3">
        <v>225</v>
      </c>
      <c r="B231" s="3" t="str">
        <f>"202000152159"</f>
        <v>202000152159</v>
      </c>
      <c r="C231" s="3">
        <v>152092</v>
      </c>
      <c r="D231" s="3" t="s">
        <v>1123</v>
      </c>
      <c r="E231" s="3">
        <v>10000305117</v>
      </c>
      <c r="F231" s="3" t="s">
        <v>1124</v>
      </c>
      <c r="G231" s="3" t="s">
        <v>1125</v>
      </c>
      <c r="H231" s="3" t="s">
        <v>70</v>
      </c>
      <c r="I231" s="3" t="s">
        <v>71</v>
      </c>
      <c r="J231" s="3" t="s">
        <v>72</v>
      </c>
      <c r="K231" s="3" t="s">
        <v>1126</v>
      </c>
      <c r="L231" s="3" t="s">
        <v>1127</v>
      </c>
      <c r="M231" s="3" t="s">
        <v>75</v>
      </c>
      <c r="N231" s="3" t="s">
        <v>136</v>
      </c>
      <c r="O231" s="3">
        <v>18480</v>
      </c>
      <c r="P231" s="3" t="s">
        <v>29</v>
      </c>
      <c r="Q231" s="4">
        <v>44131</v>
      </c>
      <c r="R231" s="3" t="s">
        <v>30</v>
      </c>
      <c r="S231" s="3" t="s">
        <v>1124</v>
      </c>
    </row>
    <row r="232" spans="1:19" ht="27.75">
      <c r="A232" s="3">
        <v>226</v>
      </c>
      <c r="B232" s="3" t="str">
        <f>"201600152846"</f>
        <v>201600152846</v>
      </c>
      <c r="C232" s="3">
        <v>121623</v>
      </c>
      <c r="D232" s="3" t="s">
        <v>1128</v>
      </c>
      <c r="E232" s="3">
        <v>20600109201</v>
      </c>
      <c r="F232" s="3" t="s">
        <v>888</v>
      </c>
      <c r="G232" s="3" t="s">
        <v>1129</v>
      </c>
      <c r="H232" s="3" t="s">
        <v>23</v>
      </c>
      <c r="I232" s="3" t="s">
        <v>24</v>
      </c>
      <c r="J232" s="3" t="s">
        <v>222</v>
      </c>
      <c r="K232" s="3" t="s">
        <v>1130</v>
      </c>
      <c r="L232" s="3" t="s">
        <v>1131</v>
      </c>
      <c r="M232" s="3" t="s">
        <v>75</v>
      </c>
      <c r="N232" s="3" t="s">
        <v>76</v>
      </c>
      <c r="O232" s="3"/>
      <c r="P232" s="3" t="s">
        <v>29</v>
      </c>
      <c r="Q232" s="4">
        <v>42664</v>
      </c>
      <c r="R232" s="3" t="s">
        <v>30</v>
      </c>
      <c r="S232" s="3" t="s">
        <v>892</v>
      </c>
    </row>
    <row r="233" spans="1:19" ht="27.75">
      <c r="A233" s="3">
        <v>227</v>
      </c>
      <c r="B233" s="3" t="str">
        <f>"201700027391"</f>
        <v>201700027391</v>
      </c>
      <c r="C233" s="3">
        <v>126402</v>
      </c>
      <c r="D233" s="3" t="s">
        <v>1132</v>
      </c>
      <c r="E233" s="3">
        <v>20541294831</v>
      </c>
      <c r="F233" s="3" t="s">
        <v>171</v>
      </c>
      <c r="G233" s="3" t="s">
        <v>263</v>
      </c>
      <c r="H233" s="3" t="s">
        <v>23</v>
      </c>
      <c r="I233" s="3" t="s">
        <v>24</v>
      </c>
      <c r="J233" s="3" t="s">
        <v>25</v>
      </c>
      <c r="K233" s="3" t="s">
        <v>1133</v>
      </c>
      <c r="L233" s="3" t="s">
        <v>1134</v>
      </c>
      <c r="M233" s="3" t="s">
        <v>50</v>
      </c>
      <c r="N233" s="3" t="s">
        <v>225</v>
      </c>
      <c r="O233" s="3">
        <v>246960</v>
      </c>
      <c r="P233" s="3" t="s">
        <v>29</v>
      </c>
      <c r="Q233" s="4">
        <v>42800</v>
      </c>
      <c r="R233" s="3" t="s">
        <v>30</v>
      </c>
      <c r="S233" s="3" t="s">
        <v>129</v>
      </c>
    </row>
    <row r="234" spans="1:19" ht="27.75">
      <c r="A234" s="3">
        <v>228</v>
      </c>
      <c r="B234" s="3" t="str">
        <f>"201600115621"</f>
        <v>201600115621</v>
      </c>
      <c r="C234" s="3">
        <v>123172</v>
      </c>
      <c r="D234" s="3" t="s">
        <v>1135</v>
      </c>
      <c r="E234" s="3">
        <v>20541294831</v>
      </c>
      <c r="F234" s="3" t="s">
        <v>171</v>
      </c>
      <c r="G234" s="3" t="s">
        <v>263</v>
      </c>
      <c r="H234" s="3" t="s">
        <v>23</v>
      </c>
      <c r="I234" s="3" t="s">
        <v>24</v>
      </c>
      <c r="J234" s="3" t="s">
        <v>25</v>
      </c>
      <c r="K234" s="3" t="s">
        <v>1136</v>
      </c>
      <c r="L234" s="3" t="s">
        <v>1137</v>
      </c>
      <c r="M234" s="3" t="s">
        <v>100</v>
      </c>
      <c r="N234" s="3" t="s">
        <v>247</v>
      </c>
      <c r="O234" s="3">
        <v>505620</v>
      </c>
      <c r="P234" s="3" t="s">
        <v>29</v>
      </c>
      <c r="Q234" s="4">
        <v>42627</v>
      </c>
      <c r="R234" s="3" t="s">
        <v>30</v>
      </c>
      <c r="S234" s="3" t="s">
        <v>129</v>
      </c>
    </row>
    <row r="235" spans="1:19" ht="27.75">
      <c r="A235" s="3">
        <v>229</v>
      </c>
      <c r="B235" s="3" t="str">
        <f>"201900192367"</f>
        <v>201900192367</v>
      </c>
      <c r="C235" s="3">
        <v>131100</v>
      </c>
      <c r="D235" s="3" t="s">
        <v>1138</v>
      </c>
      <c r="E235" s="3">
        <v>20541294831</v>
      </c>
      <c r="F235" s="3" t="s">
        <v>171</v>
      </c>
      <c r="G235" s="3" t="s">
        <v>1139</v>
      </c>
      <c r="H235" s="3" t="s">
        <v>23</v>
      </c>
      <c r="I235" s="3" t="s">
        <v>24</v>
      </c>
      <c r="J235" s="3" t="s">
        <v>43</v>
      </c>
      <c r="K235" s="3" t="s">
        <v>1140</v>
      </c>
      <c r="L235" s="3" t="s">
        <v>1141</v>
      </c>
      <c r="M235" s="3" t="s">
        <v>50</v>
      </c>
      <c r="N235" s="3" t="s">
        <v>1142</v>
      </c>
      <c r="O235" s="3">
        <v>246960</v>
      </c>
      <c r="P235" s="3" t="s">
        <v>29</v>
      </c>
      <c r="Q235" s="4">
        <v>43793</v>
      </c>
      <c r="R235" s="3" t="s">
        <v>30</v>
      </c>
      <c r="S235" s="3" t="s">
        <v>129</v>
      </c>
    </row>
    <row r="236" spans="1:19" ht="27.75">
      <c r="A236" s="3">
        <v>230</v>
      </c>
      <c r="B236" s="3" t="str">
        <f>"201500094638"</f>
        <v>201500094638</v>
      </c>
      <c r="C236" s="3">
        <v>116486</v>
      </c>
      <c r="D236" s="3" t="s">
        <v>1143</v>
      </c>
      <c r="E236" s="3">
        <v>10001656568</v>
      </c>
      <c r="F236" s="3" t="s">
        <v>1144</v>
      </c>
      <c r="G236" s="3" t="s">
        <v>536</v>
      </c>
      <c r="H236" s="3" t="s">
        <v>70</v>
      </c>
      <c r="I236" s="3" t="s">
        <v>89</v>
      </c>
      <c r="J236" s="3" t="s">
        <v>90</v>
      </c>
      <c r="K236" s="3" t="s">
        <v>1145</v>
      </c>
      <c r="L236" s="3" t="s">
        <v>1146</v>
      </c>
      <c r="M236" s="3" t="s">
        <v>1147</v>
      </c>
      <c r="N236" s="3" t="s">
        <v>122</v>
      </c>
      <c r="O236" s="3">
        <v>1500</v>
      </c>
      <c r="P236" s="3" t="s">
        <v>29</v>
      </c>
      <c r="Q236" s="4">
        <v>42222</v>
      </c>
      <c r="R236" s="3" t="s">
        <v>30</v>
      </c>
      <c r="S236" s="3" t="s">
        <v>1144</v>
      </c>
    </row>
    <row r="237" spans="1:19" ht="27.75">
      <c r="A237" s="3">
        <v>231</v>
      </c>
      <c r="B237" s="3" t="str">
        <f>"201700055616"</f>
        <v>201700055616</v>
      </c>
      <c r="C237" s="3">
        <v>62762</v>
      </c>
      <c r="D237" s="3" t="s">
        <v>1148</v>
      </c>
      <c r="E237" s="3">
        <v>20159469388</v>
      </c>
      <c r="F237" s="3" t="s">
        <v>251</v>
      </c>
      <c r="G237" s="3" t="s">
        <v>1149</v>
      </c>
      <c r="H237" s="3" t="s">
        <v>242</v>
      </c>
      <c r="I237" s="3" t="s">
        <v>242</v>
      </c>
      <c r="J237" s="3" t="s">
        <v>243</v>
      </c>
      <c r="K237" s="3" t="s">
        <v>1150</v>
      </c>
      <c r="L237" s="3" t="s">
        <v>1151</v>
      </c>
      <c r="M237" s="3" t="s">
        <v>246</v>
      </c>
      <c r="N237" s="3" t="s">
        <v>1152</v>
      </c>
      <c r="O237" s="3">
        <v>2827734</v>
      </c>
      <c r="P237" s="3" t="s">
        <v>29</v>
      </c>
      <c r="Q237" s="4">
        <v>42844</v>
      </c>
      <c r="R237" s="3" t="s">
        <v>30</v>
      </c>
      <c r="S237" s="3" t="s">
        <v>1153</v>
      </c>
    </row>
    <row r="238" spans="1:19" ht="13.5">
      <c r="A238" s="3">
        <v>232</v>
      </c>
      <c r="B238" s="3" t="str">
        <f>"1510086"</f>
        <v>1510086</v>
      </c>
      <c r="C238" s="3">
        <v>39407</v>
      </c>
      <c r="D238" s="3" t="s">
        <v>1154</v>
      </c>
      <c r="E238" s="3">
        <v>20280300021</v>
      </c>
      <c r="F238" s="3" t="s">
        <v>53</v>
      </c>
      <c r="G238" s="3" t="s">
        <v>237</v>
      </c>
      <c r="H238" s="3" t="s">
        <v>23</v>
      </c>
      <c r="I238" s="3" t="s">
        <v>24</v>
      </c>
      <c r="J238" s="3" t="s">
        <v>25</v>
      </c>
      <c r="K238" s="3" t="s">
        <v>1155</v>
      </c>
      <c r="L238" s="3"/>
      <c r="M238" s="3"/>
      <c r="N238" s="3"/>
      <c r="O238" s="3">
        <v>1820</v>
      </c>
      <c r="P238" s="3" t="s">
        <v>29</v>
      </c>
      <c r="Q238" s="4">
        <v>38266</v>
      </c>
      <c r="R238" s="3" t="s">
        <v>30</v>
      </c>
      <c r="S238" s="3"/>
    </row>
    <row r="239" spans="1:19" ht="27.75">
      <c r="A239" s="3">
        <v>233</v>
      </c>
      <c r="B239" s="3" t="str">
        <f>"201700014597"</f>
        <v>201700014597</v>
      </c>
      <c r="C239" s="3">
        <v>125872</v>
      </c>
      <c r="D239" s="3" t="s">
        <v>1156</v>
      </c>
      <c r="E239" s="3">
        <v>20528481303</v>
      </c>
      <c r="F239" s="3" t="s">
        <v>220</v>
      </c>
      <c r="G239" s="3" t="s">
        <v>1157</v>
      </c>
      <c r="H239" s="3" t="s">
        <v>23</v>
      </c>
      <c r="I239" s="3" t="s">
        <v>24</v>
      </c>
      <c r="J239" s="3" t="s">
        <v>222</v>
      </c>
      <c r="K239" s="3" t="s">
        <v>1158</v>
      </c>
      <c r="L239" s="3" t="s">
        <v>1159</v>
      </c>
      <c r="M239" s="3" t="s">
        <v>50</v>
      </c>
      <c r="N239" s="3" t="s">
        <v>225</v>
      </c>
      <c r="O239" s="3">
        <v>601537</v>
      </c>
      <c r="P239" s="3" t="s">
        <v>29</v>
      </c>
      <c r="Q239" s="4">
        <v>42768</v>
      </c>
      <c r="R239" s="3" t="s">
        <v>30</v>
      </c>
      <c r="S239" s="3" t="s">
        <v>226</v>
      </c>
    </row>
    <row r="240" spans="1:19" ht="27.75">
      <c r="A240" s="3">
        <v>234</v>
      </c>
      <c r="B240" s="3" t="str">
        <f>"201400100392"</f>
        <v>201400100392</v>
      </c>
      <c r="C240" s="3">
        <v>96012</v>
      </c>
      <c r="D240" s="3" t="s">
        <v>1160</v>
      </c>
      <c r="E240" s="3">
        <v>20493312821</v>
      </c>
      <c r="F240" s="3" t="s">
        <v>1161</v>
      </c>
      <c r="G240" s="3" t="s">
        <v>1162</v>
      </c>
      <c r="H240" s="3" t="s">
        <v>23</v>
      </c>
      <c r="I240" s="3" t="s">
        <v>24</v>
      </c>
      <c r="J240" s="3" t="s">
        <v>43</v>
      </c>
      <c r="K240" s="3" t="s">
        <v>1163</v>
      </c>
      <c r="L240" s="3" t="s">
        <v>1164</v>
      </c>
      <c r="M240" s="3" t="s">
        <v>50</v>
      </c>
      <c r="N240" s="3"/>
      <c r="O240" s="3">
        <v>161429</v>
      </c>
      <c r="P240" s="3" t="s">
        <v>29</v>
      </c>
      <c r="Q240" s="4">
        <v>41879</v>
      </c>
      <c r="R240" s="3" t="s">
        <v>30</v>
      </c>
      <c r="S240" s="3" t="s">
        <v>218</v>
      </c>
    </row>
    <row r="241" spans="1:19" ht="13.5">
      <c r="A241" s="3">
        <v>235</v>
      </c>
      <c r="B241" s="3" t="str">
        <f>"1152086"</f>
        <v>1152086</v>
      </c>
      <c r="C241" s="3">
        <v>13215</v>
      </c>
      <c r="D241" s="3">
        <v>959716</v>
      </c>
      <c r="E241" s="3">
        <v>10052620029</v>
      </c>
      <c r="F241" s="3" t="s">
        <v>1165</v>
      </c>
      <c r="G241" s="3" t="s">
        <v>340</v>
      </c>
      <c r="H241" s="3" t="s">
        <v>23</v>
      </c>
      <c r="I241" s="3" t="s">
        <v>24</v>
      </c>
      <c r="J241" s="3" t="s">
        <v>43</v>
      </c>
      <c r="K241" s="3" t="s">
        <v>1166</v>
      </c>
      <c r="L241" s="3"/>
      <c r="M241" s="3"/>
      <c r="N241" s="3"/>
      <c r="O241" s="3">
        <v>42328</v>
      </c>
      <c r="P241" s="3" t="s">
        <v>29</v>
      </c>
      <c r="Q241" s="4">
        <v>35699</v>
      </c>
      <c r="R241" s="3" t="s">
        <v>30</v>
      </c>
      <c r="S241" s="3"/>
    </row>
    <row r="242" spans="1:19" ht="13.5">
      <c r="A242" s="3">
        <v>236</v>
      </c>
      <c r="B242" s="3" t="str">
        <f>"1429579"</f>
        <v>1429579</v>
      </c>
      <c r="C242" s="3">
        <v>82413</v>
      </c>
      <c r="D242" s="3" t="s">
        <v>1167</v>
      </c>
      <c r="E242" s="3">
        <v>20393419211</v>
      </c>
      <c r="F242" s="3" t="s">
        <v>1168</v>
      </c>
      <c r="G242" s="3" t="s">
        <v>1169</v>
      </c>
      <c r="H242" s="3" t="s">
        <v>70</v>
      </c>
      <c r="I242" s="3" t="s">
        <v>71</v>
      </c>
      <c r="J242" s="3" t="s">
        <v>72</v>
      </c>
      <c r="K242" s="3" t="s">
        <v>1170</v>
      </c>
      <c r="L242" s="3" t="s">
        <v>1171</v>
      </c>
      <c r="M242" s="3" t="s">
        <v>75</v>
      </c>
      <c r="N242" s="3"/>
      <c r="O242" s="3">
        <v>9905</v>
      </c>
      <c r="P242" s="3" t="s">
        <v>29</v>
      </c>
      <c r="Q242" s="4">
        <v>40491</v>
      </c>
      <c r="R242" s="3" t="s">
        <v>30</v>
      </c>
      <c r="S242" s="3" t="s">
        <v>1172</v>
      </c>
    </row>
    <row r="243" spans="1:19" ht="13.5">
      <c r="A243" s="3">
        <v>237</v>
      </c>
      <c r="B243" s="3" t="str">
        <f>"1152085"</f>
        <v>1152085</v>
      </c>
      <c r="C243" s="3">
        <v>13205</v>
      </c>
      <c r="D243" s="3" t="s">
        <v>1173</v>
      </c>
      <c r="E243" s="3">
        <v>10052620029</v>
      </c>
      <c r="F243" s="3" t="s">
        <v>1165</v>
      </c>
      <c r="G243" s="3" t="s">
        <v>340</v>
      </c>
      <c r="H243" s="3" t="s">
        <v>23</v>
      </c>
      <c r="I243" s="3" t="s">
        <v>24</v>
      </c>
      <c r="J243" s="3" t="s">
        <v>43</v>
      </c>
      <c r="K243" s="3" t="s">
        <v>1174</v>
      </c>
      <c r="L243" s="3"/>
      <c r="M243" s="3"/>
      <c r="N243" s="3"/>
      <c r="O243" s="3">
        <v>36036</v>
      </c>
      <c r="P243" s="3" t="s">
        <v>29</v>
      </c>
      <c r="Q243" s="4">
        <v>35699</v>
      </c>
      <c r="R243" s="3" t="s">
        <v>30</v>
      </c>
      <c r="S243" s="3"/>
    </row>
    <row r="244" spans="1:19" ht="42">
      <c r="A244" s="3">
        <v>238</v>
      </c>
      <c r="B244" s="3" t="str">
        <f>"201800169210"</f>
        <v>201800169210</v>
      </c>
      <c r="C244" s="3">
        <v>139075</v>
      </c>
      <c r="D244" s="3" t="s">
        <v>1175</v>
      </c>
      <c r="E244" s="3">
        <v>20100128218</v>
      </c>
      <c r="F244" s="3" t="s">
        <v>939</v>
      </c>
      <c r="G244" s="3" t="s">
        <v>994</v>
      </c>
      <c r="H244" s="3" t="s">
        <v>23</v>
      </c>
      <c r="I244" s="3" t="s">
        <v>24</v>
      </c>
      <c r="J244" s="3" t="s">
        <v>43</v>
      </c>
      <c r="K244" s="3" t="s">
        <v>1176</v>
      </c>
      <c r="L244" s="3" t="s">
        <v>1177</v>
      </c>
      <c r="M244" s="3" t="s">
        <v>50</v>
      </c>
      <c r="N244" s="3" t="s">
        <v>1178</v>
      </c>
      <c r="O244" s="3">
        <v>382864</v>
      </c>
      <c r="P244" s="3" t="s">
        <v>29</v>
      </c>
      <c r="Q244" s="4">
        <v>43386</v>
      </c>
      <c r="R244" s="3" t="s">
        <v>30</v>
      </c>
      <c r="S244" s="3" t="s">
        <v>350</v>
      </c>
    </row>
    <row r="245" spans="1:19" ht="27.75">
      <c r="A245" s="3">
        <v>239</v>
      </c>
      <c r="B245" s="3" t="str">
        <f>"201400069588"</f>
        <v>201400069588</v>
      </c>
      <c r="C245" s="3">
        <v>109783</v>
      </c>
      <c r="D245" s="3" t="s">
        <v>1179</v>
      </c>
      <c r="E245" s="3">
        <v>20522163890</v>
      </c>
      <c r="F245" s="3" t="s">
        <v>1180</v>
      </c>
      <c r="G245" s="3" t="s">
        <v>1181</v>
      </c>
      <c r="H245" s="3" t="s">
        <v>242</v>
      </c>
      <c r="I245" s="3" t="s">
        <v>242</v>
      </c>
      <c r="J245" s="3" t="s">
        <v>243</v>
      </c>
      <c r="K245" s="3" t="s">
        <v>1182</v>
      </c>
      <c r="L245" s="3" t="s">
        <v>1183</v>
      </c>
      <c r="M245" s="3" t="s">
        <v>246</v>
      </c>
      <c r="N245" s="3"/>
      <c r="O245" s="3">
        <v>9927370</v>
      </c>
      <c r="P245" s="3" t="s">
        <v>29</v>
      </c>
      <c r="Q245" s="4">
        <v>41792</v>
      </c>
      <c r="R245" s="3" t="s">
        <v>30</v>
      </c>
      <c r="S245" s="3" t="s">
        <v>985</v>
      </c>
    </row>
    <row r="246" spans="1:19" ht="13.5">
      <c r="A246" s="3">
        <v>240</v>
      </c>
      <c r="B246" s="3" t="str">
        <f>"201000000475"</f>
        <v>201000000475</v>
      </c>
      <c r="C246" s="3">
        <v>10460</v>
      </c>
      <c r="D246" s="3">
        <v>961708</v>
      </c>
      <c r="E246" s="3">
        <v>20128973169</v>
      </c>
      <c r="F246" s="3" t="s">
        <v>1184</v>
      </c>
      <c r="G246" s="3" t="s">
        <v>1185</v>
      </c>
      <c r="H246" s="3" t="s">
        <v>23</v>
      </c>
      <c r="I246" s="3" t="s">
        <v>24</v>
      </c>
      <c r="J246" s="3" t="s">
        <v>43</v>
      </c>
      <c r="K246" s="3" t="s">
        <v>1186</v>
      </c>
      <c r="L246" s="3"/>
      <c r="M246" s="3"/>
      <c r="N246" s="3"/>
      <c r="O246" s="3">
        <v>173124</v>
      </c>
      <c r="P246" s="3" t="s">
        <v>29</v>
      </c>
      <c r="Q246" s="4">
        <v>35636</v>
      </c>
      <c r="R246" s="3" t="s">
        <v>30</v>
      </c>
      <c r="S246" s="3"/>
    </row>
    <row r="247" spans="1:19" ht="13.5">
      <c r="A247" s="3">
        <v>241</v>
      </c>
      <c r="B247" s="3" t="str">
        <f>"201700182413"</f>
        <v>201700182413</v>
      </c>
      <c r="C247" s="3">
        <v>18905</v>
      </c>
      <c r="D247" s="3" t="s">
        <v>1187</v>
      </c>
      <c r="E247" s="3">
        <v>20280300021</v>
      </c>
      <c r="F247" s="3" t="s">
        <v>53</v>
      </c>
      <c r="G247" s="3" t="s">
        <v>1188</v>
      </c>
      <c r="H247" s="3" t="s">
        <v>23</v>
      </c>
      <c r="I247" s="3" t="s">
        <v>24</v>
      </c>
      <c r="J247" s="3" t="s">
        <v>43</v>
      </c>
      <c r="K247" s="3" t="s">
        <v>1189</v>
      </c>
      <c r="L247" s="3" t="s">
        <v>1190</v>
      </c>
      <c r="M247" s="3" t="s">
        <v>50</v>
      </c>
      <c r="N247" s="3" t="s">
        <v>155</v>
      </c>
      <c r="O247" s="3">
        <v>140180</v>
      </c>
      <c r="P247" s="3" t="s">
        <v>29</v>
      </c>
      <c r="Q247" s="4">
        <v>43039</v>
      </c>
      <c r="R247" s="3" t="s">
        <v>30</v>
      </c>
      <c r="S247" s="3" t="s">
        <v>58</v>
      </c>
    </row>
    <row r="248" spans="1:19" ht="13.5">
      <c r="A248" s="3">
        <v>242</v>
      </c>
      <c r="B248" s="3" t="str">
        <f>"202000018359"</f>
        <v>202000018359</v>
      </c>
      <c r="C248" s="3">
        <v>44364</v>
      </c>
      <c r="D248" s="3" t="s">
        <v>1191</v>
      </c>
      <c r="E248" s="3">
        <v>20280300021</v>
      </c>
      <c r="F248" s="3" t="s">
        <v>139</v>
      </c>
      <c r="G248" s="3" t="s">
        <v>140</v>
      </c>
      <c r="H248" s="3" t="s">
        <v>23</v>
      </c>
      <c r="I248" s="3" t="s">
        <v>24</v>
      </c>
      <c r="J248" s="3" t="s">
        <v>25</v>
      </c>
      <c r="K248" s="3" t="s">
        <v>1192</v>
      </c>
      <c r="L248" s="3" t="s">
        <v>1193</v>
      </c>
      <c r="M248" s="3" t="s">
        <v>50</v>
      </c>
      <c r="N248" s="3"/>
      <c r="O248" s="3">
        <v>241352.58</v>
      </c>
      <c r="P248" s="3" t="s">
        <v>248</v>
      </c>
      <c r="Q248" s="4">
        <v>43868</v>
      </c>
      <c r="R248" s="3" t="s">
        <v>30</v>
      </c>
      <c r="S248" s="3" t="s">
        <v>446</v>
      </c>
    </row>
    <row r="249" spans="1:19" ht="13.5">
      <c r="A249" s="3">
        <v>243</v>
      </c>
      <c r="B249" s="3" t="str">
        <f>"201400046712"</f>
        <v>201400046712</v>
      </c>
      <c r="C249" s="3">
        <v>13160</v>
      </c>
      <c r="D249" s="3" t="s">
        <v>1194</v>
      </c>
      <c r="E249" s="3">
        <v>20280300021</v>
      </c>
      <c r="F249" s="3" t="s">
        <v>53</v>
      </c>
      <c r="G249" s="3" t="s">
        <v>237</v>
      </c>
      <c r="H249" s="3" t="s">
        <v>23</v>
      </c>
      <c r="I249" s="3" t="s">
        <v>24</v>
      </c>
      <c r="J249" s="3" t="s">
        <v>25</v>
      </c>
      <c r="K249" s="3" t="s">
        <v>1195</v>
      </c>
      <c r="L249" s="3" t="s">
        <v>1196</v>
      </c>
      <c r="M249" s="3" t="s">
        <v>50</v>
      </c>
      <c r="N249" s="3"/>
      <c r="O249" s="3">
        <v>87108</v>
      </c>
      <c r="P249" s="3" t="s">
        <v>29</v>
      </c>
      <c r="Q249" s="4">
        <v>41795</v>
      </c>
      <c r="R249" s="3" t="s">
        <v>30</v>
      </c>
      <c r="S249" s="3" t="s">
        <v>446</v>
      </c>
    </row>
    <row r="250" spans="1:19" ht="13.5">
      <c r="A250" s="3">
        <v>244</v>
      </c>
      <c r="B250" s="3" t="str">
        <f>"201500070561"</f>
        <v>201500070561</v>
      </c>
      <c r="C250" s="3">
        <v>115653</v>
      </c>
      <c r="D250" s="3" t="s">
        <v>1197</v>
      </c>
      <c r="E250" s="3">
        <v>10058422555</v>
      </c>
      <c r="F250" s="3" t="s">
        <v>1198</v>
      </c>
      <c r="G250" s="3" t="s">
        <v>1199</v>
      </c>
      <c r="H250" s="3" t="s">
        <v>23</v>
      </c>
      <c r="I250" s="3" t="s">
        <v>24</v>
      </c>
      <c r="J250" s="3" t="s">
        <v>43</v>
      </c>
      <c r="K250" s="3" t="s">
        <v>1200</v>
      </c>
      <c r="L250" s="3" t="s">
        <v>1201</v>
      </c>
      <c r="M250" s="3" t="s">
        <v>75</v>
      </c>
      <c r="N250" s="3" t="s">
        <v>136</v>
      </c>
      <c r="O250" s="3">
        <v>30756</v>
      </c>
      <c r="P250" s="3" t="s">
        <v>29</v>
      </c>
      <c r="Q250" s="4">
        <v>42241</v>
      </c>
      <c r="R250" s="3" t="s">
        <v>30</v>
      </c>
      <c r="S250" s="3" t="s">
        <v>1198</v>
      </c>
    </row>
    <row r="251" spans="1:19" ht="42">
      <c r="A251" s="3">
        <v>245</v>
      </c>
      <c r="B251" s="3" t="str">
        <f>"201800169216"</f>
        <v>201800169216</v>
      </c>
      <c r="C251" s="3">
        <v>139076</v>
      </c>
      <c r="D251" s="3" t="s">
        <v>1202</v>
      </c>
      <c r="E251" s="3">
        <v>20100128218</v>
      </c>
      <c r="F251" s="3" t="s">
        <v>939</v>
      </c>
      <c r="G251" s="3" t="s">
        <v>994</v>
      </c>
      <c r="H251" s="3" t="s">
        <v>23</v>
      </c>
      <c r="I251" s="3" t="s">
        <v>24</v>
      </c>
      <c r="J251" s="3" t="s">
        <v>43</v>
      </c>
      <c r="K251" s="3" t="s">
        <v>1203</v>
      </c>
      <c r="L251" s="3" t="s">
        <v>1204</v>
      </c>
      <c r="M251" s="3" t="s">
        <v>50</v>
      </c>
      <c r="N251" s="3" t="s">
        <v>657</v>
      </c>
      <c r="O251" s="3">
        <v>382864</v>
      </c>
      <c r="P251" s="3" t="s">
        <v>29</v>
      </c>
      <c r="Q251" s="4">
        <v>43386</v>
      </c>
      <c r="R251" s="3" t="s">
        <v>30</v>
      </c>
      <c r="S251" s="3" t="s">
        <v>350</v>
      </c>
    </row>
    <row r="252" spans="1:19" ht="13.5">
      <c r="A252" s="3">
        <v>246</v>
      </c>
      <c r="B252" s="3" t="str">
        <f>"201700086576"</f>
        <v>201700086576</v>
      </c>
      <c r="C252" s="3">
        <v>129027</v>
      </c>
      <c r="D252" s="3" t="s">
        <v>1205</v>
      </c>
      <c r="E252" s="3">
        <v>10435746638</v>
      </c>
      <c r="F252" s="3" t="s">
        <v>1206</v>
      </c>
      <c r="G252" s="3" t="s">
        <v>1207</v>
      </c>
      <c r="H252" s="3" t="s">
        <v>23</v>
      </c>
      <c r="I252" s="3" t="s">
        <v>24</v>
      </c>
      <c r="J252" s="3" t="s">
        <v>43</v>
      </c>
      <c r="K252" s="3" t="s">
        <v>1208</v>
      </c>
      <c r="L252" s="3" t="s">
        <v>1209</v>
      </c>
      <c r="M252" s="3" t="s">
        <v>75</v>
      </c>
      <c r="N252" s="3" t="s">
        <v>155</v>
      </c>
      <c r="O252" s="3">
        <v>19600</v>
      </c>
      <c r="P252" s="3" t="s">
        <v>29</v>
      </c>
      <c r="Q252" s="4">
        <v>42915</v>
      </c>
      <c r="R252" s="3" t="s">
        <v>30</v>
      </c>
      <c r="S252" s="3" t="s">
        <v>1206</v>
      </c>
    </row>
    <row r="253" spans="1:19" ht="42">
      <c r="A253" s="3">
        <v>247</v>
      </c>
      <c r="B253" s="3" t="str">
        <f>"201900204595"</f>
        <v>201900204595</v>
      </c>
      <c r="C253" s="3">
        <v>148240</v>
      </c>
      <c r="D253" s="3" t="s">
        <v>1210</v>
      </c>
      <c r="E253" s="3">
        <v>20100128218</v>
      </c>
      <c r="F253" s="3" t="s">
        <v>194</v>
      </c>
      <c r="G253" s="3" t="s">
        <v>994</v>
      </c>
      <c r="H253" s="3" t="s">
        <v>23</v>
      </c>
      <c r="I253" s="3" t="s">
        <v>24</v>
      </c>
      <c r="J253" s="3" t="s">
        <v>43</v>
      </c>
      <c r="K253" s="3" t="s">
        <v>1211</v>
      </c>
      <c r="L253" s="3" t="s">
        <v>1212</v>
      </c>
      <c r="M253" s="3" t="s">
        <v>50</v>
      </c>
      <c r="N253" s="3" t="s">
        <v>710</v>
      </c>
      <c r="O253" s="3">
        <v>955920</v>
      </c>
      <c r="P253" s="3" t="s">
        <v>29</v>
      </c>
      <c r="Q253" s="4">
        <v>43815</v>
      </c>
      <c r="R253" s="3" t="s">
        <v>30</v>
      </c>
      <c r="S253" s="3" t="s">
        <v>1213</v>
      </c>
    </row>
    <row r="254" spans="1:19" ht="27.75">
      <c r="A254" s="3">
        <v>248</v>
      </c>
      <c r="B254" s="3" t="str">
        <f>"201500094647"</f>
        <v>201500094647</v>
      </c>
      <c r="C254" s="3">
        <v>116484</v>
      </c>
      <c r="D254" s="3" t="s">
        <v>1214</v>
      </c>
      <c r="E254" s="3">
        <v>10001519919</v>
      </c>
      <c r="F254" s="3" t="s">
        <v>1215</v>
      </c>
      <c r="G254" s="3" t="s">
        <v>930</v>
      </c>
      <c r="H254" s="3" t="s">
        <v>70</v>
      </c>
      <c r="I254" s="3" t="s">
        <v>89</v>
      </c>
      <c r="J254" s="3" t="s">
        <v>90</v>
      </c>
      <c r="K254" s="3" t="s">
        <v>1216</v>
      </c>
      <c r="L254" s="3" t="s">
        <v>1217</v>
      </c>
      <c r="M254" s="3" t="s">
        <v>93</v>
      </c>
      <c r="N254" s="3" t="s">
        <v>122</v>
      </c>
      <c r="O254" s="3">
        <v>1500</v>
      </c>
      <c r="P254" s="3" t="s">
        <v>29</v>
      </c>
      <c r="Q254" s="4">
        <v>42222</v>
      </c>
      <c r="R254" s="3" t="s">
        <v>30</v>
      </c>
      <c r="S254" s="3" t="s">
        <v>1215</v>
      </c>
    </row>
    <row r="255" spans="1:19" ht="27.75">
      <c r="A255" s="3">
        <v>249</v>
      </c>
      <c r="B255" s="3" t="str">
        <f>"201600077532"</f>
        <v>201600077532</v>
      </c>
      <c r="C255" s="3">
        <v>122194</v>
      </c>
      <c r="D255" s="3" t="s">
        <v>1218</v>
      </c>
      <c r="E255" s="3">
        <v>20528481303</v>
      </c>
      <c r="F255" s="3" t="s">
        <v>220</v>
      </c>
      <c r="G255" s="3" t="s">
        <v>1219</v>
      </c>
      <c r="H255" s="3" t="s">
        <v>23</v>
      </c>
      <c r="I255" s="3" t="s">
        <v>24</v>
      </c>
      <c r="J255" s="3" t="s">
        <v>222</v>
      </c>
      <c r="K255" s="3" t="s">
        <v>1220</v>
      </c>
      <c r="L255" s="3" t="s">
        <v>1221</v>
      </c>
      <c r="M255" s="3" t="s">
        <v>50</v>
      </c>
      <c r="N255" s="3" t="s">
        <v>1222</v>
      </c>
      <c r="O255" s="3">
        <v>885392</v>
      </c>
      <c r="P255" s="3" t="s">
        <v>29</v>
      </c>
      <c r="Q255" s="4">
        <v>42536</v>
      </c>
      <c r="R255" s="3" t="s">
        <v>30</v>
      </c>
      <c r="S255" s="3" t="s">
        <v>226</v>
      </c>
    </row>
    <row r="256" spans="1:19" ht="13.5">
      <c r="A256" s="3">
        <v>250</v>
      </c>
      <c r="B256" s="3" t="str">
        <f>"1164114"</f>
        <v>1164114</v>
      </c>
      <c r="C256" s="3">
        <v>13361</v>
      </c>
      <c r="D256" s="3" t="s">
        <v>1223</v>
      </c>
      <c r="E256" s="3">
        <v>20103912297</v>
      </c>
      <c r="F256" s="3" t="s">
        <v>434</v>
      </c>
      <c r="G256" s="3" t="s">
        <v>435</v>
      </c>
      <c r="H256" s="3" t="s">
        <v>23</v>
      </c>
      <c r="I256" s="3" t="s">
        <v>24</v>
      </c>
      <c r="J256" s="3" t="s">
        <v>43</v>
      </c>
      <c r="K256" s="3" t="s">
        <v>1224</v>
      </c>
      <c r="L256" s="3"/>
      <c r="M256" s="3"/>
      <c r="N256" s="3"/>
      <c r="O256" s="3">
        <v>132863</v>
      </c>
      <c r="P256" s="3" t="s">
        <v>29</v>
      </c>
      <c r="Q256" s="4">
        <v>35782</v>
      </c>
      <c r="R256" s="3" t="s">
        <v>30</v>
      </c>
      <c r="S256" s="3"/>
    </row>
    <row r="257" spans="1:19" ht="13.5">
      <c r="A257" s="3">
        <v>251</v>
      </c>
      <c r="B257" s="3" t="str">
        <f>"201600055790"</f>
        <v>201600055790</v>
      </c>
      <c r="C257" s="3">
        <v>103901</v>
      </c>
      <c r="D257" s="3" t="s">
        <v>1225</v>
      </c>
      <c r="E257" s="3">
        <v>20515920774</v>
      </c>
      <c r="F257" s="3" t="s">
        <v>1226</v>
      </c>
      <c r="G257" s="3" t="s">
        <v>825</v>
      </c>
      <c r="H257" s="3" t="s">
        <v>793</v>
      </c>
      <c r="I257" s="3" t="s">
        <v>793</v>
      </c>
      <c r="J257" s="3" t="s">
        <v>794</v>
      </c>
      <c r="K257" s="3" t="s">
        <v>1227</v>
      </c>
      <c r="L257" s="3" t="s">
        <v>1228</v>
      </c>
      <c r="M257" s="3" t="s">
        <v>50</v>
      </c>
      <c r="N257" s="3" t="s">
        <v>687</v>
      </c>
      <c r="O257" s="3">
        <v>1744969</v>
      </c>
      <c r="P257" s="3" t="s">
        <v>29</v>
      </c>
      <c r="Q257" s="4">
        <v>42488</v>
      </c>
      <c r="R257" s="3" t="s">
        <v>30</v>
      </c>
      <c r="S257" s="3" t="s">
        <v>829</v>
      </c>
    </row>
    <row r="258" spans="1:19" ht="27.75">
      <c r="A258" s="3">
        <v>252</v>
      </c>
      <c r="B258" s="3" t="str">
        <f>"201500114763"</f>
        <v>201500114763</v>
      </c>
      <c r="C258" s="3">
        <v>117190</v>
      </c>
      <c r="D258" s="3" t="s">
        <v>1229</v>
      </c>
      <c r="E258" s="3">
        <v>20366551515</v>
      </c>
      <c r="F258" s="3" t="s">
        <v>1230</v>
      </c>
      <c r="G258" s="3" t="s">
        <v>1231</v>
      </c>
      <c r="H258" s="3" t="s">
        <v>23</v>
      </c>
      <c r="I258" s="3" t="s">
        <v>24</v>
      </c>
      <c r="J258" s="3" t="s">
        <v>43</v>
      </c>
      <c r="K258" s="3" t="s">
        <v>1232</v>
      </c>
      <c r="L258" s="3" t="s">
        <v>1233</v>
      </c>
      <c r="M258" s="3" t="s">
        <v>75</v>
      </c>
      <c r="N258" s="3" t="s">
        <v>65</v>
      </c>
      <c r="O258" s="3">
        <v>92136</v>
      </c>
      <c r="P258" s="3" t="s">
        <v>29</v>
      </c>
      <c r="Q258" s="4">
        <v>42306</v>
      </c>
      <c r="R258" s="3" t="s">
        <v>30</v>
      </c>
      <c r="S258" s="3" t="s">
        <v>1234</v>
      </c>
    </row>
    <row r="259" spans="1:19" ht="13.5">
      <c r="A259" s="3">
        <v>253</v>
      </c>
      <c r="B259" s="3" t="str">
        <f>"1510093"</f>
        <v>1510093</v>
      </c>
      <c r="C259" s="3">
        <v>42652</v>
      </c>
      <c r="D259" s="3" t="s">
        <v>1235</v>
      </c>
      <c r="E259" s="3">
        <v>20408971943</v>
      </c>
      <c r="F259" s="3" t="s">
        <v>1236</v>
      </c>
      <c r="G259" s="3" t="s">
        <v>1237</v>
      </c>
      <c r="H259" s="3" t="s">
        <v>242</v>
      </c>
      <c r="I259" s="3" t="s">
        <v>242</v>
      </c>
      <c r="J259" s="3" t="s">
        <v>1238</v>
      </c>
      <c r="K259" s="3" t="s">
        <v>1239</v>
      </c>
      <c r="L259" s="3"/>
      <c r="M259" s="3"/>
      <c r="N259" s="3"/>
      <c r="O259" s="3">
        <v>60000</v>
      </c>
      <c r="P259" s="3" t="s">
        <v>29</v>
      </c>
      <c r="Q259" s="4">
        <v>38309</v>
      </c>
      <c r="R259" s="3" t="s">
        <v>30</v>
      </c>
      <c r="S259" s="3" t="s">
        <v>1240</v>
      </c>
    </row>
    <row r="260" spans="1:19" ht="13.5">
      <c r="A260" s="3">
        <v>254</v>
      </c>
      <c r="B260" s="3" t="str">
        <f>"201400015112"</f>
        <v>201400015112</v>
      </c>
      <c r="C260" s="3">
        <v>107857</v>
      </c>
      <c r="D260" s="3" t="s">
        <v>1241</v>
      </c>
      <c r="E260" s="3">
        <v>20408971943</v>
      </c>
      <c r="F260" s="3" t="s">
        <v>1242</v>
      </c>
      <c r="G260" s="3" t="s">
        <v>1243</v>
      </c>
      <c r="H260" s="3" t="s">
        <v>23</v>
      </c>
      <c r="I260" s="3" t="s">
        <v>24</v>
      </c>
      <c r="J260" s="3" t="s">
        <v>43</v>
      </c>
      <c r="K260" s="3" t="s">
        <v>1244</v>
      </c>
      <c r="L260" s="3" t="s">
        <v>1245</v>
      </c>
      <c r="M260" s="3" t="s">
        <v>50</v>
      </c>
      <c r="N260" s="3" t="s">
        <v>707</v>
      </c>
      <c r="O260" s="3">
        <v>200000</v>
      </c>
      <c r="P260" s="3" t="s">
        <v>29</v>
      </c>
      <c r="Q260" s="4">
        <v>41688</v>
      </c>
      <c r="R260" s="3" t="s">
        <v>30</v>
      </c>
      <c r="S260" s="3" t="s">
        <v>1246</v>
      </c>
    </row>
    <row r="261" spans="1:19" ht="13.5">
      <c r="A261" s="3">
        <v>255</v>
      </c>
      <c r="B261" s="3" t="str">
        <f>"1152080"</f>
        <v>1152080</v>
      </c>
      <c r="C261" s="3">
        <v>13217</v>
      </c>
      <c r="D261" s="3">
        <v>959717</v>
      </c>
      <c r="E261" s="3">
        <v>10052620029</v>
      </c>
      <c r="F261" s="3" t="s">
        <v>923</v>
      </c>
      <c r="G261" s="3" t="s">
        <v>340</v>
      </c>
      <c r="H261" s="3" t="s">
        <v>23</v>
      </c>
      <c r="I261" s="3" t="s">
        <v>24</v>
      </c>
      <c r="J261" s="3" t="s">
        <v>43</v>
      </c>
      <c r="K261" s="3" t="s">
        <v>1247</v>
      </c>
      <c r="L261" s="3"/>
      <c r="M261" s="3"/>
      <c r="N261" s="3"/>
      <c r="O261" s="3">
        <v>92216</v>
      </c>
      <c r="P261" s="3" t="s">
        <v>29</v>
      </c>
      <c r="Q261" s="4">
        <v>35699</v>
      </c>
      <c r="R261" s="3" t="s">
        <v>30</v>
      </c>
      <c r="S261" s="3"/>
    </row>
    <row r="262" spans="1:19" ht="27.75">
      <c r="A262" s="3">
        <v>256</v>
      </c>
      <c r="B262" s="3" t="str">
        <f>"201900146568"</f>
        <v>201900146568</v>
      </c>
      <c r="C262" s="3">
        <v>120588</v>
      </c>
      <c r="D262" s="3" t="s">
        <v>1248</v>
      </c>
      <c r="E262" s="3">
        <v>10722306886</v>
      </c>
      <c r="F262" s="3" t="s">
        <v>1249</v>
      </c>
      <c r="G262" s="3" t="s">
        <v>1250</v>
      </c>
      <c r="H262" s="3" t="s">
        <v>70</v>
      </c>
      <c r="I262" s="3" t="s">
        <v>71</v>
      </c>
      <c r="J262" s="3" t="s">
        <v>72</v>
      </c>
      <c r="K262" s="3" t="s">
        <v>1251</v>
      </c>
      <c r="L262" s="3" t="s">
        <v>1252</v>
      </c>
      <c r="M262" s="3" t="s">
        <v>75</v>
      </c>
      <c r="N262" s="3"/>
      <c r="O262" s="3">
        <v>33440</v>
      </c>
      <c r="P262" s="3" t="s">
        <v>29</v>
      </c>
      <c r="Q262" s="4">
        <v>43724</v>
      </c>
      <c r="R262" s="3" t="s">
        <v>30</v>
      </c>
      <c r="S262" s="3" t="s">
        <v>1249</v>
      </c>
    </row>
    <row r="263" spans="1:19" ht="13.5">
      <c r="A263" s="3">
        <v>257</v>
      </c>
      <c r="B263" s="3" t="str">
        <f>"1152081"</f>
        <v>1152081</v>
      </c>
      <c r="C263" s="3">
        <v>13218</v>
      </c>
      <c r="D263" s="3">
        <v>959718</v>
      </c>
      <c r="E263" s="3">
        <v>10052620029</v>
      </c>
      <c r="F263" s="3" t="s">
        <v>923</v>
      </c>
      <c r="G263" s="3" t="s">
        <v>340</v>
      </c>
      <c r="H263" s="3" t="s">
        <v>23</v>
      </c>
      <c r="I263" s="3" t="s">
        <v>24</v>
      </c>
      <c r="J263" s="3" t="s">
        <v>43</v>
      </c>
      <c r="K263" s="3" t="s">
        <v>1253</v>
      </c>
      <c r="L263" s="3"/>
      <c r="M263" s="3"/>
      <c r="N263" s="3"/>
      <c r="O263" s="3">
        <v>97964</v>
      </c>
      <c r="P263" s="3" t="s">
        <v>29</v>
      </c>
      <c r="Q263" s="4">
        <v>35699</v>
      </c>
      <c r="R263" s="3" t="s">
        <v>30</v>
      </c>
      <c r="S263" s="3"/>
    </row>
    <row r="264" spans="1:19" ht="13.5">
      <c r="A264" s="3">
        <v>258</v>
      </c>
      <c r="B264" s="3" t="str">
        <f>"1152082"</f>
        <v>1152082</v>
      </c>
      <c r="C264" s="3">
        <v>12909</v>
      </c>
      <c r="D264" s="3" t="s">
        <v>1254</v>
      </c>
      <c r="E264" s="3">
        <v>10052620029</v>
      </c>
      <c r="F264" s="3" t="s">
        <v>923</v>
      </c>
      <c r="G264" s="3" t="s">
        <v>340</v>
      </c>
      <c r="H264" s="3" t="s">
        <v>23</v>
      </c>
      <c r="I264" s="3" t="s">
        <v>24</v>
      </c>
      <c r="J264" s="3" t="s">
        <v>43</v>
      </c>
      <c r="K264" s="3" t="s">
        <v>1255</v>
      </c>
      <c r="L264" s="3"/>
      <c r="M264" s="3"/>
      <c r="N264" s="3"/>
      <c r="O264" s="3">
        <v>77398</v>
      </c>
      <c r="P264" s="3" t="s">
        <v>29</v>
      </c>
      <c r="Q264" s="4">
        <v>35699</v>
      </c>
      <c r="R264" s="3" t="s">
        <v>30</v>
      </c>
      <c r="S264" s="3"/>
    </row>
    <row r="265" spans="1:19" ht="13.5">
      <c r="A265" s="3">
        <v>259</v>
      </c>
      <c r="B265" s="3" t="str">
        <f>"201300089873"</f>
        <v>201300089873</v>
      </c>
      <c r="C265" s="3">
        <v>13178</v>
      </c>
      <c r="D265" s="3" t="s">
        <v>1256</v>
      </c>
      <c r="E265" s="3">
        <v>20103912297</v>
      </c>
      <c r="F265" s="3" t="s">
        <v>388</v>
      </c>
      <c r="G265" s="3" t="s">
        <v>562</v>
      </c>
      <c r="H265" s="3" t="s">
        <v>23</v>
      </c>
      <c r="I265" s="3" t="s">
        <v>24</v>
      </c>
      <c r="J265" s="3" t="s">
        <v>43</v>
      </c>
      <c r="K265" s="3" t="s">
        <v>1257</v>
      </c>
      <c r="L265" s="3" t="s">
        <v>1258</v>
      </c>
      <c r="M265" s="3" t="s">
        <v>50</v>
      </c>
      <c r="N265" s="3"/>
      <c r="O265" s="3">
        <v>78839</v>
      </c>
      <c r="P265" s="3" t="s">
        <v>29</v>
      </c>
      <c r="Q265" s="4">
        <v>41465</v>
      </c>
      <c r="R265" s="3" t="s">
        <v>30</v>
      </c>
      <c r="S265" s="3" t="s">
        <v>980</v>
      </c>
    </row>
    <row r="266" spans="1:19" ht="13.5">
      <c r="A266" s="3">
        <v>260</v>
      </c>
      <c r="B266" s="3" t="str">
        <f>"201900009668"</f>
        <v>201900009668</v>
      </c>
      <c r="C266" s="3">
        <v>140858</v>
      </c>
      <c r="D266" s="3" t="s">
        <v>1259</v>
      </c>
      <c r="E266" s="3">
        <v>20522163890</v>
      </c>
      <c r="F266" s="3" t="s">
        <v>807</v>
      </c>
      <c r="G266" s="3" t="s">
        <v>1002</v>
      </c>
      <c r="H266" s="3" t="s">
        <v>242</v>
      </c>
      <c r="I266" s="3" t="s">
        <v>242</v>
      </c>
      <c r="J266" s="3" t="s">
        <v>243</v>
      </c>
      <c r="K266" s="3" t="s">
        <v>1260</v>
      </c>
      <c r="L266" s="3" t="s">
        <v>1261</v>
      </c>
      <c r="M266" s="3" t="s">
        <v>246</v>
      </c>
      <c r="N266" s="3" t="s">
        <v>401</v>
      </c>
      <c r="O266" s="3">
        <v>13769791</v>
      </c>
      <c r="P266" s="3" t="s">
        <v>29</v>
      </c>
      <c r="Q266" s="4">
        <v>43489</v>
      </c>
      <c r="R266" s="3" t="s">
        <v>30</v>
      </c>
      <c r="S266" s="3" t="s">
        <v>985</v>
      </c>
    </row>
    <row r="267" spans="1:19" ht="27.75">
      <c r="A267" s="3">
        <v>261</v>
      </c>
      <c r="B267" s="3" t="str">
        <f>"201500137057"</f>
        <v>201500137057</v>
      </c>
      <c r="C267" s="3">
        <v>117996</v>
      </c>
      <c r="D267" s="3" t="s">
        <v>1262</v>
      </c>
      <c r="E267" s="3">
        <v>20493368614</v>
      </c>
      <c r="F267" s="3" t="s">
        <v>60</v>
      </c>
      <c r="G267" s="3" t="s">
        <v>61</v>
      </c>
      <c r="H267" s="3" t="s">
        <v>23</v>
      </c>
      <c r="I267" s="3" t="s">
        <v>24</v>
      </c>
      <c r="J267" s="3" t="s">
        <v>43</v>
      </c>
      <c r="K267" s="3" t="s">
        <v>1263</v>
      </c>
      <c r="L267" s="3" t="s">
        <v>1264</v>
      </c>
      <c r="M267" s="3" t="s">
        <v>64</v>
      </c>
      <c r="N267" s="3" t="s">
        <v>65</v>
      </c>
      <c r="O267" s="3">
        <v>1500</v>
      </c>
      <c r="P267" s="3" t="s">
        <v>29</v>
      </c>
      <c r="Q267" s="4">
        <v>42320</v>
      </c>
      <c r="R267" s="3" t="s">
        <v>30</v>
      </c>
      <c r="S267" s="3" t="s">
        <v>66</v>
      </c>
    </row>
    <row r="268" spans="1:19" ht="13.5">
      <c r="A268" s="3">
        <v>262</v>
      </c>
      <c r="B268" s="3" t="str">
        <f>"201300190951"</f>
        <v>201300190951</v>
      </c>
      <c r="C268" s="3">
        <v>106966</v>
      </c>
      <c r="D268" s="3" t="s">
        <v>1265</v>
      </c>
      <c r="E268" s="3">
        <v>20393718715</v>
      </c>
      <c r="F268" s="3" t="s">
        <v>316</v>
      </c>
      <c r="G268" s="3" t="s">
        <v>1266</v>
      </c>
      <c r="H268" s="3" t="s">
        <v>70</v>
      </c>
      <c r="I268" s="3" t="s">
        <v>71</v>
      </c>
      <c r="J268" s="3" t="s">
        <v>72</v>
      </c>
      <c r="K268" s="3" t="s">
        <v>1267</v>
      </c>
      <c r="L268" s="3" t="s">
        <v>1268</v>
      </c>
      <c r="M268" s="3" t="s">
        <v>50</v>
      </c>
      <c r="N268" s="3"/>
      <c r="O268" s="3">
        <v>501140</v>
      </c>
      <c r="P268" s="3" t="s">
        <v>29</v>
      </c>
      <c r="Q268" s="4">
        <v>41626</v>
      </c>
      <c r="R268" s="3" t="s">
        <v>30</v>
      </c>
      <c r="S268" s="3" t="s">
        <v>314</v>
      </c>
    </row>
    <row r="269" spans="1:19" ht="13.5">
      <c r="A269" s="3">
        <v>263</v>
      </c>
      <c r="B269" s="3" t="str">
        <f>"1660678"</f>
        <v>1660678</v>
      </c>
      <c r="C269" s="3">
        <v>44686</v>
      </c>
      <c r="D269" s="3" t="s">
        <v>1269</v>
      </c>
      <c r="E269" s="3">
        <v>20393276607</v>
      </c>
      <c r="F269" s="3" t="s">
        <v>403</v>
      </c>
      <c r="G269" s="3" t="s">
        <v>1270</v>
      </c>
      <c r="H269" s="3" t="s">
        <v>70</v>
      </c>
      <c r="I269" s="3" t="s">
        <v>71</v>
      </c>
      <c r="J269" s="3" t="s">
        <v>72</v>
      </c>
      <c r="K269" s="3" t="s">
        <v>1271</v>
      </c>
      <c r="L269" s="3" t="s">
        <v>1272</v>
      </c>
      <c r="M269" s="3" t="s">
        <v>50</v>
      </c>
      <c r="N269" s="3"/>
      <c r="O269" s="3">
        <v>95836</v>
      </c>
      <c r="P269" s="3" t="s">
        <v>29</v>
      </c>
      <c r="Q269" s="4">
        <v>40268</v>
      </c>
      <c r="R269" s="3" t="s">
        <v>30</v>
      </c>
      <c r="S269" s="3" t="s">
        <v>1273</v>
      </c>
    </row>
    <row r="270" spans="1:19" ht="13.5">
      <c r="A270" s="3">
        <v>264</v>
      </c>
      <c r="B270" s="3" t="str">
        <f>"201300090029"</f>
        <v>201300090029</v>
      </c>
      <c r="C270" s="3">
        <v>10426</v>
      </c>
      <c r="D270" s="3" t="s">
        <v>1274</v>
      </c>
      <c r="E270" s="3">
        <v>20103912297</v>
      </c>
      <c r="F270" s="3" t="s">
        <v>388</v>
      </c>
      <c r="G270" s="3" t="s">
        <v>435</v>
      </c>
      <c r="H270" s="3" t="s">
        <v>23</v>
      </c>
      <c r="I270" s="3" t="s">
        <v>24</v>
      </c>
      <c r="J270" s="3" t="s">
        <v>43</v>
      </c>
      <c r="K270" s="3" t="s">
        <v>1275</v>
      </c>
      <c r="L270" s="3" t="s">
        <v>1276</v>
      </c>
      <c r="M270" s="3" t="s">
        <v>50</v>
      </c>
      <c r="N270" s="3"/>
      <c r="O270" s="3">
        <v>130925</v>
      </c>
      <c r="P270" s="3" t="s">
        <v>29</v>
      </c>
      <c r="Q270" s="4">
        <v>41465</v>
      </c>
      <c r="R270" s="3" t="s">
        <v>30</v>
      </c>
      <c r="S270" s="3" t="s">
        <v>980</v>
      </c>
    </row>
    <row r="271" spans="1:19" ht="27.75">
      <c r="A271" s="3">
        <v>265</v>
      </c>
      <c r="B271" s="3" t="str">
        <f>"201500083643"</f>
        <v>201500083643</v>
      </c>
      <c r="C271" s="3">
        <v>116118</v>
      </c>
      <c r="D271" s="3" t="s">
        <v>1277</v>
      </c>
      <c r="E271" s="3">
        <v>10209952063</v>
      </c>
      <c r="F271" s="3" t="s">
        <v>1278</v>
      </c>
      <c r="G271" s="3" t="s">
        <v>1279</v>
      </c>
      <c r="H271" s="3" t="s">
        <v>70</v>
      </c>
      <c r="I271" s="3" t="s">
        <v>89</v>
      </c>
      <c r="J271" s="3" t="s">
        <v>90</v>
      </c>
      <c r="K271" s="3" t="s">
        <v>1280</v>
      </c>
      <c r="L271" s="3" t="s">
        <v>1281</v>
      </c>
      <c r="M271" s="3" t="s">
        <v>93</v>
      </c>
      <c r="N271" s="3" t="s">
        <v>122</v>
      </c>
      <c r="O271" s="3">
        <v>1500</v>
      </c>
      <c r="P271" s="3" t="s">
        <v>29</v>
      </c>
      <c r="Q271" s="4">
        <v>42225</v>
      </c>
      <c r="R271" s="3" t="s">
        <v>30</v>
      </c>
      <c r="S271" s="3" t="s">
        <v>1278</v>
      </c>
    </row>
    <row r="272" spans="1:19" ht="13.5">
      <c r="A272" s="3">
        <v>266</v>
      </c>
      <c r="B272" s="3" t="str">
        <f>"201500107657"</f>
        <v>201500107657</v>
      </c>
      <c r="C272" s="3">
        <v>116970</v>
      </c>
      <c r="D272" s="3" t="s">
        <v>1282</v>
      </c>
      <c r="E272" s="3">
        <v>20477851119</v>
      </c>
      <c r="F272" s="3" t="s">
        <v>1283</v>
      </c>
      <c r="G272" s="3" t="s">
        <v>1284</v>
      </c>
      <c r="H272" s="3" t="s">
        <v>242</v>
      </c>
      <c r="I272" s="3" t="s">
        <v>242</v>
      </c>
      <c r="J272" s="3" t="s">
        <v>661</v>
      </c>
      <c r="K272" s="3" t="s">
        <v>1285</v>
      </c>
      <c r="L272" s="3" t="s">
        <v>1286</v>
      </c>
      <c r="M272" s="3" t="s">
        <v>50</v>
      </c>
      <c r="N272" s="3"/>
      <c r="O272" s="3">
        <v>2560190</v>
      </c>
      <c r="P272" s="3" t="s">
        <v>29</v>
      </c>
      <c r="Q272" s="4">
        <v>42272</v>
      </c>
      <c r="R272" s="3" t="s">
        <v>30</v>
      </c>
      <c r="S272" s="3" t="s">
        <v>1287</v>
      </c>
    </row>
    <row r="273" spans="1:19" ht="27.75">
      <c r="A273" s="3">
        <v>267</v>
      </c>
      <c r="B273" s="3" t="str">
        <f>"202000047393"</f>
        <v>202000047393</v>
      </c>
      <c r="C273" s="3">
        <v>108947</v>
      </c>
      <c r="D273" s="3" t="s">
        <v>1288</v>
      </c>
      <c r="E273" s="3">
        <v>20563807955</v>
      </c>
      <c r="F273" s="3" t="s">
        <v>1289</v>
      </c>
      <c r="G273" s="3" t="s">
        <v>1290</v>
      </c>
      <c r="H273" s="3" t="s">
        <v>159</v>
      </c>
      <c r="I273" s="3" t="s">
        <v>160</v>
      </c>
      <c r="J273" s="3" t="s">
        <v>159</v>
      </c>
      <c r="K273" s="3" t="s">
        <v>1291</v>
      </c>
      <c r="L273" s="3" t="s">
        <v>1292</v>
      </c>
      <c r="M273" s="3" t="s">
        <v>953</v>
      </c>
      <c r="N273" s="3" t="s">
        <v>1293</v>
      </c>
      <c r="O273" s="3">
        <v>3430</v>
      </c>
      <c r="P273" s="3" t="s">
        <v>29</v>
      </c>
      <c r="Q273" s="4">
        <v>43909</v>
      </c>
      <c r="R273" s="3" t="s">
        <v>30</v>
      </c>
      <c r="S273" s="3" t="s">
        <v>165</v>
      </c>
    </row>
    <row r="274" spans="1:19" ht="13.5">
      <c r="A274" s="3">
        <v>268</v>
      </c>
      <c r="B274" s="3" t="str">
        <f>"201100160577"</f>
        <v>201100160577</v>
      </c>
      <c r="C274" s="3">
        <v>95025</v>
      </c>
      <c r="D274" s="3" t="s">
        <v>1294</v>
      </c>
      <c r="E274" s="3">
        <v>20385218029</v>
      </c>
      <c r="F274" s="3" t="s">
        <v>1295</v>
      </c>
      <c r="G274" s="3" t="s">
        <v>1296</v>
      </c>
      <c r="H274" s="3" t="s">
        <v>242</v>
      </c>
      <c r="I274" s="3" t="s">
        <v>242</v>
      </c>
      <c r="J274" s="3" t="s">
        <v>645</v>
      </c>
      <c r="K274" s="3" t="s">
        <v>720</v>
      </c>
      <c r="L274" s="3" t="s">
        <v>721</v>
      </c>
      <c r="M274" s="3" t="s">
        <v>83</v>
      </c>
      <c r="N274" s="3"/>
      <c r="O274" s="3">
        <v>118432</v>
      </c>
      <c r="P274" s="3" t="s">
        <v>29</v>
      </c>
      <c r="Q274" s="4">
        <v>40890</v>
      </c>
      <c r="R274" s="3" t="s">
        <v>30</v>
      </c>
      <c r="S274" s="3" t="s">
        <v>599</v>
      </c>
    </row>
    <row r="275" spans="1:19" ht="13.5">
      <c r="A275" s="3">
        <v>269</v>
      </c>
      <c r="B275" s="3" t="str">
        <f>"201300144100"</f>
        <v>201300144100</v>
      </c>
      <c r="C275" s="3">
        <v>40982</v>
      </c>
      <c r="D275" s="3" t="s">
        <v>1297</v>
      </c>
      <c r="E275" s="3">
        <v>20280300021</v>
      </c>
      <c r="F275" s="3" t="s">
        <v>139</v>
      </c>
      <c r="G275" s="3" t="s">
        <v>906</v>
      </c>
      <c r="H275" s="3" t="s">
        <v>23</v>
      </c>
      <c r="I275" s="3" t="s">
        <v>24</v>
      </c>
      <c r="J275" s="3" t="s">
        <v>43</v>
      </c>
      <c r="K275" s="3" t="s">
        <v>1298</v>
      </c>
      <c r="L275" s="3" t="s">
        <v>1299</v>
      </c>
      <c r="M275" s="3" t="s">
        <v>50</v>
      </c>
      <c r="N275" s="3"/>
      <c r="O275" s="3">
        <v>152102</v>
      </c>
      <c r="P275" s="3" t="s">
        <v>29</v>
      </c>
      <c r="Q275" s="4">
        <v>41627</v>
      </c>
      <c r="R275" s="3" t="s">
        <v>30</v>
      </c>
      <c r="S275" s="3" t="s">
        <v>446</v>
      </c>
    </row>
    <row r="276" spans="1:19" ht="13.5">
      <c r="A276" s="3">
        <v>270</v>
      </c>
      <c r="B276" s="3" t="str">
        <f>"201900022285"</f>
        <v>201900022285</v>
      </c>
      <c r="C276" s="3">
        <v>141279</v>
      </c>
      <c r="D276" s="3" t="s">
        <v>1300</v>
      </c>
      <c r="E276" s="3">
        <v>20600854331</v>
      </c>
      <c r="F276" s="3" t="s">
        <v>1301</v>
      </c>
      <c r="G276" s="3" t="s">
        <v>1302</v>
      </c>
      <c r="H276" s="3" t="s">
        <v>70</v>
      </c>
      <c r="I276" s="3" t="s">
        <v>71</v>
      </c>
      <c r="J276" s="3" t="s">
        <v>513</v>
      </c>
      <c r="K276" s="3" t="s">
        <v>1303</v>
      </c>
      <c r="L276" s="3" t="s">
        <v>1304</v>
      </c>
      <c r="M276" s="3" t="s">
        <v>75</v>
      </c>
      <c r="N276" s="3" t="s">
        <v>516</v>
      </c>
      <c r="O276" s="3">
        <v>20000</v>
      </c>
      <c r="P276" s="3" t="s">
        <v>29</v>
      </c>
      <c r="Q276" s="4">
        <v>43512</v>
      </c>
      <c r="R276" s="3" t="s">
        <v>30</v>
      </c>
      <c r="S276" s="3" t="s">
        <v>853</v>
      </c>
    </row>
    <row r="277" spans="1:19" ht="13.5">
      <c r="A277" s="3">
        <v>271</v>
      </c>
      <c r="B277" s="3" t="str">
        <f>"201200071031"</f>
        <v>201200071031</v>
      </c>
      <c r="C277" s="3">
        <v>96949</v>
      </c>
      <c r="D277" s="3" t="s">
        <v>1305</v>
      </c>
      <c r="E277" s="3">
        <v>20522163890</v>
      </c>
      <c r="F277" s="3" t="s">
        <v>982</v>
      </c>
      <c r="G277" s="3" t="s">
        <v>1306</v>
      </c>
      <c r="H277" s="3" t="s">
        <v>242</v>
      </c>
      <c r="I277" s="3" t="s">
        <v>242</v>
      </c>
      <c r="J277" s="3" t="s">
        <v>243</v>
      </c>
      <c r="K277" s="3" t="s">
        <v>1307</v>
      </c>
      <c r="L277" s="3" t="s">
        <v>1308</v>
      </c>
      <c r="M277" s="3" t="s">
        <v>246</v>
      </c>
      <c r="N277" s="3"/>
      <c r="O277" s="3">
        <v>341793.18</v>
      </c>
      <c r="P277" s="3" t="s">
        <v>248</v>
      </c>
      <c r="Q277" s="4">
        <v>41080</v>
      </c>
      <c r="R277" s="3" t="s">
        <v>30</v>
      </c>
      <c r="S277" s="3" t="s">
        <v>812</v>
      </c>
    </row>
    <row r="278" spans="1:19" ht="13.5">
      <c r="A278" s="3">
        <v>272</v>
      </c>
      <c r="B278" s="3" t="str">
        <f>"1355985"</f>
        <v>1355985</v>
      </c>
      <c r="C278" s="3">
        <v>21774</v>
      </c>
      <c r="D278" s="3" t="s">
        <v>1309</v>
      </c>
      <c r="E278" s="3">
        <v>20502519426</v>
      </c>
      <c r="F278" s="3" t="s">
        <v>1310</v>
      </c>
      <c r="G278" s="3" t="s">
        <v>1023</v>
      </c>
      <c r="H278" s="3" t="s">
        <v>242</v>
      </c>
      <c r="I278" s="3" t="s">
        <v>242</v>
      </c>
      <c r="J278" s="3" t="s">
        <v>354</v>
      </c>
      <c r="K278" s="3" t="s">
        <v>1311</v>
      </c>
      <c r="L278" s="3"/>
      <c r="M278" s="3"/>
      <c r="N278" s="3"/>
      <c r="O278" s="3">
        <v>36615</v>
      </c>
      <c r="P278" s="3" t="s">
        <v>29</v>
      </c>
      <c r="Q278" s="4">
        <v>37333</v>
      </c>
      <c r="R278" s="3" t="s">
        <v>30</v>
      </c>
      <c r="S278" s="3"/>
    </row>
    <row r="279" spans="1:19" ht="13.5">
      <c r="A279" s="3">
        <v>273</v>
      </c>
      <c r="B279" s="3" t="str">
        <f>"201400009474"</f>
        <v>201400009474</v>
      </c>
      <c r="C279" s="3">
        <v>106438</v>
      </c>
      <c r="D279" s="3" t="s">
        <v>1312</v>
      </c>
      <c r="E279" s="3">
        <v>20563879867</v>
      </c>
      <c r="F279" s="3" t="s">
        <v>1313</v>
      </c>
      <c r="G279" s="3" t="s">
        <v>1314</v>
      </c>
      <c r="H279" s="3" t="s">
        <v>159</v>
      </c>
      <c r="I279" s="3" t="s">
        <v>160</v>
      </c>
      <c r="J279" s="3" t="s">
        <v>1315</v>
      </c>
      <c r="K279" s="3" t="s">
        <v>1316</v>
      </c>
      <c r="L279" s="3" t="s">
        <v>1317</v>
      </c>
      <c r="M279" s="3" t="s">
        <v>163</v>
      </c>
      <c r="N279" s="3" t="s">
        <v>431</v>
      </c>
      <c r="O279" s="3">
        <v>3430</v>
      </c>
      <c r="P279" s="3" t="s">
        <v>29</v>
      </c>
      <c r="Q279" s="4">
        <v>41667</v>
      </c>
      <c r="R279" s="3" t="s">
        <v>30</v>
      </c>
      <c r="S279" s="3" t="s">
        <v>1318</v>
      </c>
    </row>
    <row r="280" spans="1:19" ht="27.75">
      <c r="A280" s="3">
        <v>274</v>
      </c>
      <c r="B280" s="3" t="str">
        <f>"201500083587"</f>
        <v>201500083587</v>
      </c>
      <c r="C280" s="3">
        <v>116116</v>
      </c>
      <c r="D280" s="3" t="s">
        <v>1319</v>
      </c>
      <c r="E280" s="3">
        <v>10806338708</v>
      </c>
      <c r="F280" s="3" t="s">
        <v>1320</v>
      </c>
      <c r="G280" s="3" t="s">
        <v>1321</v>
      </c>
      <c r="H280" s="3" t="s">
        <v>70</v>
      </c>
      <c r="I280" s="3" t="s">
        <v>89</v>
      </c>
      <c r="J280" s="3" t="s">
        <v>90</v>
      </c>
      <c r="K280" s="3" t="s">
        <v>1322</v>
      </c>
      <c r="L280" s="3" t="s">
        <v>1323</v>
      </c>
      <c r="M280" s="3" t="s">
        <v>93</v>
      </c>
      <c r="N280" s="3" t="s">
        <v>122</v>
      </c>
      <c r="O280" s="3">
        <v>1500</v>
      </c>
      <c r="P280" s="3" t="s">
        <v>29</v>
      </c>
      <c r="Q280" s="4">
        <v>42225</v>
      </c>
      <c r="R280" s="3" t="s">
        <v>30</v>
      </c>
      <c r="S280" s="3" t="s">
        <v>1320</v>
      </c>
    </row>
    <row r="281" spans="1:19" ht="42">
      <c r="A281" s="3">
        <v>275</v>
      </c>
      <c r="B281" s="3" t="str">
        <f>"201700149682"</f>
        <v>201700149682</v>
      </c>
      <c r="C281" s="3">
        <v>130546</v>
      </c>
      <c r="D281" s="3" t="s">
        <v>1324</v>
      </c>
      <c r="E281" s="3">
        <v>20159469388</v>
      </c>
      <c r="F281" s="3" t="s">
        <v>1325</v>
      </c>
      <c r="G281" s="3" t="s">
        <v>1326</v>
      </c>
      <c r="H281" s="3" t="s">
        <v>242</v>
      </c>
      <c r="I281" s="3" t="s">
        <v>242</v>
      </c>
      <c r="J281" s="3" t="s">
        <v>243</v>
      </c>
      <c r="K281" s="3" t="s">
        <v>1327</v>
      </c>
      <c r="L281" s="3" t="s">
        <v>1328</v>
      </c>
      <c r="M281" s="3" t="s">
        <v>246</v>
      </c>
      <c r="N281" s="3" t="s">
        <v>1329</v>
      </c>
      <c r="O281" s="3">
        <v>13058922</v>
      </c>
      <c r="P281" s="3" t="s">
        <v>29</v>
      </c>
      <c r="Q281" s="4">
        <v>42996</v>
      </c>
      <c r="R281" s="3" t="s">
        <v>30</v>
      </c>
      <c r="S281" s="3" t="s">
        <v>1153</v>
      </c>
    </row>
    <row r="282" spans="1:19" ht="27.75">
      <c r="A282" s="3">
        <v>276</v>
      </c>
      <c r="B282" s="3" t="str">
        <f>"201800034861"</f>
        <v>201800034861</v>
      </c>
      <c r="C282" s="3">
        <v>126674</v>
      </c>
      <c r="D282" s="3" t="s">
        <v>1330</v>
      </c>
      <c r="E282" s="3">
        <v>20159469388</v>
      </c>
      <c r="F282" s="3" t="s">
        <v>251</v>
      </c>
      <c r="G282" s="3" t="s">
        <v>1331</v>
      </c>
      <c r="H282" s="3" t="s">
        <v>242</v>
      </c>
      <c r="I282" s="3" t="s">
        <v>242</v>
      </c>
      <c r="J282" s="3" t="s">
        <v>243</v>
      </c>
      <c r="K282" s="3" t="s">
        <v>1332</v>
      </c>
      <c r="L282" s="3" t="s">
        <v>1333</v>
      </c>
      <c r="M282" s="3" t="s">
        <v>246</v>
      </c>
      <c r="N282" s="3" t="s">
        <v>1334</v>
      </c>
      <c r="O282" s="3">
        <v>4716969</v>
      </c>
      <c r="P282" s="3" t="s">
        <v>29</v>
      </c>
      <c r="Q282" s="4">
        <v>43165</v>
      </c>
      <c r="R282" s="3" t="s">
        <v>30</v>
      </c>
      <c r="S282" s="3" t="s">
        <v>1153</v>
      </c>
    </row>
    <row r="283" spans="1:19" ht="27.75">
      <c r="A283" s="3">
        <v>277</v>
      </c>
      <c r="B283" s="3" t="str">
        <f>"201600115600"</f>
        <v>201600115600</v>
      </c>
      <c r="C283" s="3">
        <v>123171</v>
      </c>
      <c r="D283" s="3" t="s">
        <v>1335</v>
      </c>
      <c r="E283" s="3">
        <v>20541294831</v>
      </c>
      <c r="F283" s="3" t="s">
        <v>171</v>
      </c>
      <c r="G283" s="3" t="s">
        <v>263</v>
      </c>
      <c r="H283" s="3" t="s">
        <v>23</v>
      </c>
      <c r="I283" s="3" t="s">
        <v>24</v>
      </c>
      <c r="J283" s="3" t="s">
        <v>25</v>
      </c>
      <c r="K283" s="3" t="s">
        <v>1336</v>
      </c>
      <c r="L283" s="3" t="s">
        <v>1337</v>
      </c>
      <c r="M283" s="3" t="s">
        <v>50</v>
      </c>
      <c r="N283" s="3" t="s">
        <v>247</v>
      </c>
      <c r="O283" s="3">
        <v>505041</v>
      </c>
      <c r="P283" s="3" t="s">
        <v>29</v>
      </c>
      <c r="Q283" s="4">
        <v>42625</v>
      </c>
      <c r="R283" s="3" t="s">
        <v>30</v>
      </c>
      <c r="S283" s="3" t="s">
        <v>129</v>
      </c>
    </row>
    <row r="284" spans="1:19" ht="13.5">
      <c r="A284" s="3">
        <v>278</v>
      </c>
      <c r="B284" s="3" t="str">
        <f>"202000110918"</f>
        <v>202000110918</v>
      </c>
      <c r="C284" s="3">
        <v>44490</v>
      </c>
      <c r="D284" s="3" t="s">
        <v>1338</v>
      </c>
      <c r="E284" s="3">
        <v>20600620577</v>
      </c>
      <c r="F284" s="3" t="s">
        <v>1339</v>
      </c>
      <c r="G284" s="3" t="s">
        <v>1340</v>
      </c>
      <c r="H284" s="3" t="s">
        <v>793</v>
      </c>
      <c r="I284" s="3" t="s">
        <v>793</v>
      </c>
      <c r="J284" s="3" t="s">
        <v>794</v>
      </c>
      <c r="K284" s="3" t="s">
        <v>1341</v>
      </c>
      <c r="L284" s="3"/>
      <c r="M284" s="3"/>
      <c r="N284" s="3" t="s">
        <v>1342</v>
      </c>
      <c r="O284" s="3">
        <v>1523379.2</v>
      </c>
      <c r="P284" s="3" t="s">
        <v>29</v>
      </c>
      <c r="Q284" s="4">
        <v>44081</v>
      </c>
      <c r="R284" s="3" t="s">
        <v>30</v>
      </c>
      <c r="S284" s="3" t="s">
        <v>1343</v>
      </c>
    </row>
    <row r="285" spans="1:19" ht="13.5">
      <c r="A285" s="3">
        <v>279</v>
      </c>
      <c r="B285" s="3" t="str">
        <f>"1494733"</f>
        <v>1494733</v>
      </c>
      <c r="C285" s="3">
        <v>39532</v>
      </c>
      <c r="D285" s="3" t="s">
        <v>1344</v>
      </c>
      <c r="E285" s="3">
        <v>20408971943</v>
      </c>
      <c r="F285" s="3" t="s">
        <v>1236</v>
      </c>
      <c r="G285" s="3" t="s">
        <v>1345</v>
      </c>
      <c r="H285" s="3" t="s">
        <v>70</v>
      </c>
      <c r="I285" s="3" t="s">
        <v>71</v>
      </c>
      <c r="J285" s="3" t="s">
        <v>72</v>
      </c>
      <c r="K285" s="3" t="s">
        <v>1346</v>
      </c>
      <c r="L285" s="3"/>
      <c r="M285" s="3"/>
      <c r="N285" s="3"/>
      <c r="O285" s="3">
        <v>61507</v>
      </c>
      <c r="P285" s="3" t="s">
        <v>29</v>
      </c>
      <c r="Q285" s="4">
        <v>38243</v>
      </c>
      <c r="R285" s="3" t="s">
        <v>30</v>
      </c>
      <c r="S285" s="3" t="s">
        <v>1240</v>
      </c>
    </row>
    <row r="286" spans="1:19" ht="27.75">
      <c r="A286" s="3">
        <v>280</v>
      </c>
      <c r="B286" s="3" t="str">
        <f>"201400129224"</f>
        <v>201400129224</v>
      </c>
      <c r="C286" s="3">
        <v>111914</v>
      </c>
      <c r="D286" s="3" t="s">
        <v>1347</v>
      </c>
      <c r="E286" s="3">
        <v>20451384024</v>
      </c>
      <c r="F286" s="3" t="s">
        <v>1078</v>
      </c>
      <c r="G286" s="3" t="s">
        <v>1348</v>
      </c>
      <c r="H286" s="3" t="s">
        <v>23</v>
      </c>
      <c r="I286" s="3" t="s">
        <v>24</v>
      </c>
      <c r="J286" s="3" t="s">
        <v>25</v>
      </c>
      <c r="K286" s="3" t="s">
        <v>1349</v>
      </c>
      <c r="L286" s="3" t="s">
        <v>1350</v>
      </c>
      <c r="M286" s="3" t="s">
        <v>580</v>
      </c>
      <c r="N286" s="3" t="s">
        <v>84</v>
      </c>
      <c r="O286" s="3">
        <v>65876</v>
      </c>
      <c r="P286" s="3" t="s">
        <v>29</v>
      </c>
      <c r="Q286" s="4">
        <v>41939</v>
      </c>
      <c r="R286" s="3" t="s">
        <v>30</v>
      </c>
      <c r="S286" s="3" t="s">
        <v>1351</v>
      </c>
    </row>
    <row r="287" spans="1:19" ht="13.5">
      <c r="A287" s="3">
        <v>281</v>
      </c>
      <c r="B287" s="3" t="str">
        <f>"201400047769"</f>
        <v>201400047769</v>
      </c>
      <c r="C287" s="3">
        <v>13176</v>
      </c>
      <c r="D287" s="3" t="s">
        <v>1352</v>
      </c>
      <c r="E287" s="3">
        <v>20280300021</v>
      </c>
      <c r="F287" s="3" t="s">
        <v>1353</v>
      </c>
      <c r="G287" s="3" t="s">
        <v>237</v>
      </c>
      <c r="H287" s="3" t="s">
        <v>23</v>
      </c>
      <c r="I287" s="3" t="s">
        <v>24</v>
      </c>
      <c r="J287" s="3" t="s">
        <v>25</v>
      </c>
      <c r="K287" s="3" t="s">
        <v>1354</v>
      </c>
      <c r="L287" s="3" t="s">
        <v>1355</v>
      </c>
      <c r="M287" s="3" t="s">
        <v>50</v>
      </c>
      <c r="N287" s="3"/>
      <c r="O287" s="3">
        <v>157668</v>
      </c>
      <c r="P287" s="3" t="s">
        <v>29</v>
      </c>
      <c r="Q287" s="4">
        <v>41786</v>
      </c>
      <c r="R287" s="3" t="s">
        <v>30</v>
      </c>
      <c r="S287" s="3" t="s">
        <v>446</v>
      </c>
    </row>
    <row r="288" spans="1:19" ht="27.75">
      <c r="A288" s="3">
        <v>282</v>
      </c>
      <c r="B288" s="3" t="str">
        <f>"1404320"</f>
        <v>1404320</v>
      </c>
      <c r="C288" s="3">
        <v>88338</v>
      </c>
      <c r="D288" s="3" t="s">
        <v>1356</v>
      </c>
      <c r="E288" s="3">
        <v>20451384024</v>
      </c>
      <c r="F288" s="3" t="s">
        <v>292</v>
      </c>
      <c r="G288" s="3" t="s">
        <v>1357</v>
      </c>
      <c r="H288" s="3" t="s">
        <v>23</v>
      </c>
      <c r="I288" s="3" t="s">
        <v>24</v>
      </c>
      <c r="J288" s="3" t="s">
        <v>25</v>
      </c>
      <c r="K288" s="3" t="s">
        <v>1358</v>
      </c>
      <c r="L288" s="3" t="s">
        <v>1359</v>
      </c>
      <c r="M288" s="3" t="s">
        <v>75</v>
      </c>
      <c r="N288" s="3"/>
      <c r="O288" s="3">
        <v>15273</v>
      </c>
      <c r="P288" s="3" t="s">
        <v>29</v>
      </c>
      <c r="Q288" s="4">
        <v>40449</v>
      </c>
      <c r="R288" s="3" t="s">
        <v>30</v>
      </c>
      <c r="S288" s="3" t="s">
        <v>1097</v>
      </c>
    </row>
    <row r="289" spans="1:19" ht="27.75">
      <c r="A289" s="3">
        <v>283</v>
      </c>
      <c r="B289" s="3" t="str">
        <f>"201900135795"</f>
        <v>201900135795</v>
      </c>
      <c r="C289" s="3">
        <v>82633</v>
      </c>
      <c r="D289" s="3" t="s">
        <v>1360</v>
      </c>
      <c r="E289" s="3">
        <v>20602748678</v>
      </c>
      <c r="F289" s="3" t="s">
        <v>1361</v>
      </c>
      <c r="G289" s="3" t="s">
        <v>1362</v>
      </c>
      <c r="H289" s="3" t="s">
        <v>70</v>
      </c>
      <c r="I289" s="3" t="s">
        <v>71</v>
      </c>
      <c r="J289" s="3" t="s">
        <v>513</v>
      </c>
      <c r="K289" s="3" t="s">
        <v>1363</v>
      </c>
      <c r="L289" s="3" t="s">
        <v>1364</v>
      </c>
      <c r="M289" s="3" t="s">
        <v>75</v>
      </c>
      <c r="N289" s="3" t="s">
        <v>1365</v>
      </c>
      <c r="O289" s="3">
        <v>65846</v>
      </c>
      <c r="P289" s="3" t="s">
        <v>29</v>
      </c>
      <c r="Q289" s="4">
        <v>43707</v>
      </c>
      <c r="R289" s="3" t="s">
        <v>30</v>
      </c>
      <c r="S289" s="3" t="s">
        <v>1366</v>
      </c>
    </row>
    <row r="290" spans="1:19" ht="27.75">
      <c r="A290" s="3">
        <v>284</v>
      </c>
      <c r="B290" s="3" t="str">
        <f>"201300098759"</f>
        <v>201300098759</v>
      </c>
      <c r="C290" s="3">
        <v>103290</v>
      </c>
      <c r="D290" s="3" t="s">
        <v>1367</v>
      </c>
      <c r="E290" s="3">
        <v>20523183941</v>
      </c>
      <c r="F290" s="3" t="s">
        <v>1368</v>
      </c>
      <c r="G290" s="3" t="s">
        <v>1369</v>
      </c>
      <c r="H290" s="3" t="s">
        <v>242</v>
      </c>
      <c r="I290" s="3" t="s">
        <v>242</v>
      </c>
      <c r="J290" s="3" t="s">
        <v>354</v>
      </c>
      <c r="K290" s="3" t="s">
        <v>1370</v>
      </c>
      <c r="L290" s="3" t="s">
        <v>1371</v>
      </c>
      <c r="M290" s="3" t="s">
        <v>50</v>
      </c>
      <c r="N290" s="3"/>
      <c r="O290" s="3">
        <v>14081042</v>
      </c>
      <c r="P290" s="3" t="s">
        <v>29</v>
      </c>
      <c r="Q290" s="4">
        <v>41530</v>
      </c>
      <c r="R290" s="3" t="s">
        <v>30</v>
      </c>
      <c r="S290" s="3" t="s">
        <v>1372</v>
      </c>
    </row>
    <row r="291" spans="1:19" ht="13.5">
      <c r="A291" s="3">
        <v>285</v>
      </c>
      <c r="B291" s="3" t="str">
        <f>"201400041267"</f>
        <v>201400041267</v>
      </c>
      <c r="C291" s="3">
        <v>108785</v>
      </c>
      <c r="D291" s="3" t="s">
        <v>1373</v>
      </c>
      <c r="E291" s="3">
        <v>10056236754</v>
      </c>
      <c r="F291" s="3" t="s">
        <v>1374</v>
      </c>
      <c r="G291" s="3" t="s">
        <v>1375</v>
      </c>
      <c r="H291" s="3" t="s">
        <v>23</v>
      </c>
      <c r="I291" s="3" t="s">
        <v>24</v>
      </c>
      <c r="J291" s="3" t="s">
        <v>43</v>
      </c>
      <c r="K291" s="3" t="s">
        <v>1376</v>
      </c>
      <c r="L291" s="3" t="s">
        <v>1377</v>
      </c>
      <c r="M291" s="3" t="s">
        <v>75</v>
      </c>
      <c r="N291" s="3" t="s">
        <v>155</v>
      </c>
      <c r="O291" s="3">
        <v>62496</v>
      </c>
      <c r="P291" s="3" t="s">
        <v>29</v>
      </c>
      <c r="Q291" s="4">
        <v>41764</v>
      </c>
      <c r="R291" s="3" t="s">
        <v>30</v>
      </c>
      <c r="S291" s="3" t="s">
        <v>1374</v>
      </c>
    </row>
    <row r="292" spans="1:19" ht="13.5">
      <c r="A292" s="3">
        <v>286</v>
      </c>
      <c r="B292" s="3" t="str">
        <f>"1218668"</f>
        <v>1218668</v>
      </c>
      <c r="C292" s="3">
        <v>16031</v>
      </c>
      <c r="D292" s="3">
        <v>1218668</v>
      </c>
      <c r="E292" s="3">
        <v>20280300021</v>
      </c>
      <c r="F292" s="3" t="s">
        <v>53</v>
      </c>
      <c r="G292" s="3" t="s">
        <v>237</v>
      </c>
      <c r="H292" s="3" t="s">
        <v>23</v>
      </c>
      <c r="I292" s="3" t="s">
        <v>24</v>
      </c>
      <c r="J292" s="3" t="s">
        <v>25</v>
      </c>
      <c r="K292" s="3" t="s">
        <v>1378</v>
      </c>
      <c r="L292" s="3"/>
      <c r="M292" s="3"/>
      <c r="N292" s="3"/>
      <c r="O292" s="3">
        <v>67784</v>
      </c>
      <c r="P292" s="3" t="s">
        <v>29</v>
      </c>
      <c r="Q292" s="4">
        <v>36193</v>
      </c>
      <c r="R292" s="3" t="s">
        <v>30</v>
      </c>
      <c r="S292" s="3"/>
    </row>
    <row r="293" spans="1:19" ht="13.5">
      <c r="A293" s="3">
        <v>287</v>
      </c>
      <c r="B293" s="3" t="str">
        <f>"201600088460"</f>
        <v>201600088460</v>
      </c>
      <c r="C293" s="3">
        <v>122088</v>
      </c>
      <c r="D293" s="3" t="s">
        <v>1379</v>
      </c>
      <c r="E293" s="3">
        <v>20393434105</v>
      </c>
      <c r="F293" s="3" t="s">
        <v>1380</v>
      </c>
      <c r="G293" s="3" t="s">
        <v>1381</v>
      </c>
      <c r="H293" s="3" t="s">
        <v>70</v>
      </c>
      <c r="I293" s="3" t="s">
        <v>71</v>
      </c>
      <c r="J293" s="3" t="s">
        <v>72</v>
      </c>
      <c r="K293" s="3" t="s">
        <v>1382</v>
      </c>
      <c r="L293" s="3" t="s">
        <v>1383</v>
      </c>
      <c r="M293" s="3" t="s">
        <v>75</v>
      </c>
      <c r="N293" s="3" t="s">
        <v>290</v>
      </c>
      <c r="O293" s="3">
        <v>20800</v>
      </c>
      <c r="P293" s="3" t="s">
        <v>784</v>
      </c>
      <c r="Q293" s="4">
        <v>42559</v>
      </c>
      <c r="R293" s="3" t="s">
        <v>30</v>
      </c>
      <c r="S293" s="3" t="s">
        <v>1384</v>
      </c>
    </row>
    <row r="294" spans="1:19" ht="27.75">
      <c r="A294" s="3">
        <v>288</v>
      </c>
      <c r="B294" s="3" t="str">
        <f>"201900083042"</f>
        <v>201900083042</v>
      </c>
      <c r="C294" s="3">
        <v>144237</v>
      </c>
      <c r="D294" s="3" t="s">
        <v>1385</v>
      </c>
      <c r="E294" s="3">
        <v>20600109201</v>
      </c>
      <c r="F294" s="3" t="s">
        <v>888</v>
      </c>
      <c r="G294" s="3" t="s">
        <v>1386</v>
      </c>
      <c r="H294" s="3" t="s">
        <v>23</v>
      </c>
      <c r="I294" s="3" t="s">
        <v>24</v>
      </c>
      <c r="J294" s="3" t="s">
        <v>222</v>
      </c>
      <c r="K294" s="3" t="s">
        <v>1387</v>
      </c>
      <c r="L294" s="3" t="s">
        <v>1388</v>
      </c>
      <c r="M294" s="3" t="s">
        <v>50</v>
      </c>
      <c r="N294" s="3" t="s">
        <v>84</v>
      </c>
      <c r="O294" s="3">
        <v>90000</v>
      </c>
      <c r="P294" s="3" t="s">
        <v>29</v>
      </c>
      <c r="Q294" s="4">
        <v>43619</v>
      </c>
      <c r="R294" s="3" t="s">
        <v>30</v>
      </c>
      <c r="S294" s="3" t="s">
        <v>892</v>
      </c>
    </row>
    <row r="295" spans="1:19" ht="13.5">
      <c r="A295" s="3">
        <v>289</v>
      </c>
      <c r="B295" s="3" t="str">
        <f>"201800091743"</f>
        <v>201800091743</v>
      </c>
      <c r="C295" s="3">
        <v>82560</v>
      </c>
      <c r="D295" s="3" t="s">
        <v>1389</v>
      </c>
      <c r="E295" s="3">
        <v>20393059843</v>
      </c>
      <c r="F295" s="3" t="s">
        <v>1390</v>
      </c>
      <c r="G295" s="3" t="s">
        <v>1391</v>
      </c>
      <c r="H295" s="3" t="s">
        <v>70</v>
      </c>
      <c r="I295" s="3" t="s">
        <v>71</v>
      </c>
      <c r="J295" s="3" t="s">
        <v>1074</v>
      </c>
      <c r="K295" s="3" t="s">
        <v>1392</v>
      </c>
      <c r="L295" s="3" t="s">
        <v>1393</v>
      </c>
      <c r="M295" s="3" t="s">
        <v>50</v>
      </c>
      <c r="N295" s="3"/>
      <c r="O295" s="3">
        <v>22000</v>
      </c>
      <c r="P295" s="3" t="s">
        <v>29</v>
      </c>
      <c r="Q295" s="4">
        <v>43259</v>
      </c>
      <c r="R295" s="3" t="s">
        <v>30</v>
      </c>
      <c r="S295" s="3" t="s">
        <v>1394</v>
      </c>
    </row>
    <row r="296" spans="1:19" ht="42">
      <c r="A296" s="3">
        <v>290</v>
      </c>
      <c r="B296" s="3" t="str">
        <f>"201900137398"</f>
        <v>201900137398</v>
      </c>
      <c r="C296" s="3">
        <v>146131</v>
      </c>
      <c r="D296" s="3" t="s">
        <v>1395</v>
      </c>
      <c r="E296" s="3">
        <v>20100128218</v>
      </c>
      <c r="F296" s="3" t="s">
        <v>194</v>
      </c>
      <c r="G296" s="3" t="s">
        <v>195</v>
      </c>
      <c r="H296" s="3" t="s">
        <v>23</v>
      </c>
      <c r="I296" s="3" t="s">
        <v>24</v>
      </c>
      <c r="J296" s="3" t="s">
        <v>43</v>
      </c>
      <c r="K296" s="3" t="s">
        <v>1396</v>
      </c>
      <c r="L296" s="3" t="s">
        <v>1397</v>
      </c>
      <c r="M296" s="3" t="s">
        <v>50</v>
      </c>
      <c r="N296" s="3" t="s">
        <v>349</v>
      </c>
      <c r="O296" s="3">
        <v>390678.96</v>
      </c>
      <c r="P296" s="3" t="s">
        <v>29</v>
      </c>
      <c r="Q296" s="4">
        <v>43703</v>
      </c>
      <c r="R296" s="3" t="s">
        <v>30</v>
      </c>
      <c r="S296" s="3" t="s">
        <v>350</v>
      </c>
    </row>
    <row r="297" spans="1:19" ht="13.5">
      <c r="A297" s="3">
        <v>291</v>
      </c>
      <c r="B297" s="3" t="str">
        <f>"1643925"</f>
        <v>1643925</v>
      </c>
      <c r="C297" s="3">
        <v>13180</v>
      </c>
      <c r="D297" s="3" t="s">
        <v>1398</v>
      </c>
      <c r="E297" s="3">
        <v>20103912297</v>
      </c>
      <c r="F297" s="3" t="s">
        <v>434</v>
      </c>
      <c r="G297" s="3" t="s">
        <v>562</v>
      </c>
      <c r="H297" s="3" t="s">
        <v>23</v>
      </c>
      <c r="I297" s="3" t="s">
        <v>24</v>
      </c>
      <c r="J297" s="3" t="s">
        <v>43</v>
      </c>
      <c r="K297" s="3" t="s">
        <v>1399</v>
      </c>
      <c r="L297" s="3"/>
      <c r="M297" s="3"/>
      <c r="N297" s="3"/>
      <c r="O297" s="3">
        <v>168955</v>
      </c>
      <c r="P297" s="3" t="s">
        <v>29</v>
      </c>
      <c r="Q297" s="4">
        <v>39002</v>
      </c>
      <c r="R297" s="3" t="s">
        <v>30</v>
      </c>
      <c r="S297" s="3"/>
    </row>
    <row r="298" spans="1:19" ht="13.5">
      <c r="A298" s="3">
        <v>292</v>
      </c>
      <c r="B298" s="3" t="str">
        <f>"1643927"</f>
        <v>1643927</v>
      </c>
      <c r="C298" s="3">
        <v>13179</v>
      </c>
      <c r="D298" s="3" t="s">
        <v>1400</v>
      </c>
      <c r="E298" s="3">
        <v>20103912297</v>
      </c>
      <c r="F298" s="3" t="s">
        <v>434</v>
      </c>
      <c r="G298" s="3" t="s">
        <v>562</v>
      </c>
      <c r="H298" s="3" t="s">
        <v>23</v>
      </c>
      <c r="I298" s="3" t="s">
        <v>24</v>
      </c>
      <c r="J298" s="3" t="s">
        <v>43</v>
      </c>
      <c r="K298" s="3" t="s">
        <v>1401</v>
      </c>
      <c r="L298" s="3"/>
      <c r="M298" s="3"/>
      <c r="N298" s="3"/>
      <c r="O298" s="3">
        <v>124233</v>
      </c>
      <c r="P298" s="3" t="s">
        <v>29</v>
      </c>
      <c r="Q298" s="4">
        <v>39002</v>
      </c>
      <c r="R298" s="3" t="s">
        <v>30</v>
      </c>
      <c r="S298" s="3"/>
    </row>
    <row r="299" spans="1:19" ht="27.75">
      <c r="A299" s="3">
        <v>293</v>
      </c>
      <c r="B299" s="3" t="str">
        <f>"201400153649"</f>
        <v>201400153649</v>
      </c>
      <c r="C299" s="3">
        <v>112617</v>
      </c>
      <c r="D299" s="3" t="s">
        <v>1402</v>
      </c>
      <c r="E299" s="3">
        <v>20556014702</v>
      </c>
      <c r="F299" s="3" t="s">
        <v>1403</v>
      </c>
      <c r="G299" s="3" t="s">
        <v>1404</v>
      </c>
      <c r="H299" s="3" t="s">
        <v>242</v>
      </c>
      <c r="I299" s="3" t="s">
        <v>242</v>
      </c>
      <c r="J299" s="3" t="s">
        <v>661</v>
      </c>
      <c r="K299" s="3" t="s">
        <v>1405</v>
      </c>
      <c r="L299" s="3" t="s">
        <v>1406</v>
      </c>
      <c r="M299" s="3" t="s">
        <v>246</v>
      </c>
      <c r="N299" s="3" t="s">
        <v>1407</v>
      </c>
      <c r="O299" s="3">
        <v>13370920</v>
      </c>
      <c r="P299" s="3" t="s">
        <v>29</v>
      </c>
      <c r="Q299" s="4">
        <v>41982</v>
      </c>
      <c r="R299" s="3" t="s">
        <v>30</v>
      </c>
      <c r="S299" s="3" t="s">
        <v>1153</v>
      </c>
    </row>
    <row r="300" spans="1:19" ht="27.75">
      <c r="A300" s="3">
        <v>294</v>
      </c>
      <c r="B300" s="3" t="str">
        <f>"201500114749"</f>
        <v>201500114749</v>
      </c>
      <c r="C300" s="3">
        <v>117189</v>
      </c>
      <c r="D300" s="3" t="s">
        <v>1408</v>
      </c>
      <c r="E300" s="3">
        <v>20366551515</v>
      </c>
      <c r="F300" s="3" t="s">
        <v>1230</v>
      </c>
      <c r="G300" s="3" t="s">
        <v>1409</v>
      </c>
      <c r="H300" s="3" t="s">
        <v>23</v>
      </c>
      <c r="I300" s="3" t="s">
        <v>24</v>
      </c>
      <c r="J300" s="3" t="s">
        <v>43</v>
      </c>
      <c r="K300" s="3" t="s">
        <v>1410</v>
      </c>
      <c r="L300" s="3" t="s">
        <v>1411</v>
      </c>
      <c r="M300" s="3" t="s">
        <v>75</v>
      </c>
      <c r="N300" s="3" t="s">
        <v>65</v>
      </c>
      <c r="O300" s="3">
        <v>92136</v>
      </c>
      <c r="P300" s="3" t="s">
        <v>29</v>
      </c>
      <c r="Q300" s="4">
        <v>42306</v>
      </c>
      <c r="R300" s="3" t="s">
        <v>30</v>
      </c>
      <c r="S300" s="3" t="s">
        <v>1412</v>
      </c>
    </row>
    <row r="301" spans="1:19" ht="27.75">
      <c r="A301" s="3">
        <v>295</v>
      </c>
      <c r="B301" s="3" t="str">
        <f>"201500137038"</f>
        <v>201500137038</v>
      </c>
      <c r="C301" s="3">
        <v>117995</v>
      </c>
      <c r="D301" s="3" t="s">
        <v>1413</v>
      </c>
      <c r="E301" s="3">
        <v>20493368614</v>
      </c>
      <c r="F301" s="3" t="s">
        <v>60</v>
      </c>
      <c r="G301" s="3" t="s">
        <v>61</v>
      </c>
      <c r="H301" s="3" t="s">
        <v>23</v>
      </c>
      <c r="I301" s="3" t="s">
        <v>24</v>
      </c>
      <c r="J301" s="3" t="s">
        <v>43</v>
      </c>
      <c r="K301" s="3" t="s">
        <v>1414</v>
      </c>
      <c r="L301" s="3" t="s">
        <v>1415</v>
      </c>
      <c r="M301" s="3" t="s">
        <v>64</v>
      </c>
      <c r="N301" s="3" t="s">
        <v>65</v>
      </c>
      <c r="O301" s="3">
        <v>1500</v>
      </c>
      <c r="P301" s="3" t="s">
        <v>29</v>
      </c>
      <c r="Q301" s="4">
        <v>42325</v>
      </c>
      <c r="R301" s="3" t="s">
        <v>30</v>
      </c>
      <c r="S301" s="3" t="s">
        <v>66</v>
      </c>
    </row>
    <row r="302" spans="1:19" ht="13.5">
      <c r="A302" s="3">
        <v>296</v>
      </c>
      <c r="B302" s="3" t="str">
        <f>"201900018043"</f>
        <v>201900018043</v>
      </c>
      <c r="C302" s="3">
        <v>141112</v>
      </c>
      <c r="D302" s="3" t="s">
        <v>1416</v>
      </c>
      <c r="E302" s="3">
        <v>10230881516</v>
      </c>
      <c r="F302" s="3" t="s">
        <v>1417</v>
      </c>
      <c r="G302" s="3" t="s">
        <v>1418</v>
      </c>
      <c r="H302" s="3" t="s">
        <v>70</v>
      </c>
      <c r="I302" s="3" t="s">
        <v>71</v>
      </c>
      <c r="J302" s="3" t="s">
        <v>72</v>
      </c>
      <c r="K302" s="3" t="s">
        <v>1419</v>
      </c>
      <c r="L302" s="3" t="s">
        <v>1420</v>
      </c>
      <c r="M302" s="3" t="s">
        <v>1421</v>
      </c>
      <c r="N302" s="3" t="s">
        <v>516</v>
      </c>
      <c r="O302" s="3">
        <v>3410</v>
      </c>
      <c r="P302" s="3" t="s">
        <v>29</v>
      </c>
      <c r="Q302" s="4">
        <v>43501</v>
      </c>
      <c r="R302" s="3" t="s">
        <v>30</v>
      </c>
      <c r="S302" s="3" t="s">
        <v>1417</v>
      </c>
    </row>
    <row r="303" spans="1:19" ht="13.5">
      <c r="A303" s="3">
        <v>297</v>
      </c>
      <c r="B303" s="3" t="str">
        <f>"201300090016"</f>
        <v>201300090016</v>
      </c>
      <c r="C303" s="3">
        <v>13360</v>
      </c>
      <c r="D303" s="3" t="s">
        <v>1422</v>
      </c>
      <c r="E303" s="3">
        <v>20103912297</v>
      </c>
      <c r="F303" s="3" t="s">
        <v>1423</v>
      </c>
      <c r="G303" s="3" t="s">
        <v>1424</v>
      </c>
      <c r="H303" s="3" t="s">
        <v>23</v>
      </c>
      <c r="I303" s="3" t="s">
        <v>24</v>
      </c>
      <c r="J303" s="3" t="s">
        <v>43</v>
      </c>
      <c r="K303" s="3" t="s">
        <v>1425</v>
      </c>
      <c r="L303" s="3" t="s">
        <v>1426</v>
      </c>
      <c r="M303" s="3" t="s">
        <v>50</v>
      </c>
      <c r="N303" s="3"/>
      <c r="O303" s="3">
        <v>78839</v>
      </c>
      <c r="P303" s="3" t="s">
        <v>29</v>
      </c>
      <c r="Q303" s="4">
        <v>41462</v>
      </c>
      <c r="R303" s="3" t="s">
        <v>30</v>
      </c>
      <c r="S303" s="3" t="s">
        <v>980</v>
      </c>
    </row>
    <row r="304" spans="1:19" ht="27.75">
      <c r="A304" s="3">
        <v>298</v>
      </c>
      <c r="B304" s="3" t="str">
        <f>"201500137075"</f>
        <v>201500137075</v>
      </c>
      <c r="C304" s="3">
        <v>118001</v>
      </c>
      <c r="D304" s="3" t="s">
        <v>1427</v>
      </c>
      <c r="E304" s="3">
        <v>20493368614</v>
      </c>
      <c r="F304" s="3" t="s">
        <v>60</v>
      </c>
      <c r="G304" s="3" t="s">
        <v>61</v>
      </c>
      <c r="H304" s="3" t="s">
        <v>23</v>
      </c>
      <c r="I304" s="3" t="s">
        <v>24</v>
      </c>
      <c r="J304" s="3" t="s">
        <v>43</v>
      </c>
      <c r="K304" s="3" t="s">
        <v>1428</v>
      </c>
      <c r="L304" s="3" t="s">
        <v>1429</v>
      </c>
      <c r="M304" s="3" t="s">
        <v>64</v>
      </c>
      <c r="N304" s="3" t="s">
        <v>65</v>
      </c>
      <c r="O304" s="3">
        <v>1500</v>
      </c>
      <c r="P304" s="3" t="s">
        <v>29</v>
      </c>
      <c r="Q304" s="4">
        <v>42325</v>
      </c>
      <c r="R304" s="3" t="s">
        <v>30</v>
      </c>
      <c r="S304" s="3" t="s">
        <v>66</v>
      </c>
    </row>
    <row r="305" spans="1:19" ht="13.5">
      <c r="A305" s="3">
        <v>299</v>
      </c>
      <c r="B305" s="3" t="str">
        <f>"201600116195"</f>
        <v>201600116195</v>
      </c>
      <c r="C305" s="3">
        <v>123187</v>
      </c>
      <c r="D305" s="3" t="s">
        <v>1430</v>
      </c>
      <c r="E305" s="3">
        <v>20280300021</v>
      </c>
      <c r="F305" s="3" t="s">
        <v>53</v>
      </c>
      <c r="G305" s="3" t="s">
        <v>531</v>
      </c>
      <c r="H305" s="3" t="s">
        <v>23</v>
      </c>
      <c r="I305" s="3" t="s">
        <v>24</v>
      </c>
      <c r="J305" s="3" t="s">
        <v>25</v>
      </c>
      <c r="K305" s="3" t="s">
        <v>1431</v>
      </c>
      <c r="L305" s="3" t="s">
        <v>1432</v>
      </c>
      <c r="M305" s="3" t="s">
        <v>50</v>
      </c>
      <c r="N305" s="3" t="s">
        <v>401</v>
      </c>
      <c r="O305" s="3">
        <v>155074</v>
      </c>
      <c r="P305" s="3" t="s">
        <v>29</v>
      </c>
      <c r="Q305" s="4">
        <v>42667</v>
      </c>
      <c r="R305" s="3" t="s">
        <v>30</v>
      </c>
      <c r="S305" s="3" t="s">
        <v>58</v>
      </c>
    </row>
    <row r="306" spans="1:19" ht="13.5">
      <c r="A306" s="3">
        <v>300</v>
      </c>
      <c r="B306" s="3" t="str">
        <f>"201400013081"</f>
        <v>201400013081</v>
      </c>
      <c r="C306" s="3">
        <v>107793</v>
      </c>
      <c r="D306" s="3" t="s">
        <v>1433</v>
      </c>
      <c r="E306" s="3">
        <v>20528464042</v>
      </c>
      <c r="F306" s="3" t="s">
        <v>1434</v>
      </c>
      <c r="G306" s="3" t="s">
        <v>187</v>
      </c>
      <c r="H306" s="3" t="s">
        <v>23</v>
      </c>
      <c r="I306" s="3" t="s">
        <v>24</v>
      </c>
      <c r="J306" s="3" t="s">
        <v>43</v>
      </c>
      <c r="K306" s="3" t="s">
        <v>1435</v>
      </c>
      <c r="L306" s="3" t="s">
        <v>1436</v>
      </c>
      <c r="M306" s="3" t="s">
        <v>50</v>
      </c>
      <c r="N306" s="3" t="s">
        <v>115</v>
      </c>
      <c r="O306" s="3">
        <v>497874</v>
      </c>
      <c r="P306" s="3" t="s">
        <v>29</v>
      </c>
      <c r="Q306" s="4">
        <v>41695</v>
      </c>
      <c r="R306" s="3" t="s">
        <v>30</v>
      </c>
      <c r="S306" s="3" t="s">
        <v>116</v>
      </c>
    </row>
    <row r="307" spans="1:19" ht="13.5">
      <c r="A307" s="3">
        <v>301</v>
      </c>
      <c r="B307" s="3" t="str">
        <f>"201800072057"</f>
        <v>201800072057</v>
      </c>
      <c r="C307" s="3">
        <v>135915</v>
      </c>
      <c r="D307" s="3" t="s">
        <v>1437</v>
      </c>
      <c r="E307" s="3">
        <v>20490925555</v>
      </c>
      <c r="F307" s="3" t="s">
        <v>1438</v>
      </c>
      <c r="G307" s="3" t="s">
        <v>1439</v>
      </c>
      <c r="H307" s="3" t="s">
        <v>159</v>
      </c>
      <c r="I307" s="3" t="s">
        <v>427</v>
      </c>
      <c r="J307" s="3" t="s">
        <v>427</v>
      </c>
      <c r="K307" s="3" t="s">
        <v>1440</v>
      </c>
      <c r="L307" s="3" t="s">
        <v>1441</v>
      </c>
      <c r="M307" s="3" t="s">
        <v>953</v>
      </c>
      <c r="N307" s="3" t="s">
        <v>164</v>
      </c>
      <c r="O307" s="3">
        <v>4200</v>
      </c>
      <c r="P307" s="3" t="s">
        <v>29</v>
      </c>
      <c r="Q307" s="4">
        <v>43224</v>
      </c>
      <c r="R307" s="3" t="s">
        <v>30</v>
      </c>
      <c r="S307" s="3" t="s">
        <v>1442</v>
      </c>
    </row>
    <row r="308" spans="1:19" ht="13.5">
      <c r="A308" s="3">
        <v>302</v>
      </c>
      <c r="B308" s="3" t="str">
        <f>"201900105123"</f>
        <v>201900105123</v>
      </c>
      <c r="C308" s="3">
        <v>141743</v>
      </c>
      <c r="D308" s="3" t="s">
        <v>1443</v>
      </c>
      <c r="E308" s="3">
        <v>20393443783</v>
      </c>
      <c r="F308" s="3" t="s">
        <v>277</v>
      </c>
      <c r="G308" s="3" t="s">
        <v>704</v>
      </c>
      <c r="H308" s="3" t="s">
        <v>70</v>
      </c>
      <c r="I308" s="3" t="s">
        <v>71</v>
      </c>
      <c r="J308" s="3" t="s">
        <v>72</v>
      </c>
      <c r="K308" s="3" t="s">
        <v>1444</v>
      </c>
      <c r="L308" s="3" t="s">
        <v>1445</v>
      </c>
      <c r="M308" s="3" t="s">
        <v>50</v>
      </c>
      <c r="N308" s="3" t="s">
        <v>1446</v>
      </c>
      <c r="O308" s="3">
        <v>23831.78</v>
      </c>
      <c r="P308" s="3" t="s">
        <v>29</v>
      </c>
      <c r="Q308" s="4">
        <v>43647</v>
      </c>
      <c r="R308" s="3" t="s">
        <v>30</v>
      </c>
      <c r="S308" s="3" t="s">
        <v>314</v>
      </c>
    </row>
    <row r="309" spans="1:19" ht="13.5">
      <c r="A309" s="3">
        <v>303</v>
      </c>
      <c r="B309" s="3" t="str">
        <f>"201800134539"</f>
        <v>201800134539</v>
      </c>
      <c r="C309" s="3">
        <v>138089</v>
      </c>
      <c r="D309" s="3" t="s">
        <v>1447</v>
      </c>
      <c r="E309" s="3">
        <v>10001198969</v>
      </c>
      <c r="F309" s="3" t="s">
        <v>1448</v>
      </c>
      <c r="G309" s="3" t="s">
        <v>1449</v>
      </c>
      <c r="H309" s="3" t="s">
        <v>23</v>
      </c>
      <c r="I309" s="3" t="s">
        <v>70</v>
      </c>
      <c r="J309" s="3" t="s">
        <v>133</v>
      </c>
      <c r="K309" s="3" t="s">
        <v>1450</v>
      </c>
      <c r="L309" s="3" t="s">
        <v>1451</v>
      </c>
      <c r="M309" s="3" t="s">
        <v>75</v>
      </c>
      <c r="N309" s="3" t="s">
        <v>290</v>
      </c>
      <c r="O309" s="3">
        <v>848</v>
      </c>
      <c r="P309" s="3" t="s">
        <v>29</v>
      </c>
      <c r="Q309" s="4">
        <v>43328</v>
      </c>
      <c r="R309" s="3" t="s">
        <v>30</v>
      </c>
      <c r="S309" s="3" t="s">
        <v>1448</v>
      </c>
    </row>
    <row r="310" spans="1:19" ht="13.5">
      <c r="A310" s="3">
        <v>304</v>
      </c>
      <c r="B310" s="3" t="str">
        <f>"201800129453"</f>
        <v>201800129453</v>
      </c>
      <c r="C310" s="3">
        <v>137896</v>
      </c>
      <c r="D310" s="3" t="s">
        <v>1452</v>
      </c>
      <c r="E310" s="3">
        <v>10420573036</v>
      </c>
      <c r="F310" s="3" t="s">
        <v>1453</v>
      </c>
      <c r="G310" s="3" t="s">
        <v>1454</v>
      </c>
      <c r="H310" s="3" t="s">
        <v>70</v>
      </c>
      <c r="I310" s="3" t="s">
        <v>89</v>
      </c>
      <c r="J310" s="3" t="s">
        <v>958</v>
      </c>
      <c r="K310" s="3" t="s">
        <v>1455</v>
      </c>
      <c r="L310" s="3" t="s">
        <v>1456</v>
      </c>
      <c r="M310" s="3" t="s">
        <v>75</v>
      </c>
      <c r="N310" s="3" t="s">
        <v>516</v>
      </c>
      <c r="O310" s="3">
        <v>13200</v>
      </c>
      <c r="P310" s="3" t="s">
        <v>29</v>
      </c>
      <c r="Q310" s="4">
        <v>43325</v>
      </c>
      <c r="R310" s="3" t="s">
        <v>30</v>
      </c>
      <c r="S310" s="3" t="s">
        <v>1453</v>
      </c>
    </row>
    <row r="311" spans="1:19" ht="27.75">
      <c r="A311" s="3">
        <v>305</v>
      </c>
      <c r="B311" s="3" t="str">
        <f>"201500084122"</f>
        <v>201500084122</v>
      </c>
      <c r="C311" s="3">
        <v>116138</v>
      </c>
      <c r="D311" s="3" t="s">
        <v>1457</v>
      </c>
      <c r="E311" s="3">
        <v>10001630852</v>
      </c>
      <c r="F311" s="3" t="s">
        <v>1458</v>
      </c>
      <c r="G311" s="3" t="s">
        <v>1459</v>
      </c>
      <c r="H311" s="3" t="s">
        <v>70</v>
      </c>
      <c r="I311" s="3" t="s">
        <v>89</v>
      </c>
      <c r="J311" s="3" t="s">
        <v>90</v>
      </c>
      <c r="K311" s="3" t="s">
        <v>1460</v>
      </c>
      <c r="L311" s="3" t="s">
        <v>1461</v>
      </c>
      <c r="M311" s="3" t="s">
        <v>93</v>
      </c>
      <c r="N311" s="3" t="s">
        <v>122</v>
      </c>
      <c r="O311" s="3">
        <v>1500</v>
      </c>
      <c r="P311" s="3" t="s">
        <v>29</v>
      </c>
      <c r="Q311" s="4">
        <v>42225</v>
      </c>
      <c r="R311" s="3" t="s">
        <v>30</v>
      </c>
      <c r="S311" s="3" t="s">
        <v>1458</v>
      </c>
    </row>
    <row r="312" spans="1:19" ht="27.75">
      <c r="A312" s="3">
        <v>306</v>
      </c>
      <c r="B312" s="3" t="str">
        <f>"201500083953"</f>
        <v>201500083953</v>
      </c>
      <c r="C312" s="3">
        <v>116134</v>
      </c>
      <c r="D312" s="3" t="s">
        <v>1462</v>
      </c>
      <c r="E312" s="3">
        <v>10452274367</v>
      </c>
      <c r="F312" s="3" t="s">
        <v>1463</v>
      </c>
      <c r="G312" s="3" t="s">
        <v>1464</v>
      </c>
      <c r="H312" s="3" t="s">
        <v>70</v>
      </c>
      <c r="I312" s="3" t="s">
        <v>89</v>
      </c>
      <c r="J312" s="3" t="s">
        <v>90</v>
      </c>
      <c r="K312" s="3" t="s">
        <v>1465</v>
      </c>
      <c r="L312" s="3" t="s">
        <v>1466</v>
      </c>
      <c r="M312" s="3" t="s">
        <v>93</v>
      </c>
      <c r="N312" s="3" t="s">
        <v>149</v>
      </c>
      <c r="O312" s="3">
        <v>1500</v>
      </c>
      <c r="P312" s="3" t="s">
        <v>29</v>
      </c>
      <c r="Q312" s="4">
        <v>42225</v>
      </c>
      <c r="R312" s="3" t="s">
        <v>30</v>
      </c>
      <c r="S312" s="3" t="s">
        <v>1463</v>
      </c>
    </row>
    <row r="313" spans="1:19" ht="13.5">
      <c r="A313" s="3">
        <v>307</v>
      </c>
      <c r="B313" s="3" t="str">
        <f>"201800159395"</f>
        <v>201800159395</v>
      </c>
      <c r="C313" s="3">
        <v>125088</v>
      </c>
      <c r="D313" s="3" t="s">
        <v>1467</v>
      </c>
      <c r="E313" s="3">
        <v>20103818860</v>
      </c>
      <c r="F313" s="3" t="s">
        <v>1468</v>
      </c>
      <c r="G313" s="3" t="s">
        <v>1469</v>
      </c>
      <c r="H313" s="3" t="s">
        <v>23</v>
      </c>
      <c r="I313" s="3" t="s">
        <v>24</v>
      </c>
      <c r="J313" s="3" t="s">
        <v>453</v>
      </c>
      <c r="K313" s="3" t="s">
        <v>1470</v>
      </c>
      <c r="L313" s="3" t="s">
        <v>1471</v>
      </c>
      <c r="M313" s="3" t="s">
        <v>64</v>
      </c>
      <c r="N313" s="3" t="s">
        <v>136</v>
      </c>
      <c r="O313" s="3">
        <v>2400</v>
      </c>
      <c r="P313" s="3" t="s">
        <v>29</v>
      </c>
      <c r="Q313" s="4">
        <v>43371</v>
      </c>
      <c r="R313" s="3" t="s">
        <v>30</v>
      </c>
      <c r="S313" s="3" t="s">
        <v>1472</v>
      </c>
    </row>
    <row r="314" spans="1:19" ht="42">
      <c r="A314" s="3">
        <v>308</v>
      </c>
      <c r="B314" s="3" t="str">
        <f>"201600040423"</f>
        <v>201600040423</v>
      </c>
      <c r="C314" s="3">
        <v>120484</v>
      </c>
      <c r="D314" s="3" t="s">
        <v>1473</v>
      </c>
      <c r="E314" s="3">
        <v>20451384024</v>
      </c>
      <c r="F314" s="3" t="s">
        <v>1078</v>
      </c>
      <c r="G314" s="3" t="s">
        <v>307</v>
      </c>
      <c r="H314" s="3" t="s">
        <v>23</v>
      </c>
      <c r="I314" s="3" t="s">
        <v>24</v>
      </c>
      <c r="J314" s="3" t="s">
        <v>25</v>
      </c>
      <c r="K314" s="3" t="s">
        <v>1474</v>
      </c>
      <c r="L314" s="3" t="s">
        <v>1475</v>
      </c>
      <c r="M314" s="3" t="s">
        <v>50</v>
      </c>
      <c r="N314" s="3" t="s">
        <v>1476</v>
      </c>
      <c r="O314" s="3">
        <v>360124</v>
      </c>
      <c r="P314" s="3" t="s">
        <v>29</v>
      </c>
      <c r="Q314" s="4">
        <v>42495</v>
      </c>
      <c r="R314" s="3" t="s">
        <v>30</v>
      </c>
      <c r="S314" s="3" t="s">
        <v>1351</v>
      </c>
    </row>
    <row r="315" spans="1:19" ht="13.5">
      <c r="A315" s="3">
        <v>309</v>
      </c>
      <c r="B315" s="3" t="str">
        <f>"1155719"</f>
        <v>1155719</v>
      </c>
      <c r="C315" s="3">
        <v>13262</v>
      </c>
      <c r="D315" s="3">
        <v>1155719</v>
      </c>
      <c r="E315" s="3">
        <v>20103808121</v>
      </c>
      <c r="F315" s="3" t="s">
        <v>1477</v>
      </c>
      <c r="G315" s="3" t="s">
        <v>712</v>
      </c>
      <c r="H315" s="3" t="s">
        <v>23</v>
      </c>
      <c r="I315" s="3" t="s">
        <v>24</v>
      </c>
      <c r="J315" s="3" t="s">
        <v>43</v>
      </c>
      <c r="K315" s="3" t="s">
        <v>1478</v>
      </c>
      <c r="L315" s="3"/>
      <c r="M315" s="3"/>
      <c r="N315" s="3"/>
      <c r="O315" s="3">
        <v>313812</v>
      </c>
      <c r="P315" s="3" t="s">
        <v>29</v>
      </c>
      <c r="Q315" s="4">
        <v>35723</v>
      </c>
      <c r="R315" s="3" t="s">
        <v>30</v>
      </c>
      <c r="S315" s="3"/>
    </row>
    <row r="316" spans="1:19" ht="42">
      <c r="A316" s="3">
        <v>310</v>
      </c>
      <c r="B316" s="3" t="str">
        <f>"201700222917"</f>
        <v>201700222917</v>
      </c>
      <c r="C316" s="3">
        <v>133841</v>
      </c>
      <c r="D316" s="3" t="s">
        <v>1479</v>
      </c>
      <c r="E316" s="3">
        <v>20393443783</v>
      </c>
      <c r="F316" s="3" t="s">
        <v>518</v>
      </c>
      <c r="G316" s="3" t="s">
        <v>519</v>
      </c>
      <c r="H316" s="3" t="s">
        <v>70</v>
      </c>
      <c r="I316" s="3" t="s">
        <v>71</v>
      </c>
      <c r="J316" s="3" t="s">
        <v>72</v>
      </c>
      <c r="K316" s="3" t="s">
        <v>1480</v>
      </c>
      <c r="L316" s="3" t="s">
        <v>1481</v>
      </c>
      <c r="M316" s="3" t="s">
        <v>75</v>
      </c>
      <c r="N316" s="3" t="s">
        <v>1482</v>
      </c>
      <c r="O316" s="3">
        <v>694002</v>
      </c>
      <c r="P316" s="3" t="s">
        <v>29</v>
      </c>
      <c r="Q316" s="4">
        <v>43105</v>
      </c>
      <c r="R316" s="3" t="s">
        <v>30</v>
      </c>
      <c r="S316" s="3" t="s">
        <v>77</v>
      </c>
    </row>
    <row r="317" spans="1:19" ht="13.5">
      <c r="A317" s="3">
        <v>311</v>
      </c>
      <c r="B317" s="3" t="str">
        <f>"1465540"</f>
        <v>1465540</v>
      </c>
      <c r="C317" s="3">
        <v>10878</v>
      </c>
      <c r="D317" s="3" t="s">
        <v>1483</v>
      </c>
      <c r="E317" s="3">
        <v>20329768245</v>
      </c>
      <c r="F317" s="3" t="s">
        <v>1484</v>
      </c>
      <c r="G317" s="3" t="s">
        <v>1485</v>
      </c>
      <c r="H317" s="3" t="s">
        <v>793</v>
      </c>
      <c r="I317" s="3" t="s">
        <v>793</v>
      </c>
      <c r="J317" s="3" t="s">
        <v>794</v>
      </c>
      <c r="K317" s="3" t="s">
        <v>1486</v>
      </c>
      <c r="L317" s="3"/>
      <c r="M317" s="3"/>
      <c r="N317" s="3"/>
      <c r="O317" s="3">
        <v>39869</v>
      </c>
      <c r="P317" s="3" t="s">
        <v>29</v>
      </c>
      <c r="Q317" s="4">
        <v>38124</v>
      </c>
      <c r="R317" s="3" t="s">
        <v>30</v>
      </c>
      <c r="S317" s="3"/>
    </row>
    <row r="318" spans="1:19" ht="13.5">
      <c r="A318" s="3">
        <v>312</v>
      </c>
      <c r="B318" s="3" t="str">
        <f>"201600092881"</f>
        <v>201600092881</v>
      </c>
      <c r="C318" s="3">
        <v>122300</v>
      </c>
      <c r="D318" s="3" t="s">
        <v>1487</v>
      </c>
      <c r="E318" s="3">
        <v>20393323966</v>
      </c>
      <c r="F318" s="3" t="s">
        <v>1488</v>
      </c>
      <c r="G318" s="3" t="s">
        <v>1489</v>
      </c>
      <c r="H318" s="3" t="s">
        <v>70</v>
      </c>
      <c r="I318" s="3" t="s">
        <v>71</v>
      </c>
      <c r="J318" s="3" t="s">
        <v>513</v>
      </c>
      <c r="K318" s="3" t="s">
        <v>1490</v>
      </c>
      <c r="L318" s="3" t="s">
        <v>1491</v>
      </c>
      <c r="M318" s="3" t="s">
        <v>75</v>
      </c>
      <c r="N318" s="3" t="s">
        <v>155</v>
      </c>
      <c r="O318" s="3">
        <v>8800</v>
      </c>
      <c r="P318" s="3" t="s">
        <v>29</v>
      </c>
      <c r="Q318" s="4">
        <v>42606</v>
      </c>
      <c r="R318" s="3" t="s">
        <v>30</v>
      </c>
      <c r="S318" s="3" t="s">
        <v>1492</v>
      </c>
    </row>
    <row r="319" spans="1:19" ht="13.5">
      <c r="A319" s="3">
        <v>313</v>
      </c>
      <c r="B319" s="3" t="str">
        <f>"202000015375"</f>
        <v>202000015375</v>
      </c>
      <c r="C319" s="3">
        <v>148963</v>
      </c>
      <c r="D319" s="3" t="s">
        <v>1493</v>
      </c>
      <c r="E319" s="3">
        <v>20602969470</v>
      </c>
      <c r="F319" s="3" t="s">
        <v>1494</v>
      </c>
      <c r="G319" s="3" t="s">
        <v>1495</v>
      </c>
      <c r="H319" s="3" t="s">
        <v>23</v>
      </c>
      <c r="I319" s="3" t="s">
        <v>24</v>
      </c>
      <c r="J319" s="3" t="s">
        <v>25</v>
      </c>
      <c r="K319" s="3" t="s">
        <v>1496</v>
      </c>
      <c r="L319" s="3" t="s">
        <v>1497</v>
      </c>
      <c r="M319" s="3" t="s">
        <v>64</v>
      </c>
      <c r="N319" s="3" t="s">
        <v>401</v>
      </c>
      <c r="O319" s="3">
        <v>1650</v>
      </c>
      <c r="P319" s="3" t="s">
        <v>29</v>
      </c>
      <c r="Q319" s="4">
        <v>43861</v>
      </c>
      <c r="R319" s="3" t="s">
        <v>30</v>
      </c>
      <c r="S319" s="3" t="s">
        <v>1498</v>
      </c>
    </row>
    <row r="320" spans="1:19" ht="27.75">
      <c r="A320" s="3">
        <v>314</v>
      </c>
      <c r="B320" s="3" t="str">
        <f>"201700207503"</f>
        <v>201700207503</v>
      </c>
      <c r="C320" s="3">
        <v>133277</v>
      </c>
      <c r="D320" s="3" t="s">
        <v>1499</v>
      </c>
      <c r="E320" s="3">
        <v>20451384024</v>
      </c>
      <c r="F320" s="3" t="s">
        <v>1078</v>
      </c>
      <c r="G320" s="3" t="s">
        <v>1348</v>
      </c>
      <c r="H320" s="3" t="s">
        <v>23</v>
      </c>
      <c r="I320" s="3" t="s">
        <v>24</v>
      </c>
      <c r="J320" s="3" t="s">
        <v>25</v>
      </c>
      <c r="K320" s="3" t="s">
        <v>1500</v>
      </c>
      <c r="L320" s="3" t="s">
        <v>1501</v>
      </c>
      <c r="M320" s="3" t="s">
        <v>50</v>
      </c>
      <c r="N320" s="3" t="s">
        <v>290</v>
      </c>
      <c r="O320" s="3">
        <v>22560</v>
      </c>
      <c r="P320" s="3" t="s">
        <v>784</v>
      </c>
      <c r="Q320" s="4">
        <v>43082</v>
      </c>
      <c r="R320" s="3" t="s">
        <v>30</v>
      </c>
      <c r="S320" s="3" t="s">
        <v>296</v>
      </c>
    </row>
    <row r="321" spans="1:19" ht="13.5">
      <c r="A321" s="3">
        <v>315</v>
      </c>
      <c r="B321" s="3" t="str">
        <f>"201500150109"</f>
        <v>201500150109</v>
      </c>
      <c r="C321" s="3">
        <v>118467</v>
      </c>
      <c r="D321" s="3" t="s">
        <v>1502</v>
      </c>
      <c r="E321" s="3">
        <v>20393453746</v>
      </c>
      <c r="F321" s="3" t="s">
        <v>836</v>
      </c>
      <c r="G321" s="3" t="s">
        <v>1011</v>
      </c>
      <c r="H321" s="3" t="s">
        <v>70</v>
      </c>
      <c r="I321" s="3" t="s">
        <v>71</v>
      </c>
      <c r="J321" s="3" t="s">
        <v>513</v>
      </c>
      <c r="K321" s="3" t="s">
        <v>1503</v>
      </c>
      <c r="L321" s="3" t="s">
        <v>1504</v>
      </c>
      <c r="M321" s="3" t="s">
        <v>648</v>
      </c>
      <c r="N321" s="3" t="s">
        <v>76</v>
      </c>
      <c r="O321" s="3">
        <v>15480</v>
      </c>
      <c r="P321" s="3" t="s">
        <v>29</v>
      </c>
      <c r="Q321" s="4">
        <v>42380</v>
      </c>
      <c r="R321" s="3" t="s">
        <v>30</v>
      </c>
      <c r="S321" s="3" t="s">
        <v>840</v>
      </c>
    </row>
    <row r="322" spans="1:19" ht="13.5">
      <c r="A322" s="3">
        <v>316</v>
      </c>
      <c r="B322" s="3" t="str">
        <f>"1154753"</f>
        <v>1154753</v>
      </c>
      <c r="C322" s="3">
        <v>13258</v>
      </c>
      <c r="D322" s="3">
        <v>1154753</v>
      </c>
      <c r="E322" s="3">
        <v>10052620029</v>
      </c>
      <c r="F322" s="3" t="s">
        <v>923</v>
      </c>
      <c r="G322" s="3" t="s">
        <v>340</v>
      </c>
      <c r="H322" s="3" t="s">
        <v>23</v>
      </c>
      <c r="I322" s="3" t="s">
        <v>24</v>
      </c>
      <c r="J322" s="3" t="s">
        <v>43</v>
      </c>
      <c r="K322" s="3" t="s">
        <v>1505</v>
      </c>
      <c r="L322" s="3"/>
      <c r="M322" s="3"/>
      <c r="N322" s="3"/>
      <c r="O322" s="3">
        <v>52870</v>
      </c>
      <c r="P322" s="3" t="s">
        <v>29</v>
      </c>
      <c r="Q322" s="4">
        <v>35723</v>
      </c>
      <c r="R322" s="3" t="s">
        <v>30</v>
      </c>
      <c r="S322" s="3"/>
    </row>
    <row r="323" spans="1:19" ht="13.5">
      <c r="A323" s="3">
        <v>317</v>
      </c>
      <c r="B323" s="3" t="str">
        <f>"201500087654"</f>
        <v>201500087654</v>
      </c>
      <c r="C323" s="3">
        <v>116261</v>
      </c>
      <c r="D323" s="3" t="s">
        <v>1506</v>
      </c>
      <c r="E323" s="3">
        <v>10452527753</v>
      </c>
      <c r="F323" s="3" t="s">
        <v>1507</v>
      </c>
      <c r="G323" s="3" t="s">
        <v>1508</v>
      </c>
      <c r="H323" s="3" t="s">
        <v>70</v>
      </c>
      <c r="I323" s="3" t="s">
        <v>71</v>
      </c>
      <c r="J323" s="3" t="s">
        <v>72</v>
      </c>
      <c r="K323" s="3" t="s">
        <v>1509</v>
      </c>
      <c r="L323" s="3" t="s">
        <v>1510</v>
      </c>
      <c r="M323" s="3" t="s">
        <v>1511</v>
      </c>
      <c r="N323" s="3" t="s">
        <v>122</v>
      </c>
      <c r="O323" s="3">
        <v>1500</v>
      </c>
      <c r="P323" s="3" t="s">
        <v>29</v>
      </c>
      <c r="Q323" s="4">
        <v>42225</v>
      </c>
      <c r="R323" s="3" t="s">
        <v>30</v>
      </c>
      <c r="S323" s="3" t="s">
        <v>1511</v>
      </c>
    </row>
    <row r="324" spans="1:19" ht="27.75">
      <c r="A324" s="3">
        <v>318</v>
      </c>
      <c r="B324" s="3" t="str">
        <f>"201500137062"</f>
        <v>201500137062</v>
      </c>
      <c r="C324" s="3">
        <v>117998</v>
      </c>
      <c r="D324" s="3" t="s">
        <v>1512</v>
      </c>
      <c r="E324" s="3">
        <v>20493368614</v>
      </c>
      <c r="F324" s="3" t="s">
        <v>60</v>
      </c>
      <c r="G324" s="3" t="s">
        <v>61</v>
      </c>
      <c r="H324" s="3" t="s">
        <v>23</v>
      </c>
      <c r="I324" s="3" t="s">
        <v>24</v>
      </c>
      <c r="J324" s="3" t="s">
        <v>43</v>
      </c>
      <c r="K324" s="3" t="s">
        <v>1513</v>
      </c>
      <c r="L324" s="3" t="s">
        <v>1514</v>
      </c>
      <c r="M324" s="3" t="s">
        <v>64</v>
      </c>
      <c r="N324" s="3" t="s">
        <v>65</v>
      </c>
      <c r="O324" s="3">
        <v>1500</v>
      </c>
      <c r="P324" s="3" t="s">
        <v>29</v>
      </c>
      <c r="Q324" s="4">
        <v>42325</v>
      </c>
      <c r="R324" s="3" t="s">
        <v>30</v>
      </c>
      <c r="S324" s="3" t="s">
        <v>66</v>
      </c>
    </row>
    <row r="325" spans="1:19" ht="13.5">
      <c r="A325" s="3">
        <v>319</v>
      </c>
      <c r="B325" s="3" t="str">
        <f>"1864183"</f>
        <v>1864183</v>
      </c>
      <c r="C325" s="3">
        <v>83316</v>
      </c>
      <c r="D325" s="3" t="s">
        <v>1515</v>
      </c>
      <c r="E325" s="3">
        <v>20393251957</v>
      </c>
      <c r="F325" s="3" t="s">
        <v>167</v>
      </c>
      <c r="G325" s="3" t="s">
        <v>1516</v>
      </c>
      <c r="H325" s="3" t="s">
        <v>70</v>
      </c>
      <c r="I325" s="3" t="s">
        <v>89</v>
      </c>
      <c r="J325" s="3" t="s">
        <v>90</v>
      </c>
      <c r="K325" s="3" t="s">
        <v>1517</v>
      </c>
      <c r="L325" s="3"/>
      <c r="M325" s="3"/>
      <c r="N325" s="3"/>
      <c r="O325" s="3">
        <v>19700</v>
      </c>
      <c r="P325" s="3" t="s">
        <v>29</v>
      </c>
      <c r="Q325" s="4">
        <v>39860</v>
      </c>
      <c r="R325" s="3" t="s">
        <v>30</v>
      </c>
      <c r="S325" s="3"/>
    </row>
    <row r="326" spans="1:19" ht="13.5">
      <c r="A326" s="3">
        <v>320</v>
      </c>
      <c r="B326" s="3" t="str">
        <f>"1412391"</f>
        <v>1412391</v>
      </c>
      <c r="C326" s="3">
        <v>33609</v>
      </c>
      <c r="D326" s="3" t="s">
        <v>1518</v>
      </c>
      <c r="E326" s="3">
        <v>10052620029</v>
      </c>
      <c r="F326" s="3" t="s">
        <v>923</v>
      </c>
      <c r="G326" s="3" t="s">
        <v>1519</v>
      </c>
      <c r="H326" s="3" t="s">
        <v>23</v>
      </c>
      <c r="I326" s="3" t="s">
        <v>24</v>
      </c>
      <c r="J326" s="3" t="s">
        <v>25</v>
      </c>
      <c r="K326" s="3" t="s">
        <v>1520</v>
      </c>
      <c r="L326" s="3"/>
      <c r="M326" s="3"/>
      <c r="N326" s="3"/>
      <c r="O326" s="3">
        <v>43052</v>
      </c>
      <c r="P326" s="3" t="s">
        <v>29</v>
      </c>
      <c r="Q326" s="4">
        <v>37715</v>
      </c>
      <c r="R326" s="3" t="s">
        <v>30</v>
      </c>
      <c r="S326" s="3"/>
    </row>
    <row r="327" spans="1:19" ht="42">
      <c r="A327" s="3">
        <v>321</v>
      </c>
      <c r="B327" s="3" t="str">
        <f>"201500104944"</f>
        <v>201500104944</v>
      </c>
      <c r="C327" s="3">
        <v>97851</v>
      </c>
      <c r="D327" s="3" t="s">
        <v>1521</v>
      </c>
      <c r="E327" s="3">
        <v>20493684371</v>
      </c>
      <c r="F327" s="3" t="s">
        <v>582</v>
      </c>
      <c r="G327" s="3" t="s">
        <v>1522</v>
      </c>
      <c r="H327" s="3" t="s">
        <v>23</v>
      </c>
      <c r="I327" s="3" t="s">
        <v>24</v>
      </c>
      <c r="J327" s="3" t="s">
        <v>43</v>
      </c>
      <c r="K327" s="3" t="s">
        <v>1523</v>
      </c>
      <c r="L327" s="3" t="s">
        <v>1524</v>
      </c>
      <c r="M327" s="3" t="s">
        <v>75</v>
      </c>
      <c r="N327" s="3" t="s">
        <v>1525</v>
      </c>
      <c r="O327" s="3">
        <v>107512</v>
      </c>
      <c r="P327" s="3" t="s">
        <v>29</v>
      </c>
      <c r="Q327" s="4">
        <v>42256</v>
      </c>
      <c r="R327" s="3" t="s">
        <v>30</v>
      </c>
      <c r="S327" s="3" t="s">
        <v>749</v>
      </c>
    </row>
    <row r="328" spans="1:19" ht="13.5">
      <c r="A328" s="3">
        <v>322</v>
      </c>
      <c r="B328" s="3" t="str">
        <f>"201300096939"</f>
        <v>201300096939</v>
      </c>
      <c r="C328" s="3">
        <v>96641</v>
      </c>
      <c r="D328" s="3" t="s">
        <v>1526</v>
      </c>
      <c r="E328" s="3">
        <v>20522163890</v>
      </c>
      <c r="F328" s="3" t="s">
        <v>807</v>
      </c>
      <c r="G328" s="3" t="s">
        <v>1306</v>
      </c>
      <c r="H328" s="3" t="s">
        <v>242</v>
      </c>
      <c r="I328" s="3" t="s">
        <v>242</v>
      </c>
      <c r="J328" s="3" t="s">
        <v>243</v>
      </c>
      <c r="K328" s="3" t="s">
        <v>1527</v>
      </c>
      <c r="L328" s="3" t="s">
        <v>1528</v>
      </c>
      <c r="M328" s="3" t="s">
        <v>246</v>
      </c>
      <c r="N328" s="3"/>
      <c r="O328" s="3">
        <v>0</v>
      </c>
      <c r="P328" s="3" t="s">
        <v>29</v>
      </c>
      <c r="Q328" s="4">
        <v>41464</v>
      </c>
      <c r="R328" s="3" t="s">
        <v>30</v>
      </c>
      <c r="S328" s="3" t="s">
        <v>1529</v>
      </c>
    </row>
    <row r="329" spans="1:19" ht="27.75">
      <c r="A329" s="3">
        <v>323</v>
      </c>
      <c r="B329" s="3" t="str">
        <f>"201300118046"</f>
        <v>201300118046</v>
      </c>
      <c r="C329" s="3">
        <v>104057</v>
      </c>
      <c r="D329" s="3" t="s">
        <v>1530</v>
      </c>
      <c r="E329" s="3">
        <v>20522163890</v>
      </c>
      <c r="F329" s="3" t="s">
        <v>807</v>
      </c>
      <c r="G329" s="3" t="s">
        <v>1531</v>
      </c>
      <c r="H329" s="3" t="s">
        <v>242</v>
      </c>
      <c r="I329" s="3" t="s">
        <v>242</v>
      </c>
      <c r="J329" s="3" t="s">
        <v>243</v>
      </c>
      <c r="K329" s="3" t="s">
        <v>1532</v>
      </c>
      <c r="L329" s="3" t="s">
        <v>1533</v>
      </c>
      <c r="M329" s="3" t="s">
        <v>246</v>
      </c>
      <c r="N329" s="3"/>
      <c r="O329" s="3">
        <v>18011070</v>
      </c>
      <c r="P329" s="3" t="s">
        <v>29</v>
      </c>
      <c r="Q329" s="4">
        <v>41533</v>
      </c>
      <c r="R329" s="3" t="s">
        <v>30</v>
      </c>
      <c r="S329" s="3" t="s">
        <v>1534</v>
      </c>
    </row>
    <row r="330" spans="1:19" ht="27.75">
      <c r="A330" s="3">
        <v>324</v>
      </c>
      <c r="B330" s="3" t="str">
        <f>"201500137067"</f>
        <v>201500137067</v>
      </c>
      <c r="C330" s="3">
        <v>118000</v>
      </c>
      <c r="D330" s="3" t="s">
        <v>1535</v>
      </c>
      <c r="E330" s="3">
        <v>20493368614</v>
      </c>
      <c r="F330" s="3" t="s">
        <v>60</v>
      </c>
      <c r="G330" s="3" t="s">
        <v>61</v>
      </c>
      <c r="H330" s="3" t="s">
        <v>23</v>
      </c>
      <c r="I330" s="3" t="s">
        <v>24</v>
      </c>
      <c r="J330" s="3" t="s">
        <v>43</v>
      </c>
      <c r="K330" s="3" t="s">
        <v>1536</v>
      </c>
      <c r="L330" s="3" t="s">
        <v>1537</v>
      </c>
      <c r="M330" s="3" t="s">
        <v>64</v>
      </c>
      <c r="N330" s="3" t="s">
        <v>65</v>
      </c>
      <c r="O330" s="3">
        <v>1500</v>
      </c>
      <c r="P330" s="3" t="s">
        <v>29</v>
      </c>
      <c r="Q330" s="4">
        <v>42325</v>
      </c>
      <c r="R330" s="3" t="s">
        <v>30</v>
      </c>
      <c r="S330" s="3" t="s">
        <v>66</v>
      </c>
    </row>
    <row r="331" spans="1:19" ht="13.5">
      <c r="A331" s="3">
        <v>325</v>
      </c>
      <c r="B331" s="3" t="str">
        <f>"201800076807"</f>
        <v>201800076807</v>
      </c>
      <c r="C331" s="3">
        <v>136070</v>
      </c>
      <c r="D331" s="3" t="s">
        <v>1538</v>
      </c>
      <c r="E331" s="3">
        <v>20393434105</v>
      </c>
      <c r="F331" s="3" t="s">
        <v>1380</v>
      </c>
      <c r="G331" s="3" t="s">
        <v>1381</v>
      </c>
      <c r="H331" s="3" t="s">
        <v>70</v>
      </c>
      <c r="I331" s="3" t="s">
        <v>71</v>
      </c>
      <c r="J331" s="3" t="s">
        <v>72</v>
      </c>
      <c r="K331" s="3" t="s">
        <v>1539</v>
      </c>
      <c r="L331" s="3" t="s">
        <v>1540</v>
      </c>
      <c r="M331" s="3" t="s">
        <v>75</v>
      </c>
      <c r="N331" s="3" t="s">
        <v>1541</v>
      </c>
      <c r="O331" s="3">
        <v>5616</v>
      </c>
      <c r="P331" s="3" t="s">
        <v>29</v>
      </c>
      <c r="Q331" s="4">
        <v>43230</v>
      </c>
      <c r="R331" s="3" t="s">
        <v>30</v>
      </c>
      <c r="S331" s="3" t="s">
        <v>1384</v>
      </c>
    </row>
    <row r="332" spans="1:19" ht="42">
      <c r="A332" s="3">
        <v>326</v>
      </c>
      <c r="B332" s="3" t="str">
        <f>"201700149768"</f>
        <v>201700149768</v>
      </c>
      <c r="C332" s="3">
        <v>41075</v>
      </c>
      <c r="D332" s="3" t="s">
        <v>1542</v>
      </c>
      <c r="E332" s="3">
        <v>20393303931</v>
      </c>
      <c r="F332" s="3" t="s">
        <v>505</v>
      </c>
      <c r="G332" s="3" t="s">
        <v>901</v>
      </c>
      <c r="H332" s="3" t="s">
        <v>70</v>
      </c>
      <c r="I332" s="3" t="s">
        <v>71</v>
      </c>
      <c r="J332" s="3" t="s">
        <v>513</v>
      </c>
      <c r="K332" s="3" t="s">
        <v>1543</v>
      </c>
      <c r="L332" s="3" t="s">
        <v>1544</v>
      </c>
      <c r="M332" s="3" t="s">
        <v>75</v>
      </c>
      <c r="N332" s="3" t="s">
        <v>1545</v>
      </c>
      <c r="O332" s="3">
        <v>53760</v>
      </c>
      <c r="P332" s="3" t="s">
        <v>784</v>
      </c>
      <c r="Q332" s="4">
        <v>42994</v>
      </c>
      <c r="R332" s="3" t="s">
        <v>30</v>
      </c>
      <c r="S332" s="3" t="s">
        <v>1546</v>
      </c>
    </row>
    <row r="333" spans="1:19" ht="27.75">
      <c r="A333" s="3">
        <v>327</v>
      </c>
      <c r="B333" s="3" t="str">
        <f>"201900126194"</f>
        <v>201900126194</v>
      </c>
      <c r="C333" s="3">
        <v>145667</v>
      </c>
      <c r="D333" s="3" t="s">
        <v>1547</v>
      </c>
      <c r="E333" s="3">
        <v>20541294831</v>
      </c>
      <c r="F333" s="3" t="s">
        <v>171</v>
      </c>
      <c r="G333" s="3" t="s">
        <v>233</v>
      </c>
      <c r="H333" s="3" t="s">
        <v>23</v>
      </c>
      <c r="I333" s="3" t="s">
        <v>24</v>
      </c>
      <c r="J333" s="3" t="s">
        <v>25</v>
      </c>
      <c r="K333" s="3" t="s">
        <v>1548</v>
      </c>
      <c r="L333" s="3" t="s">
        <v>1549</v>
      </c>
      <c r="M333" s="3" t="s">
        <v>50</v>
      </c>
      <c r="N333" s="3" t="s">
        <v>554</v>
      </c>
      <c r="O333" s="3">
        <v>256124.4</v>
      </c>
      <c r="P333" s="3" t="s">
        <v>29</v>
      </c>
      <c r="Q333" s="4">
        <v>43685</v>
      </c>
      <c r="R333" s="3" t="s">
        <v>30</v>
      </c>
      <c r="S333" s="3" t="s">
        <v>129</v>
      </c>
    </row>
    <row r="334" spans="1:19" ht="13.5">
      <c r="A334" s="3">
        <v>328</v>
      </c>
      <c r="B334" s="3" t="str">
        <f>"201500109079"</f>
        <v>201500109079</v>
      </c>
      <c r="C334" s="3">
        <v>117017</v>
      </c>
      <c r="D334" s="3" t="s">
        <v>1550</v>
      </c>
      <c r="E334" s="3">
        <v>20393769115</v>
      </c>
      <c r="F334" s="3" t="s">
        <v>1551</v>
      </c>
      <c r="G334" s="3" t="s">
        <v>1047</v>
      </c>
      <c r="H334" s="3" t="s">
        <v>70</v>
      </c>
      <c r="I334" s="3" t="s">
        <v>71</v>
      </c>
      <c r="J334" s="3" t="s">
        <v>72</v>
      </c>
      <c r="K334" s="3" t="s">
        <v>1552</v>
      </c>
      <c r="L334" s="3" t="s">
        <v>1553</v>
      </c>
      <c r="M334" s="3" t="s">
        <v>75</v>
      </c>
      <c r="N334" s="3"/>
      <c r="O334" s="3">
        <v>8800</v>
      </c>
      <c r="P334" s="3" t="s">
        <v>29</v>
      </c>
      <c r="Q334" s="4">
        <v>42261</v>
      </c>
      <c r="R334" s="3" t="s">
        <v>30</v>
      </c>
      <c r="S334" s="3" t="s">
        <v>1050</v>
      </c>
    </row>
    <row r="335" spans="1:19" ht="13.5">
      <c r="A335" s="3">
        <v>329</v>
      </c>
      <c r="B335" s="3" t="str">
        <f>"1918115"</f>
        <v>1918115</v>
      </c>
      <c r="C335" s="3">
        <v>83989</v>
      </c>
      <c r="D335" s="3" t="s">
        <v>1554</v>
      </c>
      <c r="E335" s="3">
        <v>20493246772</v>
      </c>
      <c r="F335" s="3" t="s">
        <v>1555</v>
      </c>
      <c r="G335" s="3" t="s">
        <v>1556</v>
      </c>
      <c r="H335" s="3" t="s">
        <v>23</v>
      </c>
      <c r="I335" s="3" t="s">
        <v>24</v>
      </c>
      <c r="J335" s="3" t="s">
        <v>25</v>
      </c>
      <c r="K335" s="3" t="s">
        <v>1557</v>
      </c>
      <c r="L335" s="3"/>
      <c r="M335" s="3"/>
      <c r="N335" s="3"/>
      <c r="O335" s="3">
        <v>638866</v>
      </c>
      <c r="P335" s="3" t="s">
        <v>29</v>
      </c>
      <c r="Q335" s="4">
        <v>40053</v>
      </c>
      <c r="R335" s="3" t="s">
        <v>30</v>
      </c>
      <c r="S335" s="3"/>
    </row>
    <row r="336" spans="1:19" ht="13.5">
      <c r="A336" s="3">
        <v>330</v>
      </c>
      <c r="B336" s="3" t="str">
        <f>"201500109077"</f>
        <v>201500109077</v>
      </c>
      <c r="C336" s="3">
        <v>117018</v>
      </c>
      <c r="D336" s="3" t="s">
        <v>1558</v>
      </c>
      <c r="E336" s="3">
        <v>20393769115</v>
      </c>
      <c r="F336" s="3" t="s">
        <v>1559</v>
      </c>
      <c r="G336" s="3" t="s">
        <v>1047</v>
      </c>
      <c r="H336" s="3" t="s">
        <v>70</v>
      </c>
      <c r="I336" s="3" t="s">
        <v>71</v>
      </c>
      <c r="J336" s="3" t="s">
        <v>72</v>
      </c>
      <c r="K336" s="3" t="s">
        <v>1560</v>
      </c>
      <c r="L336" s="3" t="s">
        <v>1561</v>
      </c>
      <c r="M336" s="3" t="s">
        <v>75</v>
      </c>
      <c r="N336" s="3"/>
      <c r="O336" s="3">
        <v>8800</v>
      </c>
      <c r="P336" s="3" t="s">
        <v>29</v>
      </c>
      <c r="Q336" s="4">
        <v>42261</v>
      </c>
      <c r="R336" s="3" t="s">
        <v>30</v>
      </c>
      <c r="S336" s="3" t="s">
        <v>1050</v>
      </c>
    </row>
    <row r="337" spans="1:19" ht="27.75">
      <c r="A337" s="3">
        <v>331</v>
      </c>
      <c r="B337" s="3" t="str">
        <f>"201900111801"</f>
        <v>201900111801</v>
      </c>
      <c r="C337" s="3">
        <v>145189</v>
      </c>
      <c r="D337" s="3" t="s">
        <v>1562</v>
      </c>
      <c r="E337" s="3">
        <v>20393443783</v>
      </c>
      <c r="F337" s="3" t="s">
        <v>518</v>
      </c>
      <c r="G337" s="3" t="s">
        <v>704</v>
      </c>
      <c r="H337" s="3" t="s">
        <v>70</v>
      </c>
      <c r="I337" s="3" t="s">
        <v>71</v>
      </c>
      <c r="J337" s="3" t="s">
        <v>72</v>
      </c>
      <c r="K337" s="3" t="s">
        <v>1563</v>
      </c>
      <c r="L337" s="3" t="s">
        <v>1564</v>
      </c>
      <c r="M337" s="3" t="s">
        <v>75</v>
      </c>
      <c r="N337" s="3" t="s">
        <v>175</v>
      </c>
      <c r="O337" s="3">
        <v>35504</v>
      </c>
      <c r="P337" s="3" t="s">
        <v>29</v>
      </c>
      <c r="Q337" s="4">
        <v>43657</v>
      </c>
      <c r="R337" s="3" t="s">
        <v>30</v>
      </c>
      <c r="S337" s="3" t="s">
        <v>314</v>
      </c>
    </row>
    <row r="338" spans="1:19" ht="13.5">
      <c r="A338" s="3">
        <v>332</v>
      </c>
      <c r="B338" s="3" t="str">
        <f>"201800114008"</f>
        <v>201800114008</v>
      </c>
      <c r="C338" s="3">
        <v>135717</v>
      </c>
      <c r="D338" s="3" t="s">
        <v>1565</v>
      </c>
      <c r="E338" s="3">
        <v>20541211056</v>
      </c>
      <c r="F338" s="3" t="s">
        <v>1566</v>
      </c>
      <c r="G338" s="3" t="s">
        <v>1567</v>
      </c>
      <c r="H338" s="3" t="s">
        <v>23</v>
      </c>
      <c r="I338" s="3" t="s">
        <v>24</v>
      </c>
      <c r="J338" s="3" t="s">
        <v>453</v>
      </c>
      <c r="K338" s="3" t="s">
        <v>1568</v>
      </c>
      <c r="L338" s="3" t="s">
        <v>1569</v>
      </c>
      <c r="M338" s="3" t="s">
        <v>75</v>
      </c>
      <c r="N338" s="3" t="s">
        <v>707</v>
      </c>
      <c r="O338" s="3">
        <v>200000</v>
      </c>
      <c r="P338" s="3" t="s">
        <v>29</v>
      </c>
      <c r="Q338" s="4">
        <v>43295</v>
      </c>
      <c r="R338" s="3" t="s">
        <v>30</v>
      </c>
      <c r="S338" s="3" t="s">
        <v>1570</v>
      </c>
    </row>
    <row r="339" spans="1:19" ht="13.5">
      <c r="A339" s="3">
        <v>333</v>
      </c>
      <c r="B339" s="3" t="str">
        <f>"1806121"</f>
        <v>1806121</v>
      </c>
      <c r="C339" s="3">
        <v>62640</v>
      </c>
      <c r="D339" s="3" t="s">
        <v>1571</v>
      </c>
      <c r="E339" s="3">
        <v>20393334739</v>
      </c>
      <c r="F339" s="3" t="s">
        <v>1572</v>
      </c>
      <c r="G339" s="3" t="s">
        <v>1573</v>
      </c>
      <c r="H339" s="3" t="s">
        <v>23</v>
      </c>
      <c r="I339" s="3" t="s">
        <v>24</v>
      </c>
      <c r="J339" s="3" t="s">
        <v>43</v>
      </c>
      <c r="K339" s="3" t="s">
        <v>1574</v>
      </c>
      <c r="L339" s="3"/>
      <c r="M339" s="3"/>
      <c r="N339" s="3"/>
      <c r="O339" s="3">
        <v>26488</v>
      </c>
      <c r="P339" s="3" t="s">
        <v>29</v>
      </c>
      <c r="Q339" s="4">
        <v>39643</v>
      </c>
      <c r="R339" s="3" t="s">
        <v>30</v>
      </c>
      <c r="S339" s="3"/>
    </row>
    <row r="340" spans="1:19" ht="27.75">
      <c r="A340" s="3">
        <v>334</v>
      </c>
      <c r="B340" s="3" t="str">
        <f>"201500160875"</f>
        <v>201500160875</v>
      </c>
      <c r="C340" s="3">
        <v>118617</v>
      </c>
      <c r="D340" s="3" t="s">
        <v>530</v>
      </c>
      <c r="E340" s="3">
        <v>20280300021</v>
      </c>
      <c r="F340" s="3" t="s">
        <v>53</v>
      </c>
      <c r="G340" s="3" t="s">
        <v>531</v>
      </c>
      <c r="H340" s="3" t="s">
        <v>23</v>
      </c>
      <c r="I340" s="3" t="s">
        <v>24</v>
      </c>
      <c r="J340" s="3" t="s">
        <v>25</v>
      </c>
      <c r="K340" s="3" t="s">
        <v>532</v>
      </c>
      <c r="L340" s="3" t="s">
        <v>533</v>
      </c>
      <c r="M340" s="3" t="s">
        <v>50</v>
      </c>
      <c r="N340" s="3" t="s">
        <v>175</v>
      </c>
      <c r="O340" s="3">
        <v>410018</v>
      </c>
      <c r="P340" s="3" t="s">
        <v>29</v>
      </c>
      <c r="Q340" s="4">
        <v>42366</v>
      </c>
      <c r="R340" s="3" t="s">
        <v>30</v>
      </c>
      <c r="S340" s="3" t="s">
        <v>58</v>
      </c>
    </row>
    <row r="341" spans="1:19" ht="27.75">
      <c r="A341" s="3">
        <v>335</v>
      </c>
      <c r="B341" s="3" t="str">
        <f>"201500137059"</f>
        <v>201500137059</v>
      </c>
      <c r="C341" s="3">
        <v>117997</v>
      </c>
      <c r="D341" s="3" t="s">
        <v>1575</v>
      </c>
      <c r="E341" s="3">
        <v>20493368614</v>
      </c>
      <c r="F341" s="3" t="s">
        <v>60</v>
      </c>
      <c r="G341" s="3" t="s">
        <v>61</v>
      </c>
      <c r="H341" s="3" t="s">
        <v>23</v>
      </c>
      <c r="I341" s="3" t="s">
        <v>24</v>
      </c>
      <c r="J341" s="3" t="s">
        <v>43</v>
      </c>
      <c r="K341" s="3" t="s">
        <v>1576</v>
      </c>
      <c r="L341" s="3" t="s">
        <v>1577</v>
      </c>
      <c r="M341" s="3" t="s">
        <v>64</v>
      </c>
      <c r="N341" s="3" t="s">
        <v>65</v>
      </c>
      <c r="O341" s="3">
        <v>1500</v>
      </c>
      <c r="P341" s="3" t="s">
        <v>29</v>
      </c>
      <c r="Q341" s="4">
        <v>42321</v>
      </c>
      <c r="R341" s="3" t="s">
        <v>30</v>
      </c>
      <c r="S341" s="3" t="s">
        <v>66</v>
      </c>
    </row>
    <row r="342" spans="1:19" ht="13.5">
      <c r="A342" s="3">
        <v>336</v>
      </c>
      <c r="B342" s="3" t="str">
        <f>"1150333"</f>
        <v>1150333</v>
      </c>
      <c r="C342" s="3">
        <v>13189</v>
      </c>
      <c r="D342" s="3">
        <v>1150333</v>
      </c>
      <c r="E342" s="3">
        <v>20103808121</v>
      </c>
      <c r="F342" s="3" t="s">
        <v>41</v>
      </c>
      <c r="G342" s="3" t="s">
        <v>712</v>
      </c>
      <c r="H342" s="3" t="s">
        <v>23</v>
      </c>
      <c r="I342" s="3" t="s">
        <v>24</v>
      </c>
      <c r="J342" s="3" t="s">
        <v>43</v>
      </c>
      <c r="K342" s="3" t="s">
        <v>1578</v>
      </c>
      <c r="L342" s="3"/>
      <c r="M342" s="3"/>
      <c r="N342" s="3"/>
      <c r="O342" s="3">
        <v>120564</v>
      </c>
      <c r="P342" s="3" t="s">
        <v>29</v>
      </c>
      <c r="Q342" s="4">
        <v>36425</v>
      </c>
      <c r="R342" s="3" t="s">
        <v>30</v>
      </c>
      <c r="S342" s="3"/>
    </row>
    <row r="343" spans="1:19" ht="13.5">
      <c r="A343" s="3">
        <v>337</v>
      </c>
      <c r="B343" s="3" t="str">
        <f>"201400013069"</f>
        <v>201400013069</v>
      </c>
      <c r="C343" s="3">
        <v>107792</v>
      </c>
      <c r="D343" s="3" t="s">
        <v>1579</v>
      </c>
      <c r="E343" s="3">
        <v>20528464042</v>
      </c>
      <c r="F343" s="3" t="s">
        <v>1434</v>
      </c>
      <c r="G343" s="3" t="s">
        <v>1580</v>
      </c>
      <c r="H343" s="3" t="s">
        <v>23</v>
      </c>
      <c r="I343" s="3" t="s">
        <v>24</v>
      </c>
      <c r="J343" s="3" t="s">
        <v>43</v>
      </c>
      <c r="K343" s="3" t="s">
        <v>1581</v>
      </c>
      <c r="L343" s="3" t="s">
        <v>1582</v>
      </c>
      <c r="M343" s="3" t="s">
        <v>50</v>
      </c>
      <c r="N343" s="3" t="s">
        <v>115</v>
      </c>
      <c r="O343" s="3">
        <v>500554</v>
      </c>
      <c r="P343" s="3" t="s">
        <v>29</v>
      </c>
      <c r="Q343" s="4">
        <v>41695</v>
      </c>
      <c r="R343" s="3" t="s">
        <v>30</v>
      </c>
      <c r="S343" s="3" t="s">
        <v>116</v>
      </c>
    </row>
    <row r="344" spans="1:19" ht="13.5">
      <c r="A344" s="3">
        <v>338</v>
      </c>
      <c r="B344" s="3" t="str">
        <f>"201900074828"</f>
        <v>201900074828</v>
      </c>
      <c r="C344" s="3">
        <v>117132</v>
      </c>
      <c r="D344" s="3" t="s">
        <v>1583</v>
      </c>
      <c r="E344" s="3">
        <v>20351500132</v>
      </c>
      <c r="F344" s="3" t="s">
        <v>1584</v>
      </c>
      <c r="G344" s="3" t="s">
        <v>1585</v>
      </c>
      <c r="H344" s="3" t="s">
        <v>70</v>
      </c>
      <c r="I344" s="3" t="s">
        <v>71</v>
      </c>
      <c r="J344" s="3" t="s">
        <v>513</v>
      </c>
      <c r="K344" s="3" t="s">
        <v>1586</v>
      </c>
      <c r="L344" s="3" t="s">
        <v>1587</v>
      </c>
      <c r="M344" s="3" t="s">
        <v>75</v>
      </c>
      <c r="N344" s="3"/>
      <c r="O344" s="3">
        <v>42516</v>
      </c>
      <c r="P344" s="3" t="s">
        <v>29</v>
      </c>
      <c r="Q344" s="4">
        <v>43598</v>
      </c>
      <c r="R344" s="3" t="s">
        <v>30</v>
      </c>
      <c r="S344" s="3" t="s">
        <v>1588</v>
      </c>
    </row>
    <row r="345" spans="1:19" ht="13.5">
      <c r="A345" s="3">
        <v>339</v>
      </c>
      <c r="B345" s="3" t="str">
        <f>"201300090035"</f>
        <v>201300090035</v>
      </c>
      <c r="C345" s="3">
        <v>13266</v>
      </c>
      <c r="D345" s="3" t="s">
        <v>1589</v>
      </c>
      <c r="E345" s="3">
        <v>20103912297</v>
      </c>
      <c r="F345" s="3" t="s">
        <v>388</v>
      </c>
      <c r="G345" s="3" t="s">
        <v>977</v>
      </c>
      <c r="H345" s="3" t="s">
        <v>23</v>
      </c>
      <c r="I345" s="3" t="s">
        <v>24</v>
      </c>
      <c r="J345" s="3" t="s">
        <v>43</v>
      </c>
      <c r="K345" s="3" t="s">
        <v>1590</v>
      </c>
      <c r="L345" s="3" t="s">
        <v>1591</v>
      </c>
      <c r="M345" s="3" t="s">
        <v>50</v>
      </c>
      <c r="N345" s="3"/>
      <c r="O345" s="3">
        <v>330034</v>
      </c>
      <c r="P345" s="3" t="s">
        <v>29</v>
      </c>
      <c r="Q345" s="4">
        <v>41464</v>
      </c>
      <c r="R345" s="3" t="s">
        <v>30</v>
      </c>
      <c r="S345" s="3" t="s">
        <v>980</v>
      </c>
    </row>
    <row r="346" spans="1:19" ht="13.5">
      <c r="A346" s="3">
        <v>340</v>
      </c>
      <c r="B346" s="3" t="str">
        <f>"201400023244"</f>
        <v>201400023244</v>
      </c>
      <c r="C346" s="3">
        <v>108130</v>
      </c>
      <c r="D346" s="3" t="s">
        <v>1592</v>
      </c>
      <c r="E346" s="3">
        <v>20541211641</v>
      </c>
      <c r="F346" s="3" t="s">
        <v>1593</v>
      </c>
      <c r="G346" s="3" t="s">
        <v>1594</v>
      </c>
      <c r="H346" s="3" t="s">
        <v>23</v>
      </c>
      <c r="I346" s="3" t="s">
        <v>24</v>
      </c>
      <c r="J346" s="3" t="s">
        <v>43</v>
      </c>
      <c r="K346" s="3" t="s">
        <v>1595</v>
      </c>
      <c r="L346" s="3" t="s">
        <v>1596</v>
      </c>
      <c r="M346" s="3" t="s">
        <v>75</v>
      </c>
      <c r="N346" s="3"/>
      <c r="O346" s="3">
        <v>40283</v>
      </c>
      <c r="P346" s="3" t="s">
        <v>29</v>
      </c>
      <c r="Q346" s="4">
        <v>41709</v>
      </c>
      <c r="R346" s="3" t="s">
        <v>30</v>
      </c>
      <c r="S346" s="3" t="s">
        <v>51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portrait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2020-10-29T21:28:15Z</dcterms:created>
  <dcterms:modified xsi:type="dcterms:W3CDTF">2020-10-29T21:28:15Z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