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1. Medios de Transporte y Distribuidores\"/>
    </mc:Choice>
  </mc:AlternateContent>
  <bookViews>
    <workbookView xWindow="0" yWindow="0" windowWidth="20633" windowHeight="7039"/>
  </bookViews>
  <sheets>
    <sheet name="TransporteGLPenCilindros" sheetId="1" r:id="rId1"/>
  </sheets>
  <calcPr calcId="162913"/>
</workbook>
</file>

<file path=xl/calcChain.xml><?xml version="1.0" encoding="utf-8"?>
<calcChain xmlns="http://schemas.openxmlformats.org/spreadsheetml/2006/main">
  <c r="B3080" i="1" l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<sst xmlns="http://schemas.openxmlformats.org/spreadsheetml/2006/main" count="26739" uniqueCount="11130">
  <si>
    <t>REGISTROS HÁBILES DE TRANSPORTE GLP EN CILINDROS (Actualizado al 29 DE OCTUBRE DE 2020)</t>
  </si>
  <si>
    <t>No</t>
  </si>
  <si>
    <t>EXPEDIENTE</t>
  </si>
  <si>
    <t>CODIGO OSINERGMIN</t>
  </si>
  <si>
    <t>REGISTRO</t>
  </si>
  <si>
    <t>RUC</t>
  </si>
  <si>
    <t>RAZON SOCIAL</t>
  </si>
  <si>
    <t>DIRECCION LEGAL</t>
  </si>
  <si>
    <t>DEPARTAMENTO</t>
  </si>
  <si>
    <t>PROVINCIA</t>
  </si>
  <si>
    <t>DISTRITO</t>
  </si>
  <si>
    <t>PLACA</t>
  </si>
  <si>
    <t>TRACTO 1</t>
  </si>
  <si>
    <t>TRACTO 2</t>
  </si>
  <si>
    <t>TRACTO 3</t>
  </si>
  <si>
    <t>TRACTO 4</t>
  </si>
  <si>
    <t>TRACTO 5</t>
  </si>
  <si>
    <t>TRACTO 6</t>
  </si>
  <si>
    <t>TRACTO 7</t>
  </si>
  <si>
    <t>TRACTO 8</t>
  </si>
  <si>
    <t>TRACTO 9</t>
  </si>
  <si>
    <t>TRACTO 10</t>
  </si>
  <si>
    <t>TRACTO 11</t>
  </si>
  <si>
    <t>TRACTO 12</t>
  </si>
  <si>
    <t>TRACTO 13</t>
  </si>
  <si>
    <t>TRACTO 14</t>
  </si>
  <si>
    <t>TRACTO 15</t>
  </si>
  <si>
    <t>TRACTO 16</t>
  </si>
  <si>
    <t>TRACTO 17</t>
  </si>
  <si>
    <t>TRACTO 18</t>
  </si>
  <si>
    <t>TRACTO 19</t>
  </si>
  <si>
    <t>TRACTO 20</t>
  </si>
  <si>
    <t>TRACTO 21</t>
  </si>
  <si>
    <t>TRACTO 22</t>
  </si>
  <si>
    <t>TRACTO 23</t>
  </si>
  <si>
    <t>TRACTO 24</t>
  </si>
  <si>
    <t>TRACTO 25</t>
  </si>
  <si>
    <t>CAP.AUTORIZADA (kg)</t>
  </si>
  <si>
    <t>FEC. EMISION</t>
  </si>
  <si>
    <t>TÉRMINO DE VIGENCIA</t>
  </si>
  <si>
    <t>REPRESENTANTE</t>
  </si>
  <si>
    <t>0003-CBGL-13-2006</t>
  </si>
  <si>
    <t>INVERSIONES Y SERVICIOS GENERALES FENIX S.R.L</t>
  </si>
  <si>
    <t>JR. AYACUCHO 513. OFICINA. 202</t>
  </si>
  <si>
    <t>LA LIBERTAD</t>
  </si>
  <si>
    <t>TRUJILLO</t>
  </si>
  <si>
    <t>WD-7375</t>
  </si>
  <si>
    <t> 1750</t>
  </si>
  <si>
    <t>FIDEL VEGAS MERINO</t>
  </si>
  <si>
    <t>CIRCUNVALACION MZ. A LOTE 34</t>
  </si>
  <si>
    <t>PIURA</t>
  </si>
  <si>
    <t>PN-1174</t>
  </si>
  <si>
    <t> 400</t>
  </si>
  <si>
    <t>82496-073-020814</t>
  </si>
  <si>
    <t>SERIVICIOS E INVERSIONES GEMINIS S.A.C.</t>
  </si>
  <si>
    <t>AV. LOS ALISOS Nº 553, URB. MICAELA BASTIDAS</t>
  </si>
  <si>
    <t>LIMA</t>
  </si>
  <si>
    <t>LOS OLIVOS</t>
  </si>
  <si>
    <t>F5J-776</t>
  </si>
  <si>
    <t> 2430</t>
  </si>
  <si>
    <t>JUANA PAULA CERNA DE ORELLANA</t>
  </si>
  <si>
    <t>JAIME JULIO SOSA MENDOZA</t>
  </si>
  <si>
    <t>JR. FILADELFIA N° 2931</t>
  </si>
  <si>
    <t>SAN MARTIN DE PORRES</t>
  </si>
  <si>
    <t>OI-3279</t>
  </si>
  <si>
    <t> 700</t>
  </si>
  <si>
    <t>128947-073-310517</t>
  </si>
  <si>
    <t xml:space="preserve">A2 GAS S.A.C. </t>
  </si>
  <si>
    <t xml:space="preserve">MZ. B LOTE 2 AGRUPAMIENTO FAMILIAR CLUB DE TIRO JOSÉ GALVEZ </t>
  </si>
  <si>
    <t>LURIN</t>
  </si>
  <si>
    <t>ASE-729</t>
  </si>
  <si>
    <t> 7850</t>
  </si>
  <si>
    <t>ALFREDO FLORES CONGORA</t>
  </si>
  <si>
    <t>LUIS BOLAÑOS LAZO</t>
  </si>
  <si>
    <t>JR. COLON N° 572</t>
  </si>
  <si>
    <t>PROV. CONST. DEL CALLAO</t>
  </si>
  <si>
    <t>CALLAO</t>
  </si>
  <si>
    <t>PF-4973</t>
  </si>
  <si>
    <t>RITHA YRENE SALAZAR ESCAJADILLO</t>
  </si>
  <si>
    <t>URB. SAN JUAN MACIAS MZ O LOTE 68</t>
  </si>
  <si>
    <t>PB-4612</t>
  </si>
  <si>
    <t> 500</t>
  </si>
  <si>
    <t>PEDRO FERNANDO MARQUEZ TAVARA</t>
  </si>
  <si>
    <t>CALLE ELEAZAR BLANCO N° 147</t>
  </si>
  <si>
    <t>PUEBLO LIBRE</t>
  </si>
  <si>
    <t>PP-8007</t>
  </si>
  <si>
    <t>108875-073-040614</t>
  </si>
  <si>
    <t>FULGAS PLANTA ENVASADORA DE GLP S.A</t>
  </si>
  <si>
    <t>CARRET. HUANUCO TINGO MARIA KM 3.5 MZ D LOTE 12 MIRAFLORES</t>
  </si>
  <si>
    <t>HUANUCO</t>
  </si>
  <si>
    <t>AMARILIS</t>
  </si>
  <si>
    <t>W3N-704</t>
  </si>
  <si>
    <t> 2425</t>
  </si>
  <si>
    <t>TERESA DEL CARMEN MATUTE PALACIOS</t>
  </si>
  <si>
    <t>0005-CBGL-04-2007</t>
  </si>
  <si>
    <t>NATALIA HUACALLO FERIA</t>
  </si>
  <si>
    <t>AV. MANTO No 122 URB. VISTA ALEGRE</t>
  </si>
  <si>
    <t>AREQUIPA</t>
  </si>
  <si>
    <t>CASTILLA</t>
  </si>
  <si>
    <t>ORCOPAMPA</t>
  </si>
  <si>
    <t>WH-9816</t>
  </si>
  <si>
    <t> 4620</t>
  </si>
  <si>
    <t>21445-073-070316</t>
  </si>
  <si>
    <t>ZETA GAS ANDINO S.A.</t>
  </si>
  <si>
    <t>AV. DIAGONAL N° 380 OF. 201</t>
  </si>
  <si>
    <t>MIRAFLORES</t>
  </si>
  <si>
    <t>D1R-978</t>
  </si>
  <si>
    <t> F5K-737</t>
  </si>
  <si>
    <t> D1E-738</t>
  </si>
  <si>
    <t> D5P-914</t>
  </si>
  <si>
    <t> C1R-898</t>
  </si>
  <si>
    <t> D5O-847</t>
  </si>
  <si>
    <t> 14820</t>
  </si>
  <si>
    <t>MIGUEL MONGE ALONSO</t>
  </si>
  <si>
    <t>FREDDY ERNESTO LINARES ANDRADE</t>
  </si>
  <si>
    <t>PROLONGACION MIGUEL GRAU N° 192</t>
  </si>
  <si>
    <t>CARABAYLLO</t>
  </si>
  <si>
    <t>PGO-265</t>
  </si>
  <si>
    <t> 800</t>
  </si>
  <si>
    <t>ISABEL ANTONIETA MEDINA DE SALCEDO</t>
  </si>
  <si>
    <t>AV. SAN LORENZO MZ. H-3 LOTE 16</t>
  </si>
  <si>
    <t>CHORRILLOS</t>
  </si>
  <si>
    <t>PP-5268</t>
  </si>
  <si>
    <t>110031-073-040714</t>
  </si>
  <si>
    <t>ALEX VIDAL CORONADO VELA</t>
  </si>
  <si>
    <t xml:space="preserve">CALLE MISTI 1213 </t>
  </si>
  <si>
    <t>V6R-765</t>
  </si>
  <si>
    <t> 340</t>
  </si>
  <si>
    <t>88530-073-310517</t>
  </si>
  <si>
    <t>EMPRESA DE TRANSPORTES MANUEL JESUS CAMPOS CALLUPE S.R.L.</t>
  </si>
  <si>
    <t>CALLE MINERIA 320. URB. LOS FICUS</t>
  </si>
  <si>
    <t>SANTA ANITA</t>
  </si>
  <si>
    <t>D4M-988</t>
  </si>
  <si>
    <t> ASC-801</t>
  </si>
  <si>
    <t> ASC-849</t>
  </si>
  <si>
    <t> ASC-945</t>
  </si>
  <si>
    <t> ASD-836</t>
  </si>
  <si>
    <t> ASD-913</t>
  </si>
  <si>
    <t> ASF-757</t>
  </si>
  <si>
    <t> 13760</t>
  </si>
  <si>
    <t>JESUS CAMPOS ARIAS</t>
  </si>
  <si>
    <t>148300-073-210120</t>
  </si>
  <si>
    <t>COMERCIALIZADORA ALABRI GAS S.A.C.</t>
  </si>
  <si>
    <t>JIRON LAMBAYEQUE , ZONA F, GRUPO 19, MZ 20, LOTE 01 - SEMI RURAL PACHACUTEC</t>
  </si>
  <si>
    <t>CERRO COLORADO</t>
  </si>
  <si>
    <t xml:space="preserve">V1L-995 </t>
  </si>
  <si>
    <t> V1I-929</t>
  </si>
  <si>
    <t xml:space="preserve"> V8C-711 </t>
  </si>
  <si>
    <t xml:space="preserve"> AAY-927 </t>
  </si>
  <si>
    <t> V9M-910</t>
  </si>
  <si>
    <t> 12500</t>
  </si>
  <si>
    <t>RICHARD ARANZAMENDI ERQUINIGO</t>
  </si>
  <si>
    <t>0009-CBGL-15-2004</t>
  </si>
  <si>
    <t>NOELIA GONZALES VARGAS</t>
  </si>
  <si>
    <t>MZ. K-1 LT. 7 - COOPERATIVA UMAMARCA</t>
  </si>
  <si>
    <t>SAN JUAN DE MIRAFLORES</t>
  </si>
  <si>
    <t>XP-5944</t>
  </si>
  <si>
    <t> 2000</t>
  </si>
  <si>
    <t>0021-CTPGL-15-2005</t>
  </si>
  <si>
    <t>INTI GAS S.A.C. (EMBARGO DE INSCRIPCION RES 0230072965162)</t>
  </si>
  <si>
    <t>AV. LOS FAISANES N° 608 URB. LA CAMPIÑA</t>
  </si>
  <si>
    <t>PIB-658</t>
  </si>
  <si>
    <t> 950</t>
  </si>
  <si>
    <t>97411-073-260712</t>
  </si>
  <si>
    <t>PIURA GAS S.A.C.</t>
  </si>
  <si>
    <t>MZ. 223 LOTE 3, 4, 5 ZONA INDUSTRIAL</t>
  </si>
  <si>
    <t>P2J-909</t>
  </si>
  <si>
    <t> 900</t>
  </si>
  <si>
    <t>FERNANDO MAXIMO VASQUEZ VASQUEZ</t>
  </si>
  <si>
    <t>127440-073-200417</t>
  </si>
  <si>
    <t>SVR DISTRIBUCIONES S.A.C.</t>
  </si>
  <si>
    <t>AV. AVIACION N° 608</t>
  </si>
  <si>
    <t>SAN MARTIN</t>
  </si>
  <si>
    <t>TARAPOTO</t>
  </si>
  <si>
    <t>ABM-994</t>
  </si>
  <si>
    <t> ARQ-923</t>
  </si>
  <si>
    <t> ARR-854</t>
  </si>
  <si>
    <t> 14400</t>
  </si>
  <si>
    <t>SAUL VASQUEZ RUIZ</t>
  </si>
  <si>
    <t>0022-CTPGL-15-2005</t>
  </si>
  <si>
    <t>AV. LOS FAISANES N° 608 URB. LOS FAISANES</t>
  </si>
  <si>
    <t>PIH-188</t>
  </si>
  <si>
    <t>0001-CTPGL-15-2002</t>
  </si>
  <si>
    <t>HIPER GAS S.A.</t>
  </si>
  <si>
    <t>AV. PROLONGACION PRIMAVERA N° 120 A-316</t>
  </si>
  <si>
    <t>SANTIAGO DE SURCO</t>
  </si>
  <si>
    <t>PGH-051</t>
  </si>
  <si>
    <t> 1500</t>
  </si>
  <si>
    <t>92679-073-040611</t>
  </si>
  <si>
    <t>JESHUA OPERADOR LOGISTICO S.A.C.</t>
  </si>
  <si>
    <t>CALLE CALLAO Nº 1002</t>
  </si>
  <si>
    <t>P1P-814</t>
  </si>
  <si>
    <t> 8400</t>
  </si>
  <si>
    <t>WILLIAM RODOLFO CASTRO ARAMBULU</t>
  </si>
  <si>
    <t>0062-CBGL-15-2005</t>
  </si>
  <si>
    <t>XI-1048</t>
  </si>
  <si>
    <t>0063-CBGL-15-2005</t>
  </si>
  <si>
    <t>XG-1431</t>
  </si>
  <si>
    <t> 3390</t>
  </si>
  <si>
    <t>116825-073-250815</t>
  </si>
  <si>
    <t>ENRIQUE ALBERTO CHAVEZ CALDERON</t>
  </si>
  <si>
    <t>ASOCIACION FRANCISCO ANTONIO DE ZELA, MZ D LOTE 10</t>
  </si>
  <si>
    <t>TACNA</t>
  </si>
  <si>
    <t>POCOLLAY</t>
  </si>
  <si>
    <t>C5P-847</t>
  </si>
  <si>
    <t>132942-073-201117</t>
  </si>
  <si>
    <t>CABANA DISTRIBUCIONES Y SERVICIOS E.I.R.L.</t>
  </si>
  <si>
    <t>AV. SALAVERRY N 215</t>
  </si>
  <si>
    <t>CAYLLOMA</t>
  </si>
  <si>
    <t>CHIVAY</t>
  </si>
  <si>
    <t>V9J-889</t>
  </si>
  <si>
    <t> 4950</t>
  </si>
  <si>
    <t>ESTANISLAO FABIAN CABANA QUISPE</t>
  </si>
  <si>
    <t>138991-073-081018</t>
  </si>
  <si>
    <t>NILDA PACOTICONA FELICIANO</t>
  </si>
  <si>
    <t>PASAJE BECERRA # 156, URB. SAN JOAQUIN VIEJO</t>
  </si>
  <si>
    <t>ICA</t>
  </si>
  <si>
    <t>D9A-850</t>
  </si>
  <si>
    <t> 3000</t>
  </si>
  <si>
    <t>0001-CTPGL-21-2004</t>
  </si>
  <si>
    <t>HOGAS S.A.C.</t>
  </si>
  <si>
    <t>JR. SAN ROMAN N° 338-340</t>
  </si>
  <si>
    <t>PUNO</t>
  </si>
  <si>
    <t>SAN ROMAN</t>
  </si>
  <si>
    <t>JULIACA</t>
  </si>
  <si>
    <t>PU-5552</t>
  </si>
  <si>
    <t> 300</t>
  </si>
  <si>
    <t>0002-CBGL-15-2002</t>
  </si>
  <si>
    <t>PROLONGACION PRIMAVERA N° 120 A-316</t>
  </si>
  <si>
    <t>WQ-3535</t>
  </si>
  <si>
    <t> 1600</t>
  </si>
  <si>
    <t>0003-CBGL-15-2002</t>
  </si>
  <si>
    <t>XD-5019</t>
  </si>
  <si>
    <t> 1200</t>
  </si>
  <si>
    <t>109355-073-310514</t>
  </si>
  <si>
    <t>PEDRO CONTRERAS RUEDA</t>
  </si>
  <si>
    <t>AV. SONOMORO S/N</t>
  </si>
  <si>
    <t>JUNIN</t>
  </si>
  <si>
    <t>SATIPO</t>
  </si>
  <si>
    <t>PANGOA</t>
  </si>
  <si>
    <t>D5M-905</t>
  </si>
  <si>
    <t> 6440</t>
  </si>
  <si>
    <t>147696-073-171119</t>
  </si>
  <si>
    <t>TRANS LINARES S.R.L.</t>
  </si>
  <si>
    <t>CALLE PUEBLO DIGNO MZ R LOTE 34 AH SOL NACIENTE</t>
  </si>
  <si>
    <t>LORETO</t>
  </si>
  <si>
    <t>MAYNAS</t>
  </si>
  <si>
    <t>BELEN</t>
  </si>
  <si>
    <t>ACD-818</t>
  </si>
  <si>
    <t> 5180</t>
  </si>
  <si>
    <t>JAIME LINARES ROJAS</t>
  </si>
  <si>
    <t>147695-073-131119</t>
  </si>
  <si>
    <t>MANUEL GUTIERREZ APAZA</t>
  </si>
  <si>
    <t>AV LAS PEÑAS S/N</t>
  </si>
  <si>
    <t>SOCABAYA</t>
  </si>
  <si>
    <t>V8E-933</t>
  </si>
  <si>
    <t> 450</t>
  </si>
  <si>
    <t>96344-073-150316</t>
  </si>
  <si>
    <t>LLAMA GAS S.A.</t>
  </si>
  <si>
    <t>AV. EL POLO Nº 397</t>
  </si>
  <si>
    <t>D5X-849</t>
  </si>
  <si>
    <t> 5320</t>
  </si>
  <si>
    <t>FRANCISCO ANTONIO CACERES ALIAGA</t>
  </si>
  <si>
    <t>0007-CTPGL-15-2006</t>
  </si>
  <si>
    <t>SERVICIOS E INVERSIONES GEMINIS SAC</t>
  </si>
  <si>
    <t xml:space="preserve">AV. LOS ALISOS Nº 553 URB. MICAELA BASTIDAS </t>
  </si>
  <si>
    <t>PIT-326</t>
  </si>
  <si>
    <t> 730</t>
  </si>
  <si>
    <t>93440-073-051011</t>
  </si>
  <si>
    <t>MARCIO FEDOR CORONEL VILLANUEVA</t>
  </si>
  <si>
    <t>JR. FRANCISCO DE ZELA N° 497</t>
  </si>
  <si>
    <t>ANCASH</t>
  </si>
  <si>
    <t>HUARAZ</t>
  </si>
  <si>
    <t>INDEPENDENCIA</t>
  </si>
  <si>
    <t>H1E-828</t>
  </si>
  <si>
    <t>FLAMA GAS S.A.</t>
  </si>
  <si>
    <t>AV. LOS JARDINES ESTE N° 250 URB. LAS FLORES</t>
  </si>
  <si>
    <t>SAN JUAN DE LURIGANCHO</t>
  </si>
  <si>
    <t>XI-1805</t>
  </si>
  <si>
    <t>AV. LOS JARDINES ESTE N° 250 URB LAS FLORES</t>
  </si>
  <si>
    <t>XI-4885</t>
  </si>
  <si>
    <t>JOEL BENJAMIN MORENO LARA</t>
  </si>
  <si>
    <t>JR. SANDIA N° 346</t>
  </si>
  <si>
    <t>PI-4347</t>
  </si>
  <si>
    <t>XI-4886</t>
  </si>
  <si>
    <t>XI-4884</t>
  </si>
  <si>
    <t>105956-073-221013</t>
  </si>
  <si>
    <t>LELY SPECIAL CORPORATION S.A.C.</t>
  </si>
  <si>
    <t>PASAJE LOS PINOS N° 190 PISO 16</t>
  </si>
  <si>
    <t>F3H-875</t>
  </si>
  <si>
    <t>-</t>
  </si>
  <si>
    <t>CARLOS ARTURO GOMEZ LAZO</t>
  </si>
  <si>
    <t>124564-073-261016</t>
  </si>
  <si>
    <t xml:space="preserve">VIRGINIA FERNANDEZ AROSTE </t>
  </si>
  <si>
    <t>CALLE TUPAC YUPANQUI N° 671</t>
  </si>
  <si>
    <t>V5B-867</t>
  </si>
  <si>
    <t> 9005</t>
  </si>
  <si>
    <t>56045-073-020814</t>
  </si>
  <si>
    <t>SERVICIOS E INVERSIONES GEMINIS S.A.C.</t>
  </si>
  <si>
    <t>F5E-786</t>
  </si>
  <si>
    <t> 2140</t>
  </si>
  <si>
    <t>0005-CBGL-13-2006</t>
  </si>
  <si>
    <t>OSCAR GUSTAVO RODRIGUEZ HERRERA</t>
  </si>
  <si>
    <t>CALLE TUPAC AMARU N 593</t>
  </si>
  <si>
    <t>HUANCHACO</t>
  </si>
  <si>
    <t>WC-9644</t>
  </si>
  <si>
    <t> 5000</t>
  </si>
  <si>
    <t>SEVERINO MALCA RODRIGUEZ</t>
  </si>
  <si>
    <t>AV. JOSE CARLOS MARIATEGUI N° 2339</t>
  </si>
  <si>
    <t>EL AGUSTINO</t>
  </si>
  <si>
    <t>PI-4938</t>
  </si>
  <si>
    <t>JULIO CESAR HUERTAS NAPURI</t>
  </si>
  <si>
    <t>UNIDAD VECINAL MATUTE BLOCK 40-J</t>
  </si>
  <si>
    <t>LA VICTORIA</t>
  </si>
  <si>
    <t>PGO-262</t>
  </si>
  <si>
    <t>45158-073-230813</t>
  </si>
  <si>
    <t>TRANSPORTES AYANNA S.A.C.</t>
  </si>
  <si>
    <t>MZ. P2 LOTE 27 RESIDENCIAL MAGISTERIAL</t>
  </si>
  <si>
    <t>LAMBAYEQUE</t>
  </si>
  <si>
    <t>CHICLAYO</t>
  </si>
  <si>
    <t>M3O-806</t>
  </si>
  <si>
    <t> 3500</t>
  </si>
  <si>
    <t>JIMY KENETH LOPEZ DEL CASTILLO</t>
  </si>
  <si>
    <t>0008-CBGL-04-2006</t>
  </si>
  <si>
    <t>ELISA ELVIRA ERQUINIGO PEREDA</t>
  </si>
  <si>
    <t>CALLE WASHINGTON 204-A</t>
  </si>
  <si>
    <t>JACOBO HUNTER</t>
  </si>
  <si>
    <t>XH-2681</t>
  </si>
  <si>
    <t>0096-CTPGL-15-2001</t>
  </si>
  <si>
    <t>VICITACION CARHUARICRA USURIAGA</t>
  </si>
  <si>
    <t>AV. ARRIBA PERU N° 553</t>
  </si>
  <si>
    <t>VILLA EL SALVADOR</t>
  </si>
  <si>
    <t>PF-3668</t>
  </si>
  <si>
    <t>134411-073-070218</t>
  </si>
  <si>
    <t xml:space="preserve">LLAMA GAS S.A. </t>
  </si>
  <si>
    <t xml:space="preserve">AV. EL POLO N° 397 </t>
  </si>
  <si>
    <t>AUV-894</t>
  </si>
  <si>
    <t> 2520</t>
  </si>
  <si>
    <t>0004-CBGL-04-2010</t>
  </si>
  <si>
    <t>TRANSPORTES CANAZAS S.R.LTDA</t>
  </si>
  <si>
    <t>AV. JESUS 1601</t>
  </si>
  <si>
    <t>PAUCARPATA</t>
  </si>
  <si>
    <t>XU-5342</t>
  </si>
  <si>
    <t> 7690</t>
  </si>
  <si>
    <t>140918-073-290119</t>
  </si>
  <si>
    <t>INVERSIONES MONTAÑITA VERDE E.I.R.L.</t>
  </si>
  <si>
    <t>JR. RUBEN CALLEGARI N°591</t>
  </si>
  <si>
    <t>AXH-891</t>
  </si>
  <si>
    <t>IDA ISABELCONTRERAS VICTORIO</t>
  </si>
  <si>
    <t>0001-CTPGL-21-2005</t>
  </si>
  <si>
    <t>AMANDA GONZALES GONZALES</t>
  </si>
  <si>
    <t>URB. LA RINCONADA III ETAPA MZ. G LOTE 5</t>
  </si>
  <si>
    <t>PU-6638</t>
  </si>
  <si>
    <t> 250</t>
  </si>
  <si>
    <t>0002-CBGL-06-2004</t>
  </si>
  <si>
    <t>REGULO CARHUAJULCA VASQUEZ</t>
  </si>
  <si>
    <t>AV. TUPAC AMARU N° 828</t>
  </si>
  <si>
    <t>CAJAMARCA</t>
  </si>
  <si>
    <t>HUALGAYOC</t>
  </si>
  <si>
    <t>BAMBAMARCA</t>
  </si>
  <si>
    <t>WD-7577</t>
  </si>
  <si>
    <t>ALFONSO CUEVA CALDERON</t>
  </si>
  <si>
    <t>AV. SANTA MARIA N° 248</t>
  </si>
  <si>
    <t>ATE</t>
  </si>
  <si>
    <t>WD-4350</t>
  </si>
  <si>
    <t>138086-073-200818</t>
  </si>
  <si>
    <t>SERVICIOS EN OPERACIONES LOGISTICAS DE HIDROCARBUROS Y MERCANCIAS S.A.C.</t>
  </si>
  <si>
    <t>CALLE 1 MZ. B LOTE 21, URB. SANTA ROSITA DE ATE I ETAPA</t>
  </si>
  <si>
    <t>B1O-970</t>
  </si>
  <si>
    <t> C1Z-770</t>
  </si>
  <si>
    <t> C5Q-752</t>
  </si>
  <si>
    <t> 13440</t>
  </si>
  <si>
    <t>WALTER INCHE BARRETO</t>
  </si>
  <si>
    <t>METRO GAS S.A.C.</t>
  </si>
  <si>
    <t>JR. HUANCABAMBA MZ. A LOTE 12 ZONA INDUSTRIAL</t>
  </si>
  <si>
    <t>XQ-1110</t>
  </si>
  <si>
    <t>XI-4887</t>
  </si>
  <si>
    <t>128069-073-190617</t>
  </si>
  <si>
    <t>TVOLUTION SAC</t>
  </si>
  <si>
    <t xml:space="preserve">CALLE TUTUPACA Nª 273- URB. MARANGA </t>
  </si>
  <si>
    <t>SAN MIGUEL</t>
  </si>
  <si>
    <t>C9F-523</t>
  </si>
  <si>
    <t>ROBERT GONZALO PINTO FLORES</t>
  </si>
  <si>
    <t>146562-073-260919</t>
  </si>
  <si>
    <t>DISTRIBUIDORA GLP SEÑOR DE HUANCA E.I.R.L.</t>
  </si>
  <si>
    <t>JR. CIRO ALEGRIA N°1030</t>
  </si>
  <si>
    <t>AYACUCHO</t>
  </si>
  <si>
    <t>HUAMANGA</t>
  </si>
  <si>
    <t>JESUS NAZARENO</t>
  </si>
  <si>
    <t>ANA-979</t>
  </si>
  <si>
    <t> BAJ-861</t>
  </si>
  <si>
    <t>CANDELARIA YOLANDA INFANZON QUINTANILLA</t>
  </si>
  <si>
    <t>134977-073-190318</t>
  </si>
  <si>
    <t>LUIS WILMER PALOMINO GONZALES</t>
  </si>
  <si>
    <t>JR AGUAYTIA MZ 24, LT 06</t>
  </si>
  <si>
    <t>UCAYALI</t>
  </si>
  <si>
    <t>CORONEL PORTILLO</t>
  </si>
  <si>
    <t>YARINACOCHA</t>
  </si>
  <si>
    <t>AVM-798</t>
  </si>
  <si>
    <t> 10000</t>
  </si>
  <si>
    <t>86913-073-2010</t>
  </si>
  <si>
    <t>RAUL ALFREDO TORRES SANTIVAÑEZ</t>
  </si>
  <si>
    <t>PUEBLO J. EX-FUNDO MARQUEZ MZ. 57 LT. 12</t>
  </si>
  <si>
    <t>W1F-846</t>
  </si>
  <si>
    <t> 4250</t>
  </si>
  <si>
    <t>118614-073-170817</t>
  </si>
  <si>
    <t>DISTRIBUIDORA DE GAS DEL NORORIENTE S.A.C.</t>
  </si>
  <si>
    <t xml:space="preserve">JR. LIMATAMBO N° 502 </t>
  </si>
  <si>
    <t>S1T-869</t>
  </si>
  <si>
    <t xml:space="preserve">WILLY EZEQUIEL NAJAR BENITES </t>
  </si>
  <si>
    <t>0036-CBGL-15-2004</t>
  </si>
  <si>
    <t>GINO EDUARDO ENRIQUEZ TORRES</t>
  </si>
  <si>
    <t>JR. BELLO HORIZONTE N° 2265</t>
  </si>
  <si>
    <t>XQ-3317</t>
  </si>
  <si>
    <t>108904-073-110414</t>
  </si>
  <si>
    <t>CARLOS AMILCAR TEJADA MIRANDA</t>
  </si>
  <si>
    <t>AV. ARGENTINA N°1455</t>
  </si>
  <si>
    <t>MARIANO MELGAR</t>
  </si>
  <si>
    <t>V5W-948</t>
  </si>
  <si>
    <t> 240</t>
  </si>
  <si>
    <t>GISELLA MARIEL PIZARRO GUERRERO</t>
  </si>
  <si>
    <t>URB. SANTA ROSA MZ. G LOTE 16</t>
  </si>
  <si>
    <t>CAÑETE</t>
  </si>
  <si>
    <t>SAN VICENTE DE CAÑETE</t>
  </si>
  <si>
    <t>PO-9176</t>
  </si>
  <si>
    <t> 380</t>
  </si>
  <si>
    <t>96332-073-280316</t>
  </si>
  <si>
    <t>D5R-824</t>
  </si>
  <si>
    <t> 5800</t>
  </si>
  <si>
    <t>0072-CTPGL-15-2006</t>
  </si>
  <si>
    <t>J &amp; J SERVICES TRANSPORTES Y SERVICIOS GENERALES S.A.C.</t>
  </si>
  <si>
    <t xml:space="preserve">CALLE JORGE EZETA N° 425 2DO. PISO </t>
  </si>
  <si>
    <t>SAN BORJA</t>
  </si>
  <si>
    <t>PIX-586</t>
  </si>
  <si>
    <t> 745</t>
  </si>
  <si>
    <t>0114-CBGL-15-2009</t>
  </si>
  <si>
    <t>HUARO OPERADOR LOGISTICO S.A.C.</t>
  </si>
  <si>
    <t>AV. SOSA PELAEZ Nº 1111, BLOCK 6, DPTO Nº 106</t>
  </si>
  <si>
    <t>ZI-4624</t>
  </si>
  <si>
    <t> YI-1718</t>
  </si>
  <si>
    <t> 13000</t>
  </si>
  <si>
    <t>134412-073-070218</t>
  </si>
  <si>
    <t>AUT-809</t>
  </si>
  <si>
    <t>0006-CBGL-08-2008</t>
  </si>
  <si>
    <t>JULIO CESAR MOGROVEJO ARANZAMENDI</t>
  </si>
  <si>
    <t>SAN JUAN DE MASIAS DE VERSALLES A-4</t>
  </si>
  <si>
    <t>CUSCO</t>
  </si>
  <si>
    <t>SAN JERONIMO</t>
  </si>
  <si>
    <t>XU-3433</t>
  </si>
  <si>
    <t> 6160</t>
  </si>
  <si>
    <t>44591-073-020317</t>
  </si>
  <si>
    <t>AV. EL POLO N° 397</t>
  </si>
  <si>
    <t>F5O-814</t>
  </si>
  <si>
    <t> 1667</t>
  </si>
  <si>
    <t>127821-073-160617</t>
  </si>
  <si>
    <t>DISTRIBUIDORA DE GAS DEL NOR ORIENTE S.A.C.</t>
  </si>
  <si>
    <t>JR. LIMATAMBO N° 502</t>
  </si>
  <si>
    <t>T5C-970</t>
  </si>
  <si>
    <t> F1O-822</t>
  </si>
  <si>
    <t> 15680</t>
  </si>
  <si>
    <t>WILLY EZEQUIEL NAJAR BENITES</t>
  </si>
  <si>
    <t>0083-CBGL-15-2005</t>
  </si>
  <si>
    <t>CESAR AUGUSTO MONRROY ARROYO</t>
  </si>
  <si>
    <t>CALLE HUGO ESPINOZA N° 156 URB. CARLOS CUETO FERNANDINI</t>
  </si>
  <si>
    <t>XF-1118</t>
  </si>
  <si>
    <t>0001-CBGL-05-2006</t>
  </si>
  <si>
    <t>JUANA BERTHA PILLACA PAREJA</t>
  </si>
  <si>
    <t xml:space="preserve">JR MARIANO MELGAL 768 </t>
  </si>
  <si>
    <t>ZG-2546</t>
  </si>
  <si>
    <t> YG-9342</t>
  </si>
  <si>
    <t> 15000</t>
  </si>
  <si>
    <t>43270-073-010814</t>
  </si>
  <si>
    <t>F5F-781</t>
  </si>
  <si>
    <t> 2240</t>
  </si>
  <si>
    <t>0029-CBGL-15-2003</t>
  </si>
  <si>
    <t>COOPERATIVA UMAMARCA MZ. K-1 LOTE 7</t>
  </si>
  <si>
    <t>WK-4135</t>
  </si>
  <si>
    <t> 1050</t>
  </si>
  <si>
    <t>83229-073-270516</t>
  </si>
  <si>
    <t>TRANSPORTES EFRAIN ANDRADE S.A.C.</t>
  </si>
  <si>
    <t>PRLG LA MAR 121 - URB EL RETABLO - 1RA ETAPA</t>
  </si>
  <si>
    <t>COMAS</t>
  </si>
  <si>
    <t>D4T-994</t>
  </si>
  <si>
    <t> YI-1332</t>
  </si>
  <si>
    <t> A6B-924</t>
  </si>
  <si>
    <t> 13120</t>
  </si>
  <si>
    <t xml:space="preserve">EFRAIN NICOMEDES ANDRADE ELCORROBARRUTIA </t>
  </si>
  <si>
    <t>0001-CBGL-25-2003</t>
  </si>
  <si>
    <t>TAURUS SERVICE Y COMERCIALIZACVION E.I.R.L.</t>
  </si>
  <si>
    <t>JR. ARENAL N° 325</t>
  </si>
  <si>
    <t>CALLERIA</t>
  </si>
  <si>
    <t>XO-3070</t>
  </si>
  <si>
    <t>106404-073-310514</t>
  </si>
  <si>
    <t>TRANSPORTE SEÑOR DE LA MONTAÑA SRL.</t>
  </si>
  <si>
    <t>CALLE CRUZ DE CHALPON N° 324 URB LATINA</t>
  </si>
  <si>
    <t>JOSE LEONARDO ORTIZ</t>
  </si>
  <si>
    <t>D8J-999</t>
  </si>
  <si>
    <t> B5A-736</t>
  </si>
  <si>
    <t> 13400</t>
  </si>
  <si>
    <t xml:space="preserve">RAFAEL SEGUNDO JULIAN MELENDEZ </t>
  </si>
  <si>
    <t>0151-CBGL-15-2001</t>
  </si>
  <si>
    <t>CHRISTIAN EDWARD LEON HUAMANLEONHUAMAN</t>
  </si>
  <si>
    <t>AA.HH. REPUBLICA ALEMANA MZ. B LOTE 15</t>
  </si>
  <si>
    <t>XQ-3176</t>
  </si>
  <si>
    <t> 2100</t>
  </si>
  <si>
    <t>97374-073-071213</t>
  </si>
  <si>
    <t>EMPRESA SANTO TORIBIO S.A.C.</t>
  </si>
  <si>
    <t>AV. AMERICA SUR N° 360</t>
  </si>
  <si>
    <t>T5G-989</t>
  </si>
  <si>
    <t> T5T-893</t>
  </si>
  <si>
    <t> T3O-945</t>
  </si>
  <si>
    <t> T3O-946</t>
  </si>
  <si>
    <t> 12000</t>
  </si>
  <si>
    <t>WAGNER RICARDO DOMINGUEZ MENDIETA</t>
  </si>
  <si>
    <t>121041-073-100317</t>
  </si>
  <si>
    <t xml:space="preserve">LLAMA GAS PUCALLPA S.A. </t>
  </si>
  <si>
    <t xml:space="preserve">AV. ARBORIZACION S/N CDRA 1 </t>
  </si>
  <si>
    <t>ALV-742</t>
  </si>
  <si>
    <t> 1780</t>
  </si>
  <si>
    <t>CACERES ALIAGA FRANCISCO ANTONIO</t>
  </si>
  <si>
    <t>127439-073-200417</t>
  </si>
  <si>
    <t>ABM-995</t>
  </si>
  <si>
    <t>JUAN A. MUSALLON QUISPE</t>
  </si>
  <si>
    <t>PSJE. LAS MANDARINAS N° 151 EL ERMITAÑO</t>
  </si>
  <si>
    <t>PGC-491</t>
  </si>
  <si>
    <t> 750</t>
  </si>
  <si>
    <t>0005-CTPGL-15-2010</t>
  </si>
  <si>
    <t>INVERSIONES MEJIA CALDERON S.A.C.</t>
  </si>
  <si>
    <t xml:space="preserve">LOTIZACION LEONCIO PRADO MZ.N LT.186 </t>
  </si>
  <si>
    <t>PUENTE PIEDRA</t>
  </si>
  <si>
    <t>OO-7084</t>
  </si>
  <si>
    <t>0001-CBGL-20-2005</t>
  </si>
  <si>
    <t>CLORINDA SAAVEDRA CALDERON</t>
  </si>
  <si>
    <t>AV. GRAU N° 1007</t>
  </si>
  <si>
    <t>WB-6577</t>
  </si>
  <si>
    <t>MAXIMO HENRY AZPILCUETA HUAPAYA</t>
  </si>
  <si>
    <t>MZ. 34 LOTE 28 4TA. ETAPA PACHACAMAC</t>
  </si>
  <si>
    <t>XG-4074</t>
  </si>
  <si>
    <t> 1700</t>
  </si>
  <si>
    <t>42225-073-070613</t>
  </si>
  <si>
    <t>LOGISTICA Y TRANSPORTES ALFA S.A.</t>
  </si>
  <si>
    <t>CALLE DIEGO FERRE N° 130</t>
  </si>
  <si>
    <t>A9W-811</t>
  </si>
  <si>
    <t>EDUARDO GUSTAVO LEBRUN ASPILLAGA</t>
  </si>
  <si>
    <t>0002-CBGL-25-2003</t>
  </si>
  <si>
    <t>XY-2130</t>
  </si>
  <si>
    <t> 1000</t>
  </si>
  <si>
    <t>0003-CBGL-25-2003</t>
  </si>
  <si>
    <t>XY-2131</t>
  </si>
  <si>
    <t>94655-073-291114</t>
  </si>
  <si>
    <t>COSTA GAS CHIMBOTE S.A.C.</t>
  </si>
  <si>
    <t>PUEBLO JOVEN VILLA MARIA MZ. G LOTE 2-6</t>
  </si>
  <si>
    <t>SANTA</t>
  </si>
  <si>
    <t>NUEVO CHIMBOTE</t>
  </si>
  <si>
    <t>A0X-942</t>
  </si>
  <si>
    <t> 3940</t>
  </si>
  <si>
    <t>LUIS FEDERICO VASQUEZ WONG</t>
  </si>
  <si>
    <t>41401-073-070613</t>
  </si>
  <si>
    <t xml:space="preserve">CALLE DIEGO FERRE N° 130 </t>
  </si>
  <si>
    <t>C2N-811</t>
  </si>
  <si>
    <t>134410-073-070218</t>
  </si>
  <si>
    <t>AUT-907</t>
  </si>
  <si>
    <t> 8120</t>
  </si>
  <si>
    <t>105383-073-250913</t>
  </si>
  <si>
    <t>NEGOCIOS Y SERVICIOS ANFERD C&amp;J E.I.R.L.</t>
  </si>
  <si>
    <t>JR. 22 DE OCTUBRE N° 1729</t>
  </si>
  <si>
    <t>CUTERVO</t>
  </si>
  <si>
    <t>C2Y-879</t>
  </si>
  <si>
    <t> 3200</t>
  </si>
  <si>
    <t>ELENA BEATRIZ JULCA CABRERA DE CENTURION</t>
  </si>
  <si>
    <t>WALTER FARFAN REA</t>
  </si>
  <si>
    <t>JR. INCA N° 973</t>
  </si>
  <si>
    <t>SURQUILLO</t>
  </si>
  <si>
    <t>NO-9669</t>
  </si>
  <si>
    <t> 200</t>
  </si>
  <si>
    <t>129168-073-200617</t>
  </si>
  <si>
    <t>TVOLUTION S.A.C.</t>
  </si>
  <si>
    <t>CALLE TUTUPACA N° 273</t>
  </si>
  <si>
    <t>B6E-769</t>
  </si>
  <si>
    <t> 735</t>
  </si>
  <si>
    <t xml:space="preserve">ROBERT GONZALO PINTO FLORES </t>
  </si>
  <si>
    <t>0002-CTPGL-20-2005</t>
  </si>
  <si>
    <t>PGX-185</t>
  </si>
  <si>
    <t> 850</t>
  </si>
  <si>
    <t>114111-073-230315</t>
  </si>
  <si>
    <t>EDGAR VILLACREZ SALAZAR</t>
  </si>
  <si>
    <t>AV. AEROPUERTO N° 181</t>
  </si>
  <si>
    <t>AMAZONAS</t>
  </si>
  <si>
    <t>CHACHAPOYAS</t>
  </si>
  <si>
    <t>B8B-702</t>
  </si>
  <si>
    <t>114392-073-170817</t>
  </si>
  <si>
    <t>B8U-940</t>
  </si>
  <si>
    <t> 9500</t>
  </si>
  <si>
    <t>JORGE CIRO FERIA SANCHEZ</t>
  </si>
  <si>
    <t>AV. BUENOS AIRES MZ. 12 LOTE 35</t>
  </si>
  <si>
    <t>PB-1381</t>
  </si>
  <si>
    <t>0068-CBGL-15-2005</t>
  </si>
  <si>
    <t>CALLE HUGO ESPINOZA N° 156 URB. CUETO FERNANDINI</t>
  </si>
  <si>
    <t>XI-1182</t>
  </si>
  <si>
    <t>0037-CBGL-15-2006</t>
  </si>
  <si>
    <t>CALLE HUGO ESPINOZA Nº 1566 URB. CARLOS CUETO FERNANDINI</t>
  </si>
  <si>
    <t>WO-2821</t>
  </si>
  <si>
    <t> 4000</t>
  </si>
  <si>
    <t>105602-073-190214</t>
  </si>
  <si>
    <t>TRANSPORTES LUZCAR E.I.R.L.</t>
  </si>
  <si>
    <t>AV. ANDRES AVELINO CACERES MZ. C LOTE 22 - ALTO LA ALIANZA</t>
  </si>
  <si>
    <t>V3X-759</t>
  </si>
  <si>
    <t> 1680</t>
  </si>
  <si>
    <t>LUZBELIA MAMANI LIMA</t>
  </si>
  <si>
    <t>113238-073-170115</t>
  </si>
  <si>
    <t>GRUPO EL MORADITO SAC</t>
  </si>
  <si>
    <t>URB. LOS DELFINES B-4</t>
  </si>
  <si>
    <t>CORONEL GREGORIO ALBARRACIN LANCHIPA</t>
  </si>
  <si>
    <t>Z5V-775</t>
  </si>
  <si>
    <t> 350</t>
  </si>
  <si>
    <t>EDWIN ROBERTO MENDOZA QUISPE</t>
  </si>
  <si>
    <t>123657-073-140916</t>
  </si>
  <si>
    <t>CORPORACION SANCAYO S.A.C.</t>
  </si>
  <si>
    <t xml:space="preserve">AV MARGINAL 151 URB JAVIER PRADO VI ETAPA </t>
  </si>
  <si>
    <t>B5R-987</t>
  </si>
  <si>
    <t> F3T-799</t>
  </si>
  <si>
    <t> 12160</t>
  </si>
  <si>
    <t>NESTOR DAVID CAYO MAMANI</t>
  </si>
  <si>
    <t>117373-073-301115</t>
  </si>
  <si>
    <t>ZONA INDUSTRIAL MZ. 223 LOTES 3, 4, 5.</t>
  </si>
  <si>
    <t>P1O-939</t>
  </si>
  <si>
    <t>ANA AMELIA VASQUEZ WONG</t>
  </si>
  <si>
    <t>97532-073-230712</t>
  </si>
  <si>
    <t>OFELIA SEBASTIANA MEDINA TTITO</t>
  </si>
  <si>
    <t>JR OCOÑA, MZ. Q, LOTE 2B - URB. AEROPUERTO</t>
  </si>
  <si>
    <t>B6I-878</t>
  </si>
  <si>
    <t>FELIPE ROMERO ATOCCSA</t>
  </si>
  <si>
    <t>SECTOR 9 GRUPO 1 MZ. D LOTE 16</t>
  </si>
  <si>
    <t>PGN-030</t>
  </si>
  <si>
    <t> 600</t>
  </si>
  <si>
    <t>0000042-PIU</t>
  </si>
  <si>
    <t>MANUEL SABA TUME</t>
  </si>
  <si>
    <t>CALLE 3-35 TALARA ALTA</t>
  </si>
  <si>
    <t>TALARA</t>
  </si>
  <si>
    <t>PARIÑAS</t>
  </si>
  <si>
    <t>OG-3967</t>
  </si>
  <si>
    <t>0000017-HCO</t>
  </si>
  <si>
    <t>FULGAS PLANTA ENVASADORA DE GLP S.A.</t>
  </si>
  <si>
    <t>MZ. D LOTE 12 MIRAFLORES</t>
  </si>
  <si>
    <t>WM-3317</t>
  </si>
  <si>
    <t> 1100</t>
  </si>
  <si>
    <t>0000018-HCO</t>
  </si>
  <si>
    <t>WM-3290</t>
  </si>
  <si>
    <t>0000019-HCO</t>
  </si>
  <si>
    <t>WM-3291</t>
  </si>
  <si>
    <t>0023-CTPGL-15-2004</t>
  </si>
  <si>
    <t>REPSOL YPF COMERCIAL DEL PERU S.A.</t>
  </si>
  <si>
    <t>AV. VICTOR ANDRES BELAUNDE N° 147 VIA PRINCIPAL N° 110- TORRE REAL V - PISO 6</t>
  </si>
  <si>
    <t>SAN ISIDRO</t>
  </si>
  <si>
    <t>PIK-073</t>
  </si>
  <si>
    <t> 945</t>
  </si>
  <si>
    <t>131456-073-040917</t>
  </si>
  <si>
    <t>ROSA AMANDA FLORES PASMIÑO</t>
  </si>
  <si>
    <t>JR. LIBERTAD N° 1144</t>
  </si>
  <si>
    <t>IQUITOS</t>
  </si>
  <si>
    <t>W1F-935</t>
  </si>
  <si>
    <t>LUIS ENRIQUE ALOR VILLARREAL</t>
  </si>
  <si>
    <t>AV. ECHENIQUE N° 570</t>
  </si>
  <si>
    <t>HUAURA</t>
  </si>
  <si>
    <t>HUACHO</t>
  </si>
  <si>
    <t>PGK-395</t>
  </si>
  <si>
    <t>121975-073-130616</t>
  </si>
  <si>
    <t xml:space="preserve">REPARTO PERU S.A.C. </t>
  </si>
  <si>
    <t xml:space="preserve">CALLE MINERIA N° 320 URB. LOS FICUS </t>
  </si>
  <si>
    <t>AMA-860</t>
  </si>
  <si>
    <t> 6887</t>
  </si>
  <si>
    <t>GUSTAVO CAMPOS ARIAS</t>
  </si>
  <si>
    <t>0000040-PIU</t>
  </si>
  <si>
    <t>ANGEL YARLEQUE INGA</t>
  </si>
  <si>
    <t>AA. HH. 28 DE JULIO MZ. H LOTE 5 TALARA ALTA</t>
  </si>
  <si>
    <t>PB-1104</t>
  </si>
  <si>
    <t>0026-CTPGL-15-2004</t>
  </si>
  <si>
    <t>AV. VICTOR ANDRES BELAUNDE N° 147 TORRE 5 PISO 6</t>
  </si>
  <si>
    <t>PGJ-901</t>
  </si>
  <si>
    <t> 390</t>
  </si>
  <si>
    <t>0000041-PIU</t>
  </si>
  <si>
    <t>PB-5775</t>
  </si>
  <si>
    <t>GIULIANA BELAUNDE LOSSIO</t>
  </si>
  <si>
    <t>MALECON CISNEROS N° 1268 DPTO. 1203</t>
  </si>
  <si>
    <t>PGH-820</t>
  </si>
  <si>
    <t>0007-CTPGL-04-2002</t>
  </si>
  <si>
    <t>SUSANA PINTO DE GUILLEN</t>
  </si>
  <si>
    <t>AV. PIZARRO N° 161-A</t>
  </si>
  <si>
    <t>CHARACATO</t>
  </si>
  <si>
    <t>OH-4515</t>
  </si>
  <si>
    <t>121974-073-130616</t>
  </si>
  <si>
    <t>AMB-903</t>
  </si>
  <si>
    <t>94178-073-171011</t>
  </si>
  <si>
    <t>REPARTO PERU S.A.C.</t>
  </si>
  <si>
    <t>CALLE MINERIA N° 320 URB. LOS FICUS</t>
  </si>
  <si>
    <t>C4N-802</t>
  </si>
  <si>
    <t> 4580</t>
  </si>
  <si>
    <t>89630-073-2010</t>
  </si>
  <si>
    <t>JOSÉ MARTÍN VASQUEZ CARRASCO</t>
  </si>
  <si>
    <t>AV. PACHACUTEC MZ. B LT. 2 - PARQUE INDUSTRIAL</t>
  </si>
  <si>
    <t>B2C-832</t>
  </si>
  <si>
    <t> 870</t>
  </si>
  <si>
    <t>0005-CTPGL-04-2002</t>
  </si>
  <si>
    <t>ZANABRIA OJEDA E.I.R.L.</t>
  </si>
  <si>
    <t>AV. AREQUIPA N° 619</t>
  </si>
  <si>
    <t>ALTO SELVA ALEGRE</t>
  </si>
  <si>
    <t>OH-4284</t>
  </si>
  <si>
    <t> 460</t>
  </si>
  <si>
    <t>991109-ARE</t>
  </si>
  <si>
    <t>TRANSPORTES ESCOBAR E.I.R.L.</t>
  </si>
  <si>
    <t>URB. LAS CANTERAS K-1</t>
  </si>
  <si>
    <t>PK-5072</t>
  </si>
  <si>
    <t>86695-073-2010</t>
  </si>
  <si>
    <t>ANTA GAS DE LIMA S.R.L.</t>
  </si>
  <si>
    <t>AV.NUEVO HORIZONTE MZ. E,LT.9, URB. NUEVO HORIZONTE</t>
  </si>
  <si>
    <t>LURIGANCHO</t>
  </si>
  <si>
    <t>A3W-927</t>
  </si>
  <si>
    <t> 2650</t>
  </si>
  <si>
    <t>CARMEN ROSA ROJAS HUARI</t>
  </si>
  <si>
    <t>991110-ARE</t>
  </si>
  <si>
    <t xml:space="preserve">TRANS MAR-THIERR E.I.R.L. </t>
  </si>
  <si>
    <t>URB. LAS CANTERAS K-1 KM. 10</t>
  </si>
  <si>
    <t>OH-2598</t>
  </si>
  <si>
    <t>0000008-LIB</t>
  </si>
  <si>
    <t>PATRICIO AGUILAR BARE</t>
  </si>
  <si>
    <t>JOSE ARTIGAS N° 2307</t>
  </si>
  <si>
    <t>LA ESPERANZA</t>
  </si>
  <si>
    <t>OG-5061</t>
  </si>
  <si>
    <t>0034-CTPGL-15-2009</t>
  </si>
  <si>
    <t>DAVID ALFONSO PORRAS LOYOLA</t>
  </si>
  <si>
    <t>AV. 15 DE JULIO UVC 4, LOTE 6, ZONA D, PP.JJ. PROYECTO ESPECIAL HUAYCAN</t>
  </si>
  <si>
    <t>PIO-679</t>
  </si>
  <si>
    <t>0000011-LIB</t>
  </si>
  <si>
    <t>DISTRIBUIDORA SALAS E.I.R.L.</t>
  </si>
  <si>
    <t>CALLE ALBERT EINSTEN N° 249 URB. DANIEL HOYLE</t>
  </si>
  <si>
    <t>PGC-792</t>
  </si>
  <si>
    <t>0000065-PIU</t>
  </si>
  <si>
    <t>PEDRO ZETA FLOREZ</t>
  </si>
  <si>
    <t>CALLE PEDRO RUIZ GALLO N° 140 AA.HH. SAN MARTIN</t>
  </si>
  <si>
    <t>PB-3422</t>
  </si>
  <si>
    <t>116184-073-020915</t>
  </si>
  <si>
    <t>ANTONIO ELEAZAR SAYRA CASTROMONTE</t>
  </si>
  <si>
    <t>APV. VILLA MAGISTERIAL MZ. E LT. 27</t>
  </si>
  <si>
    <t>MOQUEGUA</t>
  </si>
  <si>
    <t>MARISCAL NIETO</t>
  </si>
  <si>
    <t>Z5I-920</t>
  </si>
  <si>
    <t>0000068-PIU</t>
  </si>
  <si>
    <t>TELENIO CORNEJO YANGUAR</t>
  </si>
  <si>
    <t>CALLE SANTA ISABEL N° 462 AA. HH. SANCHEZ CERRO</t>
  </si>
  <si>
    <t>SULLANA</t>
  </si>
  <si>
    <t>PB-7693</t>
  </si>
  <si>
    <t>0000043-LAM</t>
  </si>
  <si>
    <t>LEYDI GOMEZ CHAVEZ</t>
  </si>
  <si>
    <t>CALLE FLORENCIO MORI ROCHA N° 175 URB. GUARDIA CIVIL</t>
  </si>
  <si>
    <t>PO-6587</t>
  </si>
  <si>
    <t>0017-CBGL-15-2009</t>
  </si>
  <si>
    <t>INVERSIONES MONRROY E.I.R.L.</t>
  </si>
  <si>
    <t>CALLE HUGO ESPINOZA Nª 156 CONJ. HAB. CARLOS CUETO FERNANDINI</t>
  </si>
  <si>
    <t>WGN-055</t>
  </si>
  <si>
    <t> 3040</t>
  </si>
  <si>
    <t>0000046-LAM</t>
  </si>
  <si>
    <t>LUIS ALBERTO FARROÑAN</t>
  </si>
  <si>
    <t>GUILLERMO LA FLOR N° 310</t>
  </si>
  <si>
    <t>FERREÑAFE</t>
  </si>
  <si>
    <t>PC-8925</t>
  </si>
  <si>
    <t>120422-073-270316</t>
  </si>
  <si>
    <t xml:space="preserve">AV. EL POLO Nº 397 </t>
  </si>
  <si>
    <t>ALN-877</t>
  </si>
  <si>
    <t> 5400</t>
  </si>
  <si>
    <t>AV. VICTOR ANDRES BELAUNDE N° 147 OF. 601</t>
  </si>
  <si>
    <t>WI-9227</t>
  </si>
  <si>
    <t>0000074-PIU</t>
  </si>
  <si>
    <t>CARLOS ALBERTO LACHAPELL MORALES</t>
  </si>
  <si>
    <t>CALLE LOS INCAS N° 632</t>
  </si>
  <si>
    <t>MANCORA</t>
  </si>
  <si>
    <t>WC-6971</t>
  </si>
  <si>
    <t>93892-073-041011</t>
  </si>
  <si>
    <t>EDGAR AMILCAR VARGAS LAYME</t>
  </si>
  <si>
    <t>SECCION A PARCELA 262 MAJES CAYLLOMA</t>
  </si>
  <si>
    <t>MAJES</t>
  </si>
  <si>
    <t>V4A-907</t>
  </si>
  <si>
    <t>OO-5449</t>
  </si>
  <si>
    <t>0000076-PIU</t>
  </si>
  <si>
    <t>AMERICO BAYONA VITE</t>
  </si>
  <si>
    <t>AV. PROGRESO N° 2619</t>
  </si>
  <si>
    <t>OB-1563</t>
  </si>
  <si>
    <t>0000075-PIU</t>
  </si>
  <si>
    <t>LITANO SANDOVAL FELIPE</t>
  </si>
  <si>
    <t>LAS CAPULLANAS MZ. D LOTE 11</t>
  </si>
  <si>
    <t>PB-6884</t>
  </si>
  <si>
    <t>130658-073-270717</t>
  </si>
  <si>
    <t xml:space="preserve">SEGUNDO EDGAR ZAMBRANO GUERRA </t>
  </si>
  <si>
    <t xml:space="preserve">MZ. I LOTE 36 URB. LOS CEDROS </t>
  </si>
  <si>
    <t>T8J-875</t>
  </si>
  <si>
    <t> 4350</t>
  </si>
  <si>
    <t>149794-073-260620</t>
  </si>
  <si>
    <t>ROLAND MENDOZA ANCO</t>
  </si>
  <si>
    <t>ASOCIACION CENTRO INDUSTRIAL LAS CANTERAS MZ B LOTE 01-3A</t>
  </si>
  <si>
    <t>V0X-874</t>
  </si>
  <si>
    <t xml:space="preserve">ROLAND MENDOZA ANCO </t>
  </si>
  <si>
    <t>130665-073-270717</t>
  </si>
  <si>
    <t>T5I-862</t>
  </si>
  <si>
    <t> 1250</t>
  </si>
  <si>
    <t>0022-CBGL-15-2010</t>
  </si>
  <si>
    <t>GUZMAN TORATTO FERNANDEZ</t>
  </si>
  <si>
    <t>AV. LOS ROBLES MZ. I, LOTE 10, LA CAPITANA HUACHIPA</t>
  </si>
  <si>
    <t>XI-8589</t>
  </si>
  <si>
    <t>LUCIA LUCANA CASTAÑEDA</t>
  </si>
  <si>
    <t>AV. MONTE DE LOS OLIVOS N° 907</t>
  </si>
  <si>
    <t>PGO-465</t>
  </si>
  <si>
    <t>130657-073-270717</t>
  </si>
  <si>
    <t>MZ. I LOTE 36 URB. LOS CEDROS</t>
  </si>
  <si>
    <t>T7R-938</t>
  </si>
  <si>
    <t> 2950</t>
  </si>
  <si>
    <t>138393-073-070918</t>
  </si>
  <si>
    <t>URB. SAN RAMON JR. LAS AMAPOLAS MZ. A1 LOTE 02</t>
  </si>
  <si>
    <t>P3Y-846</t>
  </si>
  <si>
    <t xml:space="preserve">WILLIAM RODOLFO CASTRO ARAMBULO </t>
  </si>
  <si>
    <t>PGJ-445</t>
  </si>
  <si>
    <t>PGJ-382</t>
  </si>
  <si>
    <t>PGJ-922</t>
  </si>
  <si>
    <t>AV. VICTOR ANDRES BELAUNDE N° 14 OF. 601</t>
  </si>
  <si>
    <t>PGJ-911</t>
  </si>
  <si>
    <t>ZG-9482</t>
  </si>
  <si>
    <t> YG-4499</t>
  </si>
  <si>
    <t>NATANAEL AMARANTE SAAVEDRA DIAZ</t>
  </si>
  <si>
    <t>PROCERES DE INDEPENDENCIA N° 1275-B-13</t>
  </si>
  <si>
    <t>PGC-492</t>
  </si>
  <si>
    <t>NERY LUZ CATALAN COSSIO</t>
  </si>
  <si>
    <t>PARQUE INDUSTRIAL B-17</t>
  </si>
  <si>
    <t>WANCHAQ</t>
  </si>
  <si>
    <t>PZ-3056</t>
  </si>
  <si>
    <t>JOSE MANUEL ROSADIO LLANCHAC</t>
  </si>
  <si>
    <t>CALLE SATURNO N° 152 URB. SAN ROQUE</t>
  </si>
  <si>
    <t>PP-1243</t>
  </si>
  <si>
    <t>0002-CTBGL-15-2010</t>
  </si>
  <si>
    <t>TERRACOTA SERVICE S.A.C.</t>
  </si>
  <si>
    <t>CALLE PEDRO HERAUD 105</t>
  </si>
  <si>
    <t>BARRANCO</t>
  </si>
  <si>
    <t>POB-633</t>
  </si>
  <si>
    <t>PGJ-405</t>
  </si>
  <si>
    <t>PGJ-924</t>
  </si>
  <si>
    <t> 360</t>
  </si>
  <si>
    <t>0003-CTBGL-15-2010</t>
  </si>
  <si>
    <t>TERRACOTA SERVICE SAC</t>
  </si>
  <si>
    <t>POB-632</t>
  </si>
  <si>
    <t>XI-4850</t>
  </si>
  <si>
    <t>0005-CBGL-23-2001</t>
  </si>
  <si>
    <t>COMERCIAL AREQUIPA S.C.R.L.</t>
  </si>
  <si>
    <t>AV. LITORAL N° 1015</t>
  </si>
  <si>
    <t>WK-2188</t>
  </si>
  <si>
    <t> 1300</t>
  </si>
  <si>
    <t>87947-073-2010</t>
  </si>
  <si>
    <t>EMPRESA COMERCIALIZADORA DE PETROLEO Y DERIVADOS-CHOTA GAS S.A.C.</t>
  </si>
  <si>
    <t>AV. AVELARDO QUIÑONES GONZALES Nº. 416, URB. CAMPODONICO</t>
  </si>
  <si>
    <t>S1B-884</t>
  </si>
  <si>
    <t> 5150</t>
  </si>
  <si>
    <t>ORLANDO ROJAS VIGIL</t>
  </si>
  <si>
    <t>15948-073-150414</t>
  </si>
  <si>
    <t>AV. DIAGONAL Nº 380 - OFIC. 201</t>
  </si>
  <si>
    <t>D6Y-991</t>
  </si>
  <si>
    <t> F3J-809</t>
  </si>
  <si>
    <t> B8J-740</t>
  </si>
  <si>
    <t> D5P-915</t>
  </si>
  <si>
    <t> 10500</t>
  </si>
  <si>
    <t>0002-CBGL-12-2004</t>
  </si>
  <si>
    <t>EMPRESA DE TRANSPORTES CALIFORNIA S.A.</t>
  </si>
  <si>
    <t>AV. LEONCIO PRADO N° 464</t>
  </si>
  <si>
    <t>HUANCAYO</t>
  </si>
  <si>
    <t>CHILCA</t>
  </si>
  <si>
    <t>ZP-7334</t>
  </si>
  <si>
    <t> YP-1313</t>
  </si>
  <si>
    <t> 7900</t>
  </si>
  <si>
    <t>122401-073-100317</t>
  </si>
  <si>
    <t>AV. VICE MZ. 228 LOTE 04 ZONA INDUSTRIAL</t>
  </si>
  <si>
    <t>F9A-991</t>
  </si>
  <si>
    <t> T8H-860</t>
  </si>
  <si>
    <t> T8O-841</t>
  </si>
  <si>
    <t> ANQ-783</t>
  </si>
  <si>
    <t> T4B-892</t>
  </si>
  <si>
    <t> T4B-868</t>
  </si>
  <si>
    <t> T2T-836</t>
  </si>
  <si>
    <t> ALF-729</t>
  </si>
  <si>
    <t> ALE-909</t>
  </si>
  <si>
    <t> COT-865</t>
  </si>
  <si>
    <t>WILLIAM RODOLFO CASTRO ARAMBULO</t>
  </si>
  <si>
    <t>0005-CBGL-12-2004</t>
  </si>
  <si>
    <t>XQ-8323</t>
  </si>
  <si>
    <t>92682-073-100317</t>
  </si>
  <si>
    <t>AV. VICE MZ. 228 LOTE 4 ZONA INDUSTRIAL</t>
  </si>
  <si>
    <t>T3W-992</t>
  </si>
  <si>
    <t> C0T-865</t>
  </si>
  <si>
    <t>104577-073-090813</t>
  </si>
  <si>
    <t xml:space="preserve">JULIA CORAHUA VIZA </t>
  </si>
  <si>
    <t>JR. ERNESTO MONTAGNE S/N</t>
  </si>
  <si>
    <t>CANCHIS</t>
  </si>
  <si>
    <t>SICUANI</t>
  </si>
  <si>
    <t>X2E-910</t>
  </si>
  <si>
    <t> 1350</t>
  </si>
  <si>
    <t>0004-CBGL-23-2001</t>
  </si>
  <si>
    <t>WU-1185</t>
  </si>
  <si>
    <t>86474-073-2010</t>
  </si>
  <si>
    <t>WILSON QUEA MAMANI</t>
  </si>
  <si>
    <t>SAN JUAN DE DIOS C 18</t>
  </si>
  <si>
    <t>ALTO DE LA ALIANZA</t>
  </si>
  <si>
    <t>Z1B-826</t>
  </si>
  <si>
    <t> 480</t>
  </si>
  <si>
    <t>0002-CBGL-23-2001</t>
  </si>
  <si>
    <t>WK-1171</t>
  </si>
  <si>
    <t>0003-CBGL-23-2001</t>
  </si>
  <si>
    <t>WK-2005</t>
  </si>
  <si>
    <t>119569-073-040216</t>
  </si>
  <si>
    <t>LEONORA MARINA USCUVILCA USQUIANO</t>
  </si>
  <si>
    <t>CALLE MANUEL DE LA TORRE N° 183 LOS FICUS</t>
  </si>
  <si>
    <t>D3Y-867</t>
  </si>
  <si>
    <t> 8750</t>
  </si>
  <si>
    <t>0049-CBGL-15-2001</t>
  </si>
  <si>
    <t>ROLIN HUGO ANAYA CONDOR</t>
  </si>
  <si>
    <t>AV AVIACION 2401 PISO 7</t>
  </si>
  <si>
    <t>XI-9483</t>
  </si>
  <si>
    <t>145090-073-150719</t>
  </si>
  <si>
    <t>DISTRIBUIDORA DE GAS DEL SUR S.A.C.</t>
  </si>
  <si>
    <t>CALLE MALAGA GRENET Nº 306, URB. MAGISTERIAL</t>
  </si>
  <si>
    <t>V2P-943</t>
  </si>
  <si>
    <t> 620</t>
  </si>
  <si>
    <t>EDUARDO FRANCISCO SOBENES VIZCARRA</t>
  </si>
  <si>
    <t>VIRGILIA ESPINOZA CHICCHIS</t>
  </si>
  <si>
    <t>JR. RICARDO DONOVA N° 253 URB. SANTA LUISA</t>
  </si>
  <si>
    <t>PGJ-386</t>
  </si>
  <si>
    <t>LIMA GAS S.A.</t>
  </si>
  <si>
    <t>CALLE A ZONA 7 FUNDO BOCANEGRA</t>
  </si>
  <si>
    <t>XG-8047</t>
  </si>
  <si>
    <t>124746-073-121216</t>
  </si>
  <si>
    <t>INVERSIONES GONZDI E.I.R.L.</t>
  </si>
  <si>
    <t>AV ISLAY MZ K LOTE 2A CP EL PEDREGAL</t>
  </si>
  <si>
    <t>Z1L-978</t>
  </si>
  <si>
    <t> B8Q-867</t>
  </si>
  <si>
    <t>GLORIA VERONICA CHOQUE SULLCA</t>
  </si>
  <si>
    <t>124964-073-150217</t>
  </si>
  <si>
    <t>MULTICENTRO SANTA CATALINA S.A.</t>
  </si>
  <si>
    <t>AV. TACNA N° 139, URB CERCADO DE WANCHAQ</t>
  </si>
  <si>
    <t>F5I-816</t>
  </si>
  <si>
    <t> 670</t>
  </si>
  <si>
    <t>DANTE ABARCA AGULAR</t>
  </si>
  <si>
    <t>35401-073-010814</t>
  </si>
  <si>
    <t>W4O-798</t>
  </si>
  <si>
    <t> 1400</t>
  </si>
  <si>
    <t xml:space="preserve">JUANA PAULA CERNA DE ORELLANA </t>
  </si>
  <si>
    <t>0001-CTPGL-13-2004</t>
  </si>
  <si>
    <t>LUIS FELIPE GONZALES LLANOS</t>
  </si>
  <si>
    <t>CALLE LAS GAVIOTAS N° 1245 URB. LOS PINOS</t>
  </si>
  <si>
    <t>PD-8178</t>
  </si>
  <si>
    <t>XG-8046</t>
  </si>
  <si>
    <t>LUIS ECHEVARRIA FALCONI</t>
  </si>
  <si>
    <t>MAXIMILIANO CARRANZA N° 351</t>
  </si>
  <si>
    <t>PG-4134</t>
  </si>
  <si>
    <t>124194-073-100719</t>
  </si>
  <si>
    <t>SERVICIOS EN OPERACIONES LOGISTICAS DE HIDROCARBUROS Y MERCANCIAS S.A.C. - SOLHYM S.A.C.</t>
  </si>
  <si>
    <t xml:space="preserve">CALLE 1 MZ. B LT. 21 URB. SANTA ROSITA DE ATE I ETAPA </t>
  </si>
  <si>
    <t>ANR-925</t>
  </si>
  <si>
    <t> 5260</t>
  </si>
  <si>
    <t xml:space="preserve">WALTER INCHE BARRETO </t>
  </si>
  <si>
    <t>128563-073-180517</t>
  </si>
  <si>
    <t>OMNER OTONIEL SALDAÑA MURRUGARRA</t>
  </si>
  <si>
    <t>N° MZ. W INT. LT. 08 URB. DANIEL ALCIDES CARRION (SECTOR B ENTRE TOMAS VALLE Y UNIVERSITARIA)</t>
  </si>
  <si>
    <t>D5U-789</t>
  </si>
  <si>
    <t> 660</t>
  </si>
  <si>
    <t>0010-CBGL-04-2007</t>
  </si>
  <si>
    <t>HERNAN HUGO ABARCA RANILLA</t>
  </si>
  <si>
    <t>PLAZOLETA CEMENTERIO 132</t>
  </si>
  <si>
    <t>JOSE LUIS BUSTAMANTE Y RIVERO</t>
  </si>
  <si>
    <t>XH-1746</t>
  </si>
  <si>
    <t>0034-CBGL-15-2003</t>
  </si>
  <si>
    <t>NEW GAS PROYECTOS Y SERVICIOS SAGITARIO E.I.R.L.</t>
  </si>
  <si>
    <t>AV. SANTA ROSA DE COLLANAC PARCELA 58 MANCHAY</t>
  </si>
  <si>
    <t>PACHACAMAC</t>
  </si>
  <si>
    <t>XG-9682</t>
  </si>
  <si>
    <t>83017-073-270814</t>
  </si>
  <si>
    <t>SELGAS S.A.C.</t>
  </si>
  <si>
    <t>AV. DIAGONAL SUR (EX CARRETERA EL RADAR), PARCELA 2, I ETAPA, AA.HH. LA FLORIDA</t>
  </si>
  <si>
    <t>B9Q-806</t>
  </si>
  <si>
    <t> 2380</t>
  </si>
  <si>
    <t>MIRKO JORGE TELLO ARRIETA</t>
  </si>
  <si>
    <t>137715-073-010818</t>
  </si>
  <si>
    <t>URB. SAN RAMON JIRON LAS AMAPOLAS MZ. A1 LOTE 02</t>
  </si>
  <si>
    <t>P3Y-717</t>
  </si>
  <si>
    <t> 8500</t>
  </si>
  <si>
    <t>140663-073-101219</t>
  </si>
  <si>
    <t>PERCY SERGIO INGA MACHA</t>
  </si>
  <si>
    <t>JR. SAN MARTIN S/N</t>
  </si>
  <si>
    <t>CONCEPCION</t>
  </si>
  <si>
    <t>ACO</t>
  </si>
  <si>
    <t>D4D-762</t>
  </si>
  <si>
    <t>106019-073-051113</t>
  </si>
  <si>
    <t>SERVIGAS CHICLAYO E.I.R.L</t>
  </si>
  <si>
    <t>CALLE GRAN CHIMU N° 108</t>
  </si>
  <si>
    <t>T5T-858</t>
  </si>
  <si>
    <t> 5550</t>
  </si>
  <si>
    <t>HERNAN ROMERO VERASTEGUI</t>
  </si>
  <si>
    <t>42473-073-100519</t>
  </si>
  <si>
    <t>WALTHER GALO FLORES DELGADO</t>
  </si>
  <si>
    <t xml:space="preserve">URB. ABRAHAM MANRIQUE MZ. C, LOTE 11 </t>
  </si>
  <si>
    <t>V6C-765</t>
  </si>
  <si>
    <t> 7350</t>
  </si>
  <si>
    <t>120424-073-270316</t>
  </si>
  <si>
    <t>ALO-750</t>
  </si>
  <si>
    <t>125569-073-160117</t>
  </si>
  <si>
    <t>HALKON EIRL</t>
  </si>
  <si>
    <t>URB. LOS DELFINES MZ B LOTE 12</t>
  </si>
  <si>
    <t>Z6J-897</t>
  </si>
  <si>
    <t>109841-073-100519</t>
  </si>
  <si>
    <t>Q &amp; A CORAZON DE JESUS S.R.L.</t>
  </si>
  <si>
    <t>CIUDAD MUNICIPAL MZ. L LOTE 19 ZONA 7 B</t>
  </si>
  <si>
    <t>V6S-769</t>
  </si>
  <si>
    <t> 7000</t>
  </si>
  <si>
    <t>ROCIO DEL PILAR QUISPE ASPIROS</t>
  </si>
  <si>
    <t>145086-073-090719</t>
  </si>
  <si>
    <t>BRAYAN ANTONI CIEZA ALVIS</t>
  </si>
  <si>
    <t>JR. HUANCABAMBA N° 116-118</t>
  </si>
  <si>
    <t>M3R-880</t>
  </si>
  <si>
    <t> 5600</t>
  </si>
  <si>
    <t>120210-073-080316</t>
  </si>
  <si>
    <t xml:space="preserve">FELIX CASTILLO HECTOR </t>
  </si>
  <si>
    <t xml:space="preserve">MZ. 27 LOTE 1 AAHH. 09 DE FEBRERO SECTOR F </t>
  </si>
  <si>
    <t>AJY-822</t>
  </si>
  <si>
    <t> 3320</t>
  </si>
  <si>
    <t>HECTOR FELIX CASTILLO</t>
  </si>
  <si>
    <t>XI-1220</t>
  </si>
  <si>
    <t>99377-073-241212</t>
  </si>
  <si>
    <t>DISTRIBUCION DE GAS ILO E.I.R.L.</t>
  </si>
  <si>
    <t>ASENTAMIENTO HUMANO 24 DE OCTUBRE MZ. 40 LT. 02</t>
  </si>
  <si>
    <t>ILO</t>
  </si>
  <si>
    <t>Z4A-944</t>
  </si>
  <si>
    <t>SARA RUTH HUALPA SUCA</t>
  </si>
  <si>
    <t>122407-073-250716</t>
  </si>
  <si>
    <t>SERVICIOS RSC DIESEL EIRL</t>
  </si>
  <si>
    <t>JR. RUFINO MACEDO S/N, MZ. H, INT. 11 URB. INDUSTRIAL PANAMERICANA NORTE</t>
  </si>
  <si>
    <t>B7M-872</t>
  </si>
  <si>
    <t> 9310</t>
  </si>
  <si>
    <t>RUFINO SUCASAIRE CORNEJO</t>
  </si>
  <si>
    <t>0005-CTPGL-15-2005</t>
  </si>
  <si>
    <t>EDILBERTO ESCALANTE MARTINEZ</t>
  </si>
  <si>
    <t>JR. SAN JOSE N° 172</t>
  </si>
  <si>
    <t>VILLA MARIA DEL TRIUNFO</t>
  </si>
  <si>
    <t>PO-4246</t>
  </si>
  <si>
    <t>0023-CTPGL-15-2003</t>
  </si>
  <si>
    <t>GERONIMO FLORES CAPCHA</t>
  </si>
  <si>
    <t>AV. LOS ROBLES MZ. I LOTE 10</t>
  </si>
  <si>
    <t>OI-5040</t>
  </si>
  <si>
    <t>0000019-TAC</t>
  </si>
  <si>
    <t>MODESTO CCANQUE CUTIPA</t>
  </si>
  <si>
    <t>CECOAVI MZ. 36 LOTE 12 URB. LEGUIA</t>
  </si>
  <si>
    <t>PH-6530</t>
  </si>
  <si>
    <t> 650</t>
  </si>
  <si>
    <t>0027-CBGL-15-2003</t>
  </si>
  <si>
    <t>AV. PRIMAVERA N° 1290 OF. 401</t>
  </si>
  <si>
    <t>WO-9933</t>
  </si>
  <si>
    <t>0026-CBGL-15-2005</t>
  </si>
  <si>
    <t>RAUL ROJAS ZARATE</t>
  </si>
  <si>
    <t>CALLE HUACLLAN N° 4923 - URB. NARANJAL</t>
  </si>
  <si>
    <t>WG-7990</t>
  </si>
  <si>
    <t> 1010</t>
  </si>
  <si>
    <t>44828-073-010814</t>
  </si>
  <si>
    <t>F5E-783</t>
  </si>
  <si>
    <t> 1990</t>
  </si>
  <si>
    <t>86726-073-2010</t>
  </si>
  <si>
    <t>AV. NUEVO HORIZONTE MZA.E, LT.9, URB. NUEVO HORIZONTE.</t>
  </si>
  <si>
    <t>A3S-831</t>
  </si>
  <si>
    <t>61593-073-110416</t>
  </si>
  <si>
    <t>ZEGA GAS ANDINO S.A.</t>
  </si>
  <si>
    <t>AV. DIAGONAL N° 380,OFICINA N° 201</t>
  </si>
  <si>
    <t>C8H-975</t>
  </si>
  <si>
    <t> F5K-741</t>
  </si>
  <si>
    <t> F8H-904</t>
  </si>
  <si>
    <t> C2B-758</t>
  </si>
  <si>
    <t> D5N-888</t>
  </si>
  <si>
    <t> D1H-749</t>
  </si>
  <si>
    <t> D0P-901</t>
  </si>
  <si>
    <t> A8U-874</t>
  </si>
  <si>
    <t> C8C-767</t>
  </si>
  <si>
    <t>97594-073-160712</t>
  </si>
  <si>
    <t>NIXON HOSMAN PEREZ SALAZAR</t>
  </si>
  <si>
    <t>SAN SALVADOR Nº 499 - CPM LUJAN I ETAPA</t>
  </si>
  <si>
    <t>M2H-750</t>
  </si>
  <si>
    <t>104782-073-230813</t>
  </si>
  <si>
    <t xml:space="preserve">MZ P2 LOTE 27 RESIDENCIAL MAGISTERIAL </t>
  </si>
  <si>
    <t>T4M-902</t>
  </si>
  <si>
    <t> 6000</t>
  </si>
  <si>
    <t>93990-073-041011</t>
  </si>
  <si>
    <t>SERVICIOS TELE-GASEOSAS E.I.R.L.</t>
  </si>
  <si>
    <t>MZ. A 28, LTE. 09, URB. SAGITARIO</t>
  </si>
  <si>
    <t>OH-1832</t>
  </si>
  <si>
    <t>ANDRES GERARDO CARRILLO SANCHEZ</t>
  </si>
  <si>
    <t>82863-073-2010</t>
  </si>
  <si>
    <t>NCJ DIS. D GLP Y CARBURANTES EIRL</t>
  </si>
  <si>
    <t xml:space="preserve">JR. ESTADOS UNIDOS S/N URB. TAPARACHI </t>
  </si>
  <si>
    <t>XU-5320</t>
  </si>
  <si>
    <t> 1980</t>
  </si>
  <si>
    <t>NILSER CESAR TUERO MAYTA</t>
  </si>
  <si>
    <t>119570-073-040216</t>
  </si>
  <si>
    <t xml:space="preserve">SONIA AMAYA SIMEON </t>
  </si>
  <si>
    <t xml:space="preserve">CALLE MANUEL DE LA TORRE N° 183 LOS FICUS </t>
  </si>
  <si>
    <t>B8V-935</t>
  </si>
  <si>
    <t> 8325</t>
  </si>
  <si>
    <t>PGG-960</t>
  </si>
  <si>
    <t>TORRES DRAGO HNOS S.A.</t>
  </si>
  <si>
    <t>AV. CONFRATERNIDAD INTERNACIONAL N° 301</t>
  </si>
  <si>
    <t>OO-2085</t>
  </si>
  <si>
    <t>95955-073-271119</t>
  </si>
  <si>
    <t>NEGOCIACIONES ROMINA E.I.R.L.</t>
  </si>
  <si>
    <t>JR. CANDELARIA VILLAR Nº 568</t>
  </si>
  <si>
    <t>B5H-997</t>
  </si>
  <si>
    <t> BCM-949</t>
  </si>
  <si>
    <t> 16350</t>
  </si>
  <si>
    <t>VILMA LUCINDA LOAYZA LUNA</t>
  </si>
  <si>
    <t>0024-CTPGL-15-2004</t>
  </si>
  <si>
    <t>AV. VICTOR BELAUNDE N° 147 - TORRE 5 PISO 6</t>
  </si>
  <si>
    <t>PGJ-544</t>
  </si>
  <si>
    <t>0013-CBGL-15-2003</t>
  </si>
  <si>
    <t>WD-8053</t>
  </si>
  <si>
    <t>0025-CTPGL-15-2004</t>
  </si>
  <si>
    <t>AV. VICTOR ANDRES BELAUNDE 147 TORRE 5 PISO 6</t>
  </si>
  <si>
    <t>PGJ-351</t>
  </si>
  <si>
    <t>0007-CBGL-13-2007</t>
  </si>
  <si>
    <t>LUIS ALBERTO CORTEZ VARGAS</t>
  </si>
  <si>
    <t>URB MANUEL AREVALO II-ETAPA MZ B-36 LOTE33</t>
  </si>
  <si>
    <t>WX-1004</t>
  </si>
  <si>
    <t> 6500</t>
  </si>
  <si>
    <t>0028-CTPGL-15-2004</t>
  </si>
  <si>
    <t>PGJ-902</t>
  </si>
  <si>
    <t>103349-073-170713</t>
  </si>
  <si>
    <t>ANDRES YUCRA HUARICALLO</t>
  </si>
  <si>
    <t>CALLE MOLLENDO 106 SAN MARTIN</t>
  </si>
  <si>
    <t>V5K-867</t>
  </si>
  <si>
    <t> 5100</t>
  </si>
  <si>
    <t>0007-CBGL-15-2002</t>
  </si>
  <si>
    <t>MAXIMO HEREDIA CARBAJAL</t>
  </si>
  <si>
    <t>AV. BAYOVAR ESTE N° 354 AA.HH. SAN MIGUEL</t>
  </si>
  <si>
    <t>XI-5185</t>
  </si>
  <si>
    <t>0029-CTPGL-15-2004</t>
  </si>
  <si>
    <t>PIK-121</t>
  </si>
  <si>
    <t>104031-073-220713</t>
  </si>
  <si>
    <t xml:space="preserve">MELQUIADES BELLIDO MOGOLLON </t>
  </si>
  <si>
    <t>VIA EXPRESA F-1-3 URB. DE LA GUARDIA CIVIL</t>
  </si>
  <si>
    <t>SAN SEBASTIAN</t>
  </si>
  <si>
    <t>X2L-890</t>
  </si>
  <si>
    <t>MELQUIADES BELLIDO MOGOLLON</t>
  </si>
  <si>
    <t>150583-073-190820</t>
  </si>
  <si>
    <t>SERVICIOS GENERALES SALLES E.I.R.L.</t>
  </si>
  <si>
    <t>JR. ARICA 433</t>
  </si>
  <si>
    <t>C6X-935</t>
  </si>
  <si>
    <t> 7680</t>
  </si>
  <si>
    <t>EDGARD ANTONIO SALLES REYNA</t>
  </si>
  <si>
    <t>0108-CTPGL-15-2003</t>
  </si>
  <si>
    <t>PIM-731</t>
  </si>
  <si>
    <t>0017-CTPGL-15-2004</t>
  </si>
  <si>
    <t>PIM-681</t>
  </si>
  <si>
    <t>125145-073-251216</t>
  </si>
  <si>
    <t>BACILIA SUPHO QUISPE</t>
  </si>
  <si>
    <t>AV. PROGRESO MZA. Q LOTE 2</t>
  </si>
  <si>
    <t>CALLALLI</t>
  </si>
  <si>
    <t>V8L-886</t>
  </si>
  <si>
    <t> 2400</t>
  </si>
  <si>
    <t>99106-073-061112</t>
  </si>
  <si>
    <t>JUANA LEONOR BENDEZU BARRIENTOS</t>
  </si>
  <si>
    <t>JR TACNA 542</t>
  </si>
  <si>
    <t>LUCANAS</t>
  </si>
  <si>
    <t>PUQUIO</t>
  </si>
  <si>
    <t>XQ-6441</t>
  </si>
  <si>
    <t>0109-CBGL-15-2005</t>
  </si>
  <si>
    <t>AV GERARDO UNGER Nº 4875</t>
  </si>
  <si>
    <t>WI-8475</t>
  </si>
  <si>
    <t> 958</t>
  </si>
  <si>
    <t>130808-073-090817</t>
  </si>
  <si>
    <t>INVERSIONES CANTA GAS S.A.C.</t>
  </si>
  <si>
    <t>PARCELACION CAJAMARQUILLA SUB LOTE 87-6</t>
  </si>
  <si>
    <t>W3X-869</t>
  </si>
  <si>
    <t>CANTALICIO NEYRA HUAMANI</t>
  </si>
  <si>
    <t>139135-073-131018</t>
  </si>
  <si>
    <t>SURSA GAS E.I.R.L.</t>
  </si>
  <si>
    <t>AV. PANAMERICANA SUR KM. 59</t>
  </si>
  <si>
    <t>Y1U-867</t>
  </si>
  <si>
    <t> 7050</t>
  </si>
  <si>
    <t>LUIS PASCUAL CHAUCA NAVARRO</t>
  </si>
  <si>
    <t>113644-073-020315</t>
  </si>
  <si>
    <t>ECONOGAS S.R.L.</t>
  </si>
  <si>
    <t>CARRETERA PANAMERICANA SUR KM. 21.5</t>
  </si>
  <si>
    <t>F0I-811</t>
  </si>
  <si>
    <t> 3900</t>
  </si>
  <si>
    <t>JULIO MIGUEL CARDENAS ALZA</t>
  </si>
  <si>
    <t>0000013-ANC</t>
  </si>
  <si>
    <t>PGZ-918</t>
  </si>
  <si>
    <t>122077-073-290616</t>
  </si>
  <si>
    <t xml:space="preserve">INGESGAS E.I.R.L. </t>
  </si>
  <si>
    <t xml:space="preserve">AV. LOS FERROLES MZA. B, LOTE 5. URB. SANTO DOMINGO DE BOCANEGRA </t>
  </si>
  <si>
    <t>F8R-986</t>
  </si>
  <si>
    <t> B5V-855</t>
  </si>
  <si>
    <t> 15195</t>
  </si>
  <si>
    <t>TAMMY KARINA HIRAKAWA SUGAJARA</t>
  </si>
  <si>
    <t>0000012-ANC</t>
  </si>
  <si>
    <t>PE-6523</t>
  </si>
  <si>
    <t>107219-073-220618</t>
  </si>
  <si>
    <t>SERVICIOS RSC DIESEL E.I.R.L.</t>
  </si>
  <si>
    <t xml:space="preserve">JR. RUFINO MACEDO S/N MZA. H LT. 11 URB. INDUSTRIAL PANAMERICANA </t>
  </si>
  <si>
    <t>F4B-804</t>
  </si>
  <si>
    <t>121833-073-200718</t>
  </si>
  <si>
    <t>PILOTOS GAS S.A.C.</t>
  </si>
  <si>
    <t>AV. CONFRATERNIDAD N° 2138</t>
  </si>
  <si>
    <t>APURIMAC</t>
  </si>
  <si>
    <t>ANDAHUAYLAS</t>
  </si>
  <si>
    <t>B8L-985</t>
  </si>
  <si>
    <t> D9Q-822</t>
  </si>
  <si>
    <t>LUCIA KARINA ARCE TERRAZAS</t>
  </si>
  <si>
    <t>0000015-ANC</t>
  </si>
  <si>
    <t>XI-5242</t>
  </si>
  <si>
    <t>0000014-ANC</t>
  </si>
  <si>
    <t>XI-5239</t>
  </si>
  <si>
    <t>ENVASADORA ULI ROD LIMA S.A.C.</t>
  </si>
  <si>
    <t>CALLE BETA N° 279</t>
  </si>
  <si>
    <t>PI-4718</t>
  </si>
  <si>
    <t>CESAR AUGUSTO CALDERON VALENCIA</t>
  </si>
  <si>
    <t>JR. MORROPON N° 284 CESAR VALLEJO</t>
  </si>
  <si>
    <t>PGY-657</t>
  </si>
  <si>
    <t>DISTRIBUIDORA PROSPERIDAD S.A.</t>
  </si>
  <si>
    <t>AV UNIVERSITARIA N° 691</t>
  </si>
  <si>
    <t>XE-1563</t>
  </si>
  <si>
    <t>139136-073-171018</t>
  </si>
  <si>
    <t xml:space="preserve">TRANSPORTES QUINTO S.A.C. </t>
  </si>
  <si>
    <t>PROL. MCAL. NIETO DOMINGO Nº 142A URB. LOS SAUCES</t>
  </si>
  <si>
    <t>A5Z-892</t>
  </si>
  <si>
    <t> 4060</t>
  </si>
  <si>
    <t>JOSE NOMBERTO CASTILLO GONZALES</t>
  </si>
  <si>
    <t>0104-CTPGL-15-2003</t>
  </si>
  <si>
    <t>PIM-677</t>
  </si>
  <si>
    <t>111461-073-180517</t>
  </si>
  <si>
    <t>MAGMA INVERSIONES DEL SUR S.A.C.</t>
  </si>
  <si>
    <t>CALLE NUEVA ALTA N° 769</t>
  </si>
  <si>
    <t>V3H-981</t>
  </si>
  <si>
    <t> ACM-758</t>
  </si>
  <si>
    <t>JOSE IGNACIO CERVANTES MONTEAGUDO</t>
  </si>
  <si>
    <t>0069-CTPGL-15-2006</t>
  </si>
  <si>
    <t>VITA GAS S.A.</t>
  </si>
  <si>
    <t>AV.LOS ROBLES MZ. I LT. 10 LA CAPITANA HUACHIPA</t>
  </si>
  <si>
    <t>PIK-931</t>
  </si>
  <si>
    <t>0106-CTPGL-15-2003</t>
  </si>
  <si>
    <t>PIM-678</t>
  </si>
  <si>
    <t>130809-073-090817</t>
  </si>
  <si>
    <t>W5W-913</t>
  </si>
  <si>
    <t> 4400</t>
  </si>
  <si>
    <t>0105-CTPGL-15-2003</t>
  </si>
  <si>
    <t>PIM-679</t>
  </si>
  <si>
    <t>113646-073-280215</t>
  </si>
  <si>
    <t>C2I-922</t>
  </si>
  <si>
    <t> 3970</t>
  </si>
  <si>
    <t>0102-CTPGL-15-2003</t>
  </si>
  <si>
    <t>PIM-676</t>
  </si>
  <si>
    <t>0103-CTPGL-15-2003</t>
  </si>
  <si>
    <t>PIM-675</t>
  </si>
  <si>
    <t>60950-073-230215</t>
  </si>
  <si>
    <t xml:space="preserve">CORPORACION PRIMAX S.A </t>
  </si>
  <si>
    <t>AV. NICOLAS ARRIOLA N° 740, URB. SANTA CATALINA</t>
  </si>
  <si>
    <t>F8I-873</t>
  </si>
  <si>
    <t>ANTENOR RAFAEL AYSANOA PASCO</t>
  </si>
  <si>
    <t>0109-CTPGL-15-2003</t>
  </si>
  <si>
    <t>PIJ-081</t>
  </si>
  <si>
    <t>0034-CBGL-15-2007</t>
  </si>
  <si>
    <t xml:space="preserve">TRANSPORTE DAVYS EIRL </t>
  </si>
  <si>
    <t>LOS QUIPUS 257 COOPERATIVA ANDAHUAYLAS</t>
  </si>
  <si>
    <t>WP-9042</t>
  </si>
  <si>
    <t>115540-073-280515</t>
  </si>
  <si>
    <t>INVERSIONES Y SERVICIOS PERU NORTEÑO S.R.L.</t>
  </si>
  <si>
    <t>JR. 5 ESQUINAS N° 669</t>
  </si>
  <si>
    <t>M4C-751</t>
  </si>
  <si>
    <t> 3600</t>
  </si>
  <si>
    <t>EDELMIRA MALCA HERNANDEZ</t>
  </si>
  <si>
    <t>85656-073-220618</t>
  </si>
  <si>
    <t>F7Y-758</t>
  </si>
  <si>
    <t>PRODUCTOS DEL GAS Y DERIVADOS S.A.</t>
  </si>
  <si>
    <t>AV. ARGENTINA N° 1630</t>
  </si>
  <si>
    <t>XI-1475</t>
  </si>
  <si>
    <t>88779-073-2010</t>
  </si>
  <si>
    <t>DISTRIBUIDORA ALEXIS E.I.R.L.</t>
  </si>
  <si>
    <t>CALLE PAZ SOLDAN Nº 612</t>
  </si>
  <si>
    <t>Z1G-946</t>
  </si>
  <si>
    <t> 9215</t>
  </si>
  <si>
    <t>AURELIA QUISPE RODRIGO</t>
  </si>
  <si>
    <t>0000055-LIB</t>
  </si>
  <si>
    <t>FRANCISCA TEODORA LEYVA CONTRERAS</t>
  </si>
  <si>
    <t>ATAHUALPA N° 224</t>
  </si>
  <si>
    <t>PD-7741</t>
  </si>
  <si>
    <t>0025-CBGL-15-2008</t>
  </si>
  <si>
    <t>AV. LOS ROBLES MZ.I, LT. 10, LA CAPITANA - HUACHIPA</t>
  </si>
  <si>
    <t>XG-8177</t>
  </si>
  <si>
    <t>XG-9128</t>
  </si>
  <si>
    <t>1130592-ARE</t>
  </si>
  <si>
    <t>VARIANTE DE UCHUMAYO KM. 35</t>
  </si>
  <si>
    <t>PGC-486</t>
  </si>
  <si>
    <t> 550</t>
  </si>
  <si>
    <t>RICARDINA ALVAREZ CARHUANINA</t>
  </si>
  <si>
    <t>AV. TUPAC AMARU Nº 1701</t>
  </si>
  <si>
    <t>PGY-725</t>
  </si>
  <si>
    <t>JOSE LAINES QUISPE</t>
  </si>
  <si>
    <t>PORTAL DE ESCRIBANOS N° 199</t>
  </si>
  <si>
    <t>PALPA</t>
  </si>
  <si>
    <t>PF-4911</t>
  </si>
  <si>
    <t>0066-CBGL-15-2001</t>
  </si>
  <si>
    <t>XI-5254</t>
  </si>
  <si>
    <t>0037-CTPGL-15-2007</t>
  </si>
  <si>
    <t>ABEL VICTORIO ESTRADA</t>
  </si>
  <si>
    <t>AA.HH SAN JUDAS TADEO MZ. E LOTE 8 ZAPALLAL</t>
  </si>
  <si>
    <t>PGF-719</t>
  </si>
  <si>
    <t>0001-CTPGL-06-2001</t>
  </si>
  <si>
    <t>CAXAMARCA GAS S.A.C.</t>
  </si>
  <si>
    <t>AV. SAN MARTIN DE PORRAS S/N MOLLEPAMPA BAJA</t>
  </si>
  <si>
    <t>PGM-828</t>
  </si>
  <si>
    <t>0031-CTPGL-15-2001</t>
  </si>
  <si>
    <t>REAL GAS S.A.</t>
  </si>
  <si>
    <t>AV. MAQUINARIAS 2900</t>
  </si>
  <si>
    <t>PGY-080</t>
  </si>
  <si>
    <t>0000062-PIU</t>
  </si>
  <si>
    <t>JOSIP TOMISLAV MUHVIC PINTAR TAPIA</t>
  </si>
  <si>
    <t>CALLE ZARUMILLA N° 222</t>
  </si>
  <si>
    <t>PGJ-447</t>
  </si>
  <si>
    <t>0003-CTPGL-07-2004</t>
  </si>
  <si>
    <t>ENVASADORA MISTI GAS S.A.C.</t>
  </si>
  <si>
    <t>PGA-043</t>
  </si>
  <si>
    <t> 510</t>
  </si>
  <si>
    <t>122403-073-110317</t>
  </si>
  <si>
    <t>F9A-995</t>
  </si>
  <si>
    <t>142382-073-040419</t>
  </si>
  <si>
    <t>JR. LAMBAYEQUE ZN. F, GRUPO 19, MZA. 20, LOTE 01 SEMI RURAL PACHACUTEC</t>
  </si>
  <si>
    <t>V0D-984</t>
  </si>
  <si>
    <t> V8C-745</t>
  </si>
  <si>
    <t xml:space="preserve">RICHARD ARANZAMENDI ERQUINIGO </t>
  </si>
  <si>
    <t>ADOLFINA AVILA MERINO</t>
  </si>
  <si>
    <t>AV. PANAMERICANA NORTE N° 1778 URB. SANTA MARIA</t>
  </si>
  <si>
    <t>PG-6573</t>
  </si>
  <si>
    <t>ARCASA S.C.R.L.</t>
  </si>
  <si>
    <t>AV. ALFONSO UGARTE N° 1220-1226</t>
  </si>
  <si>
    <t>BREÑA</t>
  </si>
  <si>
    <t>XG-2980</t>
  </si>
  <si>
    <t> 2500</t>
  </si>
  <si>
    <t>114319-073-140415</t>
  </si>
  <si>
    <t xml:space="preserve">FLAMA GAS CORPORATION SAC </t>
  </si>
  <si>
    <t xml:space="preserve">AV. SAN JUAN MZ. G, LOTE 1A, URB. LAS VEGAS </t>
  </si>
  <si>
    <t>C1J-862</t>
  </si>
  <si>
    <t>DORA EDITH NEYRA CAHUANA</t>
  </si>
  <si>
    <t>142384-073-040419</t>
  </si>
  <si>
    <t>D0W-972</t>
  </si>
  <si>
    <t> V9M-889</t>
  </si>
  <si>
    <t>85085-073-280817</t>
  </si>
  <si>
    <t>TRANSPORTES BEMOR E.I.R.L.</t>
  </si>
  <si>
    <t>JR. JOSE CARLOS MARIATEGUI N° 171</t>
  </si>
  <si>
    <t>C6T-725</t>
  </si>
  <si>
    <t> 3450</t>
  </si>
  <si>
    <t>VICTOR FERNANDO BERROSPI MORENO</t>
  </si>
  <si>
    <t>0013-CTPGL-15-2006</t>
  </si>
  <si>
    <t xml:space="preserve">KM.16.5 AV. NESTOR GAMBETA </t>
  </si>
  <si>
    <t>VENTANILLA</t>
  </si>
  <si>
    <t>PIU-516</t>
  </si>
  <si>
    <t>0005-CBGL-07-2002</t>
  </si>
  <si>
    <t>DELTA GAS S.A.</t>
  </si>
  <si>
    <t>AV. NESTOR GAMBETTA N° 4765</t>
  </si>
  <si>
    <t>WI-9003</t>
  </si>
  <si>
    <t>121986-073-220616</t>
  </si>
  <si>
    <t xml:space="preserve">CALLE MINERIA N° 320, URB. LOS FICUS </t>
  </si>
  <si>
    <t>AMA-942</t>
  </si>
  <si>
    <t> 6888</t>
  </si>
  <si>
    <t>0013-CBGL-13-2009</t>
  </si>
  <si>
    <t>COSTA GAS S.A</t>
  </si>
  <si>
    <t>CARRETERA PANAMERICANA NORTE KM.557</t>
  </si>
  <si>
    <t>WGP-400</t>
  </si>
  <si>
    <t> 3045</t>
  </si>
  <si>
    <t xml:space="preserve">86612-073-310516 </t>
  </si>
  <si>
    <t>A2I-871</t>
  </si>
  <si>
    <t>FRANCISCO ANTONIO CÁCERES ALIAGA</t>
  </si>
  <si>
    <t>0001-CBGL-11-2002</t>
  </si>
  <si>
    <t>REPRESENTACIONES ETCHEBARNE E.I.R.L.</t>
  </si>
  <si>
    <t>CALLE GRAU N° 479</t>
  </si>
  <si>
    <t>NAZCA</t>
  </si>
  <si>
    <t>XG-1539</t>
  </si>
  <si>
    <t>109264-073-251020</t>
  </si>
  <si>
    <t>TRALEX SOLUCIONES INTEGRALES DE TRANSPORTE S.A.C.</t>
  </si>
  <si>
    <t>AV. VARIANTE DE UCHUMAYO KM. 2.5, SEC. SEMI RURAL PACHACUTEC</t>
  </si>
  <si>
    <t>V7L-974</t>
  </si>
  <si>
    <t> A2D-910</t>
  </si>
  <si>
    <t> A2E-869</t>
  </si>
  <si>
    <t> D4E-799</t>
  </si>
  <si>
    <t> D4F-799</t>
  </si>
  <si>
    <t> D6M-743</t>
  </si>
  <si>
    <t> F3O-750</t>
  </si>
  <si>
    <t> F3S-765</t>
  </si>
  <si>
    <t> F6X-730</t>
  </si>
  <si>
    <t> V2Y-725</t>
  </si>
  <si>
    <t> V9L-888</t>
  </si>
  <si>
    <t> V9L-927</t>
  </si>
  <si>
    <t>ALEJANDRO MARCOS CORRALES RAMOS</t>
  </si>
  <si>
    <t>0000038-PIU</t>
  </si>
  <si>
    <t>RUBEN SOSA CASTILLO</t>
  </si>
  <si>
    <t>AA. HH. ALAN GARCIA MZ. J LOTE 17 TALARA ALTA</t>
  </si>
  <si>
    <t>OQ-5200</t>
  </si>
  <si>
    <t>0000037-PIU</t>
  </si>
  <si>
    <t>AA.HH. ALAN GARCIA MZ. J LOTE 17 TALARA ALTA</t>
  </si>
  <si>
    <t>PA-1379</t>
  </si>
  <si>
    <t>0000018-TAC</t>
  </si>
  <si>
    <t>VICTOR ZAVALETA CENTENO</t>
  </si>
  <si>
    <t>CONJ. HAB. ALFONSO UGARTE MZ. D-4 LOTE 16</t>
  </si>
  <si>
    <t>OG-6354</t>
  </si>
  <si>
    <t>ALFA GAS S.A.</t>
  </si>
  <si>
    <t>AV. SAN JUAN MZ. G LOTE 1 URB. INDUSTRIAL LAS VEGAS</t>
  </si>
  <si>
    <t>PGS-526</t>
  </si>
  <si>
    <t>107214-073-220618</t>
  </si>
  <si>
    <t>F4D-855</t>
  </si>
  <si>
    <t>PGS-527</t>
  </si>
  <si>
    <t>0000020-LAM</t>
  </si>
  <si>
    <t>NORMA CHEREQUE MACHUCA</t>
  </si>
  <si>
    <t>MZ. C LOTES 11-12 PARQUE INDUSTRIAL</t>
  </si>
  <si>
    <t>XI-3661</t>
  </si>
  <si>
    <t>0000018-LAM</t>
  </si>
  <si>
    <t>CHICLAYO GAS S.A.C.</t>
  </si>
  <si>
    <t>OI-8730</t>
  </si>
  <si>
    <t>0007-CTPGL-04-2001</t>
  </si>
  <si>
    <t>LUIS ALBERTO CORRALES GRANDA</t>
  </si>
  <si>
    <t>CALLE COLON N° 102</t>
  </si>
  <si>
    <t>PH-3908</t>
  </si>
  <si>
    <t> 470</t>
  </si>
  <si>
    <t>ADY HEREDIA DE ATAHUALPA</t>
  </si>
  <si>
    <t>JORGE POLAR N° 209</t>
  </si>
  <si>
    <t>OH-3411</t>
  </si>
  <si>
    <t>114753-073-150119</t>
  </si>
  <si>
    <t xml:space="preserve">AV. NESTOR GAMBETA MZ. MI LOTE S/N EX FUNDO OQUENDO </t>
  </si>
  <si>
    <t>AEX-949</t>
  </si>
  <si>
    <t> 4920</t>
  </si>
  <si>
    <t>0024-CBGL-04-2009</t>
  </si>
  <si>
    <t>OSWALDO ALEJANDRO TAYPE OLIVARES</t>
  </si>
  <si>
    <t>CALLE COMERCIO 320</t>
  </si>
  <si>
    <t>CARAVELI</t>
  </si>
  <si>
    <t>CHALA</t>
  </si>
  <si>
    <t>XG-9698</t>
  </si>
  <si>
    <t>0104-CBGL-15-2005</t>
  </si>
  <si>
    <t>TRANSPORTE DAVYS E.I.R.L.</t>
  </si>
  <si>
    <t>LOS QUIPUS N° 257 COOPERATIVA ANDAHUAYLAS</t>
  </si>
  <si>
    <t>XO-3191</t>
  </si>
  <si>
    <t>113981-073-260215</t>
  </si>
  <si>
    <t xml:space="preserve">MARIO ISMAEL ANDRADE ELCORROBARRUTIA </t>
  </si>
  <si>
    <t xml:space="preserve">JR. FRANCISCO ALVARIÑO Nº 301, URB. EL RETABLO 3RA ETAPA </t>
  </si>
  <si>
    <t>B5G-980</t>
  </si>
  <si>
    <t> B8B-863</t>
  </si>
  <si>
    <t>62228-073-150119</t>
  </si>
  <si>
    <t>AV. NESTOR GAMBETA, MZ. MI, LOTE S/N, EX FUNDO OQUENDO</t>
  </si>
  <si>
    <t>F7P-947</t>
  </si>
  <si>
    <t> 3835</t>
  </si>
  <si>
    <t>0010-CTPGL-15-2006</t>
  </si>
  <si>
    <t>AV V.A.BELAUNDE 147 VIA PRINCIPAL 110 TORRE REAL V, PISO 6</t>
  </si>
  <si>
    <t>PIU-457</t>
  </si>
  <si>
    <t> 605</t>
  </si>
  <si>
    <t>91317-073-120411</t>
  </si>
  <si>
    <t>ENVASADORA MISTI GAS SAC</t>
  </si>
  <si>
    <t>URBANIZACIÓN PIEDRA SANTA, MZ. P, LOTE 07.</t>
  </si>
  <si>
    <t>YANAHUARA</t>
  </si>
  <si>
    <t>V1A-892</t>
  </si>
  <si>
    <t> 310</t>
  </si>
  <si>
    <t xml:space="preserve">TERESA DEL ROSARIO OSORIO BONILLA </t>
  </si>
  <si>
    <t>118045-073-251015</t>
  </si>
  <si>
    <t>NATIVIDAD ALVAREZ CHURA</t>
  </si>
  <si>
    <t>AV. EMANCIPACION N°409</t>
  </si>
  <si>
    <t>V7Z-829</t>
  </si>
  <si>
    <t> 3360</t>
  </si>
  <si>
    <t>JUAN MENDEZ MORI</t>
  </si>
  <si>
    <t>JR. YAVARI N° 320-322</t>
  </si>
  <si>
    <t>OG-3932</t>
  </si>
  <si>
    <t>16344-073-280316</t>
  </si>
  <si>
    <t>D4B-986</t>
  </si>
  <si>
    <t> 9900</t>
  </si>
  <si>
    <t>83971-073-061016</t>
  </si>
  <si>
    <t>AV. EL POLO N°397</t>
  </si>
  <si>
    <t>D5U-712</t>
  </si>
  <si>
    <t>106121-073-121113</t>
  </si>
  <si>
    <t>ANGEL RICCI ZAVALETA DE LA CRUZ</t>
  </si>
  <si>
    <t>MZ. N LOTE 12 III ETAPA ZONA INDUSTRIAL</t>
  </si>
  <si>
    <t>P1P-701</t>
  </si>
  <si>
    <t> 990</t>
  </si>
  <si>
    <t>0009-CTPGL-15-2006</t>
  </si>
  <si>
    <t>AV.VICTOR ANDRES BELAUNDE 147,VIA PRINCIPAL 110.TORRE REAL</t>
  </si>
  <si>
    <t>PIU-459</t>
  </si>
  <si>
    <t> 615</t>
  </si>
  <si>
    <t>116973-073-100915</t>
  </si>
  <si>
    <t>CARPA SUR S.R.L.</t>
  </si>
  <si>
    <t>AV. LUCIANO ALEGRIA LOPEZ MZ. 29 LT.05 NESHUYA</t>
  </si>
  <si>
    <t>PADRE ABAD</t>
  </si>
  <si>
    <t>IRAZOLA</t>
  </si>
  <si>
    <t>AHW-875</t>
  </si>
  <si>
    <t>MAURICIO VERDE LAFOSSE</t>
  </si>
  <si>
    <t>39137-073-040714</t>
  </si>
  <si>
    <t>MULTITIENDA E.I.R.L.</t>
  </si>
  <si>
    <t>AV. COLLPA Nº 435</t>
  </si>
  <si>
    <t>Z4A-716</t>
  </si>
  <si>
    <t> 425</t>
  </si>
  <si>
    <t>105501-073-111013</t>
  </si>
  <si>
    <t>D0E-841</t>
  </si>
  <si>
    <t>104708-073-310516</t>
  </si>
  <si>
    <t>A2J-816</t>
  </si>
  <si>
    <t>138832-073-260918</t>
  </si>
  <si>
    <t>SHILCAYO GRIFO S.R.L</t>
  </si>
  <si>
    <t>JR. CABO ALBERTO LEVEAU S/N</t>
  </si>
  <si>
    <t>LA BANDA DE SHILCAYO</t>
  </si>
  <si>
    <t>ACR-984</t>
  </si>
  <si>
    <t> F6Q-915</t>
  </si>
  <si>
    <t> 15100</t>
  </si>
  <si>
    <t>ANITA PATRICIA FALCON RAMIREZ</t>
  </si>
  <si>
    <t>114706-073-300415</t>
  </si>
  <si>
    <t>TRANSPORTES QUINTO S.A.C.</t>
  </si>
  <si>
    <t>PROL. MCAL. NIETO DOMINGO Nº 142 A, URB. LOS SAUCES</t>
  </si>
  <si>
    <t>AEF-820</t>
  </si>
  <si>
    <t> 2250</t>
  </si>
  <si>
    <t>37012-073-040714</t>
  </si>
  <si>
    <t>AV. COLLPA 435</t>
  </si>
  <si>
    <t>Z3V-939</t>
  </si>
  <si>
    <t>117367-073-160416</t>
  </si>
  <si>
    <t>VICTORIA JUAN GAS S.A.C.</t>
  </si>
  <si>
    <t xml:space="preserve">CARRETERA PANAMERICANA 1113 </t>
  </si>
  <si>
    <t>V4Z-992</t>
  </si>
  <si>
    <t> C6Q-822</t>
  </si>
  <si>
    <t>JUAN QUECAÑO VIZCA</t>
  </si>
  <si>
    <t>44205-073-141018</t>
  </si>
  <si>
    <t>VICTOR ALEJANDRO MARTINEZ SOSA</t>
  </si>
  <si>
    <t>URB. SANTA FORTUNATA, PASAJE PUERTO RICO E-8</t>
  </si>
  <si>
    <t>Z4Q-931</t>
  </si>
  <si>
    <t>AV. MAQUINARIAS N° 2900</t>
  </si>
  <si>
    <t>PO-2048</t>
  </si>
  <si>
    <t>37007-073-040714</t>
  </si>
  <si>
    <t>ANDE GAS S.R.L.</t>
  </si>
  <si>
    <t>Z4A-717</t>
  </si>
  <si>
    <t>JAVIER FERNANDO MENDOZA QUISPE</t>
  </si>
  <si>
    <t>105498-073-121013</t>
  </si>
  <si>
    <t>LELY SPECIAL CORPORATION S.A.C</t>
  </si>
  <si>
    <t>PASAJE LOS PINOS 190 PISO 16</t>
  </si>
  <si>
    <t>D0G-753</t>
  </si>
  <si>
    <t> 2300</t>
  </si>
  <si>
    <t>XI-3649</t>
  </si>
  <si>
    <t>98343-073-190912</t>
  </si>
  <si>
    <t>PERU GAS S.A.C.</t>
  </si>
  <si>
    <t>PANAMERICANA NORTE KM. 665</t>
  </si>
  <si>
    <t>PACASMAYO</t>
  </si>
  <si>
    <t>XQ-9005</t>
  </si>
  <si>
    <t>LUIS BERNARDO CASTRO NUÑEZ</t>
  </si>
  <si>
    <t>WG-2804</t>
  </si>
  <si>
    <t> 1320</t>
  </si>
  <si>
    <t>104346-073-010813</t>
  </si>
  <si>
    <t>B6X-908</t>
  </si>
  <si>
    <t>115341-073-210515</t>
  </si>
  <si>
    <t>CONSTRUCTORA INMOBILIARIA TITO S.C.R.L.</t>
  </si>
  <si>
    <t>MZ. O SUB LOTE C II ZONA INDUSTRIAL - PIURA</t>
  </si>
  <si>
    <t>P1N-915</t>
  </si>
  <si>
    <t>JUSTO ELISEO CÁRDENAS ALZA</t>
  </si>
  <si>
    <t>121982-073-160616</t>
  </si>
  <si>
    <t>AMA-920</t>
  </si>
  <si>
    <t>129072-073-060617</t>
  </si>
  <si>
    <t xml:space="preserve">VICENTE JOEL GUILLERMO PANDURO </t>
  </si>
  <si>
    <t xml:space="preserve">AV MARGINAL N° 151 URB JAVIER PRADO VI ETAPA </t>
  </si>
  <si>
    <t>W4U-753</t>
  </si>
  <si>
    <t>VICENTE JOEL GUILLERMO PANDURO</t>
  </si>
  <si>
    <t>121984-073-220616</t>
  </si>
  <si>
    <t>AMA-827</t>
  </si>
  <si>
    <t>0000008-SAN</t>
  </si>
  <si>
    <t>ALBERTO CHANGANAQUI RODRIGUEZ</t>
  </si>
  <si>
    <t>JR. 20 DE ABRIL N° 234</t>
  </si>
  <si>
    <t>MOYOBAMBA</t>
  </si>
  <si>
    <t>WQ-6052</t>
  </si>
  <si>
    <t>124449-073-131016</t>
  </si>
  <si>
    <t xml:space="preserve">SOLHYM SAC </t>
  </si>
  <si>
    <t>CALLE.1, MZ.B, LOTE.21, URB. SANTA ROSITA DE ATE I-ETAPA</t>
  </si>
  <si>
    <t>ANX-869</t>
  </si>
  <si>
    <t> 860</t>
  </si>
  <si>
    <t>124450-073-131016</t>
  </si>
  <si>
    <t>ANY-861</t>
  </si>
  <si>
    <t>124452-073-131016</t>
  </si>
  <si>
    <t>SOLHYM SAC</t>
  </si>
  <si>
    <t>CALLE LIMA 455 4TO PISO</t>
  </si>
  <si>
    <t>ANX-946</t>
  </si>
  <si>
    <t>124451-073-131016</t>
  </si>
  <si>
    <t>ANZ-861</t>
  </si>
  <si>
    <t>95971-073-020412</t>
  </si>
  <si>
    <t>SERVICIOS YERY E.I.R.L.</t>
  </si>
  <si>
    <t>PROMUVI III NUEVA VICTORIA MZ. 18 LOTE 05 - PAMPA INALAMBRICA</t>
  </si>
  <si>
    <t>Z1J-989</t>
  </si>
  <si>
    <t> 280</t>
  </si>
  <si>
    <t>ALEJANDRO JESÚS ARPASI GUTIERREZ</t>
  </si>
  <si>
    <t>124453-073-131016</t>
  </si>
  <si>
    <t>ANX-761</t>
  </si>
  <si>
    <t>124454-073-131016</t>
  </si>
  <si>
    <t>ANY-880</t>
  </si>
  <si>
    <t>JOSE DOLORES CRUZ YAMUNAQUE</t>
  </si>
  <si>
    <t>JR. DANTE N° 571</t>
  </si>
  <si>
    <t>PD-5249</t>
  </si>
  <si>
    <t>0003-CBGL-08-2005</t>
  </si>
  <si>
    <t>KATTY VIZCARRA URIBE</t>
  </si>
  <si>
    <t>AV. GASTON ZAPATA N° 409 URB. SANTA ROSA</t>
  </si>
  <si>
    <t>WZ-4407</t>
  </si>
  <si>
    <t>105500-073-121013</t>
  </si>
  <si>
    <t>D0G-717</t>
  </si>
  <si>
    <t> 2200</t>
  </si>
  <si>
    <t>SU GASU S.R.L.</t>
  </si>
  <si>
    <t>AV. MARIATEGUI N° 1618</t>
  </si>
  <si>
    <t>JESUS MARIA</t>
  </si>
  <si>
    <t>OI-4271</t>
  </si>
  <si>
    <t>0001-CTBGL-20-2001</t>
  </si>
  <si>
    <t>LILIANA FRIAS VALDIVIEZO</t>
  </si>
  <si>
    <t>PP.JJ. EL INDIO CALLE D-5 LOTE 5</t>
  </si>
  <si>
    <t>PL-1386</t>
  </si>
  <si>
    <t>0006-CTPGL-15-2000</t>
  </si>
  <si>
    <t>NORMA NERY TASAYCO RIVERA DE RAMOS</t>
  </si>
  <si>
    <t>TENIENTE ARISTIDES DEL CARPIO N° 1564</t>
  </si>
  <si>
    <t>PGD-146</t>
  </si>
  <si>
    <t>117279-073-160416</t>
  </si>
  <si>
    <t>VICTORIA JUAN GAS SAC</t>
  </si>
  <si>
    <t>CARRETERA PANAMERICANA SUR 1118</t>
  </si>
  <si>
    <t>A7K-840</t>
  </si>
  <si>
    <t> 7400</t>
  </si>
  <si>
    <t>0003-CTPGL-07-2001</t>
  </si>
  <si>
    <t>MANUEL ALEJANDRO LENA CARBAJAL</t>
  </si>
  <si>
    <t>JR. CUZCO N° 161 DPTO.11</t>
  </si>
  <si>
    <t>PGC-499</t>
  </si>
  <si>
    <t>0010-CBGL-12-2005</t>
  </si>
  <si>
    <t>AV. LEONCIO PRADO N° 800</t>
  </si>
  <si>
    <t>WN-2672</t>
  </si>
  <si>
    <t> 1900</t>
  </si>
  <si>
    <t>0011-CBGL-12-2005</t>
  </si>
  <si>
    <t>WN-2659</t>
  </si>
  <si>
    <t> 7750</t>
  </si>
  <si>
    <t>139949-073-031218</t>
  </si>
  <si>
    <t xml:space="preserve">JULIO CESAR CARDENAS FLORES </t>
  </si>
  <si>
    <t>CALLE DEAM SAAVEDRA MZ. 45 LOTE 14 EL MILAGRO SECTOR III</t>
  </si>
  <si>
    <t>T4R-896</t>
  </si>
  <si>
    <t>0006-CBGL-07-2004</t>
  </si>
  <si>
    <t>CALLE BETA N° 279 - A</t>
  </si>
  <si>
    <t>XI-1737</t>
  </si>
  <si>
    <t>121168-073-050718</t>
  </si>
  <si>
    <t>INVERSIONES SANTA LUISA DEL SUR S.A.C.</t>
  </si>
  <si>
    <t>JR. CAHUIDE MZA. A LOTE 18, URB. LOS NOGALES</t>
  </si>
  <si>
    <t>F7G-972</t>
  </si>
  <si>
    <t> T2B-853</t>
  </si>
  <si>
    <t> C9K-745</t>
  </si>
  <si>
    <t> AWQ-896</t>
  </si>
  <si>
    <t> 14120</t>
  </si>
  <si>
    <t>JHOAN LUDWIN ROSA VARGAS</t>
  </si>
  <si>
    <t>0006-CTPGL-07-2004</t>
  </si>
  <si>
    <t>CALLE BETA N° 279-A</t>
  </si>
  <si>
    <t>PK-5967</t>
  </si>
  <si>
    <t>97553-073-230712</t>
  </si>
  <si>
    <t xml:space="preserve">JR. OCOÑA , MZ. Q, LOTE 2B </t>
  </si>
  <si>
    <t>ZI-3316</t>
  </si>
  <si>
    <t> A7Z-940</t>
  </si>
  <si>
    <t>121977-073-130616</t>
  </si>
  <si>
    <t>AMC-722</t>
  </si>
  <si>
    <t>151642-073-201020</t>
  </si>
  <si>
    <t>BRALEO INVERSIONES &amp; SERVICIOS E.I.R.L.</t>
  </si>
  <si>
    <t>CALLE MARIA PARADO DE BELLIDO N° 139</t>
  </si>
  <si>
    <t>M3D-730</t>
  </si>
  <si>
    <t> 7300</t>
  </si>
  <si>
    <t xml:space="preserve">ZARELA GRISELDA VASQUEZ BRAVO </t>
  </si>
  <si>
    <t>124448-073-131016</t>
  </si>
  <si>
    <t xml:space="preserve">CALLE LIMA 455 4TO PISO </t>
  </si>
  <si>
    <t>ANW-919</t>
  </si>
  <si>
    <t>0024-CTPGL-15-2006</t>
  </si>
  <si>
    <t>MELCHOR MANUEL VASQUEZ ALVARADO</t>
  </si>
  <si>
    <t>MZ. L LOTE 6 URB. CHACRASANA.</t>
  </si>
  <si>
    <t>PIL-092</t>
  </si>
  <si>
    <t> 780</t>
  </si>
  <si>
    <t>105499-073-111013</t>
  </si>
  <si>
    <t>D0F-741</t>
  </si>
  <si>
    <t>0084-CTPGL-15-2004</t>
  </si>
  <si>
    <t>AV. AVIACION N° 2405 - 7MO. PISO</t>
  </si>
  <si>
    <t>PIO-260</t>
  </si>
  <si>
    <t>135771-073-200418</t>
  </si>
  <si>
    <t>DAYSE YANNINA LUNA SOLIS</t>
  </si>
  <si>
    <t>AV. DEL AIRE 1641-1, URB. LA VIÑA</t>
  </si>
  <si>
    <t>SAN LUIS</t>
  </si>
  <si>
    <t>C4L-759</t>
  </si>
  <si>
    <t> 5500</t>
  </si>
  <si>
    <t>141414-073-210219</t>
  </si>
  <si>
    <t>AMAZON L &amp; Z S.R.L.</t>
  </si>
  <si>
    <t>JR. COLOMBIA N° 211 A PAMPA DE CAMARONES</t>
  </si>
  <si>
    <t>C3A-762</t>
  </si>
  <si>
    <t> 5990</t>
  </si>
  <si>
    <t>KELY ZULMA LA TORRE ZUÑIGA</t>
  </si>
  <si>
    <t>98151-073-110317</t>
  </si>
  <si>
    <t xml:space="preserve">JESHUA OPERADOR LOGISTICO S.A.C. </t>
  </si>
  <si>
    <t>B0M-991</t>
  </si>
  <si>
    <t>124457-073-131016</t>
  </si>
  <si>
    <t>ANY-853</t>
  </si>
  <si>
    <t>0002-CTPGL-07-2004</t>
  </si>
  <si>
    <t>MARIA ROSARIO VILCA VIGO</t>
  </si>
  <si>
    <t>JR. AREQUIPA MZ. B LOTE 45 - URB. SAN JUAN MACIAS</t>
  </si>
  <si>
    <t>OQ-5824</t>
  </si>
  <si>
    <t>91302-073-310517</t>
  </si>
  <si>
    <t>JIRON MINERIA Nº 320, URB. LOS FICUS</t>
  </si>
  <si>
    <t>D4K-998</t>
  </si>
  <si>
    <t>122399-073-100317</t>
  </si>
  <si>
    <t>F9A-992</t>
  </si>
  <si>
    <t>149770-073-270620</t>
  </si>
  <si>
    <t>FULGAS PLANTA ENVASADORA DE G.L.P S.A.</t>
  </si>
  <si>
    <t>JR. 28 DE JULIO N°340</t>
  </si>
  <si>
    <t>AZD-771</t>
  </si>
  <si>
    <t> 1785</t>
  </si>
  <si>
    <t>MATUTE PALACIOS TERESA DEL CARMEN</t>
  </si>
  <si>
    <t>EDUARDO LEOPOLDO DELGADO LUDEÑA</t>
  </si>
  <si>
    <t>JR. RECUAY N° 253-101</t>
  </si>
  <si>
    <t>PGC-799</t>
  </si>
  <si>
    <t>0004-CBGL-04-2007</t>
  </si>
  <si>
    <t>CREDIGAS E.I.R.L.</t>
  </si>
  <si>
    <t>CALLE TRUJILLO No 129 - PP.JJ. MIGUEL GRAU</t>
  </si>
  <si>
    <t>XH-4434</t>
  </si>
  <si>
    <t> 1765</t>
  </si>
  <si>
    <t>121978-073-130616</t>
  </si>
  <si>
    <t>AMA-927</t>
  </si>
  <si>
    <t>84269-073-310114</t>
  </si>
  <si>
    <t>DISTRIBUIDORA MUNDO GAS S.A.C.</t>
  </si>
  <si>
    <t>JR. FRANCISCO PIZARRO N° 860</t>
  </si>
  <si>
    <t>MORALES</t>
  </si>
  <si>
    <t>M4P-797</t>
  </si>
  <si>
    <t> 1850</t>
  </si>
  <si>
    <t>WALTER ANTONIO LOZANO GUERRA</t>
  </si>
  <si>
    <t>0003-CBGL-04-2008</t>
  </si>
  <si>
    <t>TRANSPORTES VIRGENCITA DE ASUNCION ORCOPAMPA EIRL</t>
  </si>
  <si>
    <t xml:space="preserve">AA.HH. CIUDAD MUNICIPAL ZONA IV MANZANA H LOTE 9 </t>
  </si>
  <si>
    <t>XH-4722</t>
  </si>
  <si>
    <t> 1795</t>
  </si>
  <si>
    <t>0013-CTPGL-04-2003</t>
  </si>
  <si>
    <t>ANDRES PHOCCO CARDENAS</t>
  </si>
  <si>
    <t>LOTE 1 MZ. R ZONA C COMITE 22</t>
  </si>
  <si>
    <t>OH-5523</t>
  </si>
  <si>
    <t>128612-073-180517</t>
  </si>
  <si>
    <t>AV. ALMIRANTE MIGUEL GRAU NRO. 292 INT. 703C</t>
  </si>
  <si>
    <t>Z6M-715</t>
  </si>
  <si>
    <t>96347-073-310516</t>
  </si>
  <si>
    <t>D5P-863</t>
  </si>
  <si>
    <t>XI-4248</t>
  </si>
  <si>
    <t>105497-073-111013</t>
  </si>
  <si>
    <t>D0G-903</t>
  </si>
  <si>
    <t>18110-073-061211</t>
  </si>
  <si>
    <t>MEGA GAS S.A.C.</t>
  </si>
  <si>
    <t>M2X-928</t>
  </si>
  <si>
    <t>JUAN MAURICIO DURAND WONG</t>
  </si>
  <si>
    <t>121979-073-130616</t>
  </si>
  <si>
    <t>AMB-804</t>
  </si>
  <si>
    <t>0002-CBGL-05-2009</t>
  </si>
  <si>
    <t>REYMUNDEZ HINOSTROZA, CORINA</t>
  </si>
  <si>
    <t>ASOC. MICAELA BASTIDAS MZ J LOTE 17</t>
  </si>
  <si>
    <t>ZG-9912</t>
  </si>
  <si>
    <t> YG-1450</t>
  </si>
  <si>
    <t> 12080</t>
  </si>
  <si>
    <t>114695-073-290415</t>
  </si>
  <si>
    <t>AED-942</t>
  </si>
  <si>
    <t>139600-073-201118</t>
  </si>
  <si>
    <t>DISTRIBUIDORA YUPUPUPU S.R.L.</t>
  </si>
  <si>
    <t>JIRON LA MERCED N° 451, CHACHAPOYAS</t>
  </si>
  <si>
    <t>T6L-931</t>
  </si>
  <si>
    <t> 9240</t>
  </si>
  <si>
    <t>HOMERO MARIN AGUILAR</t>
  </si>
  <si>
    <t>114698-073-300415</t>
  </si>
  <si>
    <t>AEC-915</t>
  </si>
  <si>
    <t>130805-073-090817</t>
  </si>
  <si>
    <t>W5N-786</t>
  </si>
  <si>
    <t>130818-073-031017</t>
  </si>
  <si>
    <t>TRANSPORTES PUYAYA E.I.R.L.</t>
  </si>
  <si>
    <t>CAL. SAN SALVADOR N° 499- CPM. LUJAN</t>
  </si>
  <si>
    <t>D6N-914</t>
  </si>
  <si>
    <t> 880</t>
  </si>
  <si>
    <t>104336-073-010813</t>
  </si>
  <si>
    <t>C7B-846</t>
  </si>
  <si>
    <t>0005-CBGL-08-2007</t>
  </si>
  <si>
    <t xml:space="preserve">TRANSPORTES PAITITI EIRL </t>
  </si>
  <si>
    <t xml:space="preserve">PROLONGACON MANCO CCAPAC Nº 224 </t>
  </si>
  <si>
    <t>WH-7925</t>
  </si>
  <si>
    <t>62496-073-110717</t>
  </si>
  <si>
    <t>HUAMSA S.A.C</t>
  </si>
  <si>
    <t>MZ. P LOTE 01 A.H. LOMAS DE MARCHAN</t>
  </si>
  <si>
    <t>PUCUSANA</t>
  </si>
  <si>
    <t>B4X-943</t>
  </si>
  <si>
    <t> 4860</t>
  </si>
  <si>
    <t>MARCO ANTONIO HUAMAN SALAS</t>
  </si>
  <si>
    <t>0046-CTPGL-15-2001</t>
  </si>
  <si>
    <t>PIF-947</t>
  </si>
  <si>
    <t>0047-CTPGL-15-2001</t>
  </si>
  <si>
    <t>PIF-950</t>
  </si>
  <si>
    <t> 290</t>
  </si>
  <si>
    <t>0049-CTPGL-15-2001</t>
  </si>
  <si>
    <t>PIF-899</t>
  </si>
  <si>
    <t>0048-CTPGL-15-2001</t>
  </si>
  <si>
    <t>PIF-747</t>
  </si>
  <si>
    <t>0050-CTPGL-15-2001</t>
  </si>
  <si>
    <t>PIF-948</t>
  </si>
  <si>
    <t>96437-073-120412</t>
  </si>
  <si>
    <t>C9D-938</t>
  </si>
  <si>
    <t>101093-073-020313</t>
  </si>
  <si>
    <t>SERVIGAS SAC</t>
  </si>
  <si>
    <t>PROLONGACION MEXICO OESTE Nº 901-UPIS MARIA PARADO DE BELLIDO</t>
  </si>
  <si>
    <t>M3I-756</t>
  </si>
  <si>
    <t>LEONIDAS CORDOVA GARCIA</t>
  </si>
  <si>
    <t>88529-073-2010</t>
  </si>
  <si>
    <t>COMPAÑIA DIESEL GAS SOCIEDAD COMERCIAL DE RESPONSABILIDAD LIMITADA.</t>
  </si>
  <si>
    <t>JR. JOSÉ CORONADO N° 617</t>
  </si>
  <si>
    <t>WGR-929</t>
  </si>
  <si>
    <t> 1450</t>
  </si>
  <si>
    <t>JHONNY ROJAS GONZALO</t>
  </si>
  <si>
    <t>127664-073-100417</t>
  </si>
  <si>
    <t>EMPRESA DE TRANSPORTES NATIVIDAD E.I.R.L.</t>
  </si>
  <si>
    <t>CR. CENTRAL S/N BARRIO JABON RUMI</t>
  </si>
  <si>
    <t>HUAYLAS</t>
  </si>
  <si>
    <t>CARAZ</t>
  </si>
  <si>
    <t>ADV-948</t>
  </si>
  <si>
    <t> 8000</t>
  </si>
  <si>
    <t>PEDRO FLORENTINO NATIVIDAD MILLA</t>
  </si>
  <si>
    <t>104341-073-010813</t>
  </si>
  <si>
    <t>H1K-852</t>
  </si>
  <si>
    <t>100149-073-120113</t>
  </si>
  <si>
    <t>INVERSIONES JENICE E.I.R.L.</t>
  </si>
  <si>
    <t>CALLE MI PERUN° 401</t>
  </si>
  <si>
    <t>ALTO AMAZONAS</t>
  </si>
  <si>
    <t>YURIMAGUAS</t>
  </si>
  <si>
    <t>S1K-927</t>
  </si>
  <si>
    <t>WILBER VASQUEZ FLORES</t>
  </si>
  <si>
    <t>0092-CTPGL-15-2004</t>
  </si>
  <si>
    <t>PIO-372</t>
  </si>
  <si>
    <t>125638-073-271216</t>
  </si>
  <si>
    <t>INVERSIONES HNOS T &amp; P SAC</t>
  </si>
  <si>
    <t>AV. ANTIGUA PANAMERICANA SUR N° 690 - SAN JOAQUIN VIEJO</t>
  </si>
  <si>
    <t>A1B-821</t>
  </si>
  <si>
    <t> 830</t>
  </si>
  <si>
    <t>TULIO ZOSIMO PAICO FALERO</t>
  </si>
  <si>
    <t>0085-CTPGL-15-2004</t>
  </si>
  <si>
    <t>PIO-324</t>
  </si>
  <si>
    <t>OG-4218</t>
  </si>
  <si>
    <t>88514-073-2010</t>
  </si>
  <si>
    <t>COMPAÑIA DIESEL GAS SOCIEDAD COMERCIAL RESPONSABILIDAD LIMITADA</t>
  </si>
  <si>
    <t>WGI-136</t>
  </si>
  <si>
    <t> 1710</t>
  </si>
  <si>
    <t>0071-CBGL-15-2001</t>
  </si>
  <si>
    <t>PD-8958</t>
  </si>
  <si>
    <t>112911-073-260115</t>
  </si>
  <si>
    <t>HENRY RONALD YEPEZ ALVAREZ</t>
  </si>
  <si>
    <t>CALLE ABANCAY N° 213, URB. APURIMAC</t>
  </si>
  <si>
    <t>V6C-700</t>
  </si>
  <si>
    <t>96429-073-140412</t>
  </si>
  <si>
    <t>AV. ANTONIO RAYMONDI N° 247</t>
  </si>
  <si>
    <t>B2C-919</t>
  </si>
  <si>
    <t>0003-CBGL-07-2002</t>
  </si>
  <si>
    <t>WI-5407</t>
  </si>
  <si>
    <t>88897-073-2010</t>
  </si>
  <si>
    <t>SERVOSA GAS S.A.C.</t>
  </si>
  <si>
    <t>CALLE B S/N, URB. EX FUNDO OQUENDO</t>
  </si>
  <si>
    <t>A0T-806</t>
  </si>
  <si>
    <t>GUILLERMO ALFREDO VOGELMANN BONICELLI</t>
  </si>
  <si>
    <t>0004-CBGL-07-2002</t>
  </si>
  <si>
    <t>AV. NESTOR GAMBETA N° 4765</t>
  </si>
  <si>
    <t>WG-7557</t>
  </si>
  <si>
    <t>0076-CTPGL-15-2003</t>
  </si>
  <si>
    <t>JOSE SUGANO ENDO</t>
  </si>
  <si>
    <t>GENERAL ERNESTO MONTAGNE N° 222</t>
  </si>
  <si>
    <t>PGX-718</t>
  </si>
  <si>
    <t>118978-073-050116</t>
  </si>
  <si>
    <t>VICTORIA JUAN GAS SOCIEDAD ANONIMA CERRADA</t>
  </si>
  <si>
    <t>CAR. PANAMERICANA SUR KM. 1113</t>
  </si>
  <si>
    <t>X1R-855</t>
  </si>
  <si>
    <t> 1830</t>
  </si>
  <si>
    <t>JUAN QUECAÑO VILCA</t>
  </si>
  <si>
    <t>MAURICIO SOTO NUEVO</t>
  </si>
  <si>
    <t>CALLE LEONCIO PRADO N° 220</t>
  </si>
  <si>
    <t>HUARAL</t>
  </si>
  <si>
    <t>OG-3024</t>
  </si>
  <si>
    <t>PEDRO SALAS ESCUDERO</t>
  </si>
  <si>
    <t>MZ B LOTE A ANDRES DE LOS REYES</t>
  </si>
  <si>
    <t>CHANCAY</t>
  </si>
  <si>
    <t>PG-3314</t>
  </si>
  <si>
    <t>145192-073-150719</t>
  </si>
  <si>
    <t>JR. RUFINO MACEDO MZ. H LT. 11 URB. PANAMERICA NORTE</t>
  </si>
  <si>
    <t>BAN-786</t>
  </si>
  <si>
    <t>115413-073-290615</t>
  </si>
  <si>
    <t>RAMOSA CCORIHUAMAN MAMANI</t>
  </si>
  <si>
    <t>A.P.V. SURIHUAYLLA GRANDE P-9</t>
  </si>
  <si>
    <t>X2V-799</t>
  </si>
  <si>
    <t>0079-CTPGL-15-2004</t>
  </si>
  <si>
    <t>PIO-245</t>
  </si>
  <si>
    <t>93082-073-140911</t>
  </si>
  <si>
    <t>SOCIEDAD MERCANTIL DE ICA S.A.C.</t>
  </si>
  <si>
    <t>AV. GRAU N° 397-A</t>
  </si>
  <si>
    <t>B9H-912</t>
  </si>
  <si>
    <t> 980</t>
  </si>
  <si>
    <t>MARIO IBAÑEZ TREMOLADA</t>
  </si>
  <si>
    <t>101910-073-240413</t>
  </si>
  <si>
    <t>JIRON BOLOGNESI S/N</t>
  </si>
  <si>
    <t>AZANGARO</t>
  </si>
  <si>
    <t>ARAPA</t>
  </si>
  <si>
    <t>V4P-849</t>
  </si>
  <si>
    <t> 5900</t>
  </si>
  <si>
    <t>145191-073-180719</t>
  </si>
  <si>
    <t>BAP-818</t>
  </si>
  <si>
    <t>104344-073-010813</t>
  </si>
  <si>
    <t>A2B-946</t>
  </si>
  <si>
    <t> 1870</t>
  </si>
  <si>
    <t>0010-CTPGL-04-2006</t>
  </si>
  <si>
    <t xml:space="preserve">CANTERAS KM. 10.5 CONO NORTE </t>
  </si>
  <si>
    <t>OH-6039</t>
  </si>
  <si>
    <t> 145</t>
  </si>
  <si>
    <t>0012-CTPGL-04-2006</t>
  </si>
  <si>
    <t xml:space="preserve">CANTERAS KM 10.5 CONO NORTE </t>
  </si>
  <si>
    <t>OH-5990</t>
  </si>
  <si>
    <t> 155</t>
  </si>
  <si>
    <t>128048-073-111017</t>
  </si>
  <si>
    <t>INNERGY GAS E.I.R.L.</t>
  </si>
  <si>
    <t>JR.4 DE NOVIEMBRE N°706</t>
  </si>
  <si>
    <t>VBT-974</t>
  </si>
  <si>
    <t> ART-770</t>
  </si>
  <si>
    <t>ANA BERTA CUTIPA ESCOBAR</t>
  </si>
  <si>
    <t>0011-CTPGL-04-2006</t>
  </si>
  <si>
    <t>OH-6554</t>
  </si>
  <si>
    <t>0005-CTPGL-15-2004</t>
  </si>
  <si>
    <t>NILDA DIONISIA GOMEZ PEÑA</t>
  </si>
  <si>
    <t>PGI-251</t>
  </si>
  <si>
    <t>0006-CTPGL-15-2004</t>
  </si>
  <si>
    <t>AV. JOSE CARLOS MARIATEGUI 2339</t>
  </si>
  <si>
    <t>OQ-3622</t>
  </si>
  <si>
    <t>99454-073-021212</t>
  </si>
  <si>
    <t>AOUTSORT D &amp; D S.A.C.</t>
  </si>
  <si>
    <t>CALLE LAS ORQUIDEAS MZA. F DPTO 3, LT 7, URB. SAN IGNACIO DE MONTERRICO SUR</t>
  </si>
  <si>
    <t>C2N-775</t>
  </si>
  <si>
    <t>GASPAR RODOLFO SANCHEZ ALIAGA</t>
  </si>
  <si>
    <t>0060-CTPGL-15-2005</t>
  </si>
  <si>
    <t>NELIDA PIMENTEL GARCIA</t>
  </si>
  <si>
    <t>AV. PEDRO BENITO FIGUEROA 185</t>
  </si>
  <si>
    <t>PIK-810</t>
  </si>
  <si>
    <t>139050-073-101018</t>
  </si>
  <si>
    <t xml:space="preserve">CALLE 1 MZ. B LOTE 21 URB. SANTA ROSITA DE ATE I ETAPA </t>
  </si>
  <si>
    <t>D0W-971</t>
  </si>
  <si>
    <t> 13710</t>
  </si>
  <si>
    <t>106043-073-030716</t>
  </si>
  <si>
    <t>F2J-856</t>
  </si>
  <si>
    <t>0003-CBGL-07-2005</t>
  </si>
  <si>
    <t>PETROLEOS DE AMERICA S.A.</t>
  </si>
  <si>
    <t>AV. LAS CASTAÑAS N° 191 - URB. PREVI</t>
  </si>
  <si>
    <t>XQ-1514</t>
  </si>
  <si>
    <t> 2800</t>
  </si>
  <si>
    <t>121423-073-180516</t>
  </si>
  <si>
    <t xml:space="preserve">MARTEL CALIXTO MERY EDITH </t>
  </si>
  <si>
    <t xml:space="preserve">CALLE PASCO N° 23 BARRIO SECTOR 1 </t>
  </si>
  <si>
    <t>PASCO</t>
  </si>
  <si>
    <t>HUAYLLAY</t>
  </si>
  <si>
    <t>F2S-860</t>
  </si>
  <si>
    <t>0001-CTPGL-07-2005</t>
  </si>
  <si>
    <t>AV LAS CASTAÑAS N° 191 - URB. PREVI</t>
  </si>
  <si>
    <t>PGU-185</t>
  </si>
  <si>
    <t>0001-CBGL-07-2005</t>
  </si>
  <si>
    <t>XG-7622</t>
  </si>
  <si>
    <t>0004-CBGL-14-2001</t>
  </si>
  <si>
    <t>WC-4787</t>
  </si>
  <si>
    <t>122249-073-100517</t>
  </si>
  <si>
    <t>NATTY GAS E.I.R.L.</t>
  </si>
  <si>
    <t>AV. VILLA HERMOSA N° 517</t>
  </si>
  <si>
    <t>V8H-887</t>
  </si>
  <si>
    <t> 6270</t>
  </si>
  <si>
    <t>WILMAR JOSE RIVERA RODRIGUEZ</t>
  </si>
  <si>
    <t>0003-CBGL-22-2009</t>
  </si>
  <si>
    <t>UNIVERSAL GAS S.R.L</t>
  </si>
  <si>
    <t>JR. FRANCISCO PIZARRO N° 860 TARAPOTO</t>
  </si>
  <si>
    <t>WGL-426</t>
  </si>
  <si>
    <t> 2875</t>
  </si>
  <si>
    <t>138557-073-110918</t>
  </si>
  <si>
    <t>EMPROAL S.R.L.</t>
  </si>
  <si>
    <t xml:space="preserve">CALLE UNION ZONA-A MZ. E LOTE 12 PJ. VILLA INDEPENDENCIA </t>
  </si>
  <si>
    <t>V9L-779</t>
  </si>
  <si>
    <t xml:space="preserve">RAUL LOPEZ QUISPE </t>
  </si>
  <si>
    <t>43067-073-290817</t>
  </si>
  <si>
    <t>JR. JOSE CARLOS MARIÁTEGUI Nº 171</t>
  </si>
  <si>
    <t>F5H-822</t>
  </si>
  <si>
    <t>0004-CBGL-25-2009</t>
  </si>
  <si>
    <t>ELSA GENOVEVA CORAS FELIX</t>
  </si>
  <si>
    <t>URBANIZACION CAHUIDE Nº 830</t>
  </si>
  <si>
    <t>XI-1627</t>
  </si>
  <si>
    <t> 7360</t>
  </si>
  <si>
    <t>119276-073-260516</t>
  </si>
  <si>
    <t>JULIA FLORA CCAMA MAMANI</t>
  </si>
  <si>
    <t>JR. 13 DE DICIEMBRE S/N</t>
  </si>
  <si>
    <t>MELGAR</t>
  </si>
  <si>
    <t>MACARI</t>
  </si>
  <si>
    <t>Z4O-702</t>
  </si>
  <si>
    <t>0004-CBGL-12-2004</t>
  </si>
  <si>
    <t>WZ-4656</t>
  </si>
  <si>
    <t> 1720</t>
  </si>
  <si>
    <t>ARMANDO FELIX GANTO HUAMAN</t>
  </si>
  <si>
    <t>PARQUE PALOMARES N° 311 URB. CAMPOY</t>
  </si>
  <si>
    <t>PI-1189</t>
  </si>
  <si>
    <t>0006-CBGL-07-2005</t>
  </si>
  <si>
    <t>WO-9817</t>
  </si>
  <si>
    <t> 1560</t>
  </si>
  <si>
    <t>86374-073-210917</t>
  </si>
  <si>
    <t>CLELIA SUAREZ CABRERA</t>
  </si>
  <si>
    <t>A.H. 08 DE ENEROMZ. B LT. 07 PSJ. FLACEBI</t>
  </si>
  <si>
    <t>MANANTAY</t>
  </si>
  <si>
    <t>W1V-922</t>
  </si>
  <si>
    <t>0008-CBGL-12-2004</t>
  </si>
  <si>
    <t>XH-3135</t>
  </si>
  <si>
    <t>96607-073-160512</t>
  </si>
  <si>
    <t>ARGOS TRANSPORTES Y SERVICIOS E.I.R.L.</t>
  </si>
  <si>
    <t>AV. INDUSTRIAL 415</t>
  </si>
  <si>
    <t>Z3H-812</t>
  </si>
  <si>
    <t xml:space="preserve">NAPOLEON GUILLERMO OSCAR ESTREMADOYRO MORI </t>
  </si>
  <si>
    <t>105916-073-231013</t>
  </si>
  <si>
    <t>JOSE WILBERT ROMERO VASQUEZ</t>
  </si>
  <si>
    <t>AV. SAN MARTIN N° 597</t>
  </si>
  <si>
    <t>F1I-791</t>
  </si>
  <si>
    <t>0002-CTPGL-04-2006</t>
  </si>
  <si>
    <t>NICANOR RICARDO GROVAS CHUMBES</t>
  </si>
  <si>
    <t>CALLE TRUJILLO Nº 129 - MIGUEL GRAU</t>
  </si>
  <si>
    <t>OH-6423</t>
  </si>
  <si>
    <t>0143-CBGL-15-2001</t>
  </si>
  <si>
    <t>JIS GAS MODERNO S.A.</t>
  </si>
  <si>
    <t>AV. CARLOS ALBERTO IZAGUIRRE N° 275</t>
  </si>
  <si>
    <t>XO-3842</t>
  </si>
  <si>
    <t>85643-073-230215</t>
  </si>
  <si>
    <t>CORPORACION PRIMAX S.A.</t>
  </si>
  <si>
    <t>AVENIDA NICOLAS ARRIOLA Nº 740</t>
  </si>
  <si>
    <t>F7Y-753</t>
  </si>
  <si>
    <t>98867-073-240114</t>
  </si>
  <si>
    <t>ENERGIGAS S.A.C.</t>
  </si>
  <si>
    <t>AV. CANAVAL Y MOREYRA NRO. 654 INT. 301, URB. CORPAC</t>
  </si>
  <si>
    <t>B9O-723</t>
  </si>
  <si>
    <t>DIEGO ALONSO GONZALES POSADA DE COSSIO</t>
  </si>
  <si>
    <t>85646-073-150315</t>
  </si>
  <si>
    <t xml:space="preserve">CORPORACION PRIMAX S.A. </t>
  </si>
  <si>
    <t>AVENIDA NICOLAS ARRIOLA 740</t>
  </si>
  <si>
    <t>F6Z-867</t>
  </si>
  <si>
    <t>0006-CTPGL-04-2003</t>
  </si>
  <si>
    <t>GONZALO ALVARADO DUEÑAS</t>
  </si>
  <si>
    <t>URB. QUINTA TRISTAN U-5</t>
  </si>
  <si>
    <t>PGJ-540</t>
  </si>
  <si>
    <t>140537-073-270219</t>
  </si>
  <si>
    <t>WALTER QUISPE TUNQUE</t>
  </si>
  <si>
    <t xml:space="preserve">COMPLEJO HABITACIONAL DEAN VALDIVIA (ENACE) MZA G 8, LOTE 16, SECTOR 8 </t>
  </si>
  <si>
    <t>CAYMA</t>
  </si>
  <si>
    <t>V0D-727</t>
  </si>
  <si>
    <t> 4300</t>
  </si>
  <si>
    <t>43101-073-110315</t>
  </si>
  <si>
    <t>AV. NICOLAS ARRIOLA Nº 740, URB. SANTA CATALINA</t>
  </si>
  <si>
    <t>F1L-835</t>
  </si>
  <si>
    <t> 1590</t>
  </si>
  <si>
    <t>ANTENOR RAFAEL AYSANDA PASCO</t>
  </si>
  <si>
    <t>114049-073-060315</t>
  </si>
  <si>
    <t>DISTRIBUIDORA MARIA ELENA E.I.R.L.</t>
  </si>
  <si>
    <t>AV. VICTOR RAUL HAYA DE LA TORRE A.H. 5 DE FEBRERO MZ. E LOTE 9</t>
  </si>
  <si>
    <t>PAITA</t>
  </si>
  <si>
    <t>P3C-946</t>
  </si>
  <si>
    <t> 5455</t>
  </si>
  <si>
    <t>JAIME LUIS SOSA URCIA</t>
  </si>
  <si>
    <t>90095-073-2010</t>
  </si>
  <si>
    <t>CORPORACIÓN ANDINA DEL GAS PERU S.A.C.</t>
  </si>
  <si>
    <t>JR. GRAL SAN MARTIN MZ. G, LT. 2, AS.PR.HUERTOS DE HUACHIPA</t>
  </si>
  <si>
    <t>A9D-894</t>
  </si>
  <si>
    <t>TORIBIO ALEJANDRO CORRALES ZEA</t>
  </si>
  <si>
    <t>104334-073-260713</t>
  </si>
  <si>
    <t>A3U-908</t>
  </si>
  <si>
    <t>111070-073-150914</t>
  </si>
  <si>
    <t>GRUPO S &amp; G MARE E.I.R.L.</t>
  </si>
  <si>
    <t>SUB LOTE 5 -C; MZ. E; LT PJ EL TRIUNFO ZONA C.</t>
  </si>
  <si>
    <t>LA JOYA</t>
  </si>
  <si>
    <t>V6Y-875</t>
  </si>
  <si>
    <t> 3750</t>
  </si>
  <si>
    <t>DANIEL ANGEL CONDORI VILLANUEVA</t>
  </si>
  <si>
    <t>92080-073-180511</t>
  </si>
  <si>
    <t>PANAMERICANA SUR KM. 59</t>
  </si>
  <si>
    <t>C1F-938</t>
  </si>
  <si>
    <t>116426-073-200715</t>
  </si>
  <si>
    <t>AV. LOS EUCALIPTOS N° 198 URB. SHANGRILA</t>
  </si>
  <si>
    <t>AEV-804</t>
  </si>
  <si>
    <t xml:space="preserve">EDUARDO GUSTAVO LEBRUN ASPILLAGA </t>
  </si>
  <si>
    <t>145562-073-060819</t>
  </si>
  <si>
    <t>DANIEL FELIX CASTILLO</t>
  </si>
  <si>
    <t>MZ. 13, LOTE 17, AA.HH. JUAN PABLO II</t>
  </si>
  <si>
    <t>BAO-840</t>
  </si>
  <si>
    <t> 2305</t>
  </si>
  <si>
    <t>93256-073-220119</t>
  </si>
  <si>
    <t xml:space="preserve">TRANSPORTES CORAS S.A.C. </t>
  </si>
  <si>
    <t>JR.URUBAMBA N° 349</t>
  </si>
  <si>
    <t>A1R-813</t>
  </si>
  <si>
    <t>CARMEN GISSELA BARDALES EDERY</t>
  </si>
  <si>
    <t>COLPA GAS S.R.L.</t>
  </si>
  <si>
    <t>MALECON CENTENARIO - LEONCIO PRADO N° 1267</t>
  </si>
  <si>
    <t>PM-2506</t>
  </si>
  <si>
    <t>97637-073-240114</t>
  </si>
  <si>
    <t>B4U-787</t>
  </si>
  <si>
    <t>DIEGO ALONSO CARLOS JOSE GONZALES POSADA DE COSIO</t>
  </si>
  <si>
    <t>132805-073-090519</t>
  </si>
  <si>
    <t xml:space="preserve">CAL. CAL. ZAPATEL MZ. C LOTE 16 URB. SAN JOAQUIN SAN JOAQUIN </t>
  </si>
  <si>
    <t>AUD-833</t>
  </si>
  <si>
    <t>15493-073-200511</t>
  </si>
  <si>
    <t>G.C. MULTIGAS E.I.R.L.</t>
  </si>
  <si>
    <t>LOTIZACION CHILLON MZ. A LOTE 8</t>
  </si>
  <si>
    <t>B6S-843</t>
  </si>
  <si>
    <t> 1675</t>
  </si>
  <si>
    <t>MIGUEL ANGEL GUTIERREZ BLANCO</t>
  </si>
  <si>
    <t>84126-073-260215</t>
  </si>
  <si>
    <t>AV. NICOLAS ARRIOLA N°740</t>
  </si>
  <si>
    <t>F8C-738</t>
  </si>
  <si>
    <t>142276-073-260319</t>
  </si>
  <si>
    <t>GANDHI SMITH PALACIOS ACHACHAU</t>
  </si>
  <si>
    <t>UCV 88 AA.HH. HUAYCAN ZONA E LT. 25</t>
  </si>
  <si>
    <t>A4Y-869</t>
  </si>
  <si>
    <t>102240-073-090413</t>
  </si>
  <si>
    <t>RUBEN CACERES SERPA</t>
  </si>
  <si>
    <t>JR. ANTONIO RAYMONDI N° 467</t>
  </si>
  <si>
    <t>HUANCAVELICA</t>
  </si>
  <si>
    <t>CHURCAMPA</t>
  </si>
  <si>
    <t>W3V-767</t>
  </si>
  <si>
    <t> 1575</t>
  </si>
  <si>
    <t>121189-073-090516</t>
  </si>
  <si>
    <t>SERVICIOS DE COMERCIALIZACION Y ABASTECIMIENTO DE GAS E.I.R.L.</t>
  </si>
  <si>
    <t>BLOCK W DPTO 211 SANTA MARINA NORTE</t>
  </si>
  <si>
    <t>C3M-918</t>
  </si>
  <si>
    <t>MARIA LUISA CHOTA MENDOZA</t>
  </si>
  <si>
    <t>60953-073-230215</t>
  </si>
  <si>
    <t>AV. NICOLAS ARRIOLA Nº 740</t>
  </si>
  <si>
    <t>F7Q-791</t>
  </si>
  <si>
    <t>LEONIDAS PRADA RAMIREZ</t>
  </si>
  <si>
    <t>AV. CATALINO MIRANDA N° 402</t>
  </si>
  <si>
    <t>WH-1578</t>
  </si>
  <si>
    <t>0001-CBGL-06-2003</t>
  </si>
  <si>
    <t>CARLOS ALBERTO SANCHEZ CHAVEZ</t>
  </si>
  <si>
    <t>JR. MARAÑON N° 139</t>
  </si>
  <si>
    <t>WO-6164</t>
  </si>
  <si>
    <t>0096-CBGL-15-2009</t>
  </si>
  <si>
    <t>SERAFINA JURADO ARROYO</t>
  </si>
  <si>
    <t>AV. LOS ROBLES MZ I LOTE 10 LA CAPITANA HUACHIPA</t>
  </si>
  <si>
    <t>XG-2543</t>
  </si>
  <si>
    <t> 3610</t>
  </si>
  <si>
    <t>121042-073-100317</t>
  </si>
  <si>
    <t>ALV-819</t>
  </si>
  <si>
    <t>0002-CTPGL-06-2004</t>
  </si>
  <si>
    <t>CAXAMARCA GAS S.A.</t>
  </si>
  <si>
    <t>AV. SAN MARTIN DE PORRES LOTE 51</t>
  </si>
  <si>
    <t>PIM-859</t>
  </si>
  <si>
    <t> 160</t>
  </si>
  <si>
    <t>0085-CTPGL-15-2003</t>
  </si>
  <si>
    <t>MIGUEL REGUL ALMEIDA CAMPOS</t>
  </si>
  <si>
    <t>JR. MARACAIBO N° 2408</t>
  </si>
  <si>
    <t>XI-3042</t>
  </si>
  <si>
    <t>0086-CTPGL-15-2003</t>
  </si>
  <si>
    <t>PO-2086</t>
  </si>
  <si>
    <t>0087-CTPGL-15-2003</t>
  </si>
  <si>
    <t>PQ-5973</t>
  </si>
  <si>
    <t>120128-073-250216</t>
  </si>
  <si>
    <t>YONI ARCE BELLIDO</t>
  </si>
  <si>
    <t>NRO. S/N R. MEDINA (JR. PANAMERICANA TRAS HOPS TDA GAS VJ)</t>
  </si>
  <si>
    <t>D9P-790</t>
  </si>
  <si>
    <t>0004-CTPGL-07-2006</t>
  </si>
  <si>
    <t>ROMERO GUTIERREZ DE HUAMAN, NANCY CARMELA</t>
  </si>
  <si>
    <t>MZ. H LT. 20 ASOCIACION DE VIVIENDA SANTA ROSA</t>
  </si>
  <si>
    <t>PGS-244</t>
  </si>
  <si>
    <t>0112-CTPGL-15-2003</t>
  </si>
  <si>
    <t>PIH-620</t>
  </si>
  <si>
    <t>0020-CBGL-15-2003</t>
  </si>
  <si>
    <t>XG-8150</t>
  </si>
  <si>
    <t>116430-073-200715</t>
  </si>
  <si>
    <t>AV. LOS EUCALIPTOS N° 198 - URB. SHANGRILA</t>
  </si>
  <si>
    <t>AEU-812</t>
  </si>
  <si>
    <t>0029-CTPGL-15-2005</t>
  </si>
  <si>
    <t>PIM-234</t>
  </si>
  <si>
    <t>140600-073-050419</t>
  </si>
  <si>
    <t xml:space="preserve">JR. LAMBAYEQUE ZONA F, GRUPO 19, MZ 20 LOTE 1, SEMIRURAL PACHACUTEC </t>
  </si>
  <si>
    <t>D0R-999</t>
  </si>
  <si>
    <t> V9M-851</t>
  </si>
  <si>
    <t>135299-073-100418</t>
  </si>
  <si>
    <t>JT CONTRATISTAS Y SERVICIOS GENERALES SAC</t>
  </si>
  <si>
    <t>MZ. H LOTE 26 DPTO 2 ALAMEDA SALAVERRY 2 ETAPA</t>
  </si>
  <si>
    <t>Z5O-711</t>
  </si>
  <si>
    <t> 1565</t>
  </si>
  <si>
    <t>TELMI YESICA QUISPE CUSI</t>
  </si>
  <si>
    <t>0017-CTPGL-15-2001</t>
  </si>
  <si>
    <t>NOVA GAS S.A</t>
  </si>
  <si>
    <t>AV. NICOLAS ARRIOLA N° 296</t>
  </si>
  <si>
    <t>PGA-071</t>
  </si>
  <si>
    <t>45506-073-030811</t>
  </si>
  <si>
    <t xml:space="preserve">DISTRIBUCION DE GAS LICUADO LUIS MIGUEL EIRL </t>
  </si>
  <si>
    <t>AV. 28 DE JULIO MZ 4 LOTE E URB. INDEPENDENCIA</t>
  </si>
  <si>
    <t>XQ-6761</t>
  </si>
  <si>
    <t>FREDY VILLAFUERTE SORIA</t>
  </si>
  <si>
    <t>83372-073-030811</t>
  </si>
  <si>
    <t xml:space="preserve">AV. 28 DE JULIO MZ 4 LOTE E URB. INDEPENDIENCIA </t>
  </si>
  <si>
    <t>WZ-8363</t>
  </si>
  <si>
    <t xml:space="preserve">FREDY VILLAFUERTE SORIA </t>
  </si>
  <si>
    <t>EMILIA LILIANA LOPEZ DE AVELLANEDA</t>
  </si>
  <si>
    <t>AV. JORGE CHAVEZ N° 388-A</t>
  </si>
  <si>
    <t>PGC-251</t>
  </si>
  <si>
    <t>110018-073-170614</t>
  </si>
  <si>
    <t xml:space="preserve">AV. CANAVAL Y MOREYRA 654 - 3ER PISO </t>
  </si>
  <si>
    <t>D8G-840</t>
  </si>
  <si>
    <t>131516-073-290817</t>
  </si>
  <si>
    <t>JR HUALLAYCO 924</t>
  </si>
  <si>
    <t>AMW-839</t>
  </si>
  <si>
    <t> 2285</t>
  </si>
  <si>
    <t>0005-CBGL-12-2006</t>
  </si>
  <si>
    <t>PALOMINO RUPAY FELICIANO</t>
  </si>
  <si>
    <t>AV. LEONCIO PRADO Nº 464</t>
  </si>
  <si>
    <t>WP-9288</t>
  </si>
  <si>
    <t>125471-073-060319</t>
  </si>
  <si>
    <t>SANTOS YSABEL CHAMORRO AGUILAR</t>
  </si>
  <si>
    <t>MZ. 15 LT. 24 WICHANZAO SECTOR 3</t>
  </si>
  <si>
    <t>T2S-913</t>
  </si>
  <si>
    <t> 7250</t>
  </si>
  <si>
    <t>94054-073-051011</t>
  </si>
  <si>
    <t>M.I.J. TRANSPORTES E.I.R.L.</t>
  </si>
  <si>
    <t>CALLE LAS ORQUIDEAS 104 URB. PRIMAVERA</t>
  </si>
  <si>
    <t>ZF-1289</t>
  </si>
  <si>
    <t> A8S-908</t>
  </si>
  <si>
    <t> 9966</t>
  </si>
  <si>
    <t>JAMES ROBERT LEIGH VELEZ</t>
  </si>
  <si>
    <t>XQ-9769</t>
  </si>
  <si>
    <t>0006-CBGL-12-2006</t>
  </si>
  <si>
    <t>AV. LEONCIO PRADO 800</t>
  </si>
  <si>
    <t>ZM-1118</t>
  </si>
  <si>
    <t> YN-1102</t>
  </si>
  <si>
    <t> 15270</t>
  </si>
  <si>
    <t>0074-CTPGL-15-2008</t>
  </si>
  <si>
    <t>CALLE JORGE EZETA Nº 425</t>
  </si>
  <si>
    <t>PQQ-413</t>
  </si>
  <si>
    <t>124932-073-301116</t>
  </si>
  <si>
    <t>CALLE SAN SALVADOR 499 LUJAN</t>
  </si>
  <si>
    <t>C8W-872</t>
  </si>
  <si>
    <t>85752-073-2010</t>
  </si>
  <si>
    <t>JUAN CARLOS LLAIQUI PIMENTEL</t>
  </si>
  <si>
    <t>CALLE ARGENTINA S/N</t>
  </si>
  <si>
    <t>OH-9141</t>
  </si>
  <si>
    <t>107790-073-090518</t>
  </si>
  <si>
    <t>REPRESENTACIONES QUASAR DEL PERU S.A.C.</t>
  </si>
  <si>
    <t>CALLE DOCE 115 URB CORPAC</t>
  </si>
  <si>
    <t>B8S-841</t>
  </si>
  <si>
    <t> 1190</t>
  </si>
  <si>
    <t>GINO FRANCESCO TOSO PAREDES</t>
  </si>
  <si>
    <t>0053-CBGL-15-2009</t>
  </si>
  <si>
    <t>HUARO OPERADOR LOGISTICO S.A.C</t>
  </si>
  <si>
    <t xml:space="preserve">AUTOPISTA VENTANILLA KM 16.1 </t>
  </si>
  <si>
    <t>ZQ-2536</t>
  </si>
  <si>
    <t> YQ-3092</t>
  </si>
  <si>
    <t> 13080</t>
  </si>
  <si>
    <t>0020-CTPGL-15-2005</t>
  </si>
  <si>
    <t>REMIGIO SEVERO ASTUHUAMAN BRICEÑO</t>
  </si>
  <si>
    <t>AV. SANTA ANA MZ. D-7 LOTE 10 - ASOC. DE VIV. CULTURA PERUANA MODERNA</t>
  </si>
  <si>
    <t>PIM-639</t>
  </si>
  <si>
    <t>114543-073-280315</t>
  </si>
  <si>
    <t>MADIX E.I.R.L.</t>
  </si>
  <si>
    <t>CALLE BERNA 140 URB SANTA ROSA</t>
  </si>
  <si>
    <t>V5B-901</t>
  </si>
  <si>
    <t> 6480</t>
  </si>
  <si>
    <t>BASILIO ALANOCA QUENTA</t>
  </si>
  <si>
    <t>AV. LEON DE VIVERO CDRA. 1 S/N</t>
  </si>
  <si>
    <t>XI-3368</t>
  </si>
  <si>
    <t>84178-073-060319</t>
  </si>
  <si>
    <t>MZ 15 LOTE 24 AA.HH.M . WICHANZAO</t>
  </si>
  <si>
    <t>T6N-917</t>
  </si>
  <si>
    <t> 1566</t>
  </si>
  <si>
    <t>0004-CBGL-12-2006</t>
  </si>
  <si>
    <t>WP-8005</t>
  </si>
  <si>
    <t> 9720</t>
  </si>
  <si>
    <t>0051-CBGL-15-2006</t>
  </si>
  <si>
    <t>INVERSIONES VIENTOS DEL SUR S.R.L</t>
  </si>
  <si>
    <t>CALLE A ZONA 7 FUNDO BOCANEGRA ALTA</t>
  </si>
  <si>
    <t>ZI-5661</t>
  </si>
  <si>
    <t> YI-5212</t>
  </si>
  <si>
    <t>0010-CBGL-15-2002</t>
  </si>
  <si>
    <t>ALFREDO ALANIA SANCHEZ</t>
  </si>
  <si>
    <t>CALLE CHINCHAYSUYO N° 188</t>
  </si>
  <si>
    <t>WO-8244</t>
  </si>
  <si>
    <t>145688-073-130819</t>
  </si>
  <si>
    <t>ECONOGAS S.R.LTDA.</t>
  </si>
  <si>
    <t>MZ. O SUBLOTE C II ZONA INDUSTRIAL</t>
  </si>
  <si>
    <t>VEINTISEIS DE OCTUBRE</t>
  </si>
  <si>
    <t>AWO-939</t>
  </si>
  <si>
    <t> 720</t>
  </si>
  <si>
    <t>CARDENAS ALZA JUSTO ELISEO</t>
  </si>
  <si>
    <t>121626-073-231016</t>
  </si>
  <si>
    <t>A9H-995</t>
  </si>
  <si>
    <t> B4K-759</t>
  </si>
  <si>
    <t> 12480</t>
  </si>
  <si>
    <t>0009-CBGL-14-2008</t>
  </si>
  <si>
    <t>MARIA CECILIA INES OJEDA HERNANDEZ</t>
  </si>
  <si>
    <t>CALLE NEPTUNO 130 URB. SANTA ELENA</t>
  </si>
  <si>
    <t>WGL-133</t>
  </si>
  <si>
    <t>PIA-310</t>
  </si>
  <si>
    <t>YOGAS S.A</t>
  </si>
  <si>
    <t>AV. PACHACUTEC MZ. 15 LOTES 1-2</t>
  </si>
  <si>
    <t>PE-1224</t>
  </si>
  <si>
    <t>WALTER LOZANO GUERRA</t>
  </si>
  <si>
    <t>AV. SALAVERRY N° 571</t>
  </si>
  <si>
    <t>PX-3199</t>
  </si>
  <si>
    <t>140612-073-110119</t>
  </si>
  <si>
    <t>TRANSPORTES BEMOR EIRL</t>
  </si>
  <si>
    <t>AYL-746</t>
  </si>
  <si>
    <t> 8135</t>
  </si>
  <si>
    <t>104860-073-230813</t>
  </si>
  <si>
    <t>LOGISTICA Y TRANSPORTES ALFA SA</t>
  </si>
  <si>
    <t xml:space="preserve">CALLE MALECON MZA. A LOTE 17 URB. PROLIMA ETAPA 4 </t>
  </si>
  <si>
    <t>M1D-929</t>
  </si>
  <si>
    <t>120473-073-290316</t>
  </si>
  <si>
    <t xml:space="preserve">AV EL POLO 397 </t>
  </si>
  <si>
    <t> ALO-846</t>
  </si>
  <si>
    <t>41402-073-030913</t>
  </si>
  <si>
    <t>CALLE MALECON MZ. A LOTE 17 URB. PROLIMA 4TA ETAPA</t>
  </si>
  <si>
    <t>C2N-810</t>
  </si>
  <si>
    <t>PGH-324</t>
  </si>
  <si>
    <t>OG-8496</t>
  </si>
  <si>
    <t>119728-073-160516</t>
  </si>
  <si>
    <t xml:space="preserve">JESAL INVERSIONES E.I.R.L. </t>
  </si>
  <si>
    <t xml:space="preserve">JR. JOSE SANTOS CHOCANO 790 - PUEBLO PILCOMAYO </t>
  </si>
  <si>
    <t>PILCOMAYO</t>
  </si>
  <si>
    <t>W3G-994</t>
  </si>
  <si>
    <t> C7F-887</t>
  </si>
  <si>
    <t> 19500</t>
  </si>
  <si>
    <t>JESUS ANGEL ARANA LULO</t>
  </si>
  <si>
    <t>XQ-6991</t>
  </si>
  <si>
    <t>PIA-312</t>
  </si>
  <si>
    <t>86381-073-171018</t>
  </si>
  <si>
    <t>SERVICIOS E INVERSIONES AQUARIUS S.A.C.</t>
  </si>
  <si>
    <t>PSJ. LOS GUAYAQUILES N° 301</t>
  </si>
  <si>
    <t>D6Q-753</t>
  </si>
  <si>
    <t>GILMER AMADOR ORELLANA VILLALOBOS</t>
  </si>
  <si>
    <t>100956-073-300513</t>
  </si>
  <si>
    <t>INVERSIONES GEAMS E.I.R.L.</t>
  </si>
  <si>
    <t>JR. BOLIVAR N° 440</t>
  </si>
  <si>
    <t>W2Z-808</t>
  </si>
  <si>
    <t> 1815</t>
  </si>
  <si>
    <t>BLANCA ZORAIDA SEGOVIA ZANABRIA</t>
  </si>
  <si>
    <t>0000016-HCO</t>
  </si>
  <si>
    <t>WM-3220</t>
  </si>
  <si>
    <t>145687-073-130819</t>
  </si>
  <si>
    <t>AWN-702</t>
  </si>
  <si>
    <t>0008-CBGL-04-2007</t>
  </si>
  <si>
    <t>CALLE MOLLENDO 106 SAN MARTIN DE SOCABAYA</t>
  </si>
  <si>
    <t>XH-3104</t>
  </si>
  <si>
    <t>0032-CBGL-15-2001</t>
  </si>
  <si>
    <t>XG-7796</t>
  </si>
  <si>
    <t>0136-CBGL-15-2001</t>
  </si>
  <si>
    <t>XQ-7485</t>
  </si>
  <si>
    <t> 1470</t>
  </si>
  <si>
    <t>0003-CTPGL-07-2002</t>
  </si>
  <si>
    <t>PK-1668</t>
  </si>
  <si>
    <t>0001-CBGL-07-2002</t>
  </si>
  <si>
    <t>WG-2082</t>
  </si>
  <si>
    <t>103808-073-280613</t>
  </si>
  <si>
    <t xml:space="preserve">TRANSPORTES ANTAGAS S.R.L </t>
  </si>
  <si>
    <t xml:space="preserve">AV. NUEVO HORIZONTE MZ. E, LT. 9, INT. 3 - URB. NUEVO HORIZONTE </t>
  </si>
  <si>
    <t>D8S-805</t>
  </si>
  <si>
    <t>LIDIA GUTIERREZ ZEANCAS</t>
  </si>
  <si>
    <t>0038-CBGL-15-2008</t>
  </si>
  <si>
    <t>REPARTO PERU S.A.C</t>
  </si>
  <si>
    <t>CALLE MINERIA N° 320, URB. LOS FICUS</t>
  </si>
  <si>
    <t>WGG-387</t>
  </si>
  <si>
    <t> 4200</t>
  </si>
  <si>
    <t>100377-073-120113</t>
  </si>
  <si>
    <t>TRANSPORTES Y SERVICIOS CORRECAMINOS E.I.R.L.</t>
  </si>
  <si>
    <t>JR. BELEN TORRES DE TELLO N° 249</t>
  </si>
  <si>
    <t>S1L-811</t>
  </si>
  <si>
    <t>JUAN CARLOS BAYONA LOPEZ</t>
  </si>
  <si>
    <t>DISTRIBUIDORA NOR PERUANA S.R.L.</t>
  </si>
  <si>
    <t>MZ. D LOTE 7 URB. LOS TALLANES</t>
  </si>
  <si>
    <t>XI-4302</t>
  </si>
  <si>
    <t>0024-CTPGL-15-2001</t>
  </si>
  <si>
    <t>VICTOR HUMBERTO TERRONES BECERRA</t>
  </si>
  <si>
    <t>DOÑA ANA N° 306 URB. LOS ROSALES</t>
  </si>
  <si>
    <t>PP-4890</t>
  </si>
  <si>
    <t>103807-073-030713</t>
  </si>
  <si>
    <t>TRANSPORTES ANTAGAS S.R.L.</t>
  </si>
  <si>
    <t>AV. NUEVO HORIZONTE MZ. E LT. 9 INT. 3 URB. NUEVO HORIZONTE</t>
  </si>
  <si>
    <t>W1F-806</t>
  </si>
  <si>
    <t> 5750</t>
  </si>
  <si>
    <t>94179-073-171011</t>
  </si>
  <si>
    <t>C4M-907</t>
  </si>
  <si>
    <t>0018-CTPGL-15-2005</t>
  </si>
  <si>
    <t>AV. LOS ROBLES MZ. I LOTE 20 URB. LA CAPITANA HUACHIPA</t>
  </si>
  <si>
    <t>PS-1481</t>
  </si>
  <si>
    <t>0033-CBGL-15-2001</t>
  </si>
  <si>
    <t>WM-2959</t>
  </si>
  <si>
    <t>0121-CBGL-15-2001</t>
  </si>
  <si>
    <t>XO-2961</t>
  </si>
  <si>
    <t>121428-073-200916</t>
  </si>
  <si>
    <t>OPERGAS S.A.C</t>
  </si>
  <si>
    <t>MZ. D, LOTE N° 3, URB. VISTA ALEGRE</t>
  </si>
  <si>
    <t>V5T-809</t>
  </si>
  <si>
    <t> 940</t>
  </si>
  <si>
    <t>JOHN BRIAN BEJAR RAMOS</t>
  </si>
  <si>
    <t>0008-CBGL-14-2008</t>
  </si>
  <si>
    <t>SERVIGAS S.A.C</t>
  </si>
  <si>
    <t>PROLONGACION MEXICO OESTE Nº 901 UPIS MARIA PARADO DE BELLIDO</t>
  </si>
  <si>
    <t>XC-1806</t>
  </si>
  <si>
    <t>0008-CBGL-15-2004</t>
  </si>
  <si>
    <t>WO-9938</t>
  </si>
  <si>
    <t> 2050</t>
  </si>
  <si>
    <t>0126-CBGL-15-2001</t>
  </si>
  <si>
    <t>XQ-3430</t>
  </si>
  <si>
    <t>121470-073-160516</t>
  </si>
  <si>
    <t>JESAL INVERSIONES E.I.R.L.</t>
  </si>
  <si>
    <t>JR. JOSE SANTOS CHOCANON° 790</t>
  </si>
  <si>
    <t>C3N-721</t>
  </si>
  <si>
    <t> 3125</t>
  </si>
  <si>
    <t>0089-CTPGL-15-2001</t>
  </si>
  <si>
    <t>JOSE ERNESTO MORENO OSORIO</t>
  </si>
  <si>
    <t>AV. SAN LUIS N° 2612</t>
  </si>
  <si>
    <t>OG-4696</t>
  </si>
  <si>
    <t> 170</t>
  </si>
  <si>
    <t>0027-CBGL-15-2001</t>
  </si>
  <si>
    <t>XI-1299</t>
  </si>
  <si>
    <t>146896-073-021019</t>
  </si>
  <si>
    <t>BENDEZU CORAS LUIS ANGEL</t>
  </si>
  <si>
    <t>JR. CARMEN CABREJOS N° 462</t>
  </si>
  <si>
    <t>D9C-917</t>
  </si>
  <si>
    <t> 9920</t>
  </si>
  <si>
    <t>121624-073-091216</t>
  </si>
  <si>
    <t>D3D-982</t>
  </si>
  <si>
    <t> B4S-756</t>
  </si>
  <si>
    <t>0025-CBGL-15-2001</t>
  </si>
  <si>
    <t>XG-8790</t>
  </si>
  <si>
    <t>0026-CBGL-15-2001</t>
  </si>
  <si>
    <t>XI-6799</t>
  </si>
  <si>
    <t>0002-CBGL-07-2002</t>
  </si>
  <si>
    <t>WG-8663</t>
  </si>
  <si>
    <t>84559-073-181214</t>
  </si>
  <si>
    <t>TRANSPORTES ESTRELLA DE DAVID E.I.R.L</t>
  </si>
  <si>
    <t>CALLE BERNABÉ COBO N° 337</t>
  </si>
  <si>
    <t>T1U-827</t>
  </si>
  <si>
    <t>PABLO ANTONIO MESONES TELLO</t>
  </si>
  <si>
    <t>0001-CBGL-07-2001</t>
  </si>
  <si>
    <t>WO-1024</t>
  </si>
  <si>
    <t>130390-073-110717</t>
  </si>
  <si>
    <t>CONSORCIO LILIAM E.I.R.L.</t>
  </si>
  <si>
    <t xml:space="preserve">URB. PROGRESO AV. TUPAC AMARU A-1 B </t>
  </si>
  <si>
    <t>C8C-768</t>
  </si>
  <si>
    <t> C2M-971</t>
  </si>
  <si>
    <t> 11025</t>
  </si>
  <si>
    <t>LILIAM ELAINE LINARES REYNOSO</t>
  </si>
  <si>
    <t>0001-CTPGL-18-2010</t>
  </si>
  <si>
    <t>DISTRIBUCIONES MARIA E.I.R.L.</t>
  </si>
  <si>
    <t>MAGISTERIO MZ. 43. LOTE 14</t>
  </si>
  <si>
    <t>OH-5227</t>
  </si>
  <si>
    <t>0002-CTPGL-18-2010</t>
  </si>
  <si>
    <t>LEONARDO FREDDY FARFAN CHOQUE</t>
  </si>
  <si>
    <t>ASOC. 24 BDE OCTUBRE MZ 54 LOTE 01</t>
  </si>
  <si>
    <t>PJ-3144</t>
  </si>
  <si>
    <t>0002-CTPGL-15-2005</t>
  </si>
  <si>
    <t>LORENZA VEGA JULCA</t>
  </si>
  <si>
    <t>AV. COLECTORA MZ. A-19 LOTE 16 - ASOC. VIVIENDA SANTA ANITA</t>
  </si>
  <si>
    <t>PIP-180</t>
  </si>
  <si>
    <t>113097-073-010115</t>
  </si>
  <si>
    <t>M5F-874</t>
  </si>
  <si>
    <t>93394-073-270711</t>
  </si>
  <si>
    <t>P2B-890</t>
  </si>
  <si>
    <t> 8100</t>
  </si>
  <si>
    <t>102922-073-140818</t>
  </si>
  <si>
    <t>INVERSIONES AYD BAMBARMARCA S.A.C</t>
  </si>
  <si>
    <t>AV. TUPAC AMARU N° 1105</t>
  </si>
  <si>
    <t>M2T-829</t>
  </si>
  <si>
    <t> 6760</t>
  </si>
  <si>
    <t>LITA ELIZABETH RUIZ SAAVEDRA</t>
  </si>
  <si>
    <t>137357-073-100718</t>
  </si>
  <si>
    <t>SALVADOR COSME JULCA</t>
  </si>
  <si>
    <t>MZ. I LOTE 14, ASENTAMIENTO HUMANO 01 DE NOVIEMBRE</t>
  </si>
  <si>
    <t>F5G-846</t>
  </si>
  <si>
    <t>108446-073-090414</t>
  </si>
  <si>
    <t>CORPORACION ECOGAS EMPRESA INDIVIDUAL DE RESPONSABILIDAD LIMITADA</t>
  </si>
  <si>
    <t>JR. DANIEL ALCIDES CARRION MZ. B, LT. 12 URB. NUEVA ESPERANZA</t>
  </si>
  <si>
    <t>Z1J-978</t>
  </si>
  <si>
    <t> C3Q-898</t>
  </si>
  <si>
    <t>OLMER CHOQUEHUANCA CONDORI</t>
  </si>
  <si>
    <t>ISIDORO CARHUAS CHUMBES</t>
  </si>
  <si>
    <t>CALLE ANTONIO M. DE CACERES MZ. G-1 LOTE 7</t>
  </si>
  <si>
    <t>WQ-9129</t>
  </si>
  <si>
    <t>83131-073-170518</t>
  </si>
  <si>
    <t>THALIA MENDEZ ALTAMIRANO</t>
  </si>
  <si>
    <t>CALLE 6, MZ. I, LOTE 54, URB. PRO LIMA, 1RA ETAPA</t>
  </si>
  <si>
    <t>D9X-987</t>
  </si>
  <si>
    <t> T5Z-902</t>
  </si>
  <si>
    <t> F0Y-976</t>
  </si>
  <si>
    <t> 10640</t>
  </si>
  <si>
    <t>148272-073-171219</t>
  </si>
  <si>
    <t>SOSA MERINO CARLOS MANUEL</t>
  </si>
  <si>
    <t>MZA.G, LOTE 15 A.H. LOPEZ ALBUJAR</t>
  </si>
  <si>
    <t>P3I-740</t>
  </si>
  <si>
    <t> 1920</t>
  </si>
  <si>
    <t>120625-073-310316</t>
  </si>
  <si>
    <t xml:space="preserve">CONSORCIO MISTRAL S.A.C. </t>
  </si>
  <si>
    <t>PASAJE 49 MZ. Y LOTE 47 URB. EL RETABLO</t>
  </si>
  <si>
    <t>C6Q-720</t>
  </si>
  <si>
    <t> 1961</t>
  </si>
  <si>
    <t>ELDER EDGUIN PACHECO RODRIGUEZ</t>
  </si>
  <si>
    <t>110017-073-160614</t>
  </si>
  <si>
    <t xml:space="preserve">ENERGIGAS S.A.C. </t>
  </si>
  <si>
    <t>AV. CANAVAL Y MOREYRA 654 - 3ER PISO</t>
  </si>
  <si>
    <t>D8C-937</t>
  </si>
  <si>
    <t> 675</t>
  </si>
  <si>
    <t>130927-073-060817</t>
  </si>
  <si>
    <t>TRANSPORTES DE CARGA, PASAJEROS Y SERVICIOS EN GENERAL M Y W S.R.L.</t>
  </si>
  <si>
    <t>AV. COLONIAL N° 990</t>
  </si>
  <si>
    <t>PUNCHANA</t>
  </si>
  <si>
    <t>B4X-830</t>
  </si>
  <si>
    <t>SEGUNDO WALTER VASQUEZ CAPINOA</t>
  </si>
  <si>
    <t>110016-073-160614</t>
  </si>
  <si>
    <t>D8G-903</t>
  </si>
  <si>
    <t>DIEGO ALONSO ONZALES POSADA DE COSSIO</t>
  </si>
  <si>
    <t>19525-073-100212</t>
  </si>
  <si>
    <t>MZ. 223 LOTES 3-4-5 ZONA INDUSTRIAL</t>
  </si>
  <si>
    <t>P2J-906</t>
  </si>
  <si>
    <t> 1800</t>
  </si>
  <si>
    <t>GUSTAVO ADOLFO URTECHO CUEVA</t>
  </si>
  <si>
    <t>0001-CBGL-05-2005</t>
  </si>
  <si>
    <t>HILDA PILLACA DE LA CRUZ</t>
  </si>
  <si>
    <t>AV. CUSCO N° 570</t>
  </si>
  <si>
    <t>SAN JUAN BAUTISTA</t>
  </si>
  <si>
    <t>XQ-2484</t>
  </si>
  <si>
    <t>140610-073-040119</t>
  </si>
  <si>
    <t xml:space="preserve">RONALD FELIX ALVINO </t>
  </si>
  <si>
    <t>MZ. 28 A-1 SECTOR F ASOCIACION DE FAMILIA 09 DE FEBRERO</t>
  </si>
  <si>
    <t>ANC-929</t>
  </si>
  <si>
    <t>NESTOR ALBERTO SOLARI HELGUERO</t>
  </si>
  <si>
    <t>AV. PETIT THOUARS N° 3519</t>
  </si>
  <si>
    <t>PGI-240</t>
  </si>
  <si>
    <t>PGS-524</t>
  </si>
  <si>
    <t>95725-073-050212</t>
  </si>
  <si>
    <t>AV. SEOANE Nº 115</t>
  </si>
  <si>
    <t>ABANCAY</t>
  </si>
  <si>
    <t>B4J-984</t>
  </si>
  <si>
    <t> A3P-811</t>
  </si>
  <si>
    <t>2412-073-060818</t>
  </si>
  <si>
    <t>CARLA ROCIO CORDOVA RAMOS</t>
  </si>
  <si>
    <t>JR. COSTA AZUL MZ. E LOTE 12, URB. JOSE OLAYA</t>
  </si>
  <si>
    <t>ADE-749</t>
  </si>
  <si>
    <t xml:space="preserve">CARLA ROCIO CORDOVA RAMOS </t>
  </si>
  <si>
    <t>0076-CBGL-15-2001</t>
  </si>
  <si>
    <t>XI-4572</t>
  </si>
  <si>
    <t>DURA GAS S.A</t>
  </si>
  <si>
    <t>JR. FAUSTINO QUISPE N° 345</t>
  </si>
  <si>
    <t>EL TAMBO</t>
  </si>
  <si>
    <t>PP-6836</t>
  </si>
  <si>
    <t>0072-CBGL-15-2001</t>
  </si>
  <si>
    <t>XG-3441</t>
  </si>
  <si>
    <t>132915-073-201117</t>
  </si>
  <si>
    <t>CALLE MINERIA N° 320 URBANIZACION LOS FICUS</t>
  </si>
  <si>
    <t>ANP-707</t>
  </si>
  <si>
    <t>0060-CTPGL-15-2001</t>
  </si>
  <si>
    <t>PGQ-444</t>
  </si>
  <si>
    <t>132916-073-201117</t>
  </si>
  <si>
    <t xml:space="preserve">CALLE MINERIA N° 320 URBANIZACION LOS FICUS </t>
  </si>
  <si>
    <t>ANO-903</t>
  </si>
  <si>
    <t>0055-CTPGL-15-2001</t>
  </si>
  <si>
    <t>PGQ-892</t>
  </si>
  <si>
    <t>WO-6684</t>
  </si>
  <si>
    <t>0059-CTPGL-15-2001</t>
  </si>
  <si>
    <t>XI-4567</t>
  </si>
  <si>
    <t>PP-6671</t>
  </si>
  <si>
    <t>0057-CTPGL-15-2001</t>
  </si>
  <si>
    <t>OO-2561</t>
  </si>
  <si>
    <t>149723-073-240620</t>
  </si>
  <si>
    <t xml:space="preserve">EDWIN FELIPE CHOQUE QUISPE </t>
  </si>
  <si>
    <t xml:space="preserve">ASOC.DE VIVIENDA VIRGEN DE LA CANDELARIA ZONA D SUB LOTE 1D, MZ. A, LOTE 01 </t>
  </si>
  <si>
    <t>V0M-835</t>
  </si>
  <si>
    <t>0056-CTPGL-15-2001</t>
  </si>
  <si>
    <t>PGC-943</t>
  </si>
  <si>
    <t>MARTIN ORTEGA VILLAVERDE</t>
  </si>
  <si>
    <t>NEMESIO RAEZ N° 1969</t>
  </si>
  <si>
    <t>WP-7575</t>
  </si>
  <si>
    <t>130425-073-120717</t>
  </si>
  <si>
    <t>EMPRESA DE TRANSPORTES CESAR S.A.C.</t>
  </si>
  <si>
    <t>AV. PAKAMUROS N° 2191</t>
  </si>
  <si>
    <t>JAEN</t>
  </si>
  <si>
    <t>T8U-805</t>
  </si>
  <si>
    <t> 4225</t>
  </si>
  <si>
    <t>CESAR AUGUSTO HEREDIA LOPEZ</t>
  </si>
  <si>
    <t>0028-CTPGL-15-2005</t>
  </si>
  <si>
    <t>JUAN ANTONIO MARTINEZ MELENDEZ</t>
  </si>
  <si>
    <t>JR. UNION N° 424 LOS GERANIOS</t>
  </si>
  <si>
    <t>PIQ-691</t>
  </si>
  <si>
    <t>89064-073-2010</t>
  </si>
  <si>
    <t>TITO JOSELITO VASQUEZ VALDERRAMA</t>
  </si>
  <si>
    <t>CALLE LOS HEROES N° 465 PUEBLO JOVEN EL PORVENIR</t>
  </si>
  <si>
    <t>EL PORVENIR</t>
  </si>
  <si>
    <t>WC-9165</t>
  </si>
  <si>
    <t> 7020</t>
  </si>
  <si>
    <t>0001-CBGL-03-2007</t>
  </si>
  <si>
    <t>NICOLAS SAAVEDRA ROMAN</t>
  </si>
  <si>
    <t>JIRON JUNIN 435</t>
  </si>
  <si>
    <t>XO-3407</t>
  </si>
  <si>
    <t> 4500</t>
  </si>
  <si>
    <t>19645-073-040411</t>
  </si>
  <si>
    <t>NOE ABEL ALVERCA ESPINOZA</t>
  </si>
  <si>
    <t>CALLE 2 DE MAYO N° 210</t>
  </si>
  <si>
    <t>HUANCABAMBA</t>
  </si>
  <si>
    <t>M2I-895</t>
  </si>
  <si>
    <t> 4970</t>
  </si>
  <si>
    <t>41330-073-040411</t>
  </si>
  <si>
    <t>CALLE 2 DE MAYO N° 210 - HUANCABAMBA</t>
  </si>
  <si>
    <t>P1S-927</t>
  </si>
  <si>
    <t> 2850</t>
  </si>
  <si>
    <t>94641-073-170212</t>
  </si>
  <si>
    <t>YOZ GAS E.I.R.L</t>
  </si>
  <si>
    <t>AV. RAYMONDI Nº 1166 - TINGO MARÍA</t>
  </si>
  <si>
    <t>LEONCIO PRADO</t>
  </si>
  <si>
    <t>RUPA-RUPA</t>
  </si>
  <si>
    <t>C5E-845</t>
  </si>
  <si>
    <t>DARIO CAJAHUANCA COLLAO</t>
  </si>
  <si>
    <t>91626-073-2011</t>
  </si>
  <si>
    <t>AV. BAJA Nº 220</t>
  </si>
  <si>
    <t>X1Q-832</t>
  </si>
  <si>
    <t>45383-073-2011</t>
  </si>
  <si>
    <t>DISTRIBUCION DE GAS LICUADO LUIS MIGUEL E.I.R.L.</t>
  </si>
  <si>
    <t>CALLE 28 JULIO LOTE-E MZ-4</t>
  </si>
  <si>
    <t>SANTIAGO</t>
  </si>
  <si>
    <t>WGF-794</t>
  </si>
  <si>
    <t>0014-CBGL-07-2005</t>
  </si>
  <si>
    <t xml:space="preserve">PLANTA ENVASADORA DE G.L.P. EXTRA GAS S.A. </t>
  </si>
  <si>
    <t>MZ-B-U LT-11-12 - URB. INDUSTRIAL OQUENDO KM 8 ½</t>
  </si>
  <si>
    <t>WP-3462</t>
  </si>
  <si>
    <t> 1384</t>
  </si>
  <si>
    <t>0013-CBGL-07-2005</t>
  </si>
  <si>
    <t>PLANTA ENVASADORA DE G.L.P EXTRA GAS S.A.</t>
  </si>
  <si>
    <t>XI-4176</t>
  </si>
  <si>
    <t>92920-073-140611</t>
  </si>
  <si>
    <t>TRANSPORTES &amp; DISTRIBUCIONES A&amp;B E.I.R.L.</t>
  </si>
  <si>
    <t>CALLE PARDO Y MIGUEL Nº 379 URB. LATINA</t>
  </si>
  <si>
    <t>M3C-870</t>
  </si>
  <si>
    <t>ALCIDES BURGA ROJAS</t>
  </si>
  <si>
    <t>91762-073-240311</t>
  </si>
  <si>
    <t>DISTRIBUIDORA DE GAS DEL SUR SAC</t>
  </si>
  <si>
    <t>URB. LOS NARANJOS I - 11 J.L.B. Y RIVERO</t>
  </si>
  <si>
    <t>A6A-852</t>
  </si>
  <si>
    <t>90273-073-250815</t>
  </si>
  <si>
    <t>MZ. L, LOTE 19 URBANIZACION LOS PRODUCTORES</t>
  </si>
  <si>
    <t>F6O-852</t>
  </si>
  <si>
    <t> 4105</t>
  </si>
  <si>
    <t>HEBERT ANGEL LEON ORTIZ</t>
  </si>
  <si>
    <t>0031-CBGL-15-2005</t>
  </si>
  <si>
    <t>AV. LOS FAISANES N° 608 - LA CAMPIÑA</t>
  </si>
  <si>
    <t>XQ-3143</t>
  </si>
  <si>
    <t>110438-073-160814</t>
  </si>
  <si>
    <t>EDRAM GAS S.A.</t>
  </si>
  <si>
    <t>ASOCIACIÓN EL NARANJITO, LOTE 45 Y 46 (CARRETERA PANAMERICANA NORTE KM. 28.8)</t>
  </si>
  <si>
    <t>F5L-733</t>
  </si>
  <si>
    <t>EDUARDO RAÚL RAMÍREZ ROMÁN</t>
  </si>
  <si>
    <t>NELSON UBALDO ROSADO LINARES</t>
  </si>
  <si>
    <t>URB. CASUARINAS C-5</t>
  </si>
  <si>
    <t>OH-2640</t>
  </si>
  <si>
    <t>0032-CBGL-15-2005</t>
  </si>
  <si>
    <t>WF-3983</t>
  </si>
  <si>
    <t>85970-073-020815</t>
  </si>
  <si>
    <t>YMER ITALUCIO VALDIVIA CONTRERAS</t>
  </si>
  <si>
    <t>PASAJE SANTA INES MZ. B LOTE 27 - AA.HH. JUANITA ALCANTARA</t>
  </si>
  <si>
    <t>W2X-904</t>
  </si>
  <si>
    <t> 7740</t>
  </si>
  <si>
    <t>FABRICACIONES CECCARELLI S.A. (EMBARGO DE INSCRIPCION RES 0230073763391)</t>
  </si>
  <si>
    <t>AV. BOCANEGRA ALTA N° 385</t>
  </si>
  <si>
    <t>XI-1837</t>
  </si>
  <si>
    <t>116501-073-250815</t>
  </si>
  <si>
    <t xml:space="preserve">MZ. L LOTE 19 URB. LOS PRODUCTORES </t>
  </si>
  <si>
    <t>F0F-777</t>
  </si>
  <si>
    <t> 9000</t>
  </si>
  <si>
    <t>REYNALDO JESUS ROJAS VERASTEGUI</t>
  </si>
  <si>
    <t>MZ. C LOTE 26 SANTA FE DE TOTORITA</t>
  </si>
  <si>
    <t>PI-3968</t>
  </si>
  <si>
    <t>140611-073-170219</t>
  </si>
  <si>
    <t>AYO-924</t>
  </si>
  <si>
    <t> 3140</t>
  </si>
  <si>
    <t>83082-073-270815</t>
  </si>
  <si>
    <t>MZ. L LOTE 19, URBANIZACIÓN LOS PRODUCTORES</t>
  </si>
  <si>
    <t>D4W-918</t>
  </si>
  <si>
    <t> 5640</t>
  </si>
  <si>
    <t>110439-073-160814</t>
  </si>
  <si>
    <t>F9D-834</t>
  </si>
  <si>
    <t>0017-CBGL-15-2005</t>
  </si>
  <si>
    <t>AV. PRIMAVERA N° 1290 - OF. 401</t>
  </si>
  <si>
    <t>XP-2821</t>
  </si>
  <si>
    <t>0029-CBGL-15-2005</t>
  </si>
  <si>
    <t>WO-7277</t>
  </si>
  <si>
    <t>93736-073-141211</t>
  </si>
  <si>
    <t>DIRECTO DE PLANTA S.A.C.</t>
  </si>
  <si>
    <t>PROLONGACIÓN AYACUCHO N° 557</t>
  </si>
  <si>
    <t>T1C-802</t>
  </si>
  <si>
    <t> 770</t>
  </si>
  <si>
    <t>ALFREDO GUILLERMO GUTIERREZ DIAZ</t>
  </si>
  <si>
    <t>0069-CTPGL-15-2005</t>
  </si>
  <si>
    <t>JUANA LEONOR MEZA LLAMOCCA DE HUAMAN</t>
  </si>
  <si>
    <t xml:space="preserve">AV. SIMON BOLIVAR MZ. B LT. 12 </t>
  </si>
  <si>
    <t>PIF-175</t>
  </si>
  <si>
    <t>0006-CBGL-12-2008</t>
  </si>
  <si>
    <t>FRIDA KARINA ARMAS ALIAGA</t>
  </si>
  <si>
    <t>JR. TRUJILLO N° 1405</t>
  </si>
  <si>
    <t>WGE-627</t>
  </si>
  <si>
    <t> 1895</t>
  </si>
  <si>
    <t>102552-073-171115</t>
  </si>
  <si>
    <t xml:space="preserve">LELY SPECIAL CORPORATION S.A.C </t>
  </si>
  <si>
    <t>D6W-707</t>
  </si>
  <si>
    <t>36613-073-251012</t>
  </si>
  <si>
    <t>TRANSPORTE VALDIVIA PIZARRO E.I.R.L.</t>
  </si>
  <si>
    <t>MZ. K3 LOTE 1-B URB. CIUDAD DEL PESCADOR</t>
  </si>
  <si>
    <t>BELLAVISTA</t>
  </si>
  <si>
    <t>B2L-912</t>
  </si>
  <si>
    <t xml:space="preserve">MIRIAM IVONNE VALDIVIA PIZARRO </t>
  </si>
  <si>
    <t>117374-073-291115</t>
  </si>
  <si>
    <t>P3L-773</t>
  </si>
  <si>
    <t>0003-CBGL-04-2009</t>
  </si>
  <si>
    <t>GEOVANNA ELSA KANA CAYO</t>
  </si>
  <si>
    <t>AV. NICOLAS DE PIEROLA 107 SEMI RURAL PACHACUTEC</t>
  </si>
  <si>
    <t>XU-5138</t>
  </si>
  <si>
    <t>87794-073-2010</t>
  </si>
  <si>
    <t>ABEL CONDORI CHOQUEHUANCA</t>
  </si>
  <si>
    <t>AV SAN MARTIN Nº 317</t>
  </si>
  <si>
    <t>A7G-929</t>
  </si>
  <si>
    <t> 2645</t>
  </si>
  <si>
    <t>0062-CTPGL-15-2009</t>
  </si>
  <si>
    <t>DW &amp; LI SAC</t>
  </si>
  <si>
    <t>JR. VENEZUELA MZ. 19 LOTE 24 AA.HH KM. 40 ANEXO 2</t>
  </si>
  <si>
    <t>PQZ-524</t>
  </si>
  <si>
    <t> 775</t>
  </si>
  <si>
    <t>92127-073-210411</t>
  </si>
  <si>
    <t>URB. VERSALLES 22 -D</t>
  </si>
  <si>
    <t>V3I-890</t>
  </si>
  <si>
    <t> 3760</t>
  </si>
  <si>
    <t>0014-CBGL-15-2005</t>
  </si>
  <si>
    <t>DEMETRIO DE LA CRUZ ALEJOS</t>
  </si>
  <si>
    <t>AV. JOSE LEAL N° 649</t>
  </si>
  <si>
    <t>LINCE</t>
  </si>
  <si>
    <t>XQ-7730</t>
  </si>
  <si>
    <t>96331-073-080219</t>
  </si>
  <si>
    <t>D5Q-852</t>
  </si>
  <si>
    <t>FERNANDO FRANCISCO CABADA SAMAME</t>
  </si>
  <si>
    <t>106148-073-261113</t>
  </si>
  <si>
    <t>PROLONGACION LA MAR N° 121 URB. EL RETABLO 1RA. ETAPA</t>
  </si>
  <si>
    <t>ZG-8164</t>
  </si>
  <si>
    <t> C8H-770</t>
  </si>
  <si>
    <t>EFRAIN NICOMEDES ANDRADE ELCORROBARRUTIA</t>
  </si>
  <si>
    <t>140675-073-130219</t>
  </si>
  <si>
    <t>CONDEMAYTA TINTAYA MAXIMO</t>
  </si>
  <si>
    <t xml:space="preserve">A.H. JUAN VELASCO ALVARADO MZ. F LOTE 15 </t>
  </si>
  <si>
    <t>Z6X-795</t>
  </si>
  <si>
    <t> 1440</t>
  </si>
  <si>
    <t>99103-073-141112</t>
  </si>
  <si>
    <t>T &amp; M COMERCIAL DEL PERU E.I.R.L</t>
  </si>
  <si>
    <t>JR. ESTADOS UNIDOS S/N URB. TAPARACHI</t>
  </si>
  <si>
    <t>Z4A-766</t>
  </si>
  <si>
    <t>WILIAM JESUS TUERO MAQUERA</t>
  </si>
  <si>
    <t>107120-073-201213</t>
  </si>
  <si>
    <t>SERVOSA GAS S.A.C</t>
  </si>
  <si>
    <t xml:space="preserve">SUBLOTE Nº 20 Y 25A MZ. A PARCELA RUSTICA Y SEMIRUSTICA LA CAPITANA CENTRO POBLADO SANTA MARIA </t>
  </si>
  <si>
    <t>F5F-702</t>
  </si>
  <si>
    <t>JOSE JENNER BAZAN RODRIGUEZ</t>
  </si>
  <si>
    <t>107119-073-201213</t>
  </si>
  <si>
    <t>SUBLOTE Nº 20 Y 25A MZ. A PARCELA RUSTICA Y SEMIRUSTICA LA CAPITANA CENTRO POBLADO SANTA MARIA DE HUACHIPA</t>
  </si>
  <si>
    <t>F5H-732</t>
  </si>
  <si>
    <t>116646-073-310715</t>
  </si>
  <si>
    <t>CORPORACION GREGORIA Y COSME SRL</t>
  </si>
  <si>
    <t xml:space="preserve">MZA. E LOTE 4 RES. PARIACHI (1RA ETAPA). </t>
  </si>
  <si>
    <t>AHW-785</t>
  </si>
  <si>
    <t> 6090</t>
  </si>
  <si>
    <t>DIRCEU BERTI ORTEGA CHUCO</t>
  </si>
  <si>
    <t>89106-073-2010</t>
  </si>
  <si>
    <t>AMERICO TORRES DRAGO E.I.R.L.</t>
  </si>
  <si>
    <t>AVENIDA CENTENARIO Nº 1500</t>
  </si>
  <si>
    <t>PQX-551</t>
  </si>
  <si>
    <t>COSME AMERICO TORRES DRAGO</t>
  </si>
  <si>
    <t>147224-073-221019</t>
  </si>
  <si>
    <t>AV. NUEVO HORIZONTE MZ.E LOTE 9 URB. NUEVO HORIZONTE</t>
  </si>
  <si>
    <t>BBN-729</t>
  </si>
  <si>
    <t> 1150</t>
  </si>
  <si>
    <t>GLADYS ESPINOZA SIANCAS</t>
  </si>
  <si>
    <t>JOSE MANUEL TORRES BOCANEGRA</t>
  </si>
  <si>
    <t>JR. TACNA N° 549</t>
  </si>
  <si>
    <t>PGK-091</t>
  </si>
  <si>
    <t>86472-073-230813</t>
  </si>
  <si>
    <t>CALLE MALECON MZ. A LOTE 17 URB. PROLIMA 4TA. ETAPA</t>
  </si>
  <si>
    <t>B6G-829</t>
  </si>
  <si>
    <t>89093-073-2010</t>
  </si>
  <si>
    <t>A6M-873</t>
  </si>
  <si>
    <t> 995</t>
  </si>
  <si>
    <t>90869-073-2011</t>
  </si>
  <si>
    <t>EMPRESA MULTISERVICIOS EL CCANTU &amp; MARKALU S.A.C.</t>
  </si>
  <si>
    <t>MZ. M LOTE 7 ASOC. SEÑOR DE LOS MILAGROS</t>
  </si>
  <si>
    <t>B1S-915</t>
  </si>
  <si>
    <t> 875</t>
  </si>
  <si>
    <t>MARCELINO LUIS CARBAJAL VILLAGOMEZ</t>
  </si>
  <si>
    <t>91023-073-2011</t>
  </si>
  <si>
    <t>KAREN ELIZABETH CARBAJAL CARRASCO</t>
  </si>
  <si>
    <t>MZ. M LT 7 ASOC. SEÑOR DE LOS MILAGROS</t>
  </si>
  <si>
    <t>B4A-822</t>
  </si>
  <si>
    <t> 9740</t>
  </si>
  <si>
    <t>147223-073-221019</t>
  </si>
  <si>
    <t>AV. NUEVO HORIZONTE MZ. E, LOTE 9, URB. NUEVO HORIZONTE</t>
  </si>
  <si>
    <t>BBN-728</t>
  </si>
  <si>
    <t>0004-CBGL-20-2009</t>
  </si>
  <si>
    <t>CESAR AUGUSTO SALAZAR CESPEDES</t>
  </si>
  <si>
    <t>MZ. K LOTE 28 URB. MICAELA BASTIDAS - ENACE II ETAPA</t>
  </si>
  <si>
    <t>WC-9075</t>
  </si>
  <si>
    <t>0073-CTPGL-15-2008</t>
  </si>
  <si>
    <t>CALLE JORGE EZETA N° 425</t>
  </si>
  <si>
    <t>PQP-373</t>
  </si>
  <si>
    <t>0040-CTPGL-15-2001</t>
  </si>
  <si>
    <t>PGT-980</t>
  </si>
  <si>
    <t>118995-073-270617</t>
  </si>
  <si>
    <t>EMPRESA TRANSPORTES MANUEL JESUS CAMPOS CALLUPE SRL</t>
  </si>
  <si>
    <t>JR. MINERÍA Nº 320 URB. LOS FICUS</t>
  </si>
  <si>
    <t>D9Z-979</t>
  </si>
  <si>
    <t> A1P-824</t>
  </si>
  <si>
    <t> A1P-825</t>
  </si>
  <si>
    <t> C3K-761</t>
  </si>
  <si>
    <t>88801-073-2010</t>
  </si>
  <si>
    <t>CORPORACION ANDINA DEL GAS PERU S.A.C</t>
  </si>
  <si>
    <t>AV JESUS 405</t>
  </si>
  <si>
    <t>A9E-858</t>
  </si>
  <si>
    <t>GERMAN PORTILLO CAYO</t>
  </si>
  <si>
    <t>92676-073-130611</t>
  </si>
  <si>
    <t>GREGORIO ANCHAPURI QUISPE</t>
  </si>
  <si>
    <t>AVENIDA JESUS N° 405</t>
  </si>
  <si>
    <t>V3H-932</t>
  </si>
  <si>
    <t> 925</t>
  </si>
  <si>
    <t>43269-073-140714</t>
  </si>
  <si>
    <t>F5F-779</t>
  </si>
  <si>
    <t>44206-073-180714</t>
  </si>
  <si>
    <t>AV. LOS ALISOS N° 573 URB. MICAELA BASTIDAS</t>
  </si>
  <si>
    <t>F1U-916</t>
  </si>
  <si>
    <t>84095-073-161115</t>
  </si>
  <si>
    <t>D2D-948</t>
  </si>
  <si>
    <t> 1782</t>
  </si>
  <si>
    <t>91580-073-270411</t>
  </si>
  <si>
    <t>PUNTO DE DISTRIBUCION S.A.C.</t>
  </si>
  <si>
    <t xml:space="preserve">AV. LOS PROCERES Nº 8071, URB. INDUSTRIAL PRO </t>
  </si>
  <si>
    <t>B1L-909</t>
  </si>
  <si>
    <t>JULIO ANGEL COTRINA LOPEZ</t>
  </si>
  <si>
    <t>91680-073-290411</t>
  </si>
  <si>
    <t>MZ. O SUB LOTE C ZONA INDUSTRIAL II</t>
  </si>
  <si>
    <t>B9S-822</t>
  </si>
  <si>
    <t> 1160</t>
  </si>
  <si>
    <t>JUSTO ELISEO CARDENAS ALZA</t>
  </si>
  <si>
    <t>137719-073-310718</t>
  </si>
  <si>
    <t>AV. TACNA N°139 URB. CERCADO DE WANCHAQ</t>
  </si>
  <si>
    <t>ACA-872</t>
  </si>
  <si>
    <t xml:space="preserve">DANTE ABARCA AGUILAR </t>
  </si>
  <si>
    <t>108040-073-040215</t>
  </si>
  <si>
    <t>STAR GAS S.R.L.</t>
  </si>
  <si>
    <t>CARRETERA CENTRAL KM. 45.5 - CASERIO VILCABAMBA</t>
  </si>
  <si>
    <t>TARMA</t>
  </si>
  <si>
    <t>ACOBAMBA</t>
  </si>
  <si>
    <t>B0U-825</t>
  </si>
  <si>
    <t>BENJAMIN ROSALES MENDEZ</t>
  </si>
  <si>
    <t>109345-073-010317</t>
  </si>
  <si>
    <t>C5M-932</t>
  </si>
  <si>
    <t> 845</t>
  </si>
  <si>
    <t>91581-073-270411</t>
  </si>
  <si>
    <t>AV. LOS PROCERES Nº 8071, URB. INDUSTRIAL PRO</t>
  </si>
  <si>
    <t>B1L-937</t>
  </si>
  <si>
    <t>95095-073-161211</t>
  </si>
  <si>
    <t>ELVIRA EUFRACIA HUARANGA CONDOR</t>
  </si>
  <si>
    <t xml:space="preserve">ASOC. MARIA P. DE BELLIDO, MZ. Ñ, LOTE. 17 </t>
  </si>
  <si>
    <t>D1D-923</t>
  </si>
  <si>
    <t> 3150</t>
  </si>
  <si>
    <t>119621-073-070319</t>
  </si>
  <si>
    <t xml:space="preserve">JR. JOSE CARLOS MARIATEGUI N° 171 </t>
  </si>
  <si>
    <t>AKV-905</t>
  </si>
  <si>
    <t>134947-073-090318</t>
  </si>
  <si>
    <t>CORSAGA S.A.C.</t>
  </si>
  <si>
    <t>CALLE TUPAC AMARU NRO. 515</t>
  </si>
  <si>
    <t>ATL-716</t>
  </si>
  <si>
    <t> 3800</t>
  </si>
  <si>
    <t xml:space="preserve">ALICIA CASA CASA </t>
  </si>
  <si>
    <t>33303-073-201014</t>
  </si>
  <si>
    <t>D9E-985</t>
  </si>
  <si>
    <t> B5E-878</t>
  </si>
  <si>
    <t> 9120</t>
  </si>
  <si>
    <t>VITALIANO PONCE MEDRANO</t>
  </si>
  <si>
    <t>151063-073-170920</t>
  </si>
  <si>
    <t>INVERSIONES CESARITOS S.A.C.</t>
  </si>
  <si>
    <t>CALLE TUNGSTENO 00 S/N PUEBLO SANTIAGO DE CHUCO</t>
  </si>
  <si>
    <t>SANTIAGO DE CHUCO</t>
  </si>
  <si>
    <t>T6D-848</t>
  </si>
  <si>
    <t>NANCY MARGARITA GARCIA ULLOA</t>
  </si>
  <si>
    <t>119594-073-270116</t>
  </si>
  <si>
    <t>ABEL MIGUEL JULCARIMA CAPARACHIN</t>
  </si>
  <si>
    <t>CL MANUEL DE LA TORRE 183 URB LOS FICUS</t>
  </si>
  <si>
    <t>W2R-722</t>
  </si>
  <si>
    <t>0137-CBGL-15-2001</t>
  </si>
  <si>
    <t>XQ-2246</t>
  </si>
  <si>
    <t> 2160</t>
  </si>
  <si>
    <t>0141-CBGL-15-2001</t>
  </si>
  <si>
    <t>XQ-4450</t>
  </si>
  <si>
    <t> 1330</t>
  </si>
  <si>
    <t>141531-073-010319</t>
  </si>
  <si>
    <t>COMERCIALIZADORA, SERVICIOS MULTIPLES Y TRANSPORTES DAMAZO S.A.C.</t>
  </si>
  <si>
    <t>JR. ALFONSO UGARTE Nº108</t>
  </si>
  <si>
    <t>OYON</t>
  </si>
  <si>
    <t>AXS-923</t>
  </si>
  <si>
    <t> 10900</t>
  </si>
  <si>
    <t>DAMAZO LEANDRO WILFREDO FERNANDO</t>
  </si>
  <si>
    <t>0128-CBGL-15-2001</t>
  </si>
  <si>
    <t>WO-2712</t>
  </si>
  <si>
    <t>0139-CBGL-15-2001</t>
  </si>
  <si>
    <t>XQ-3699</t>
  </si>
  <si>
    <t> 1220</t>
  </si>
  <si>
    <t>0032-CBGL-15-2006</t>
  </si>
  <si>
    <t>AV. LOS ROBLES MZ. I LT.10 LA CAPITANA HUACHIPA - CHOSICA</t>
  </si>
  <si>
    <t>WO-6520</t>
  </si>
  <si>
    <t>121022-073-200416</t>
  </si>
  <si>
    <t>P30-833</t>
  </si>
  <si>
    <t>105066-073-030913</t>
  </si>
  <si>
    <t xml:space="preserve">JR. NESTOR MADALENGOITIA N° 151 - URB. EL ROSARIO </t>
  </si>
  <si>
    <t>A9U-921</t>
  </si>
  <si>
    <t> 7550</t>
  </si>
  <si>
    <t>OCTAVIO LOPEZ NEYRA</t>
  </si>
  <si>
    <t>122046-073-270716</t>
  </si>
  <si>
    <t>ANA ADELAIDA MAMANI ESPINOZA</t>
  </si>
  <si>
    <t>LOS GUINDOS N° 104 URB. INDEPENDENCIA</t>
  </si>
  <si>
    <t>F7U-880</t>
  </si>
  <si>
    <t>122045-073-270716</t>
  </si>
  <si>
    <t>LOS GUINDOS N° 104 URB INDEPENDENCIA</t>
  </si>
  <si>
    <t>C2Y-767</t>
  </si>
  <si>
    <t>126867-073-220317</t>
  </si>
  <si>
    <t>E.T. DE CARGA SEÑOR DE LA EXALTACION S.R.L.</t>
  </si>
  <si>
    <t>JR. MOQUEGUA Nº 1371</t>
  </si>
  <si>
    <t>V3A-928</t>
  </si>
  <si>
    <t> 8270</t>
  </si>
  <si>
    <t>EVER SARAVIA CHAIÑA</t>
  </si>
  <si>
    <t>0111-CBGL-15-2005</t>
  </si>
  <si>
    <t>JOSE CARLOS MARIATEGUI N° 171</t>
  </si>
  <si>
    <t>XO-5134</t>
  </si>
  <si>
    <t>JLR TRANSPORTES S.A.</t>
  </si>
  <si>
    <t>CALLE TOMAS RAMSEY N° 607</t>
  </si>
  <si>
    <t>MAGDALENA DEL MAR</t>
  </si>
  <si>
    <t>XI-2833</t>
  </si>
  <si>
    <t>0015-CBGL-04-2007</t>
  </si>
  <si>
    <t>G&amp;C IMPERIAL CARGO SRL</t>
  </si>
  <si>
    <t>CALLE ANGAMOS 113 URB MARIA ISABEL</t>
  </si>
  <si>
    <t>CERCADO</t>
  </si>
  <si>
    <t>XU-2776</t>
  </si>
  <si>
    <t>125640-073-280219</t>
  </si>
  <si>
    <t>SERVICIOS GENERALES K&amp; E EXPRESS S.A.C</t>
  </si>
  <si>
    <t>MZ. B LT. 18 - 2DO PISO COOPERATIVA DE VIVIENDA CANTO GRANDE</t>
  </si>
  <si>
    <t>C7A-818</t>
  </si>
  <si>
    <t>KAYLA PAICO ESPINOZA</t>
  </si>
  <si>
    <t>FELIPE CANQUE VENTURA</t>
  </si>
  <si>
    <t>LOS NARDOS N° 550 URB. LOS CIPRESES</t>
  </si>
  <si>
    <t>PGJ-446</t>
  </si>
  <si>
    <t>CARLOS LUCIANO SCHUTT ZUBIAURR</t>
  </si>
  <si>
    <t>AV. MEXICO N° 1926</t>
  </si>
  <si>
    <t>OQ-6817</t>
  </si>
  <si>
    <t>116007-073-240615</t>
  </si>
  <si>
    <t>AV. AVIACIÓN N° 608</t>
  </si>
  <si>
    <t>M5K-934</t>
  </si>
  <si>
    <t>WQ-8993</t>
  </si>
  <si>
    <t> 1360</t>
  </si>
  <si>
    <t>LEONCIO CHIPANA CASTILLO</t>
  </si>
  <si>
    <t>COMITE 10 MZ. 45 LOTE 6</t>
  </si>
  <si>
    <t>CIUDAD NUEVA</t>
  </si>
  <si>
    <t>PGJ-400</t>
  </si>
  <si>
    <t>138887-073-091018</t>
  </si>
  <si>
    <t>KEVIN WILSON GONZALES NOA</t>
  </si>
  <si>
    <t>JR. OXAPAMPA MZ L, LOTE E - 51 AA.HH. TUPAC AMARU</t>
  </si>
  <si>
    <t>CHAUPIMARCA</t>
  </si>
  <si>
    <t>ACJ-760</t>
  </si>
  <si>
    <t>100965-073-220317</t>
  </si>
  <si>
    <t>JR MOQUEGUA N° 1371</t>
  </si>
  <si>
    <t>Z3S-905</t>
  </si>
  <si>
    <t> 6750</t>
  </si>
  <si>
    <t>105063-073-030913</t>
  </si>
  <si>
    <t>D9B-808</t>
  </si>
  <si>
    <t>0002-CBGL-20-2009</t>
  </si>
  <si>
    <t>WB-7601</t>
  </si>
  <si>
    <t>36951-073-271014</t>
  </si>
  <si>
    <t>FLAMA GAS CORPORATION S.A.C.</t>
  </si>
  <si>
    <t>AV. SAN JUAN MZ. G, LOTE 1A – URB. LAS VEGAS</t>
  </si>
  <si>
    <t>F3G-816</t>
  </si>
  <si>
    <t>111473-073-111114</t>
  </si>
  <si>
    <t>AV. LOS ROBLES MZ. I, LOTE 10, URB. LA CAPITANA, HUACHIPA</t>
  </si>
  <si>
    <t>F2O-901</t>
  </si>
  <si>
    <t>121023-073-200416</t>
  </si>
  <si>
    <t>P3O-812</t>
  </si>
  <si>
    <t>0013-CBGL-12-2005</t>
  </si>
  <si>
    <t>OP-1343</t>
  </si>
  <si>
    <t> 370</t>
  </si>
  <si>
    <t>OQ-6782</t>
  </si>
  <si>
    <t>63713-073-230216</t>
  </si>
  <si>
    <t>C4R-862</t>
  </si>
  <si>
    <t>135267-073-260318</t>
  </si>
  <si>
    <t>INVERSIONES GANTO S.A.C.</t>
  </si>
  <si>
    <t>SECTOR 1 BARRIO 1 MZ. ZC LOTE 19 URB. PACHACAMAC 4 ETAPA</t>
  </si>
  <si>
    <t>AUY-899</t>
  </si>
  <si>
    <t xml:space="preserve">MILTON MIGUEL GANTO LAMAN </t>
  </si>
  <si>
    <t>104032-073-230815</t>
  </si>
  <si>
    <t>EDGAR CARPIO GUZMAN</t>
  </si>
  <si>
    <t>PROLONGACION DE LA CULTURA C-10-13 URB. CACHIMAYO</t>
  </si>
  <si>
    <t>B9D-896</t>
  </si>
  <si>
    <t> 5130</t>
  </si>
  <si>
    <t>0083-CTPGL-15-2003</t>
  </si>
  <si>
    <t>T &amp; T FRERE'S S.R.L.</t>
  </si>
  <si>
    <t>MZ. C-1 LOTE 16 LOS ALAMOS</t>
  </si>
  <si>
    <t>ANCON</t>
  </si>
  <si>
    <t>PIF-254</t>
  </si>
  <si>
    <t>144375-073-060619</t>
  </si>
  <si>
    <t xml:space="preserve">CALLE SAN SALVADOR N° 499 - CPM LUJAN </t>
  </si>
  <si>
    <t>M3A-936</t>
  </si>
  <si>
    <t> 8960</t>
  </si>
  <si>
    <t>0080-CTPGL-15-2003</t>
  </si>
  <si>
    <t>JOSE LUIS ZEVALLOS CIFUENTES</t>
  </si>
  <si>
    <t>JR. CHINCHAYSUYO N° 141-143 URB. MARANGA</t>
  </si>
  <si>
    <t>PIJ-651</t>
  </si>
  <si>
    <t>0001-CBGL-02-2005</t>
  </si>
  <si>
    <t>XQ-2137</t>
  </si>
  <si>
    <t>19457-073-090616</t>
  </si>
  <si>
    <t>AV. POLO N° 397</t>
  </si>
  <si>
    <t>Y1X-773</t>
  </si>
  <si>
    <t>110437-073-160814</t>
  </si>
  <si>
    <t>B8R-712</t>
  </si>
  <si>
    <t> 435</t>
  </si>
  <si>
    <t>145691-073-130819</t>
  </si>
  <si>
    <t>ASX-768</t>
  </si>
  <si>
    <t>0007-CTPGL-15-2000</t>
  </si>
  <si>
    <t>CALLE PABLO CASALS N° 118</t>
  </si>
  <si>
    <t>PGI-377</t>
  </si>
  <si>
    <t>0003-CBGL-06-2004</t>
  </si>
  <si>
    <t>JAEN GAS S.A.C.</t>
  </si>
  <si>
    <t>KM. 14 CARRETERA JAEN - CHAMAYA FILA ALTA</t>
  </si>
  <si>
    <t>XU-4745</t>
  </si>
  <si>
    <t> 960</t>
  </si>
  <si>
    <t xml:space="preserve">63710-073-240216 </t>
  </si>
  <si>
    <t>C6T-853</t>
  </si>
  <si>
    <t>140508-073-281218</t>
  </si>
  <si>
    <t>AV. MANUEL DE LA TORRE N° 183</t>
  </si>
  <si>
    <t>AYW-729</t>
  </si>
  <si>
    <t> 8250</t>
  </si>
  <si>
    <t>145689-073-130819</t>
  </si>
  <si>
    <t>ASY-811</t>
  </si>
  <si>
    <t>149790-073-280620</t>
  </si>
  <si>
    <t>JR 28 DE JULIO N° 340</t>
  </si>
  <si>
    <t>ATD-940</t>
  </si>
  <si>
    <t> 3805</t>
  </si>
  <si>
    <t>0044-CTPGL-15-2005</t>
  </si>
  <si>
    <t>AV. LOS QUIPUS N° 257 COOPERATIVA ANDAHUAYLAS</t>
  </si>
  <si>
    <t>PIT-169</t>
  </si>
  <si>
    <t>0059-CTPGL-15-2003</t>
  </si>
  <si>
    <t>CESAR ORLANDO ALVAREZ ALVITES</t>
  </si>
  <si>
    <t>AV. PROCERES DE HUANDOY MZ. S LOTE 45 URB. SANTA ANA</t>
  </si>
  <si>
    <t>OI-9828</t>
  </si>
  <si>
    <t>84920-073-140714</t>
  </si>
  <si>
    <t>PLANTA ENVASADORA DE GLP EXTRA GAS S.A.</t>
  </si>
  <si>
    <t>AV. NESTOR GAMBETA. MZ. B-U, LOTES 11-14</t>
  </si>
  <si>
    <t>D0S-779</t>
  </si>
  <si>
    <t>JUAN RODOLFO WONG PERONE</t>
  </si>
  <si>
    <t>104584-073-130813</t>
  </si>
  <si>
    <t>JORGE ALBERTO MAMANI SAMATA</t>
  </si>
  <si>
    <t>MANZANA C4 LOTE 9 ASOCIACION VILLA PARAISO</t>
  </si>
  <si>
    <t>V4F-752</t>
  </si>
  <si>
    <t>86785-073-2010</t>
  </si>
  <si>
    <t>DEMETRIA RIVERA APAZA</t>
  </si>
  <si>
    <t>CALLE NICARAGUA 103 ZONA C MZ 5 LOTE 03 PP JJ CIUDAD BLANCA</t>
  </si>
  <si>
    <t>V1J-887</t>
  </si>
  <si>
    <t>DIONISIA VALLE CRISTOBAL</t>
  </si>
  <si>
    <t>PROLONGACION YAULI MZ. UV LOTE 2</t>
  </si>
  <si>
    <t>XI-7810</t>
  </si>
  <si>
    <t>140507-073-030119</t>
  </si>
  <si>
    <t xml:space="preserve">BENACHO TORRES ALAN WILMER </t>
  </si>
  <si>
    <t xml:space="preserve">MZ. B LT. 7, ASOCIACION ALIPIO PONCE VÁSQUEZ </t>
  </si>
  <si>
    <t>V9Y-838</t>
  </si>
  <si>
    <t> 890</t>
  </si>
  <si>
    <t>0002-CTPGL-07-2001</t>
  </si>
  <si>
    <t>JR. CUZCO N° 161 DPTO. 11</t>
  </si>
  <si>
    <t>OG-6252</t>
  </si>
  <si>
    <t>97950-073-110716</t>
  </si>
  <si>
    <t>OPERADORES DE COMBUSTIBLES VILLA MARIA S.A.C.</t>
  </si>
  <si>
    <t xml:space="preserve">AV. PACHACUTEC N° 6799 </t>
  </si>
  <si>
    <t>C4M-766</t>
  </si>
  <si>
    <t> 5480</t>
  </si>
  <si>
    <t>JULIAN CARHUARICRA USCUCHAGUA</t>
  </si>
  <si>
    <t>102777-073-060513</t>
  </si>
  <si>
    <t>CALLE PABLO CASALS N° 118, URB. LAS MAGNOLIAS</t>
  </si>
  <si>
    <t>D7N-929</t>
  </si>
  <si>
    <t> 5270</t>
  </si>
  <si>
    <t>FRITZ PIO PONCE DE LA BORDA</t>
  </si>
  <si>
    <t>86621-073-240216</t>
  </si>
  <si>
    <t>A2I-890</t>
  </si>
  <si>
    <t>118636-073-261115</t>
  </si>
  <si>
    <t>DISTRIBUIDORA JA S.A.C.</t>
  </si>
  <si>
    <t>N° 669 INT 1 URB SAN JOAQUIN</t>
  </si>
  <si>
    <t>AJQ-740</t>
  </si>
  <si>
    <t>CÉSAR AUGUSTO VÁSQUEZ TINCOPA</t>
  </si>
  <si>
    <t>102105-073-050413</t>
  </si>
  <si>
    <t>AV. NESTOR MADALENGOITIA N° 151</t>
  </si>
  <si>
    <t>D7F-877</t>
  </si>
  <si>
    <t> 4650</t>
  </si>
  <si>
    <t>145690-073-130819</t>
  </si>
  <si>
    <t>ASY-711</t>
  </si>
  <si>
    <t>0003-CBGL-02-2005</t>
  </si>
  <si>
    <t>ZG-4487</t>
  </si>
  <si>
    <t> YE-5428</t>
  </si>
  <si>
    <t> YE-5424</t>
  </si>
  <si>
    <t> 13200</t>
  </si>
  <si>
    <t>0073-CBGL-15-2001</t>
  </si>
  <si>
    <t>WO-9642</t>
  </si>
  <si>
    <t>WO-7070</t>
  </si>
  <si>
    <t>0006-CTPGL-04-2004</t>
  </si>
  <si>
    <t>GUIDO ALFREDO SALAZAR HOLGUIN</t>
  </si>
  <si>
    <t>JUVENTUD FERROVIARIA K-1</t>
  </si>
  <si>
    <t>0H-2632</t>
  </si>
  <si>
    <t>138394-073-070918</t>
  </si>
  <si>
    <t>P3Y-847</t>
  </si>
  <si>
    <t>0007-CTPGL-04-2004</t>
  </si>
  <si>
    <t>EDMUNDO DANTE RODRIGUEZ BEDOYA</t>
  </si>
  <si>
    <t>CALLE 22 DE AGOSTO N° 303</t>
  </si>
  <si>
    <t>PO-9584</t>
  </si>
  <si>
    <t>0006-CTPGL-15-2001</t>
  </si>
  <si>
    <t>PGS-931</t>
  </si>
  <si>
    <t>ALBERTO ELGUEDA MONSALVE</t>
  </si>
  <si>
    <t>AV. ANDRES AVELINO CACERES N° 252</t>
  </si>
  <si>
    <t>RK-1766</t>
  </si>
  <si>
    <t>0109-CTPGL-15-2004</t>
  </si>
  <si>
    <t>AV. COLECTORA MZ. A19 LOTE 16 - ASOC. DE VIVIENDA SANTA ANITA</t>
  </si>
  <si>
    <t>PP-2220</t>
  </si>
  <si>
    <t>0073-CBGL-15-2005</t>
  </si>
  <si>
    <t>WILFREDO ANTONIO FLORES GARCIA</t>
  </si>
  <si>
    <t>JR. ANTONIO RAYMONDI N° 177</t>
  </si>
  <si>
    <t>WF-4185</t>
  </si>
  <si>
    <t>0055-CBGL-15-2009</t>
  </si>
  <si>
    <t xml:space="preserve">TU GAS S.A. (EMBARGADO 016-2011-ACUM-OS-EC-APR) </t>
  </si>
  <si>
    <t>AV. LAS TORRES 147 ENTRADA HUACHIPA</t>
  </si>
  <si>
    <t>XQ-3031</t>
  </si>
  <si>
    <t>0058-CTPGL-15-2001</t>
  </si>
  <si>
    <t>PD-5556</t>
  </si>
  <si>
    <t>16371-073-090616</t>
  </si>
  <si>
    <t>T5I-842</t>
  </si>
  <si>
    <t>0001-CTBGL-15-2003</t>
  </si>
  <si>
    <t>TERESA LUZ GODINEZ PALOMINO</t>
  </si>
  <si>
    <t>AV. AVIACION N° 3168</t>
  </si>
  <si>
    <t>PGS-898</t>
  </si>
  <si>
    <t>101028-073-120213</t>
  </si>
  <si>
    <t>MARCO TULIO SANDOVAL CORONADO</t>
  </si>
  <si>
    <t>A.H. VICTOR RAUL MZ. J LOTE 5-A</t>
  </si>
  <si>
    <t>P1U-774</t>
  </si>
  <si>
    <t> 3780</t>
  </si>
  <si>
    <t>43907-073-100616</t>
  </si>
  <si>
    <t>F6O-838</t>
  </si>
  <si>
    <t>0003-CBGL-08-2009</t>
  </si>
  <si>
    <t>SONIA CORDOVA PANTOJA</t>
  </si>
  <si>
    <t>URB. PROGRESO JR. ESPINAR K-11</t>
  </si>
  <si>
    <t>WZ-4548</t>
  </si>
  <si>
    <t> 14560</t>
  </si>
  <si>
    <t>63896-073-2010</t>
  </si>
  <si>
    <t>AOJ-853</t>
  </si>
  <si>
    <t>85305-073-021115</t>
  </si>
  <si>
    <t>NEGOCIOS JOEL E.I.R.L</t>
  </si>
  <si>
    <t>PACASMAYO Nº 541</t>
  </si>
  <si>
    <t>CHEPEN</t>
  </si>
  <si>
    <t>B8D-864</t>
  </si>
  <si>
    <t>MABEL CONSUELO ALVITES IZQUIERDO</t>
  </si>
  <si>
    <t>CASIMIRO OCHOA LUQUE</t>
  </si>
  <si>
    <t>CALLE SAGITARIO N° 164 URB. EL SOL DE VITARTE</t>
  </si>
  <si>
    <t>PQ-9393</t>
  </si>
  <si>
    <t>36224-073-271014</t>
  </si>
  <si>
    <t>D5X-876</t>
  </si>
  <si>
    <t>134047-073-220118</t>
  </si>
  <si>
    <t xml:space="preserve">TRANSBER S.A.C. </t>
  </si>
  <si>
    <t xml:space="preserve">CALLE CADMIO N° 129 URB. INDUSTRIAL GRIMANESA </t>
  </si>
  <si>
    <t>AUW-796</t>
  </si>
  <si>
    <t> 690</t>
  </si>
  <si>
    <t>ENRIQUE MANUEL ORTIZ ORSI</t>
  </si>
  <si>
    <t>LUIS ISAIAS REYES ZAVALA</t>
  </si>
  <si>
    <t>AV. NICOLAS AYLLON N° 1330</t>
  </si>
  <si>
    <t>PGJ-406</t>
  </si>
  <si>
    <t>0057-CTPGL-15-2003</t>
  </si>
  <si>
    <t>LUIS ALBERTO ZAMORA ALATRISTA</t>
  </si>
  <si>
    <t>AV. LOS VICUS MZ. B LOTE 11 URB. LA CAPULLANA</t>
  </si>
  <si>
    <t>MG-7622</t>
  </si>
  <si>
    <t>128454-073-190517</t>
  </si>
  <si>
    <t>JAVIER EDUARDO MOLERO FERNANDEZ</t>
  </si>
  <si>
    <t>URB. BANCARIA N° 047</t>
  </si>
  <si>
    <t>T8R-888</t>
  </si>
  <si>
    <t> 8200</t>
  </si>
  <si>
    <t>84076-073-040116</t>
  </si>
  <si>
    <t>D1Q-803</t>
  </si>
  <si>
    <t>149017-073-290120</t>
  </si>
  <si>
    <t>PLANTA ENVASADORA AMAGAS S.A.C.</t>
  </si>
  <si>
    <t>FUNDO ALFALFAR, CARRETERA CHACHAPOYAS - PEDRO RUIZ</t>
  </si>
  <si>
    <t>C5I-774</t>
  </si>
  <si>
    <t>ELIA MARLENY VILLACREZ SALAZAR</t>
  </si>
  <si>
    <t>145029-073-030719</t>
  </si>
  <si>
    <t>E.L.M. NEGOCIOS E.I.R.L.</t>
  </si>
  <si>
    <t>JR. ENRIQUE RAMIREZ LUNA N° 602 BARRIO HUARUPAMPA</t>
  </si>
  <si>
    <t>BAL-770</t>
  </si>
  <si>
    <t>EDUARDO JOSE MAURICIO ESTRADA</t>
  </si>
  <si>
    <t>0001-CTBGL-23-2002</t>
  </si>
  <si>
    <t>ELENA NARCISA LOPE MARCE</t>
  </si>
  <si>
    <t>LOS NARDOS N° 980 URB. NUESTRA SEÑORA DEL CARMEN</t>
  </si>
  <si>
    <t>PK-5841</t>
  </si>
  <si>
    <t>0034-CTPGL-15-2001</t>
  </si>
  <si>
    <t>PURO GAS S.A.</t>
  </si>
  <si>
    <t>AV. LAS GAVIOTAS MZ. I-2 LOTE 22</t>
  </si>
  <si>
    <t>PGQ-085</t>
  </si>
  <si>
    <t>0003-CTPGL-10-2003</t>
  </si>
  <si>
    <t>CARRETERA HUANUCO-TINGO MARIA KM. 35. MZ. D LOTE 12</t>
  </si>
  <si>
    <t>PP-9747</t>
  </si>
  <si>
    <t>115109-073-070515</t>
  </si>
  <si>
    <t>ALFONSO VIRA BUSTAMANTE</t>
  </si>
  <si>
    <t>CALLE VENEZUELA N° 101 URB. ALTO SAN MARTIN ZONA C</t>
  </si>
  <si>
    <t>A5G-802</t>
  </si>
  <si>
    <t>134046-073-220118</t>
  </si>
  <si>
    <t>AUV-841</t>
  </si>
  <si>
    <t>JORGE SANTIAGO RODRIGUEZ FARRO</t>
  </si>
  <si>
    <t>MZ. 6 LOTE 12 URB. ANDRES REYES BUITRON</t>
  </si>
  <si>
    <t>PGJ-915</t>
  </si>
  <si>
    <t>87680-073-2010</t>
  </si>
  <si>
    <t>GAS CORP PERU SAC</t>
  </si>
  <si>
    <t>VARIANTE DE UCHUMAYO KM 1.5</t>
  </si>
  <si>
    <t>SACHACA</t>
  </si>
  <si>
    <t>VIG-867</t>
  </si>
  <si>
    <t> 2375</t>
  </si>
  <si>
    <t>EDWIN PEDRO PABLO MANRIQUE ZEGARRA</t>
  </si>
  <si>
    <t>137394-073-220818</t>
  </si>
  <si>
    <t>C9G-761</t>
  </si>
  <si>
    <t>RONALD FELIX ALVINO</t>
  </si>
  <si>
    <t>XQ-8866</t>
  </si>
  <si>
    <t>CARMEN DE LA CRUZ RAMIREZ</t>
  </si>
  <si>
    <t>AV. LOS NATURALES S/N URB LOS NATURALES</t>
  </si>
  <si>
    <t>PGJ-550</t>
  </si>
  <si>
    <t>XQ-8867</t>
  </si>
  <si>
    <t>0054-CBGL-15-2001</t>
  </si>
  <si>
    <t>XQ-3520</t>
  </si>
  <si>
    <t>105977-073-291013</t>
  </si>
  <si>
    <t>MEC TRANSPORTES MULTIPLES SAC.</t>
  </si>
  <si>
    <t>DANIEL ALCIDES CARRION N° 194 DPTO 202 - CERCADO</t>
  </si>
  <si>
    <t>T2I-977</t>
  </si>
  <si>
    <t> C9B-947</t>
  </si>
  <si>
    <t> 14080</t>
  </si>
  <si>
    <t>CRISTIAN BERNARDO BECERRA CARRASCO</t>
  </si>
  <si>
    <t>PIA-309</t>
  </si>
  <si>
    <t> 475</t>
  </si>
  <si>
    <t>136722-073-080618</t>
  </si>
  <si>
    <t xml:space="preserve">ALBERTO COLQUE QUIÑONES </t>
  </si>
  <si>
    <t>PLAZA DE ARMAS S/N</t>
  </si>
  <si>
    <t>ESPINAR</t>
  </si>
  <si>
    <t>PALLPATA</t>
  </si>
  <si>
    <t>V5N-886</t>
  </si>
  <si>
    <t>136862-073-100618</t>
  </si>
  <si>
    <t>CARRET. HUANUCO TINGO MARIA KM 3,5 MZ. D LT. 12 MIRAFLORES</t>
  </si>
  <si>
    <t>ATC-916</t>
  </si>
  <si>
    <t>ERESA DEL CARMEN MATUTE PALACIOS</t>
  </si>
  <si>
    <t>134045-073-170118</t>
  </si>
  <si>
    <t>CARLIZ TRAVEL PERU S.A.C.</t>
  </si>
  <si>
    <t>PASAJE LOS COLLAS N° 630 INT. D URB. SAN PABLO</t>
  </si>
  <si>
    <t>AEZ-977</t>
  </si>
  <si>
    <t> AUV-719</t>
  </si>
  <si>
    <t> 13390</t>
  </si>
  <si>
    <t>CARMEN SARA PEREZ LAOS</t>
  </si>
  <si>
    <t>86537-073-2010</t>
  </si>
  <si>
    <t>JOSE ROSEL TARRILLO CARUAJULCA/MARIA LIDIA TORRES SILVA</t>
  </si>
  <si>
    <t>CALLE 4A, URB. PRO ETAPA VII, MZ. Z, LOTE 43</t>
  </si>
  <si>
    <t>AIX-945</t>
  </si>
  <si>
    <t>109340-073-160514</t>
  </si>
  <si>
    <t>GLP AMAZONICO SAC</t>
  </si>
  <si>
    <t>CALLE PEVAS 316 IQUITOS</t>
  </si>
  <si>
    <t>F7O-729</t>
  </si>
  <si>
    <t>ALVARO FELIPE REY RECAVARREN</t>
  </si>
  <si>
    <t>0007-CBGL-04-2005</t>
  </si>
  <si>
    <t>WH-7804</t>
  </si>
  <si>
    <t> 1530</t>
  </si>
  <si>
    <t>CESAR ANTONIO VALDERRAMA GALLEGOS</t>
  </si>
  <si>
    <t>VICTOR ALZAMORA N° 282</t>
  </si>
  <si>
    <t>OG-8566</t>
  </si>
  <si>
    <t>146796-073-011019</t>
  </si>
  <si>
    <t>CORDOVA FARFAN TATHIANA DALINDA</t>
  </si>
  <si>
    <t xml:space="preserve">AA.HH NUEVA ESPERANZA MZ.G6 LOTE 12 </t>
  </si>
  <si>
    <t>AKD-831</t>
  </si>
  <si>
    <t>108014-073-270314</t>
  </si>
  <si>
    <t>SERVICIOS GENERALES DIEGREYT S.R.L.</t>
  </si>
  <si>
    <t>CALLE 7 DE JUNIO NRO. 286 URB. EL MILAGRO (FTE. A EX CALETA BAR)</t>
  </si>
  <si>
    <t>C9X-917</t>
  </si>
  <si>
    <t>CRISTIAM PAUL TREJO DEL CASTILLO</t>
  </si>
  <si>
    <t>0018-CTPGL-15-2006</t>
  </si>
  <si>
    <t>AV. NESTOR GAMBETTA KM. 16.5</t>
  </si>
  <si>
    <t>PGK-077</t>
  </si>
  <si>
    <t> 393</t>
  </si>
  <si>
    <t>0017-CTPGL-15-2006</t>
  </si>
  <si>
    <t>AV NESTOR GAMBETA KM 16.5</t>
  </si>
  <si>
    <t>PGJ-365</t>
  </si>
  <si>
    <t> 3920</t>
  </si>
  <si>
    <t>0016-CTPGL-15-2006</t>
  </si>
  <si>
    <t>KM 16.5 AV NESTOR GAMBETA</t>
  </si>
  <si>
    <t>PGJ-548</t>
  </si>
  <si>
    <t>90275-073-2010</t>
  </si>
  <si>
    <t>JOVICSA GAS S.A.C.</t>
  </si>
  <si>
    <t>CALLE CHANCAY N°329</t>
  </si>
  <si>
    <t>B2P-815</t>
  </si>
  <si>
    <t>DINA JESENIA CHUQUICONDO TINTAYA</t>
  </si>
  <si>
    <t>0024-CBGL-15-2009</t>
  </si>
  <si>
    <t>AV. SOSA PELAEZ N° 1111, BLOCK 6, DPTO. 106</t>
  </si>
  <si>
    <t>ZI-5731</t>
  </si>
  <si>
    <t> YI-5235</t>
  </si>
  <si>
    <t>123014-073-150119</t>
  </si>
  <si>
    <t>AMB-733</t>
  </si>
  <si>
    <t>JESUS ELIAS PAREDES CATALAN</t>
  </si>
  <si>
    <t>VENTURA MONJARAS N° 117</t>
  </si>
  <si>
    <t>PL-1163</t>
  </si>
  <si>
    <t>36726-073-280918</t>
  </si>
  <si>
    <t>MZ.28, A-1, SECTOR F, ASOCIACION DE FAMILIA 09 DE FEBRERO</t>
  </si>
  <si>
    <t>C7N-706</t>
  </si>
  <si>
    <t>0051-CTPGL-15-2002</t>
  </si>
  <si>
    <t>JULIO FAUSTO ANAYA FLORES</t>
  </si>
  <si>
    <t>OF-1130</t>
  </si>
  <si>
    <t>123015-073-150119</t>
  </si>
  <si>
    <t>AV. NESTOR GAMBETA MZ. MI LOTE S/N EX FUNDO OQUENDO</t>
  </si>
  <si>
    <t>AMC-705</t>
  </si>
  <si>
    <t>0031-CBGL-15-2001</t>
  </si>
  <si>
    <t>WO-4757</t>
  </si>
  <si>
    <t>95832-073-260412</t>
  </si>
  <si>
    <t>JUAN BENITO ARELLANO Y ZENAIDA CERRON ALIAGA</t>
  </si>
  <si>
    <t>AV. PAULA DE OTERO N° 183</t>
  </si>
  <si>
    <t>B9M-916</t>
  </si>
  <si>
    <t xml:space="preserve">JUAN BENITO ARELLANO </t>
  </si>
  <si>
    <t>95575-073-060619</t>
  </si>
  <si>
    <t>INTI GAS CORPORACION S.A.C.</t>
  </si>
  <si>
    <t>A2P-858</t>
  </si>
  <si>
    <t xml:space="preserve">GLADIS IRMA HINOSTROZA ALCOCER </t>
  </si>
  <si>
    <t>0011-CBGL-12-2008</t>
  </si>
  <si>
    <t>AV. ALAMEDA AUGUSTO HILSER KM. 1</t>
  </si>
  <si>
    <t>XP-6792</t>
  </si>
  <si>
    <t> 2270</t>
  </si>
  <si>
    <t>0003-CBGL-04-2007</t>
  </si>
  <si>
    <t xml:space="preserve">MADELEINE PAULA ANDIA ALPACA </t>
  </si>
  <si>
    <t>PLAZA 28 DE JULIO Nº 200</t>
  </si>
  <si>
    <t>URACA</t>
  </si>
  <si>
    <t>XH-1607</t>
  </si>
  <si>
    <t>85473-073-2010</t>
  </si>
  <si>
    <t>CARRETERA HUANUCO - TINGO MARIA, KM. 3.5, MZ. D, LOTE 12, MIRAFLORES</t>
  </si>
  <si>
    <t>WGS-291</t>
  </si>
  <si>
    <t> 5300</t>
  </si>
  <si>
    <t>96597-073-190412</t>
  </si>
  <si>
    <t>MARSEB SERVICENTROS S.A.C.</t>
  </si>
  <si>
    <t>CALLE LA UNION N° 123</t>
  </si>
  <si>
    <t>B2M-896</t>
  </si>
  <si>
    <t xml:space="preserve">OSORIO LAYTEN JUAN JOSE </t>
  </si>
  <si>
    <t>112384-073-140620</t>
  </si>
  <si>
    <t>TRANSJESA E.I.R.L.</t>
  </si>
  <si>
    <t>M5F-717</t>
  </si>
  <si>
    <t>62570-073-070613</t>
  </si>
  <si>
    <t>B3H-830</t>
  </si>
  <si>
    <t>SAMUEL PAREDES HUAMANI</t>
  </si>
  <si>
    <t>AV. TUPAC AMARU N° 509</t>
  </si>
  <si>
    <t>LA TINGUIÑA</t>
  </si>
  <si>
    <t>PGJ-381</t>
  </si>
  <si>
    <t>0080-CTPGL-15-2002</t>
  </si>
  <si>
    <t>PIJ-092</t>
  </si>
  <si>
    <t>0040-CTPGL-15-2002</t>
  </si>
  <si>
    <t>JOSE ANTONIO FIGUEROA VARGAS</t>
  </si>
  <si>
    <t>MZ. B LOTE 10 AA.HH. PEQUEÑOS AGRICULTORES TODOS LOS SANTOS</t>
  </si>
  <si>
    <t>PGW-829</t>
  </si>
  <si>
    <t>0078-CTPGL-15-2002</t>
  </si>
  <si>
    <t>PII-963</t>
  </si>
  <si>
    <t>0034-CBGL-15-2002</t>
  </si>
  <si>
    <t>XI-5870</t>
  </si>
  <si>
    <t>62585-073-070613</t>
  </si>
  <si>
    <t>B6C-826</t>
  </si>
  <si>
    <t>133023-073-271117</t>
  </si>
  <si>
    <t>GRUPO NEPRO GLP S.C.R.L.</t>
  </si>
  <si>
    <t>AV. LEONIDAS HALLASI NRO. 484 SANTA CATALINA (CDRS DE LA ESCUELA CESAR VALLEJO)</t>
  </si>
  <si>
    <t>X4H-813</t>
  </si>
  <si>
    <t>ROGER EDWIN PANDIA HUANCA</t>
  </si>
  <si>
    <t>62569-073-070613</t>
  </si>
  <si>
    <t>B2X-834</t>
  </si>
  <si>
    <t>148080-073-051219</t>
  </si>
  <si>
    <t>GRUPO PERUGAS S.A.C.</t>
  </si>
  <si>
    <t xml:space="preserve">CARRETERA ANTIGUA PANAMERICANA SUR KM. 40 ESQUINA CON AV. LOS EUCALIPTOS MZ. F LT. 09 INT. 01 URB SANTA GENOVEVA </t>
  </si>
  <si>
    <t>BCK-804</t>
  </si>
  <si>
    <t> 4660</t>
  </si>
  <si>
    <t>JOSUE MIJAIL HERVACIO QUISPE</t>
  </si>
  <si>
    <t>0002-CTPGL-07-2002</t>
  </si>
  <si>
    <t>FUELCOM S.A.C.</t>
  </si>
  <si>
    <t>PSJE. TARAPACA N° 134</t>
  </si>
  <si>
    <t>PGS-117</t>
  </si>
  <si>
    <t>35764-073-271014</t>
  </si>
  <si>
    <t>D5T-862</t>
  </si>
  <si>
    <t>135838-073-040518</t>
  </si>
  <si>
    <t>CARRASCO VILELA JUANA SILVIA</t>
  </si>
  <si>
    <t>CALLE MORROPON N° 1103</t>
  </si>
  <si>
    <t>TEG-972</t>
  </si>
  <si>
    <t> T8Y-939</t>
  </si>
  <si>
    <t> 12320</t>
  </si>
  <si>
    <t>0011-CTPGL-15-2006</t>
  </si>
  <si>
    <t xml:space="preserve">AV. NESTOR GAMBETA KM. 16.5 </t>
  </si>
  <si>
    <t>PIU-517</t>
  </si>
  <si>
    <t> 610</t>
  </si>
  <si>
    <t>137633-073-200718</t>
  </si>
  <si>
    <t>ALG-816</t>
  </si>
  <si>
    <t> 4470</t>
  </si>
  <si>
    <t>0004-CTPGL-07-2005</t>
  </si>
  <si>
    <t>JESUS ANGELICA MEJIA ZUÑIGA</t>
  </si>
  <si>
    <t>MZ. A-5 LOTE 31 BOCANEGRA</t>
  </si>
  <si>
    <t>PIK-062</t>
  </si>
  <si>
    <t>0008-CBGL-14-2007</t>
  </si>
  <si>
    <t>MARIA CECILIA INES OJEDA HERNADEZ</t>
  </si>
  <si>
    <t>INMELDA LOPEZ N° 235 URB. MAGISTERIAL</t>
  </si>
  <si>
    <t>WC-7531</t>
  </si>
  <si>
    <t>0001-CTPGL-23-2000</t>
  </si>
  <si>
    <t>ALBERTO CABRERA HUAYHUA</t>
  </si>
  <si>
    <t>CPM. JOSE DE SAN MARTIN MZ. 8 LOTE 1</t>
  </si>
  <si>
    <t>PGJ-904</t>
  </si>
  <si>
    <t>DISTRIBUIDORA SAN FERNANDO</t>
  </si>
  <si>
    <t>AV. CORONEL MENDOZA N° 1591</t>
  </si>
  <si>
    <t>PGJ-927</t>
  </si>
  <si>
    <t>0004-CTPGL-15-2010</t>
  </si>
  <si>
    <t>IXOTE S.A.C.</t>
  </si>
  <si>
    <t>MZ. 34 LT. 30 URB. PACHACAMAC RESIDENCIAL PARCELA 3A</t>
  </si>
  <si>
    <t>PQW-760</t>
  </si>
  <si>
    <t>ULISES MENDOZA MOLERO</t>
  </si>
  <si>
    <t>CALLE ZELA N° 878</t>
  </si>
  <si>
    <t>PK-5056</t>
  </si>
  <si>
    <t>98156-073-170912</t>
  </si>
  <si>
    <t xml:space="preserve">ASUNTA ELENA CCAHUAYA GUTIERREZ </t>
  </si>
  <si>
    <t>CALLE VENEZUELA N°119 - PP.JJ. GENERALISIMO JOSE DE SAN MARTÍN</t>
  </si>
  <si>
    <t>V2R-789</t>
  </si>
  <si>
    <t>137866-073-030818</t>
  </si>
  <si>
    <t>LUPE GAS E.I.R.L.</t>
  </si>
  <si>
    <t xml:space="preserve">MZ. D LOTE 5 - URB. VILLA VITARTE </t>
  </si>
  <si>
    <t>F7W-846</t>
  </si>
  <si>
    <t>WILMER VICTOR GUTIERREZ PAREJA</t>
  </si>
  <si>
    <t>140664-073-090119</t>
  </si>
  <si>
    <t>SAHUVRY PERU S.R.L.</t>
  </si>
  <si>
    <t>CA. LOS ALISOS N° 243 URB. SANTA ROSA</t>
  </si>
  <si>
    <t>M6I-871</t>
  </si>
  <si>
    <t xml:space="preserve">REYNALDO YOPLA VILLANUEVA </t>
  </si>
  <si>
    <t>137709-073-010818</t>
  </si>
  <si>
    <t>P3Y-725</t>
  </si>
  <si>
    <t>137867-073-070818</t>
  </si>
  <si>
    <t>ANGEL G &amp; A DISTRIBUIDORES E.I.R.L.</t>
  </si>
  <si>
    <t xml:space="preserve">P.J. FELIPE PINGLO MZ. E LT. 09 URB. SANTOYO </t>
  </si>
  <si>
    <t>A9C-801</t>
  </si>
  <si>
    <t> 1650</t>
  </si>
  <si>
    <t>MIGUEL ANGEL GARCIA ASTORGA</t>
  </si>
  <si>
    <t>95977-073-230212</t>
  </si>
  <si>
    <t xml:space="preserve">ESTEBAN QUISPE SANCHO </t>
  </si>
  <si>
    <t xml:space="preserve">AA.HH. BOCANEGRA ZONA 5, MZ.G56, LT 04 </t>
  </si>
  <si>
    <t>D1W-895</t>
  </si>
  <si>
    <t>88190-073-2010</t>
  </si>
  <si>
    <t>CR SERVICE E.I.R.L.</t>
  </si>
  <si>
    <t>CALLE LAS ORQUIDEAS N° 2750. OF. 402</t>
  </si>
  <si>
    <t>A1J-835</t>
  </si>
  <si>
    <t> 2495</t>
  </si>
  <si>
    <t>CARLOS ALBERTO ROSAS BALLINAS</t>
  </si>
  <si>
    <t>97647-073-230712</t>
  </si>
  <si>
    <t>CARRETERA SICUANI - JULIACA 1113-6</t>
  </si>
  <si>
    <t>X2E-710</t>
  </si>
  <si>
    <t>83634-073-270115</t>
  </si>
  <si>
    <t>F1Z-923</t>
  </si>
  <si>
    <t> 3425</t>
  </si>
  <si>
    <t>JESUS AMPUERO ALVAREZ</t>
  </si>
  <si>
    <t>COMERCIO N° 159</t>
  </si>
  <si>
    <t>ISLAY</t>
  </si>
  <si>
    <t>MOLLENDO</t>
  </si>
  <si>
    <t>PH-4113</t>
  </si>
  <si>
    <t>MZ. C LOTE 11 URB. BLANCO BENVENUTTI</t>
  </si>
  <si>
    <t>PK-5370</t>
  </si>
  <si>
    <t>118648-073-201115</t>
  </si>
  <si>
    <t xml:space="preserve">GC. MULTIGAS E.I.R.L. </t>
  </si>
  <si>
    <t>NRO A INT 8 URB. CHILLON (CAMINO A LA ENSENADA)</t>
  </si>
  <si>
    <t>F2I-993</t>
  </si>
  <si>
    <t> F1U-778</t>
  </si>
  <si>
    <t>131282-073-240817</t>
  </si>
  <si>
    <t>SERVICIOS DE TRANSPORTES ARCHI E.I.R.L.</t>
  </si>
  <si>
    <t>JR. NAPO N°660</t>
  </si>
  <si>
    <t>U1H-742</t>
  </si>
  <si>
    <t>MARIO HERMOGENES AREVALO ASPAJO</t>
  </si>
  <si>
    <t>PK-5512</t>
  </si>
  <si>
    <t>98155-073-170912</t>
  </si>
  <si>
    <t>CALLE VENEZUELA N°119 - PP.JJ. GENERALÍSIMO JOSE DE SAN MARTÍN</t>
  </si>
  <si>
    <t>V5I-932</t>
  </si>
  <si>
    <t>PK-5135</t>
  </si>
  <si>
    <t>105211-073-030114</t>
  </si>
  <si>
    <t>JULIO CESAR ZAPANA TRISTAN</t>
  </si>
  <si>
    <t>JIRÓN LOS LAURELES N° 475 URBANIZACIÓN SANTA MARIA - PRIMERA ETAPA</t>
  </si>
  <si>
    <t>Z4O-878</t>
  </si>
  <si>
    <t>97171-073-130612</t>
  </si>
  <si>
    <t>MZ. E LOTE 9 A.H. 5 DE FEBRERO</t>
  </si>
  <si>
    <t>P1N-758</t>
  </si>
  <si>
    <t> 3550</t>
  </si>
  <si>
    <t>134635-073-210218</t>
  </si>
  <si>
    <t>DISTRIBUIDORA DE GAS DEL NOR ORIENTE S.A.C</t>
  </si>
  <si>
    <t>JR. LIMATAMBO N°502</t>
  </si>
  <si>
    <t>C9O-995</t>
  </si>
  <si>
    <t> F1O-738</t>
  </si>
  <si>
    <t> 15500</t>
  </si>
  <si>
    <t>WILLY EZEQUIEL NAJAR BENITEZ</t>
  </si>
  <si>
    <t>144378-073-030619</t>
  </si>
  <si>
    <t>BRAVO ACUÑA JOSE DEL CARMEN</t>
  </si>
  <si>
    <t xml:space="preserve">CALLE SANTA JUANITA N° 169 URRUNAGA V. SECTOR </t>
  </si>
  <si>
    <t>T4D-934</t>
  </si>
  <si>
    <t> 8350</t>
  </si>
  <si>
    <t>EDILBERTO FRANCO ROJAS</t>
  </si>
  <si>
    <t>URB. VILLA HERMOSA VENEZUELA N° 135</t>
  </si>
  <si>
    <t>PK-5395</t>
  </si>
  <si>
    <t>CIA. PERUANA DE GAS S.A.</t>
  </si>
  <si>
    <t>AV. AVIACION N° 2401</t>
  </si>
  <si>
    <t>PGJ-407</t>
  </si>
  <si>
    <t>151902-073-161020</t>
  </si>
  <si>
    <t>INVERSIONES VALLE SAN CARLOS EMPRESA INDIVIDUAL DE RESPONSABILIDAD LIMITADA</t>
  </si>
  <si>
    <t>AV. CABO CONCHATUPA NRO. SN</t>
  </si>
  <si>
    <t>URUBAMBA</t>
  </si>
  <si>
    <t>X4U-778</t>
  </si>
  <si>
    <t>TACO CHOQUE NAPOLEON</t>
  </si>
  <si>
    <t>132955-073-271117</t>
  </si>
  <si>
    <t>CORPORACION GABRIEL HILARIO S.A.C.</t>
  </si>
  <si>
    <t>AV. MARGINAL N° 151 URB. JAVIER PRADO VI ETAPA</t>
  </si>
  <si>
    <t>AMU-921</t>
  </si>
  <si>
    <t> 3050</t>
  </si>
  <si>
    <t xml:space="preserve">GABRIEL BENEDICTO HILARIO JURADO </t>
  </si>
  <si>
    <t>140171-073-271218</t>
  </si>
  <si>
    <t xml:space="preserve">IMVERSIONES ARWATURO S.R.L. </t>
  </si>
  <si>
    <t xml:space="preserve">AV. HUANCAVELICA N° 216 </t>
  </si>
  <si>
    <t>AJY-994</t>
  </si>
  <si>
    <t> ALP-938</t>
  </si>
  <si>
    <t> 13745</t>
  </si>
  <si>
    <t>DONATO GIL PIÑAS CANCHANYA</t>
  </si>
  <si>
    <t>112164-073-260918</t>
  </si>
  <si>
    <t>HUAMSA S.A.C.</t>
  </si>
  <si>
    <t>A.H. LOMAS DE MARCHAN MZ. P LOTE 1</t>
  </si>
  <si>
    <t>V8L-997</t>
  </si>
  <si>
    <t> C9O-908</t>
  </si>
  <si>
    <t> 11000</t>
  </si>
  <si>
    <t>PK-5472</t>
  </si>
  <si>
    <t>116399-073-240715</t>
  </si>
  <si>
    <t>CALLE CHOQUEHUANCA N° 332</t>
  </si>
  <si>
    <t>P1R-949</t>
  </si>
  <si>
    <t>89284-073-2010</t>
  </si>
  <si>
    <t>P1L-824</t>
  </si>
  <si>
    <t>103862-073-090813</t>
  </si>
  <si>
    <t>LUIS KHUNO CAYULLA</t>
  </si>
  <si>
    <t>COMUNIDAD DE HUANCARANI S/N</t>
  </si>
  <si>
    <t>PAUCARTAMBO</t>
  </si>
  <si>
    <t>HUANCARANI</t>
  </si>
  <si>
    <t>A6T-889</t>
  </si>
  <si>
    <t>102548-073-270115</t>
  </si>
  <si>
    <t>D6B-722</t>
  </si>
  <si>
    <t>146140-073-250819</t>
  </si>
  <si>
    <t>BBQ-779</t>
  </si>
  <si>
    <t> 2600</t>
  </si>
  <si>
    <t>132914-073-201117</t>
  </si>
  <si>
    <t>ANO-824</t>
  </si>
  <si>
    <t>96221-073-210312</t>
  </si>
  <si>
    <t>MACAVAL SERVICE S.A.C.</t>
  </si>
  <si>
    <t xml:space="preserve">AV. GOZZOLI NORTE Nº 660 </t>
  </si>
  <si>
    <t>B4K-742</t>
  </si>
  <si>
    <t> 2985</t>
  </si>
  <si>
    <t>MARCO ANTONIO ROBERTO PIÑATELLI BRACAMONTE</t>
  </si>
  <si>
    <t>139042-073-240919</t>
  </si>
  <si>
    <t>MJ CORPORACION S.A.C.</t>
  </si>
  <si>
    <t>JR. AYACUCHO S/N-AMPLIACION 3 ER PISO</t>
  </si>
  <si>
    <t xml:space="preserve">AXC-765 </t>
  </si>
  <si>
    <t>MARCO ANTONIO ALVARADO CARDENAS</t>
  </si>
  <si>
    <t>0007-CBGL-15-2010</t>
  </si>
  <si>
    <t>ENVASADORA ANDINA DE GAS COMPANY S.A.</t>
  </si>
  <si>
    <t>AV PACHACUTEC MZ B LT 2 PARQUE INDUSTRIAL</t>
  </si>
  <si>
    <t>WGI-190</t>
  </si>
  <si>
    <t> 2360</t>
  </si>
  <si>
    <t>0006-CBGL-15-2010</t>
  </si>
  <si>
    <t>AV. PACHACUTEC MZ. B, LT. 02, PARQUE INDUSTRIAL</t>
  </si>
  <si>
    <t>WP-9187</t>
  </si>
  <si>
    <t>61539-073-031116</t>
  </si>
  <si>
    <t>LLAMA GAS PUCALLPA S.A</t>
  </si>
  <si>
    <t xml:space="preserve">AV. PRIMAVERA </t>
  </si>
  <si>
    <t>WGC-431</t>
  </si>
  <si>
    <t>103857-073-090813</t>
  </si>
  <si>
    <t>MARCELINA MAMANI QUISPE</t>
  </si>
  <si>
    <t>D3G-839</t>
  </si>
  <si>
    <t>45713-073-020114</t>
  </si>
  <si>
    <t>Z3X-780</t>
  </si>
  <si>
    <t> 3680</t>
  </si>
  <si>
    <t>63182-073-020114</t>
  </si>
  <si>
    <t>CALLE MOLLENDO 106 SAN MARTIN SOCABAYA</t>
  </si>
  <si>
    <t>V3R-932</t>
  </si>
  <si>
    <t> 2340</t>
  </si>
  <si>
    <t>91684-073-181116</t>
  </si>
  <si>
    <t>AV.VICE MZ. 228 LOTE 04 ZONA INDUSTRIAL</t>
  </si>
  <si>
    <t>P1U-917</t>
  </si>
  <si>
    <t>15947-073-200314</t>
  </si>
  <si>
    <t>D6G-977</t>
  </si>
  <si>
    <t> 9800</t>
  </si>
  <si>
    <t>0016-CBGL-15-2003</t>
  </si>
  <si>
    <t>XO-5243</t>
  </si>
  <si>
    <t>JULIO LEON ESTRADA</t>
  </si>
  <si>
    <t>JR. BOGOTA N° 388 URB. EL PARRAL</t>
  </si>
  <si>
    <t>PGJ-404</t>
  </si>
  <si>
    <t>85902-073-290113</t>
  </si>
  <si>
    <t>AV. DIAGONAL Nº 380, OFIC. 201</t>
  </si>
  <si>
    <t>A1M-882</t>
  </si>
  <si>
    <t> 7500</t>
  </si>
  <si>
    <t>145112-073-110719</t>
  </si>
  <si>
    <t>SERVICIOS GENERALES SALLES E.I.R.L</t>
  </si>
  <si>
    <t>JR. ARICA NRO. 433</t>
  </si>
  <si>
    <t>C9G-822</t>
  </si>
  <si>
    <t> 4480</t>
  </si>
  <si>
    <t>0003-CTBGL-04-2010</t>
  </si>
  <si>
    <t>CREDIGAS EIRL</t>
  </si>
  <si>
    <t>CALLE TRUJILLO 129 ZONA A MIGUEL GRAU</t>
  </si>
  <si>
    <t>OH-8585</t>
  </si>
  <si>
    <t> 935</t>
  </si>
  <si>
    <t>0017-CTPGL-15-2002</t>
  </si>
  <si>
    <t>PIH-228</t>
  </si>
  <si>
    <t>0004-CTBGL-04-2010</t>
  </si>
  <si>
    <t>OH-8793</t>
  </si>
  <si>
    <t> 530</t>
  </si>
  <si>
    <t>130866-073-060817</t>
  </si>
  <si>
    <t>DON POLLO LORETO S.A.C.</t>
  </si>
  <si>
    <t>CALLE LAS AZUCENAS N° 220 - SAN JUAN BAUTISTA</t>
  </si>
  <si>
    <t>D7O-792</t>
  </si>
  <si>
    <t>MARIA ISABEL MIÑIN GUZMAN</t>
  </si>
  <si>
    <t>0018-CTPGL-15-2002</t>
  </si>
  <si>
    <t>PIH-236</t>
  </si>
  <si>
    <t>84067-073-020114</t>
  </si>
  <si>
    <t>CALLE MOLLENDO N° 106- SAN MARTIN DE SOCABAYA</t>
  </si>
  <si>
    <t>V5Z-715</t>
  </si>
  <si>
    <t>137978-073-090818</t>
  </si>
  <si>
    <t>SANTA CRUZ GAS E.I.R.L.</t>
  </si>
  <si>
    <t>JR ZARUMILLA N° 210</t>
  </si>
  <si>
    <t>SANTA CRUZ</t>
  </si>
  <si>
    <t>M4N-715</t>
  </si>
  <si>
    <t xml:space="preserve">OSWALDO CONTRERAS BRAVO </t>
  </si>
  <si>
    <t>62029-073-020114</t>
  </si>
  <si>
    <t>Z4J-878</t>
  </si>
  <si>
    <t> 3740</t>
  </si>
  <si>
    <t>112441-073-111114</t>
  </si>
  <si>
    <t>GASUR E.I.R.L.</t>
  </si>
  <si>
    <t>JR. SAN PEDRO N° 369</t>
  </si>
  <si>
    <t>Z5Q-770</t>
  </si>
  <si>
    <t> 1950</t>
  </si>
  <si>
    <t>KARINA ANYELA CUTIPA ESCOBAR</t>
  </si>
  <si>
    <t>0038-CBGL-15-2002</t>
  </si>
  <si>
    <t>CASILDA IDONES ORTIZ</t>
  </si>
  <si>
    <t>MZ. A LOTE 28 ASOCIACIÓN PRIMAVERA</t>
  </si>
  <si>
    <t>WO-3001</t>
  </si>
  <si>
    <t>0001-CBGL-22-2002</t>
  </si>
  <si>
    <t>UNIVERSAL GAS S.R.L.</t>
  </si>
  <si>
    <t>WX-1698</t>
  </si>
  <si>
    <t>0007-CTPGL-15-2002</t>
  </si>
  <si>
    <t>PIH-332</t>
  </si>
  <si>
    <t>AMADOR CERRINOS MENDEZ</t>
  </si>
  <si>
    <t>MZ. F-1 LOTE 9 PARQUE INDUSTRIAL</t>
  </si>
  <si>
    <t>WO-5955</t>
  </si>
  <si>
    <t>0012-CTPGL-15-2002</t>
  </si>
  <si>
    <t>PIH-224</t>
  </si>
  <si>
    <t>0001-CBGL-12-2005</t>
  </si>
  <si>
    <t>CONSORCIO DE FABRICACION Y DISTRIBUCION JAKE S.A.C.</t>
  </si>
  <si>
    <t>AV. JOSE GALVEZ N° 1384</t>
  </si>
  <si>
    <t>XQ-4977</t>
  </si>
  <si>
    <t>117020-073-240816</t>
  </si>
  <si>
    <t>MIGUEL CHOQUE APAZA</t>
  </si>
  <si>
    <t>AV. TINTAYMARCA 105 URB. VISTA ALEGRE</t>
  </si>
  <si>
    <t>V2J-909</t>
  </si>
  <si>
    <t>146162-073-260819</t>
  </si>
  <si>
    <t>CAR. ANTIGUA PANAMERICANA SUR KM. 40 ESQUINA CON AV. LOS EUCALIPTOS MZ. F LOTE. 09 INT. 01 URB. SANTA GENOVEVA</t>
  </si>
  <si>
    <t>BBE-866</t>
  </si>
  <si>
    <t> 7180</t>
  </si>
  <si>
    <t>145879-073-200819</t>
  </si>
  <si>
    <t>LUJAN PONCE ROY WILLIAM</t>
  </si>
  <si>
    <t>AV. LAS AMERICAS N° 132 CPME. ACOPALCA</t>
  </si>
  <si>
    <t>A1S-844</t>
  </si>
  <si>
    <t> 6300</t>
  </si>
  <si>
    <t>DISTRIBUCIONES GABISA EIRL.</t>
  </si>
  <si>
    <t>JR. CALLAO N° 115</t>
  </si>
  <si>
    <t>WH-2372</t>
  </si>
  <si>
    <t>131466-073-040917</t>
  </si>
  <si>
    <t>PEDRO PABLO MATAMORROS DE LA CRUZ</t>
  </si>
  <si>
    <t>CALLE ALMIRANTE GUISSE N° 221-URB. VIRGEN DE LORETO</t>
  </si>
  <si>
    <t>L1D-862</t>
  </si>
  <si>
    <t>0002-CTPGL-15-2008</t>
  </si>
  <si>
    <t>ACOSTA VASQUEZ, REGULO LUPO</t>
  </si>
  <si>
    <t>AA.HH. VILLA LIMATAMBO MZ. F. LOTE 21 SAN GABRIEL</t>
  </si>
  <si>
    <t>PGX-043</t>
  </si>
  <si>
    <t>0005-CBGL-08-2005</t>
  </si>
  <si>
    <t>TRANSPORTES DIAZ E.I.R.L.</t>
  </si>
  <si>
    <t>CALLE CHIMA N° 207</t>
  </si>
  <si>
    <t>WZ-3697</t>
  </si>
  <si>
    <t> 2150</t>
  </si>
  <si>
    <t>0004-CBGL-08-2005</t>
  </si>
  <si>
    <t>MARISCAL CASTILLA D-10-11</t>
  </si>
  <si>
    <t>WT-1357</t>
  </si>
  <si>
    <t>0001-CTPGL-08-2002</t>
  </si>
  <si>
    <t>CERVANTES MONTEAGUDO JOSE</t>
  </si>
  <si>
    <t>CALLE TECTE N? 241 B</t>
  </si>
  <si>
    <t>PZ-6481</t>
  </si>
  <si>
    <t>AUGUSTO OTA TAMASHIRO</t>
  </si>
  <si>
    <t>CALLE JUAN BUJANDA N° 219</t>
  </si>
  <si>
    <t>OQ-3253</t>
  </si>
  <si>
    <t>BITEN S.R.L.</t>
  </si>
  <si>
    <t>AV. JOSE LEGUIA Y MELENDEZ N° 1590</t>
  </si>
  <si>
    <t>PGE-564</t>
  </si>
  <si>
    <t>0003-CTPGL-15-2002</t>
  </si>
  <si>
    <t>PIH-335</t>
  </si>
  <si>
    <t>86970-073-280212</t>
  </si>
  <si>
    <t>HILDA CHAVEZ SILUPU</t>
  </si>
  <si>
    <t>PROLONGACIÓN ROSA DE AMERICA MZ. 106, LT. 02, PPJJ. RAUL PORRAS BARRENECHEA</t>
  </si>
  <si>
    <t>A5B-942</t>
  </si>
  <si>
    <t> 1070</t>
  </si>
  <si>
    <t>145878-073-210819</t>
  </si>
  <si>
    <t>GAS CASTRO HERMANOS S.A.C.</t>
  </si>
  <si>
    <t>CALLE 32 LT. 10 AGRUP. PACHACAMAC SECTOR 2 PARCELA A BARRIO 1</t>
  </si>
  <si>
    <t>ALD-322</t>
  </si>
  <si>
    <t>HENRY CASTRO MONTENEGRO</t>
  </si>
  <si>
    <t>123697-073-070916</t>
  </si>
  <si>
    <t>ERICK EDSON CORDOVA ARRIETA</t>
  </si>
  <si>
    <t xml:space="preserve">CALLE 6 MZ. U LOTE 6 CASA 2 AV. PRINCIPAL, URB. SAN GENARO </t>
  </si>
  <si>
    <t>B7G-711</t>
  </si>
  <si>
    <t> 6710</t>
  </si>
  <si>
    <t>0002-CTPGL-15-2002</t>
  </si>
  <si>
    <t>PIH-519</t>
  </si>
  <si>
    <t>0001-CTBGL-15-2002</t>
  </si>
  <si>
    <t>ELSA DONATA HUAMAN SOLORZANO</t>
  </si>
  <si>
    <t>AV. MORALES DUAREZ N? 642</t>
  </si>
  <si>
    <t>PGO-225</t>
  </si>
  <si>
    <t>0006-CBGL-04-2008</t>
  </si>
  <si>
    <t>EDAL GAS S.A.C.</t>
  </si>
  <si>
    <t>AV. JESUS Nº 405</t>
  </si>
  <si>
    <t>XG-5072</t>
  </si>
  <si>
    <t>105686-073-300514</t>
  </si>
  <si>
    <t>FELIX ABEL CONDEMAYTA LARICO</t>
  </si>
  <si>
    <t xml:space="preserve">ASENTAMIENTO HUMANO JUAN VELASCO ALVARADO MZ F LOTE 15 COMITÉ 3 </t>
  </si>
  <si>
    <t>Z3H-716</t>
  </si>
  <si>
    <t>144702-073-190619</t>
  </si>
  <si>
    <t>TRANSPORTES RUFO S.R.L.</t>
  </si>
  <si>
    <t>AV. MARIANO MELGAR Nº 506, P.J. ALTO LIBERTAD</t>
  </si>
  <si>
    <t>V0M-724</t>
  </si>
  <si>
    <t>RUFINO MOISES HUACALLO FERIA</t>
  </si>
  <si>
    <t>PUNTO DE DISTRIBUCION S.A.</t>
  </si>
  <si>
    <t>AV. LOS PROCERES MZ. B-6 LOTE 25</t>
  </si>
  <si>
    <t>OI-5752</t>
  </si>
  <si>
    <t>OG-7823</t>
  </si>
  <si>
    <t>92996-073-041111</t>
  </si>
  <si>
    <t>EDWIN FELIPE CHOQUE QUISPE</t>
  </si>
  <si>
    <t>ASOC-VIRGEN DE LA CANDELARIA MZ A LT.1-B, ZONA D</t>
  </si>
  <si>
    <t>B3T-919</t>
  </si>
  <si>
    <t>126538-073-140217</t>
  </si>
  <si>
    <t>JULIO CALLAÑAUPA MESCCO</t>
  </si>
  <si>
    <t xml:space="preserve">JR. LOS FAISANES MZ. C LOTE 09 INT 3 URB. AZCARRUNZ </t>
  </si>
  <si>
    <t>APT-728</t>
  </si>
  <si>
    <t> 6065</t>
  </si>
  <si>
    <t>139779-073-301118</t>
  </si>
  <si>
    <t>COMERCIALIZADORA ALABRI GAS SAC</t>
  </si>
  <si>
    <t>JR. LAMBAYEQUE ZN. F, GRUPO 19, MZ. 20, LT.01, SEMIRURAL PACHACUTEC</t>
  </si>
  <si>
    <t>D0M-986</t>
  </si>
  <si>
    <t> V9O-798</t>
  </si>
  <si>
    <t>88892-073-2010</t>
  </si>
  <si>
    <t>ASOC. MARIA PARADO DE BELLIDO MZ. Ñ LT. 17</t>
  </si>
  <si>
    <t>A0N-887</t>
  </si>
  <si>
    <t>139785-073-251118</t>
  </si>
  <si>
    <t>COMERCIALIZADORA ALABRI GAS S.A.C</t>
  </si>
  <si>
    <t>JIRON LAMBAYEQUE ZN. F, GRUPO 19, MZ. 20, LT 01, SEMI RURAL PACHACUTEC</t>
  </si>
  <si>
    <t>V4J-970</t>
  </si>
  <si>
    <t> V8Q-831</t>
  </si>
  <si>
    <t>56046-073-120814</t>
  </si>
  <si>
    <t xml:space="preserve">AV. LOS ALISOS N° 573 URB. MICAELA BASTIDAS </t>
  </si>
  <si>
    <t>F5E-778</t>
  </si>
  <si>
    <t>147640-073-081119</t>
  </si>
  <si>
    <t>CARRETERA HUANUCO TINGO MARIA KM 3.5 LOTE 12 MIRAFLORES</t>
  </si>
  <si>
    <t>BAQ-820</t>
  </si>
  <si>
    <t>0008-CBGL-12-2006</t>
  </si>
  <si>
    <t>AV. LEONCIO PRADO N° 800 - CHILCA</t>
  </si>
  <si>
    <t>XO-9422</t>
  </si>
  <si>
    <t> 8740</t>
  </si>
  <si>
    <t>DANIEL ALBERTO RAYMONDI GUTIERREZ</t>
  </si>
  <si>
    <t>MZ. A LOTE 10 ASOCIACION CANEVARO</t>
  </si>
  <si>
    <t>PGC-242</t>
  </si>
  <si>
    <t>107994-073-160614</t>
  </si>
  <si>
    <t>NICANOR MENDOZA CARRILLO</t>
  </si>
  <si>
    <t>PARQUE INDUSTRIAL CALLE PARAGUAY K-14</t>
  </si>
  <si>
    <t>Z4K-924</t>
  </si>
  <si>
    <t> 2180</t>
  </si>
  <si>
    <t>150690-073-230820</t>
  </si>
  <si>
    <t>MULTISERVICIOS VILLALOBOS E.I.R.L.</t>
  </si>
  <si>
    <t>AV. INDEPENDENCIA MZA V1 - LOTE 10 - PJ TNTE MANUEL CLAVERO</t>
  </si>
  <si>
    <t>M2B-723</t>
  </si>
  <si>
    <t>RICARDO VILLALOBOS VEGA</t>
  </si>
  <si>
    <t>0003-CBGL-07-2009</t>
  </si>
  <si>
    <t xml:space="preserve">LORO ANTON ISABEL </t>
  </si>
  <si>
    <t xml:space="preserve">MZ. R5 LOTE 04 3ER SECTOR ANGAMOS </t>
  </si>
  <si>
    <t>WGM-226</t>
  </si>
  <si>
    <t> 1425</t>
  </si>
  <si>
    <t>135232-073-220318</t>
  </si>
  <si>
    <t>SHILCAYO GRIFO S.R.L.</t>
  </si>
  <si>
    <t>AVJ-817</t>
  </si>
  <si>
    <t>MARTIN DIMAS CHOQUE FRANCIA</t>
  </si>
  <si>
    <t>JR. LOS INGENIEROS MZ. D-2 LOTE 11 ASOC. VIV. LOS ARTESANOS</t>
  </si>
  <si>
    <t>PGC-252</t>
  </si>
  <si>
    <t>90579-073-2011</t>
  </si>
  <si>
    <t>DISTRIBUIDORA DE GAS DEL SUR S.A.C</t>
  </si>
  <si>
    <t>URB. LOS NARANJOS I - 11</t>
  </si>
  <si>
    <t>A3Z-940</t>
  </si>
  <si>
    <t>EDUARDO SOBENES VIZCARRA</t>
  </si>
  <si>
    <t>90581-073-2011</t>
  </si>
  <si>
    <t>A3Z-916</t>
  </si>
  <si>
    <t>0004-CTPGL-04-2006</t>
  </si>
  <si>
    <t>MARIA CLEOFE QUISPE HUALLPA</t>
  </si>
  <si>
    <t>CALLE MARCARANI Nº 128</t>
  </si>
  <si>
    <t>PO-4583</t>
  </si>
  <si>
    <t>90577-073-2011</t>
  </si>
  <si>
    <t>URBANIZACIÒN LOS NARANJOS I - 11</t>
  </si>
  <si>
    <t>A3Z-919</t>
  </si>
  <si>
    <t>139784-073-041218</t>
  </si>
  <si>
    <t>JIRON LAMBAYEQUE ZN. F, GRUPO 19, MZ. 20, LT.01 SEMI RURAL PACHACUTEC</t>
  </si>
  <si>
    <t>B0M-992</t>
  </si>
  <si>
    <t>90575-073-2011</t>
  </si>
  <si>
    <t>URBANIZACIÓN LOS NARANJOS I - 11</t>
  </si>
  <si>
    <t>A3Z-941</t>
  </si>
  <si>
    <t>86585-073-261216</t>
  </si>
  <si>
    <t>A2I-840</t>
  </si>
  <si>
    <t xml:space="preserve">FRANCISCO ANTONIO CACERES ALIAGA </t>
  </si>
  <si>
    <t>0001-CBGL-23-2001</t>
  </si>
  <si>
    <t>FELIPE ENRIQUE ARANA COARITE</t>
  </si>
  <si>
    <t>WK-1599</t>
  </si>
  <si>
    <t> 13250</t>
  </si>
  <si>
    <t>90594-073-2011</t>
  </si>
  <si>
    <t>URBANIZACION LOS NARANJOS I - II</t>
  </si>
  <si>
    <t>A3Z-920</t>
  </si>
  <si>
    <t>96368-073-110412</t>
  </si>
  <si>
    <t>AV. VICTOR RAUL N° E INT. 09 A.H. 5 DE FEBRERO</t>
  </si>
  <si>
    <t>P2H-877</t>
  </si>
  <si>
    <t>0008-CBGL-15-2005</t>
  </si>
  <si>
    <t>WR-1214</t>
  </si>
  <si>
    <t>DANIEL ARTURO YAMANOJA NAKAHODO</t>
  </si>
  <si>
    <t>AV. BOLIVAR N° 1324</t>
  </si>
  <si>
    <t>OG-6928</t>
  </si>
  <si>
    <t>AV. VICTOR CRIADO N° 2976 URB. ELIO</t>
  </si>
  <si>
    <t>XG-4770</t>
  </si>
  <si>
    <t>146390-073-060919</t>
  </si>
  <si>
    <t>GUIZADO QUISPE OSCAR</t>
  </si>
  <si>
    <t>JIRON ALFONSO UGARTE N° 200</t>
  </si>
  <si>
    <t>A6V-992</t>
  </si>
  <si>
    <t> D9A-858</t>
  </si>
  <si>
    <t> 16420</t>
  </si>
  <si>
    <t>84819-073-160714</t>
  </si>
  <si>
    <t>F7P-850</t>
  </si>
  <si>
    <t>110910-073-280814</t>
  </si>
  <si>
    <t>INVERSIONES CHALAN DEL SUR E.I.R.L.</t>
  </si>
  <si>
    <t>COMUNIDAD PUNKIRI CHICO AVENIDA PRINCIPAL S/N</t>
  </si>
  <si>
    <t>MADRE DE DIOS</t>
  </si>
  <si>
    <t>MANU</t>
  </si>
  <si>
    <t>W2O-814</t>
  </si>
  <si>
    <t>FLORENTINO ROSA GUZMAN</t>
  </si>
  <si>
    <t>141674-073-050319</t>
  </si>
  <si>
    <t>BENITO JUAN HUAMAN JULCA</t>
  </si>
  <si>
    <t xml:space="preserve">AV. WILCAHUAIN N° 550 – ACOVICHAY </t>
  </si>
  <si>
    <t>TFR-970</t>
  </si>
  <si>
    <t> AYX-754</t>
  </si>
  <si>
    <t> 14720</t>
  </si>
  <si>
    <t>90598-073-2011</t>
  </si>
  <si>
    <t>A6A-851</t>
  </si>
  <si>
    <t>EDURADO FRANCISCO SOBENES VIZCARRA</t>
  </si>
  <si>
    <t>TRANSPORTE MARESPE S.A.</t>
  </si>
  <si>
    <t>CALLE LAS EXPORTACIONES N° 231 URB. INDUSTRIAL PRO</t>
  </si>
  <si>
    <t>OG-2489</t>
  </si>
  <si>
    <t>90596-073-2011</t>
  </si>
  <si>
    <t>A3Z-896</t>
  </si>
  <si>
    <t> 965</t>
  </si>
  <si>
    <t>0008-CBGL-12-2008</t>
  </si>
  <si>
    <t>SUPERGRIFOS AURELIA S.A.C.</t>
  </si>
  <si>
    <t>AV. FERROCARRIL Nº 347</t>
  </si>
  <si>
    <t>WP-8456</t>
  </si>
  <si>
    <t> 1860</t>
  </si>
  <si>
    <t>0007-CBGL-12-2008</t>
  </si>
  <si>
    <t>GRUPO BECCON S.A.C.</t>
  </si>
  <si>
    <t>AV. FERROCARRIL N º 347</t>
  </si>
  <si>
    <t>WP-9710</t>
  </si>
  <si>
    <t> 2120</t>
  </si>
  <si>
    <t>0006-CTPGL-12-2007</t>
  </si>
  <si>
    <t>CALLE LIMA Nº 113</t>
  </si>
  <si>
    <t>YAULI</t>
  </si>
  <si>
    <t>SANTA ROSA DE SACCO</t>
  </si>
  <si>
    <t>PIM-515</t>
  </si>
  <si>
    <t>0011-CBGL-12-2007</t>
  </si>
  <si>
    <t>COMPAÑÍA ENVASADORA EXACTO GAS E.I.R.L</t>
  </si>
  <si>
    <t>AV. OSCAR R. BENAVIDES 425 OFC. 402</t>
  </si>
  <si>
    <t>CARMEN DE LA LEGUA REYNOSO</t>
  </si>
  <si>
    <t>XO-2214</t>
  </si>
  <si>
    <t>0030-CBGL-15-2002</t>
  </si>
  <si>
    <t>OLIMPIO ANTONIO ORTEGA CHUCO</t>
  </si>
  <si>
    <t>RESIDENCIAL PARIACHI MZ. E LOTE 4 I ETAPA</t>
  </si>
  <si>
    <t>XO-4848</t>
  </si>
  <si>
    <t> 2060</t>
  </si>
  <si>
    <t>CALLE LAS EXPORTACIONES N° 231 URB. UNDUSTRIAL PRO</t>
  </si>
  <si>
    <t>PG-1537</t>
  </si>
  <si>
    <t>0083-CTPGL-15-2001</t>
  </si>
  <si>
    <t>PGR-420</t>
  </si>
  <si>
    <t>0082-CTPGL-15-2001</t>
  </si>
  <si>
    <t>PQ-1375</t>
  </si>
  <si>
    <t>JESUS AMERICO LUNA JAIMES</t>
  </si>
  <si>
    <t>CALLE 7 MZ. K-5 LOTE 6 URB. INDUSTRIAL PRO</t>
  </si>
  <si>
    <t>OG-8559</t>
  </si>
  <si>
    <t>0084-CTPGL-15-2001</t>
  </si>
  <si>
    <t>PGR-409</t>
  </si>
  <si>
    <t>0022-CBGL-15-2001</t>
  </si>
  <si>
    <t>XI-4082</t>
  </si>
  <si>
    <t>HUGO ARENCIO MEJIA RIVERA</t>
  </si>
  <si>
    <t>LOTIZACION LEONCIO PRADO MZ. N LOTE 186</t>
  </si>
  <si>
    <t>OO-6649</t>
  </si>
  <si>
    <t>20642-073-150517</t>
  </si>
  <si>
    <t>AV. DIAGONAL Nº 380. OFICINA 201</t>
  </si>
  <si>
    <t>D1R-977</t>
  </si>
  <si>
    <t> C8C-769</t>
  </si>
  <si>
    <t> ART-771</t>
  </si>
  <si>
    <t>0020-CTPGL-15-2002</t>
  </si>
  <si>
    <t>PIH-315</t>
  </si>
  <si>
    <t>108059-073-120314</t>
  </si>
  <si>
    <t>ERICK FRANCK FARFAN PEREZ</t>
  </si>
  <si>
    <t>JR. ABRAHAN VALDELOMAR N° 465 SECTOR SAN MARTIN</t>
  </si>
  <si>
    <t>UTCUBAMBA</t>
  </si>
  <si>
    <t>BAGUA GRANDE</t>
  </si>
  <si>
    <t>M4R-800</t>
  </si>
  <si>
    <t>0022-CTPGL-15-2002</t>
  </si>
  <si>
    <t>PIH-346</t>
  </si>
  <si>
    <t>0023-CTPGL-15-2002</t>
  </si>
  <si>
    <t>PIH-345</t>
  </si>
  <si>
    <t>0004-CBGL-20-2007</t>
  </si>
  <si>
    <t>CALLE DOS DE MAYO Nº 210 - HUANCABAMBA</t>
  </si>
  <si>
    <t>WC-8753</t>
  </si>
  <si>
    <t>0024-CTPGL-15-2002</t>
  </si>
  <si>
    <t>PIH-344</t>
  </si>
  <si>
    <t>0085-CTPGL-15-2001</t>
  </si>
  <si>
    <t>PGQ-751</t>
  </si>
  <si>
    <t>86935-073-2010</t>
  </si>
  <si>
    <t>MZ. 27, LT. 1 - ASENT. H. 9 DE FEBRERO</t>
  </si>
  <si>
    <t>A3R-865</t>
  </si>
  <si>
    <t> 2145</t>
  </si>
  <si>
    <t>MAXIMO BAUTISTA ROJAS</t>
  </si>
  <si>
    <t>JR. LIBERTAD N° 157</t>
  </si>
  <si>
    <t>PY-5917</t>
  </si>
  <si>
    <t>116242-073-210715</t>
  </si>
  <si>
    <t>MULTISERVICIOS YUMARA EMPRESA INDIVIDUAL DE RESPONSABILIDAD LIMITADA</t>
  </si>
  <si>
    <t>CALLE CARAVELI S/N MZ. X LT. 10B SECTOR EL PEDREGAL</t>
  </si>
  <si>
    <t>V4C-753</t>
  </si>
  <si>
    <t>TRINIDAD CHALCO HUACHO</t>
  </si>
  <si>
    <t>CLODOMIRA RIVERA DE RUIZ</t>
  </si>
  <si>
    <t>AV. LOS ROBLES MZ. E LOTE 10</t>
  </si>
  <si>
    <t>XI-4732</t>
  </si>
  <si>
    <t>110580-073-150814</t>
  </si>
  <si>
    <t xml:space="preserve">SUB LOTE 5-C, MZ. E; P.J. EL TRIUNFO, ZONA C </t>
  </si>
  <si>
    <t>V6F-935</t>
  </si>
  <si>
    <t> 570</t>
  </si>
  <si>
    <t>RICHARD FLORENTINO VEGA QUISPE</t>
  </si>
  <si>
    <t>LAS CASCADAS N° 110 URB. LAS VIÑAS</t>
  </si>
  <si>
    <t>LA MOLINA</t>
  </si>
  <si>
    <t>PGC-802</t>
  </si>
  <si>
    <t>132901-073-171117</t>
  </si>
  <si>
    <t>PARCELACIÓN CAJAMARQUILLA SUB LOTE 87-6</t>
  </si>
  <si>
    <t>W4B-801</t>
  </si>
  <si>
    <t> 1290</t>
  </si>
  <si>
    <t>0014-CTPGL-15-2001</t>
  </si>
  <si>
    <t>FELIX MOISES CARBONEL SANCHEZ</t>
  </si>
  <si>
    <t>MZ. J-13 LOTE 27 URB. MARISCAL CACERES</t>
  </si>
  <si>
    <t>OI-3827</t>
  </si>
  <si>
    <t>CELESTINO USURIAGA PANTALEON</t>
  </si>
  <si>
    <t>MZ. A LOTE 28 ASOC. VIV. PRIMAVERA</t>
  </si>
  <si>
    <t>XG-2393</t>
  </si>
  <si>
    <t> 5200</t>
  </si>
  <si>
    <t>0003-CBGL-04-2005</t>
  </si>
  <si>
    <t>XH-2723</t>
  </si>
  <si>
    <t>109869-073-130614</t>
  </si>
  <si>
    <t>ELOY TORREBLANCA UMAYASI</t>
  </si>
  <si>
    <t>PJ. LAS FLORES ZONA 7, MZ. L, LOTE 22</t>
  </si>
  <si>
    <t>V2N-826</t>
  </si>
  <si>
    <t>108078-073-230214</t>
  </si>
  <si>
    <t>SEGUNDO EDGAR ZAMBRANO GUERRA</t>
  </si>
  <si>
    <t>MZ. I LOTE 36. URB. LOS CEDROS</t>
  </si>
  <si>
    <t>T5F-947</t>
  </si>
  <si>
    <t>0080-CTPGL-15-2006</t>
  </si>
  <si>
    <t>AV. LOS PROCERES 8071</t>
  </si>
  <si>
    <t>OI-6590</t>
  </si>
  <si>
    <t>SENO ORIHUELA YURIVILCA</t>
  </si>
  <si>
    <t>RIO SANTA N° 102 URB. LOS ALAMOS</t>
  </si>
  <si>
    <t>XG-3759</t>
  </si>
  <si>
    <t>87521-073-241014</t>
  </si>
  <si>
    <t>OSCAR HUAMAN MANCILLA</t>
  </si>
  <si>
    <t>JR. CAÑETE N° 185</t>
  </si>
  <si>
    <t>F9R-704</t>
  </si>
  <si>
    <t>85537-073-190617</t>
  </si>
  <si>
    <t>CHAVIN GAS S.A.C.</t>
  </si>
  <si>
    <t>AV. PACHACUTEC MZ. B LT. 2 PARCELA I PARQUE INDUSTRIAL</t>
  </si>
  <si>
    <t>D2V-745</t>
  </si>
  <si>
    <t>OSCAR ABEL RUEDA VILCAYAURI</t>
  </si>
  <si>
    <t>112991-073-181214</t>
  </si>
  <si>
    <t xml:space="preserve">PAJATEN GAS E.I.R.L. </t>
  </si>
  <si>
    <t>CARRETERA FERNANDO BELAUNDE TERRY Nº S/N, KM 1.5 CARRETERA JUANJUI - TOCACHE</t>
  </si>
  <si>
    <t>MARISCAL CACERES</t>
  </si>
  <si>
    <t>JUANJUI</t>
  </si>
  <si>
    <t>M2J-775</t>
  </si>
  <si>
    <t> 1770</t>
  </si>
  <si>
    <t>JORGE HERRERA FERNANDEZ</t>
  </si>
  <si>
    <t>86841-073-2010</t>
  </si>
  <si>
    <t>GENERAL SERVICE CARGO S.A.C.</t>
  </si>
  <si>
    <t>AV. JORGE BASADRE 489 OF. 308</t>
  </si>
  <si>
    <t>A3I-846</t>
  </si>
  <si>
    <t>MIGUEL ANGEL CASTRO ROLDÁN</t>
  </si>
  <si>
    <t>0001-CBGL-02-2010</t>
  </si>
  <si>
    <t>AMERICO TORRES DRAGO EIRL</t>
  </si>
  <si>
    <t>AV SOCABAYA Nº 311</t>
  </si>
  <si>
    <t>BARRANCA</t>
  </si>
  <si>
    <t>ZQ-4011</t>
  </si>
  <si>
    <t> YQ-3517</t>
  </si>
  <si>
    <t>0077-CBGL-15-2001</t>
  </si>
  <si>
    <t>HILARIO ROMAN INOCENTE</t>
  </si>
  <si>
    <t>MZ. B LOTE 5 AA.HH. RICARDO PALMA URB. CAMPOY</t>
  </si>
  <si>
    <t>XQ-7257</t>
  </si>
  <si>
    <t>119005-073-050619</t>
  </si>
  <si>
    <t>MARTINEZ HERNANDEZ SOL FATIMA</t>
  </si>
  <si>
    <t>BLOCK 66 DPTO. C-3. UND. VECINAL DE MIRONES</t>
  </si>
  <si>
    <t>AES-897</t>
  </si>
  <si>
    <t>146336-073-231219</t>
  </si>
  <si>
    <t>AV. LAS PEÑAS KM. 1.6 - EL PASTO</t>
  </si>
  <si>
    <t>VBY-998</t>
  </si>
  <si>
    <t> V9M-734</t>
  </si>
  <si>
    <t> F7U-796</t>
  </si>
  <si>
    <t>107765-073-050614</t>
  </si>
  <si>
    <t>EMPRESA DE TRANSPORTES MONTESINOS E HIJO S.A.C.</t>
  </si>
  <si>
    <t>CALLE OSCAR BARRENECHEA N° 488</t>
  </si>
  <si>
    <t>D0A-759</t>
  </si>
  <si>
    <t>HERMINIO MONTESINOS MANTILLA</t>
  </si>
  <si>
    <t>PGX-772</t>
  </si>
  <si>
    <t>0067-CTPGL-15-2004</t>
  </si>
  <si>
    <t>AV. PRIMAVERA N° 1290 OF. 401 - MONTERRICO</t>
  </si>
  <si>
    <t>OG-3441</t>
  </si>
  <si>
    <t> 540</t>
  </si>
  <si>
    <t>111554-073-200914</t>
  </si>
  <si>
    <t>GAS 99 S.A.C..</t>
  </si>
  <si>
    <t>JR. ENRIQUE BARRON NRO. 1385 URB. SANTA BEATRIZ</t>
  </si>
  <si>
    <t>V3D-992</t>
  </si>
  <si>
    <t> V4R-893</t>
  </si>
  <si>
    <t> 10800</t>
  </si>
  <si>
    <t>FARGAS S.R.L</t>
  </si>
  <si>
    <t>JR. SAN FRANCISCO N° 214 URB. TARAPACA</t>
  </si>
  <si>
    <t>PGC-498</t>
  </si>
  <si>
    <t>ARTURO BELAUNDE GUZMAN</t>
  </si>
  <si>
    <t>MALECON CISNEROS N° 466 DPTO. 1101</t>
  </si>
  <si>
    <t>PGD-866</t>
  </si>
  <si>
    <t>97353-073-050712</t>
  </si>
  <si>
    <t>AV. B, S/N URB. EX. FUNDO OQUENDO</t>
  </si>
  <si>
    <t>A9G-898</t>
  </si>
  <si>
    <t> 2773</t>
  </si>
  <si>
    <t>0006-CBGL-04-2009</t>
  </si>
  <si>
    <t>WASHINGTON Nº 204-A</t>
  </si>
  <si>
    <t>WGK-682</t>
  </si>
  <si>
    <t> 1997</t>
  </si>
  <si>
    <t>83214-073-2010</t>
  </si>
  <si>
    <t>WALDIR ALEJANDRO QUISPE RODRIGO</t>
  </si>
  <si>
    <t>AV. NICOLAS DE PIEROLA N° 107- SEMI RURAL PACHACUTEC</t>
  </si>
  <si>
    <t>Z2G-919</t>
  </si>
  <si>
    <t>118090-073-091115</t>
  </si>
  <si>
    <t>P3M-819</t>
  </si>
  <si>
    <t>WILLLAM RODOLFO CASTRO ARAMBULO</t>
  </si>
  <si>
    <t>118151-073-061115</t>
  </si>
  <si>
    <t>P3M-888</t>
  </si>
  <si>
    <t>0016-CBGL-12-2005</t>
  </si>
  <si>
    <t>EMPRESA DE TRANSPORTES OCELI SRL.</t>
  </si>
  <si>
    <t>CALLE TARMA N° 174 CHUCCHIS</t>
  </si>
  <si>
    <t>XO-7398</t>
  </si>
  <si>
    <t> 4130</t>
  </si>
  <si>
    <t>63246-073-220711</t>
  </si>
  <si>
    <t>GAS &amp; GAS S.A.C.</t>
  </si>
  <si>
    <t>AV. LAS PALMAS LOTE 6 URB. JOSE GALVEZ</t>
  </si>
  <si>
    <t>B0M-804</t>
  </si>
  <si>
    <t>PATRICIA ALICIA FALCON GUARDIA</t>
  </si>
  <si>
    <t>114237-073-190315</t>
  </si>
  <si>
    <t>SILVERIO AROCUTIPA CHAMBILLA</t>
  </si>
  <si>
    <t>AV. EL SOL MC C LOTE 13</t>
  </si>
  <si>
    <t>Z5M-917</t>
  </si>
  <si>
    <t>86827-073-2010</t>
  </si>
  <si>
    <t>AV. JORGE BASADRE N° 489, OF. 308</t>
  </si>
  <si>
    <t>A3I-844</t>
  </si>
  <si>
    <t>MIGUEL ÁNGEL CASTRO ROLDÁN</t>
  </si>
  <si>
    <t>0010-CBGL-15-2003</t>
  </si>
  <si>
    <t>FELIPE SANTIAGO CHAVEZ RIOS</t>
  </si>
  <si>
    <t>MZ. A LOTE 27 URB. VILLA MARGARITA</t>
  </si>
  <si>
    <t>WO-9754</t>
  </si>
  <si>
    <t>34184-073-170215</t>
  </si>
  <si>
    <t>F1Z-824</t>
  </si>
  <si>
    <t>105403-073-230913</t>
  </si>
  <si>
    <t>PLANTA ENVASADORA DE G.L.P. EXTRA GAS S.A</t>
  </si>
  <si>
    <t>MZ B-U LOTE 11-14 URBANIZACION INDUSTRIAL OQUENDO</t>
  </si>
  <si>
    <t>D0B-901</t>
  </si>
  <si>
    <t>0065-CBGL-15-2005</t>
  </si>
  <si>
    <t>AV. LOS FAISANES N° 608 URB. LA CAMIÑA</t>
  </si>
  <si>
    <t>XG-5930</t>
  </si>
  <si>
    <t>115460-073-280515</t>
  </si>
  <si>
    <t>PROL MCAL NIETO DOMINGO 142A URB. LOS SAUCES</t>
  </si>
  <si>
    <t>AEB-815</t>
  </si>
  <si>
    <t>104906-073-270813</t>
  </si>
  <si>
    <t>MARITZA MAMANI BARRANTES</t>
  </si>
  <si>
    <t>ASOCIACION MECANICOS ARTESANOS LA CUARENTEMARIA MZ B LOTE 04</t>
  </si>
  <si>
    <t>V4X-900</t>
  </si>
  <si>
    <t>108814-073-020818</t>
  </si>
  <si>
    <t>MZ. 27 LOTE 1 AAHH. 09 DE FEBRERO SECTOR F</t>
  </si>
  <si>
    <t>F7V-766</t>
  </si>
  <si>
    <t> 2715</t>
  </si>
  <si>
    <t>111555-073-200914</t>
  </si>
  <si>
    <t>GAS 99 S.A.C.</t>
  </si>
  <si>
    <t>Z2Q-976</t>
  </si>
  <si>
    <t>135070-073-250318</t>
  </si>
  <si>
    <t>ZONA INDUSTRIAL MZ. 223 LOTES 3,4,5</t>
  </si>
  <si>
    <t>T5C-973</t>
  </si>
  <si>
    <t> AJZ-702</t>
  </si>
  <si>
    <t> T2F-909</t>
  </si>
  <si>
    <t> 10920</t>
  </si>
  <si>
    <t>VASQUEZ WONG ANA AMELIA</t>
  </si>
  <si>
    <t>ANA MARIA ADET DE DORIAADETDE DORIA</t>
  </si>
  <si>
    <t>AV LAS ARTES N° 1001</t>
  </si>
  <si>
    <t>XG-9171</t>
  </si>
  <si>
    <t>WI-4203</t>
  </si>
  <si>
    <t>0076-CBGL-15-2005</t>
  </si>
  <si>
    <t>S &amp; C SERVICIO LOGISTICO S.A.</t>
  </si>
  <si>
    <t>AV. ALFREDO MENDIOLA N° 1405 URB. FIORI</t>
  </si>
  <si>
    <t>XG-2555</t>
  </si>
  <si>
    <t>0077-CBGL-15-2005</t>
  </si>
  <si>
    <t>XG-7277</t>
  </si>
  <si>
    <t>130688-073-080917</t>
  </si>
  <si>
    <t xml:space="preserve">JOAO LUNA LOPEZ </t>
  </si>
  <si>
    <t>AA.HH. PEDRO PORTILLO JR. RICARDO FLORES MZ. J LT. 22</t>
  </si>
  <si>
    <t>ASY-844</t>
  </si>
  <si>
    <t>63248-073-220711</t>
  </si>
  <si>
    <t>B0M-805</t>
  </si>
  <si>
    <t>130906-073-051217</t>
  </si>
  <si>
    <t>ASZ-933</t>
  </si>
  <si>
    <t> 7650</t>
  </si>
  <si>
    <t>ALFONSO REATEGUI PAREDES</t>
  </si>
  <si>
    <t>AV. LOS JARDINES ESTE N° 250</t>
  </si>
  <si>
    <t>XG-3452</t>
  </si>
  <si>
    <t>105406-073-230913</t>
  </si>
  <si>
    <t>PLANTA ENVASADORA DE GLP EXTRA GAS S.A</t>
  </si>
  <si>
    <t>D0A-880</t>
  </si>
  <si>
    <t>18079-073-300311</t>
  </si>
  <si>
    <t>SERVOSA CARGO S.A.C.</t>
  </si>
  <si>
    <t>CALLE B S/N URB. EX-FUNDO OQUENDO</t>
  </si>
  <si>
    <t>ZI-1050</t>
  </si>
  <si>
    <t> B5D-814</t>
  </si>
  <si>
    <t> B5D-815</t>
  </si>
  <si>
    <t> B5D-816</t>
  </si>
  <si>
    <t> B5D-817</t>
  </si>
  <si>
    <t> YI-4274</t>
  </si>
  <si>
    <t> YQ-1095</t>
  </si>
  <si>
    <t>YG-4520</t>
  </si>
  <si>
    <t>114240-073-190315</t>
  </si>
  <si>
    <t>AV. EL SOL MZ C LOTE 13</t>
  </si>
  <si>
    <t>Z3Z-706</t>
  </si>
  <si>
    <t>140439-073-201218</t>
  </si>
  <si>
    <t>AYU-929</t>
  </si>
  <si>
    <t>111088-073-190814</t>
  </si>
  <si>
    <t xml:space="preserve">PASAJE LOS PINOS 190 PISO 16 </t>
  </si>
  <si>
    <t>ACW-719</t>
  </si>
  <si>
    <t> 840</t>
  </si>
  <si>
    <t>111089-073-190814</t>
  </si>
  <si>
    <t>ACX-717</t>
  </si>
  <si>
    <t>130915-073-051217</t>
  </si>
  <si>
    <t>ASU-709</t>
  </si>
  <si>
    <t>0019-CTPGL-15-2004</t>
  </si>
  <si>
    <t>ANTONIO RUTILIO GONZALES VARGAS</t>
  </si>
  <si>
    <t>AV. GUILLERMO DANSEY N° 1940</t>
  </si>
  <si>
    <t>PIB-666</t>
  </si>
  <si>
    <t>0035-CTPGL-15-2004</t>
  </si>
  <si>
    <t>JR. SATURNO N° 259 URB. GANIMEDES</t>
  </si>
  <si>
    <t>PIM-272</t>
  </si>
  <si>
    <t>0024-CBGL-15-2004</t>
  </si>
  <si>
    <t>INVERSIONES PERU GAS S.A.</t>
  </si>
  <si>
    <t>XG-3241</t>
  </si>
  <si>
    <t>113188-073-270617</t>
  </si>
  <si>
    <t>CUSCO DELIVERY E.I.R.L.</t>
  </si>
  <si>
    <t>URB. GENERAL OLLANTA LOTE G-5</t>
  </si>
  <si>
    <t>D6N-992</t>
  </si>
  <si>
    <t> 16050</t>
  </si>
  <si>
    <t>JUAN CARLOS VERA COLQUE</t>
  </si>
  <si>
    <t>18078-073-010411</t>
  </si>
  <si>
    <t>CALLE LOS FAISANES MZ. K LOTE 16, URB. LA CAMPIÑA</t>
  </si>
  <si>
    <t>ZI-1049</t>
  </si>
  <si>
    <t> YG-8930</t>
  </si>
  <si>
    <t> YI-5494</t>
  </si>
  <si>
    <t> YG-9195</t>
  </si>
  <si>
    <t> YI-5006</t>
  </si>
  <si>
    <t> YI-5513</t>
  </si>
  <si>
    <t> YI-5183</t>
  </si>
  <si>
    <t> YI-4434</t>
  </si>
  <si>
    <t> YI-4435</t>
  </si>
  <si>
    <t> YI-6234</t>
  </si>
  <si>
    <t> YI-1484</t>
  </si>
  <si>
    <t> B5J-897</t>
  </si>
  <si>
    <t>18077-073-300311</t>
  </si>
  <si>
    <t>CALLE B. S/N. EX FUNDO OQUENDO</t>
  </si>
  <si>
    <t>ZI-1048</t>
  </si>
  <si>
    <t>41904-073-010411</t>
  </si>
  <si>
    <t>CALLE B S/N EX FUNDO OQUENDO</t>
  </si>
  <si>
    <t>ZI-1045</t>
  </si>
  <si>
    <t xml:space="preserve">GUILLERMO ALFREDO VOGELMANN BONICELLI </t>
  </si>
  <si>
    <t>0110-CTPGL-15-2001</t>
  </si>
  <si>
    <t>ADELAIDA RAMOS VELASQUEZ</t>
  </si>
  <si>
    <t>AV. ALMIRANTE MIGUEL GRAU N° 2166</t>
  </si>
  <si>
    <t>PGR-262</t>
  </si>
  <si>
    <t>45095-073-010411</t>
  </si>
  <si>
    <t>ZI-1044</t>
  </si>
  <si>
    <t>105407-073-200913</t>
  </si>
  <si>
    <t>D0A-853</t>
  </si>
  <si>
    <t>108618-073-310314</t>
  </si>
  <si>
    <t>AV. DEL PINAR N° 124, INT. 402, URB. CHACARILLA DEL ESTANQUE</t>
  </si>
  <si>
    <t>F7F-817</t>
  </si>
  <si>
    <t>0152-CBGL-15-2001</t>
  </si>
  <si>
    <t>XQ-3916</t>
  </si>
  <si>
    <t>119619-073-250419</t>
  </si>
  <si>
    <t xml:space="preserve">TRANSPORTES BEMOR E.I.R.L. </t>
  </si>
  <si>
    <t>AKV-747</t>
  </si>
  <si>
    <t>0070-CTPGL-15-2006</t>
  </si>
  <si>
    <t>GLADYS NACIEL NIETO CAJAS</t>
  </si>
  <si>
    <t>AV. LOS VIRREYES. MZ. B. LOTE 6-A</t>
  </si>
  <si>
    <t>PP-1131</t>
  </si>
  <si>
    <t>146993-073-051019</t>
  </si>
  <si>
    <t>WILBETH ALEXANDER JOEL URBINA PRIETO</t>
  </si>
  <si>
    <t>AA.HH. JAVIER HERAUD, MZ C, LT.13</t>
  </si>
  <si>
    <t>V0I-929</t>
  </si>
  <si>
    <t>146994-073-051019</t>
  </si>
  <si>
    <t xml:space="preserve">WILBETH ALEXANDER JOEL URBINA PRIETO </t>
  </si>
  <si>
    <t>V0C-881</t>
  </si>
  <si>
    <t>130910-073-041217</t>
  </si>
  <si>
    <t>ASU-736</t>
  </si>
  <si>
    <t>0007-CBGL-12-2007</t>
  </si>
  <si>
    <t>AV. JACINTO IBARRA 248</t>
  </si>
  <si>
    <t>XG-4609</t>
  </si>
  <si>
    <t> 3620</t>
  </si>
  <si>
    <t>6525-073-011016</t>
  </si>
  <si>
    <t>BRENDA IVETTE CABANILLAS PAUCAR</t>
  </si>
  <si>
    <t>JR LOS TULIPANES MZ K LOTE 10 - MERCURIO ALTO</t>
  </si>
  <si>
    <t>W3R-861</t>
  </si>
  <si>
    <t>0074-CBGL-15-2001</t>
  </si>
  <si>
    <t>PANAMERICANA SUR KM. 59 FUNDO LA PATITA</t>
  </si>
  <si>
    <t>WO-3758</t>
  </si>
  <si>
    <t>140573-073-080119</t>
  </si>
  <si>
    <t>SERVICIOS MULTIPLES VIRGENCITA DE LAS MERCEDES E.I.R.L.</t>
  </si>
  <si>
    <t xml:space="preserve">MZA. 35 LOTE. 11 A.H. LAS FLORES </t>
  </si>
  <si>
    <t>AYP-863</t>
  </si>
  <si>
    <t>ROSALINDA DE LAS NIEVES GELDRES NEYRA</t>
  </si>
  <si>
    <t>88225-073-210518</t>
  </si>
  <si>
    <t xml:space="preserve">TRANSPORTES EFRAIN ANDRADE S.A.C. </t>
  </si>
  <si>
    <t>PROLONGACIÓN LA MAR N° 121 URB. EL RETABLO 1° ETAPA</t>
  </si>
  <si>
    <t>D3Y-977</t>
  </si>
  <si>
    <t> C9L-861</t>
  </si>
  <si>
    <t>83458-073-080120</t>
  </si>
  <si>
    <t>JUAN JESUS HUAYTALLA QUISPE</t>
  </si>
  <si>
    <t>CALLE SANTA MARIA MZ. B LT. 7</t>
  </si>
  <si>
    <t>D3H-890</t>
  </si>
  <si>
    <t> 2020</t>
  </si>
  <si>
    <t>0015-CBGL-13-2009</t>
  </si>
  <si>
    <t>MZ. I LOTE 10 URB. PORTAL EL CHACARERO</t>
  </si>
  <si>
    <t>WP-7956</t>
  </si>
  <si>
    <t> 8928</t>
  </si>
  <si>
    <t>89782-073-2010</t>
  </si>
  <si>
    <t>CALLE MOLLENDO Nº 106 SAN MARTIN DE SOCABAYA</t>
  </si>
  <si>
    <t>V1X-936</t>
  </si>
  <si>
    <t> 3650</t>
  </si>
  <si>
    <t>145952-073-150819</t>
  </si>
  <si>
    <t>APUGAS SOCIEDAD ANONIMA CERRADA</t>
  </si>
  <si>
    <t>AV. PRADO 108</t>
  </si>
  <si>
    <t>A4P-983</t>
  </si>
  <si>
    <t> APO-818</t>
  </si>
  <si>
    <t> AHO-816</t>
  </si>
  <si>
    <t> B7L-918</t>
  </si>
  <si>
    <t xml:space="preserve">ALDO OCTAVIO CANCHASTO MEDRANO </t>
  </si>
  <si>
    <t>0011-CBGL-07-2008</t>
  </si>
  <si>
    <t>MARIA CURIE MZ. 0 LT. 3</t>
  </si>
  <si>
    <t>WGF-863</t>
  </si>
  <si>
    <t>97958-073-020615</t>
  </si>
  <si>
    <t>ETIEL BEATRIZ GLAVE DE DELGADO</t>
  </si>
  <si>
    <t>VARIANTE DE UCHUMAYO KM 5.5</t>
  </si>
  <si>
    <t>V1T-997</t>
  </si>
  <si>
    <t> A5I-869</t>
  </si>
  <si>
    <t> V4V-897</t>
  </si>
  <si>
    <t> V4Q-757</t>
  </si>
  <si>
    <t> V7C-898</t>
  </si>
  <si>
    <t> V7E-719</t>
  </si>
  <si>
    <t> V3P-710</t>
  </si>
  <si>
    <t> V2L-892</t>
  </si>
  <si>
    <t> V3Y-735</t>
  </si>
  <si>
    <t> V5U-749</t>
  </si>
  <si>
    <t> V6G-742</t>
  </si>
  <si>
    <t> V2H-703</t>
  </si>
  <si>
    <t> V4T-701</t>
  </si>
  <si>
    <t> A9A-919</t>
  </si>
  <si>
    <t> A9E-912</t>
  </si>
  <si>
    <t>0023-CBGL-15-2004</t>
  </si>
  <si>
    <t>PERU GAS INTERNATIONAL S.A.C.</t>
  </si>
  <si>
    <t>XO-3552</t>
  </si>
  <si>
    <t>0044-CBGL-15-2006</t>
  </si>
  <si>
    <t xml:space="preserve">LOS QUIPUS 257 COOP ANDAHUAYLAS </t>
  </si>
  <si>
    <t>XG-8332</t>
  </si>
  <si>
    <t>0004-CTPGL-11-2009</t>
  </si>
  <si>
    <t>SERVI GAS GIAN SU S.R.L.</t>
  </si>
  <si>
    <t>JIRON LIMA Nº 432</t>
  </si>
  <si>
    <t>CHINCHA</t>
  </si>
  <si>
    <t>PUEBLO NUEVO</t>
  </si>
  <si>
    <t>PB-1286</t>
  </si>
  <si>
    <t>105544-073-071113</t>
  </si>
  <si>
    <t>INVERSIONES ANITA VASQUEZ E.I.R.L.</t>
  </si>
  <si>
    <t>AV. JACINTO IBARRA N° 1544</t>
  </si>
  <si>
    <t>D8H-721</t>
  </si>
  <si>
    <t>ROBERTINA ANITA MEZA VASQUEZ</t>
  </si>
  <si>
    <t>0078-CTPGL-15-2006</t>
  </si>
  <si>
    <t>TRANSPORTES DAVYS E.I.R.L.</t>
  </si>
  <si>
    <t xml:space="preserve">LOS QUIPUS 257 COOP. ANDAHUAYLAS </t>
  </si>
  <si>
    <t>PIQ-803</t>
  </si>
  <si>
    <t>0014-CBGL-15-2002</t>
  </si>
  <si>
    <t>ROGER ATACHAGUA CHAVEZ</t>
  </si>
  <si>
    <t>XQ-8130</t>
  </si>
  <si>
    <t> 640</t>
  </si>
  <si>
    <t>0028-CBGL-15-2008</t>
  </si>
  <si>
    <t>CALLE HUGO ESPINOZA N° 156, URB. CUETO FERRANDINI</t>
  </si>
  <si>
    <t>WGA-921</t>
  </si>
  <si>
    <t>139607-073-141118</t>
  </si>
  <si>
    <t>ETRASEM MI FABIOLA S.A.C.</t>
  </si>
  <si>
    <t>JR RAMON CASTILLA N° 647</t>
  </si>
  <si>
    <t>B1Z-887</t>
  </si>
  <si>
    <t> 6720</t>
  </si>
  <si>
    <t xml:space="preserve">PAUL EDSON MEDINA LA TORRE </t>
  </si>
  <si>
    <t>99821-073-220313</t>
  </si>
  <si>
    <t>MARLI E.I.R.L.</t>
  </si>
  <si>
    <t xml:space="preserve">URB 15 DE ENERO CALLE JOSE CARLOS MARIATEGUI N° 133 MZ K LOTE 17 ZONA A </t>
  </si>
  <si>
    <t>WH-6990</t>
  </si>
  <si>
    <t>LIDA FRANCISCA NAIZA VDA DE CHAVEZ</t>
  </si>
  <si>
    <t>121084-073-220120</t>
  </si>
  <si>
    <t>TRANSPORTES Y SERVICIOS EN HIDROCARBUROS S.A.C.</t>
  </si>
  <si>
    <t>MZA. G2 LOTE. 36 URB. COOVITIOMAR</t>
  </si>
  <si>
    <t>SANTA ROSA</t>
  </si>
  <si>
    <t>AKI-816</t>
  </si>
  <si>
    <t> 3250</t>
  </si>
  <si>
    <t>PEDRO HUMBERTO FLORES OBANDO</t>
  </si>
  <si>
    <t>0011-CBGL-15-2003</t>
  </si>
  <si>
    <t>JUANA LEONOR MEZA LLAMOCCA</t>
  </si>
  <si>
    <t>AV. SIMON BOLIVAR MZ. B LOTE 12 GUADULFO SILVA</t>
  </si>
  <si>
    <t>XH-1483</t>
  </si>
  <si>
    <t>0013-CBGL-15-2009</t>
  </si>
  <si>
    <t xml:space="preserve">CARBAJAL CARRASCO KAREN ELIZABETH </t>
  </si>
  <si>
    <t>MZ. A, LOTE 08, COOPERATIVA MARISCAL GAMARRA</t>
  </si>
  <si>
    <t>XG-6499</t>
  </si>
  <si>
    <t>0001-CTPGL-23-2004</t>
  </si>
  <si>
    <t>NOE PABLO FRANCO SANTILLANA</t>
  </si>
  <si>
    <t>ASOC. LA FLORIDA MZ. C LOTE 28</t>
  </si>
  <si>
    <t>PK-5554</t>
  </si>
  <si>
    <t>0012-CBGL-15-2009</t>
  </si>
  <si>
    <t>WGM-433</t>
  </si>
  <si>
    <t>114888-073-240120</t>
  </si>
  <si>
    <t xml:space="preserve">TRANSPORTES Y SERVICIOS EN HIDROCARBUROS S.A.C. </t>
  </si>
  <si>
    <t>W4H-925</t>
  </si>
  <si>
    <t>136450-073-300518</t>
  </si>
  <si>
    <t>EMPRESA DE TRANSPORTES SHAYA S.C.R.L.</t>
  </si>
  <si>
    <t>AV. VENEZUELA NRO. 3287 P.J. CPM NVO. SAN LORENZO II E</t>
  </si>
  <si>
    <t>M3F-973</t>
  </si>
  <si>
    <t> T9G-894</t>
  </si>
  <si>
    <t> 12800</t>
  </si>
  <si>
    <t>MARIO LOZADA BURGA</t>
  </si>
  <si>
    <t>144213-073-191119</t>
  </si>
  <si>
    <t>SUIZA GAS S.A.C.</t>
  </si>
  <si>
    <t>CALLE TOSELLI NRO. 161, URB. LAS BEGONIAS</t>
  </si>
  <si>
    <t>BAF-940</t>
  </si>
  <si>
    <t>FRANCISCO ANTONIO CABALLERO BAMBERGER</t>
  </si>
  <si>
    <t>88941-073-2010</t>
  </si>
  <si>
    <t>ENVASADORA MISTI GAS S.A.C</t>
  </si>
  <si>
    <t>URBANIZACION PIEDRA SANTA MZ.P LOTES 6 Y 7</t>
  </si>
  <si>
    <t>V1A-900</t>
  </si>
  <si>
    <t> 1240</t>
  </si>
  <si>
    <t>TERESA DEL ROSARIO OSORIO BONILLA</t>
  </si>
  <si>
    <t>135306-073-191119</t>
  </si>
  <si>
    <t>AVQ-849</t>
  </si>
  <si>
    <t>132902-073-191119</t>
  </si>
  <si>
    <t>AUK-788</t>
  </si>
  <si>
    <t>139668-073-101218</t>
  </si>
  <si>
    <t xml:space="preserve">MANUEL ENRIQUE CISNEROS VALDIVIEZO </t>
  </si>
  <si>
    <t>AV. ANTONIO RAIMONDI N° 100 URB. EL PORVENIR</t>
  </si>
  <si>
    <t>AXS-782</t>
  </si>
  <si>
    <t>111592-073-200914</t>
  </si>
  <si>
    <t>Z2Q-975</t>
  </si>
  <si>
    <t>63249-073-240120</t>
  </si>
  <si>
    <t>B0M-807</t>
  </si>
  <si>
    <t>134790-073-010318</t>
  </si>
  <si>
    <t>AUU-807</t>
  </si>
  <si>
    <t>0001-CBGL-01-2005</t>
  </si>
  <si>
    <t>AV. LIBERTAD N° 589</t>
  </si>
  <si>
    <t>WC-9750</t>
  </si>
  <si>
    <t> 6475</t>
  </si>
  <si>
    <t>63711-073-250614</t>
  </si>
  <si>
    <t>JOSEFITA INVERSIONES S.A.C.</t>
  </si>
  <si>
    <t>C5T-944</t>
  </si>
  <si>
    <t>JIMMY ALEXANDER CACERES ALIAGA</t>
  </si>
  <si>
    <t>ORLANDO AYALA LEON</t>
  </si>
  <si>
    <t>AV. DARIO LEON N° 044</t>
  </si>
  <si>
    <t>LA OROYA</t>
  </si>
  <si>
    <t>XI-5251</t>
  </si>
  <si>
    <t>0003-CTPGL-15-2004</t>
  </si>
  <si>
    <t>CLARA EUSEBIA VALENCIA QUISPE</t>
  </si>
  <si>
    <t>AV. CESAR VALLEJO N° 506 URB. CESAR VALLEJO</t>
  </si>
  <si>
    <t>PGU-950</t>
  </si>
  <si>
    <t>JUAN RODRIGUEZ LUNA</t>
  </si>
  <si>
    <t>MZ. LOTE 5 ASOC. VIV. CASA HUERTA</t>
  </si>
  <si>
    <t>WI-3594</t>
  </si>
  <si>
    <t>94499-073-161211</t>
  </si>
  <si>
    <t>FRANCISCA MAMANI CHAMBI</t>
  </si>
  <si>
    <t xml:space="preserve">CALLE PAZ SOLDAN 612 </t>
  </si>
  <si>
    <t>Z1F-924</t>
  </si>
  <si>
    <t>CLAUDIO SANCHEZ VALLADARES</t>
  </si>
  <si>
    <t>JR. AYACUCHO N° 922</t>
  </si>
  <si>
    <t>PQ-6337</t>
  </si>
  <si>
    <t>127547-073-310317</t>
  </si>
  <si>
    <t>EMILIO CCAMA ARUHUANCA</t>
  </si>
  <si>
    <t>AV. TUMBES N° 205, RIO SECO</t>
  </si>
  <si>
    <t>V8Y-894</t>
  </si>
  <si>
    <t> 3350</t>
  </si>
  <si>
    <t>0008-CBGL-04-2009</t>
  </si>
  <si>
    <t>CALLE WASHINGTON Nº 204-A</t>
  </si>
  <si>
    <t>XH-5635</t>
  </si>
  <si>
    <t>JORGE CHALCO CHUCO</t>
  </si>
  <si>
    <t>JR. SAN ANTONIO N° 390 COLLIQUE</t>
  </si>
  <si>
    <t>PI-1719</t>
  </si>
  <si>
    <t>110950-073-081215</t>
  </si>
  <si>
    <t>TRANSPORTES DAHUCON S.A.C</t>
  </si>
  <si>
    <t>CALLE SAN RAMON N° 293 - C.P. SANTA ANA</t>
  </si>
  <si>
    <t>HUARMACA</t>
  </si>
  <si>
    <t>M1C-808</t>
  </si>
  <si>
    <t>HUAMAN CALLE DIOMEDES</t>
  </si>
  <si>
    <t>GUILLERMO VALDIVIA ROJAS</t>
  </si>
  <si>
    <t>AV. ANDRES AVELINO CACERES/NICOLAS DE PIEROLA MZ-23 LOTE-1</t>
  </si>
  <si>
    <t>PI-1748</t>
  </si>
  <si>
    <t>43847-073-140714</t>
  </si>
  <si>
    <t>AV. LOS ALISOS N° 553, URB. MICAELA BASTIDAS</t>
  </si>
  <si>
    <t>F5F-784</t>
  </si>
  <si>
    <t>0014-CBGL-15-2004</t>
  </si>
  <si>
    <t>LIDER GAS E.I.R.L.</t>
  </si>
  <si>
    <t>JR. LUIS CARRANZA N° 2045</t>
  </si>
  <si>
    <t>XQ-8038</t>
  </si>
  <si>
    <t>0017-CBGL-15-2004</t>
  </si>
  <si>
    <t>XI-3800</t>
  </si>
  <si>
    <t>0018-CBGL-15-2004</t>
  </si>
  <si>
    <t>MARISOL DORIS GUIZADO PUNIL</t>
  </si>
  <si>
    <t>WG-9874</t>
  </si>
  <si>
    <t> 970</t>
  </si>
  <si>
    <t>118891-073-071215</t>
  </si>
  <si>
    <t>LIZANDRO ANTONIO ARANDA SALAZAR</t>
  </si>
  <si>
    <t>URB. COSSIO DEL POMAR MZ. G3 LOTE 7</t>
  </si>
  <si>
    <t>M1Z-872</t>
  </si>
  <si>
    <t>0038-CTPGL-15-2002</t>
  </si>
  <si>
    <t>ROSA CAMERO CHAUCCA</t>
  </si>
  <si>
    <t>MZ. I-1 LOTE 15 BARRIO 2 SECTOR 1</t>
  </si>
  <si>
    <t>PIH-370</t>
  </si>
  <si>
    <t>99071-073-031112</t>
  </si>
  <si>
    <t>JORGE LUIS CHINCHAY SILVA</t>
  </si>
  <si>
    <t>AV. AMANCAES N° 154</t>
  </si>
  <si>
    <t>RIMAC</t>
  </si>
  <si>
    <t>T3K-860</t>
  </si>
  <si>
    <t>120287-073-081116</t>
  </si>
  <si>
    <t>EDWIN YONY MAMANI PILCO</t>
  </si>
  <si>
    <t>CALLE ESPAÑA MZ. 09 LOTE 16B</t>
  </si>
  <si>
    <t>Z5T-806</t>
  </si>
  <si>
    <t>0002-CBGL-07-2003</t>
  </si>
  <si>
    <t>CALLE BETA 279-A</t>
  </si>
  <si>
    <t>WK-4004</t>
  </si>
  <si>
    <t>0012-CTPGL-07-2003</t>
  </si>
  <si>
    <t>PK-5986</t>
  </si>
  <si>
    <t>93575-073-230811</t>
  </si>
  <si>
    <t>IVAN EDUARDO CORAL BASILIO</t>
  </si>
  <si>
    <t>CAL. 26 DE JULIO NRO. 395 URB. JORGE CHAVEZ</t>
  </si>
  <si>
    <t>C5D-855</t>
  </si>
  <si>
    <t>149895-073-090720</t>
  </si>
  <si>
    <t>JORGE LUIS VILCAZAN PACO</t>
  </si>
  <si>
    <t xml:space="preserve">P.J. EL TRIUNFO ZONA A, MZ. E LOTE 9 </t>
  </si>
  <si>
    <t>V8L-706</t>
  </si>
  <si>
    <t xml:space="preserve">JORGE LUIS VILCAZAN PACO </t>
  </si>
  <si>
    <t>61302-073-2010</t>
  </si>
  <si>
    <t>MARIO FLORENTINO FUENTES MATTUS</t>
  </si>
  <si>
    <t>PASAJE QUIROZ Nº 106-LA PAMPILLA</t>
  </si>
  <si>
    <t>XH-4151</t>
  </si>
  <si>
    <t>101253-073-230415</t>
  </si>
  <si>
    <t>MZ. O SUB LOTE C II ZONA INDUSTRIAL</t>
  </si>
  <si>
    <t>D2J-855</t>
  </si>
  <si>
    <t> 1890</t>
  </si>
  <si>
    <t>148185-073-061219</t>
  </si>
  <si>
    <t xml:space="preserve">FRANCESCO LUIGI CHECA PARISACA </t>
  </si>
  <si>
    <t xml:space="preserve">URB. LAS VIÑAS MZ. A LOTE 9 </t>
  </si>
  <si>
    <t>V0S-859</t>
  </si>
  <si>
    <t> 270</t>
  </si>
  <si>
    <t>0003-CBGL-12-2005</t>
  </si>
  <si>
    <t>XO-6962</t>
  </si>
  <si>
    <t> 8480</t>
  </si>
  <si>
    <t>0001-CBGL-14-2006</t>
  </si>
  <si>
    <t>JOSE DEL CARMEN BRAVO ACUNA</t>
  </si>
  <si>
    <t>CALLE SANTA JUANITA 169 - QUINTO SECTOR URRUNAGA</t>
  </si>
  <si>
    <t>WD-7191</t>
  </si>
  <si>
    <t>104480-073-020913</t>
  </si>
  <si>
    <t>CALLE MALECON MZA. A LOTE 17 URB. PROLIMA</t>
  </si>
  <si>
    <t>C2N-814</t>
  </si>
  <si>
    <t>149894-073-090720</t>
  </si>
  <si>
    <t>B7Z-770</t>
  </si>
  <si>
    <t>0002-CBGL-12-2005</t>
  </si>
  <si>
    <t>XO-6963</t>
  </si>
  <si>
    <t>112434-073-140416</t>
  </si>
  <si>
    <t xml:space="preserve">JR. MINERIA Nº 320 URB. LOS FICUS </t>
  </si>
  <si>
    <t> ABR-797</t>
  </si>
  <si>
    <t>45173-073-100719</t>
  </si>
  <si>
    <t>DON GAS PERÚ E.I.R.L.</t>
  </si>
  <si>
    <t xml:space="preserve">CALLE AMARILIS N° 253 </t>
  </si>
  <si>
    <t>AEJ-874</t>
  </si>
  <si>
    <t> 1620</t>
  </si>
  <si>
    <t>GUZMAN RODRIGUEZ GLADYS</t>
  </si>
  <si>
    <t>128385-073-230519</t>
  </si>
  <si>
    <t>JESUS SALVADOR PORTOCARRERO PORTOCARRERO</t>
  </si>
  <si>
    <t>JR. ANGAIZA N°415</t>
  </si>
  <si>
    <t>RIOJA</t>
  </si>
  <si>
    <t>M5Y-732</t>
  </si>
  <si>
    <t> 2750</t>
  </si>
  <si>
    <t>109844-073-120614</t>
  </si>
  <si>
    <t>DISTRIBUCIONES DIA-YO S.A.C.</t>
  </si>
  <si>
    <t>COOP. VILLA EL SOL MZ. H, LT. 14</t>
  </si>
  <si>
    <t>W1P-865</t>
  </si>
  <si>
    <t>MATILDE HANCCO HILARI</t>
  </si>
  <si>
    <t>86577-073-061115</t>
  </si>
  <si>
    <t>FELIX ALEJANDRO EDGAR DELGADO ANAYA</t>
  </si>
  <si>
    <t>URBANIZACIÓN VILLA JARDÍN A-3, PISO 3</t>
  </si>
  <si>
    <t>V8E-994</t>
  </si>
  <si>
    <t> B3I-826</t>
  </si>
  <si>
    <t> A8Y-924</t>
  </si>
  <si>
    <t>0004-CTPGL-15-2001</t>
  </si>
  <si>
    <t>DEYVIS ANTONIO GONZALES CARBONEL</t>
  </si>
  <si>
    <t>JR. SULLANA N° 1850</t>
  </si>
  <si>
    <t>PGP-477</t>
  </si>
  <si>
    <t>128155-073-250417</t>
  </si>
  <si>
    <t>AA.HH. LAS FLORES MZ. 35 LT 11</t>
  </si>
  <si>
    <t>APS-914</t>
  </si>
  <si>
    <t xml:space="preserve">ROSALINDA DE LAS NIEVES GELDRES NEYRA </t>
  </si>
  <si>
    <t>0021-CBGL-04-2008</t>
  </si>
  <si>
    <t>LUIS ENRIQUE ANDIA GUERRA</t>
  </si>
  <si>
    <t>URB. COLONIAL, II ETAPA, MZ. J, LOTE 04</t>
  </si>
  <si>
    <t>XH-3117</t>
  </si>
  <si>
    <t>87515-073-2010</t>
  </si>
  <si>
    <t>TEXTILES SERCRIAL E.I.R.L.</t>
  </si>
  <si>
    <t>TIENDAS 19 N° 20 LA PARADA</t>
  </si>
  <si>
    <t>P1D-932</t>
  </si>
  <si>
    <t>SERGIO CRISANTO ALVARADO</t>
  </si>
  <si>
    <t>82495-073-140714</t>
  </si>
  <si>
    <t>AV. LOS ALISOS 553, URB. MICAELA BASTIDAS</t>
  </si>
  <si>
    <t>B4X-873</t>
  </si>
  <si>
    <t> 765</t>
  </si>
  <si>
    <t>61074-073-2010</t>
  </si>
  <si>
    <t>AV. LOS ALISOS N° 553 URB. MICAELA BASTIDAS</t>
  </si>
  <si>
    <t>TIN-802</t>
  </si>
  <si>
    <t>0006-CTPGL-12-2005</t>
  </si>
  <si>
    <t>AV. OSCAR R. BENAVIDES Nº 4525 - 402</t>
  </si>
  <si>
    <t>PGW-183</t>
  </si>
  <si>
    <t> 1130</t>
  </si>
  <si>
    <t>103831-073-250614</t>
  </si>
  <si>
    <t>C4R-856</t>
  </si>
  <si>
    <t>93307-073-221011</t>
  </si>
  <si>
    <t xml:space="preserve">GERARDO ANTICONA URRUTIA </t>
  </si>
  <si>
    <t>MZ. G. LT. 2 SECTOR 1 GRUPO 11</t>
  </si>
  <si>
    <t>B9K-853</t>
  </si>
  <si>
    <t>142849-073-260419</t>
  </si>
  <si>
    <t xml:space="preserve">EMILIO CCAMA ARUHUANCA </t>
  </si>
  <si>
    <t>AV TUMBES 205 RIO SECO</t>
  </si>
  <si>
    <t>V0I-863</t>
  </si>
  <si>
    <t>37704-073-2010</t>
  </si>
  <si>
    <t>CALLE AMERICA 507-A</t>
  </si>
  <si>
    <t>OH-5792</t>
  </si>
  <si>
    <t>0010-CBGL-08-2008</t>
  </si>
  <si>
    <t>MARCIAL AMELIO CHOQUEHUANCA SUPO</t>
  </si>
  <si>
    <t>AV. PARAGUAY MZ. I LOTE 5</t>
  </si>
  <si>
    <t>WH-9202</t>
  </si>
  <si>
    <t>0027-CBGL-15-2006</t>
  </si>
  <si>
    <t>YONY ROJAS LEON</t>
  </si>
  <si>
    <t>JR. JOSE CORONADO Nº 623</t>
  </si>
  <si>
    <t>XO-2305</t>
  </si>
  <si>
    <t>86894-073-040913</t>
  </si>
  <si>
    <t>A2L-921</t>
  </si>
  <si>
    <t>96269-073-010617</t>
  </si>
  <si>
    <t>SILVESTRINO LEON CONTRERAS</t>
  </si>
  <si>
    <t>URB. LOS INCAS E-10</t>
  </si>
  <si>
    <t>X2P-872</t>
  </si>
  <si>
    <t>139139-073-181018</t>
  </si>
  <si>
    <t>P3Y-915</t>
  </si>
  <si>
    <t>PATRICIA EVANGELINA MIRANDA TORRES</t>
  </si>
  <si>
    <t>JR. SAENZ PEÑA N° 1161</t>
  </si>
  <si>
    <t>PO-5113</t>
  </si>
  <si>
    <t>0003-CBGL-15-2006</t>
  </si>
  <si>
    <t>MAURO J. CUELLAR MORALES</t>
  </si>
  <si>
    <t>AV GERARDO UNGER 4875</t>
  </si>
  <si>
    <t>XI-2331</t>
  </si>
  <si>
    <t> 7950</t>
  </si>
  <si>
    <t>DISTRIBUCIONES Y SERVICIOS HUANUCO S.R.L.</t>
  </si>
  <si>
    <t>JR. AGUILAR N° 907</t>
  </si>
  <si>
    <t>OI-5910</t>
  </si>
  <si>
    <t>137931-073-080818</t>
  </si>
  <si>
    <t xml:space="preserve">JOSE JUAN PEÑALOZA CARBAJAL </t>
  </si>
  <si>
    <t xml:space="preserve">AV. MARGINAL N° 151, URB. JAVIER PRADO VI ETAPA </t>
  </si>
  <si>
    <t>B5U-791</t>
  </si>
  <si>
    <t>0000050-LIB</t>
  </si>
  <si>
    <t>ALICIA ESTHER CALDERON IZQUIERDO</t>
  </si>
  <si>
    <t>AV. LAS MAGNOLIAS MZ. P LOTE 12</t>
  </si>
  <si>
    <t>PD-8086</t>
  </si>
  <si>
    <t>0033-CBGL-15-2003</t>
  </si>
  <si>
    <t>AV. CESAR VALLEJO N° 506</t>
  </si>
  <si>
    <t>XG-7265</t>
  </si>
  <si>
    <t>123998-073-061016</t>
  </si>
  <si>
    <t xml:space="preserve">SELGAS S.A.C. </t>
  </si>
  <si>
    <t>AV. DIAGONAL SUR N° 1710 - A.H. LA FLORIDA</t>
  </si>
  <si>
    <t>ANE-781</t>
  </si>
  <si>
    <t> 2370</t>
  </si>
  <si>
    <t>TELLO ARRIETA MIRKO JORGE</t>
  </si>
  <si>
    <t>0004-CBGL-14-2009</t>
  </si>
  <si>
    <t>CALLE PARDO Y MIGUEL 379</t>
  </si>
  <si>
    <t>WD-9666</t>
  </si>
  <si>
    <t>0115-CTPGL-15-2001</t>
  </si>
  <si>
    <t>GAS SUPERIOR S.A.C.</t>
  </si>
  <si>
    <t>CALLE LAS EXPORTACIONES Nº 231 URB. INDUSTRIAL PRO</t>
  </si>
  <si>
    <t>PG-2846</t>
  </si>
  <si>
    <t>JOSE GONZALO MEDINA CABANILLAS</t>
  </si>
  <si>
    <t>AV. LOS FAISANES LOTE 9 MZ. B</t>
  </si>
  <si>
    <t>WO-9350</t>
  </si>
  <si>
    <t>0114-CTPGL-15-2001</t>
  </si>
  <si>
    <t>PI-1589</t>
  </si>
  <si>
    <t>MZ. C LOTE 9 URB. ASCARRUZ</t>
  </si>
  <si>
    <t>WI-4890</t>
  </si>
  <si>
    <t>0113-CTPGL-15-2001</t>
  </si>
  <si>
    <t>OO-4606</t>
  </si>
  <si>
    <t>0005-CBGL-04-2009</t>
  </si>
  <si>
    <t>WILY CHATA QUISPE</t>
  </si>
  <si>
    <t>AV. NICOLAS DE PIEROLA Nº 107 SEMI RURAL PACHACUTEC</t>
  </si>
  <si>
    <t>WK-5067</t>
  </si>
  <si>
    <t>0004-CBGL-04-2009</t>
  </si>
  <si>
    <t>BALVINA CHOQUEHUANCA SUPO DE CONDORI</t>
  </si>
  <si>
    <t>AV. NICOLAS DE PIEROLA N 107 SEMI RURAL PACHACUTEC</t>
  </si>
  <si>
    <t>XU-3327</t>
  </si>
  <si>
    <t>AV. EL SOL N° 278 PP.JJ. HOGAR POLICIAL</t>
  </si>
  <si>
    <t>PQ-8967</t>
  </si>
  <si>
    <t>0005-CBGL-25-2009</t>
  </si>
  <si>
    <t>GLORIOSA RAMIREZ TAMINCHI DE RICO</t>
  </si>
  <si>
    <t>JR CAHUIDI Nº 830</t>
  </si>
  <si>
    <t>WGN-219</t>
  </si>
  <si>
    <t> 11340</t>
  </si>
  <si>
    <t>0007-CBGL-07-2002</t>
  </si>
  <si>
    <t>CAYNA TRUCKS S.R.L.</t>
  </si>
  <si>
    <t>URB. SANTA LUISA CALLE 9 MZ. D LOTE 13</t>
  </si>
  <si>
    <t>LA PERLA</t>
  </si>
  <si>
    <t>WQ-9858</t>
  </si>
  <si>
    <t> 710</t>
  </si>
  <si>
    <t>92882-073-010911</t>
  </si>
  <si>
    <t>AV. GRAU Nº 397-A</t>
  </si>
  <si>
    <t>B8I-856</t>
  </si>
  <si>
    <t>138715-073-190918</t>
  </si>
  <si>
    <t>PROL. MCAL NIETO DOMINGO NRO. 142A URB. LOS SAUCES</t>
  </si>
  <si>
    <t>A8N-902</t>
  </si>
  <si>
    <t> 2540</t>
  </si>
  <si>
    <t>121326-073-190516</t>
  </si>
  <si>
    <t>VARGAS CASTILLO MANUEL JESUS.</t>
  </si>
  <si>
    <t>JR. RIO RIMAC MZ. F LT 29 AA.HH. CESAR VALLEJO.</t>
  </si>
  <si>
    <t>CHIMBOTE</t>
  </si>
  <si>
    <t>ABW-845</t>
  </si>
  <si>
    <t> ABW-845</t>
  </si>
  <si>
    <t>92813-073-010911</t>
  </si>
  <si>
    <t>AV. GRAU 397-A</t>
  </si>
  <si>
    <t>B9E-897</t>
  </si>
  <si>
    <t>0005-CBGL-07-2006</t>
  </si>
  <si>
    <t>RAUL ALFREDO TORRES SANTIBAÑEZ</t>
  </si>
  <si>
    <t>CALLE A ZONA 7 FUNDO BOCANEGRA ALTO CALLAO</t>
  </si>
  <si>
    <t>WP-1264</t>
  </si>
  <si>
    <t> 4190</t>
  </si>
  <si>
    <t>91801-073-310311</t>
  </si>
  <si>
    <t>CORPORACION ANDINA DEL GAS PERU SAC</t>
  </si>
  <si>
    <t>AV. JESUS 405</t>
  </si>
  <si>
    <t>V2Q-840</t>
  </si>
  <si>
    <t>0007-CBGL-04-2008</t>
  </si>
  <si>
    <t>ARMANDO JESUS CARRERA MONTOYA</t>
  </si>
  <si>
    <t>AV. EMANCIPACION S/N MZ 85 LOTE 3 URB. MANUEL PRADO</t>
  </si>
  <si>
    <t>WGE-331</t>
  </si>
  <si>
    <t> 1730</t>
  </si>
  <si>
    <t>122301-073-230616</t>
  </si>
  <si>
    <t>CALLE WASHINGTON N° 204-A</t>
  </si>
  <si>
    <t>VAG-990</t>
  </si>
  <si>
    <t> V8M-762</t>
  </si>
  <si>
    <t> V7Z-757</t>
  </si>
  <si>
    <t> V4E-777</t>
  </si>
  <si>
    <t>CESAR PALACIOS AMADO</t>
  </si>
  <si>
    <t>MZ. H LOTE 15 SECTOR 6 GRUPO 2</t>
  </si>
  <si>
    <t>OI-5823</t>
  </si>
  <si>
    <t>FREDY E. GARAY PALACIOS</t>
  </si>
  <si>
    <t>SECTOR 7 GRUPO 1 MZ. C LOTE 22</t>
  </si>
  <si>
    <t>PGC-250</t>
  </si>
  <si>
    <t>0029-CTPGL-15-2007</t>
  </si>
  <si>
    <t>DOLORES DEL PINO ARIMUYA</t>
  </si>
  <si>
    <t>MZ. C-6. LOTE 17. AA.HH. CRUZ DE MOTUPE</t>
  </si>
  <si>
    <t>OG-7532</t>
  </si>
  <si>
    <t>0010-CBGL-13-2009</t>
  </si>
  <si>
    <t>INVERSIONES Y SERVICIOS GENERALES FENIX S.R.L.</t>
  </si>
  <si>
    <t>MZ L LOTE 10 URB. PORTAL DEL CHACARERO</t>
  </si>
  <si>
    <t>WD-6819</t>
  </si>
  <si>
    <t>86158-073-141020</t>
  </si>
  <si>
    <t>D4K-999</t>
  </si>
  <si>
    <t> F2G-825</t>
  </si>
  <si>
    <t> BBG-835</t>
  </si>
  <si>
    <t>118822-073-041217</t>
  </si>
  <si>
    <t>LLAMA GAS S.A</t>
  </si>
  <si>
    <t>AV EL POLO Nº 397</t>
  </si>
  <si>
    <t>F6F-972</t>
  </si>
  <si>
    <t> AJM-759</t>
  </si>
  <si>
    <t> AJM-773</t>
  </si>
  <si>
    <t> C4Y-749</t>
  </si>
  <si>
    <t>92908-073-250811</t>
  </si>
  <si>
    <t>TRANSPORTE IBAGO S.A.C.</t>
  </si>
  <si>
    <t>C2J-879</t>
  </si>
  <si>
    <t>MARIA DEL CARMEN GOICOCHEA GAMARRA</t>
  </si>
  <si>
    <t>0002-CBGL-04-2009</t>
  </si>
  <si>
    <t>WGB-317</t>
  </si>
  <si>
    <t>92911-073-250811</t>
  </si>
  <si>
    <t>C2K-857</t>
  </si>
  <si>
    <t>MARÍA DEL CARMEN GOICOCHEA GAMARRA</t>
  </si>
  <si>
    <t>146685-073-230919</t>
  </si>
  <si>
    <t>TRANSPORTES E INVERSIONES LIBER GAS S.A.C.</t>
  </si>
  <si>
    <t>AV. METROPOLITANA MZ. H LOTE 18 URB. LAS ORQUIDEAS</t>
  </si>
  <si>
    <t>T8X-822</t>
  </si>
  <si>
    <t>NIEVES PAMPAÑAUPA UCHICUA</t>
  </si>
  <si>
    <t>92913-073-010911</t>
  </si>
  <si>
    <t>C1D-900</t>
  </si>
  <si>
    <t>90272-073-2010</t>
  </si>
  <si>
    <t>MZ. L, LOTE 19, URB. LOS PRODUCTORES</t>
  </si>
  <si>
    <t>A5A-828</t>
  </si>
  <si>
    <t>0005-CTPGL-15-2001</t>
  </si>
  <si>
    <t>PGP-669</t>
  </si>
  <si>
    <t>0056-CTPGL-15-2006</t>
  </si>
  <si>
    <t>PRONTO GAS S.A</t>
  </si>
  <si>
    <t>PANAMERICANA NORTE KM. 160.5</t>
  </si>
  <si>
    <t>VEGUETA</t>
  </si>
  <si>
    <t>PB-5933</t>
  </si>
  <si>
    <t>GRIMALDO RODRIGUEZ FLORES</t>
  </si>
  <si>
    <t>AV. PROLONGACION AMANCAES MZ. F LOTE 38</t>
  </si>
  <si>
    <t>PI-9928</t>
  </si>
  <si>
    <t>62614-073-021111</t>
  </si>
  <si>
    <t>C2Y-914</t>
  </si>
  <si>
    <t>89751-073-2010</t>
  </si>
  <si>
    <t>CALLE B S/N URB. EX FUNDO OQUENDO</t>
  </si>
  <si>
    <t>A0U-800</t>
  </si>
  <si>
    <t> 2115</t>
  </si>
  <si>
    <t>0001-CTPGL-10-2004</t>
  </si>
  <si>
    <t>OSCAR OLINDO CAJAHUANCA ROSALES</t>
  </si>
  <si>
    <t>AV. RAYMONDI N° 1166</t>
  </si>
  <si>
    <t>PP-4610</t>
  </si>
  <si>
    <t>130947-073-030817</t>
  </si>
  <si>
    <t>INVERSIONES Y SERVICIOS BARRUETA E.I.R.L.</t>
  </si>
  <si>
    <t>JR. HUAYNA CAPAC N° 314</t>
  </si>
  <si>
    <t>W5R-859</t>
  </si>
  <si>
    <t>JHON MICHAEL BARRUETA GONZALES</t>
  </si>
  <si>
    <t>0002-CTPGL-12-2008</t>
  </si>
  <si>
    <t>NANCY BACA RIVERA</t>
  </si>
  <si>
    <t>JR. CANTUTA 275 - YAUYOS - JAUJA</t>
  </si>
  <si>
    <t>JAUJA</t>
  </si>
  <si>
    <t>YAUYOS</t>
  </si>
  <si>
    <t>PP-6487</t>
  </si>
  <si>
    <t>124967-073-250317</t>
  </si>
  <si>
    <t>AV. TACNA N° 139 URB. CERCADO DE WANCHAQ</t>
  </si>
  <si>
    <t>X4C-735</t>
  </si>
  <si>
    <t>114208-073-020715</t>
  </si>
  <si>
    <t>MACAVAL SERVICE SAC</t>
  </si>
  <si>
    <t>CALLE VIRGEN MARIA, MZ. B LOTE 7</t>
  </si>
  <si>
    <t>AEB-924</t>
  </si>
  <si>
    <t>21113-073-230714</t>
  </si>
  <si>
    <t>MZ. B-U, LOTE 11-14, URB. INDUSTRIAL OQUENDO</t>
  </si>
  <si>
    <t>F3O-852</t>
  </si>
  <si>
    <t>DIMAS CHOQUE ROMERO</t>
  </si>
  <si>
    <t>CALLE 10 MZ. S LOTE 1 AA.HH. MARISCAL CASTILLA</t>
  </si>
  <si>
    <t>WO-9233</t>
  </si>
  <si>
    <t>0068-CTPGL-15-2003</t>
  </si>
  <si>
    <t>ANGEL GABRIEL TUME PEREZ</t>
  </si>
  <si>
    <t>PIJ-451</t>
  </si>
  <si>
    <t> 820</t>
  </si>
  <si>
    <t>0006-CBGL-07-2008</t>
  </si>
  <si>
    <t>DELTA GAS S.A</t>
  </si>
  <si>
    <t>MRIA CURIE MZ O LT 3</t>
  </si>
  <si>
    <t>WGF-865</t>
  </si>
  <si>
    <t>0007-CBGL-07-2008</t>
  </si>
  <si>
    <t xml:space="preserve">MARIE CURIE MZ. O LT. 3 </t>
  </si>
  <si>
    <t>WGF-868</t>
  </si>
  <si>
    <t>6173-073-200514</t>
  </si>
  <si>
    <t xml:space="preserve">DELTA GAS S.A. </t>
  </si>
  <si>
    <t>AV. NESTOR GAMBETA Nº 4765</t>
  </si>
  <si>
    <t>B3S-848</t>
  </si>
  <si>
    <t>LUIS ALCIDES GÁLVEZ GUTIERREZ</t>
  </si>
  <si>
    <t>0127-CBGL-15-2001</t>
  </si>
  <si>
    <t>ZI-3177</t>
  </si>
  <si>
    <t> YH-3509</t>
  </si>
  <si>
    <t> YI-3438</t>
  </si>
  <si>
    <t> 8600</t>
  </si>
  <si>
    <t>0021-CTPGL-15-2004</t>
  </si>
  <si>
    <t>DANIEL EDUARDO OYOLA BANCAYAN</t>
  </si>
  <si>
    <t>AV. GARCILAZO DE LA VEGA 495</t>
  </si>
  <si>
    <t>PGR-846</t>
  </si>
  <si>
    <t>0051-CTPGL-15-2009</t>
  </si>
  <si>
    <t xml:space="preserve">HUAMANI QUISPE BLANCA NERY </t>
  </si>
  <si>
    <t>AV. GARCILAZO DE LA VEGA Nª 725 URB. SAN ALEJANDRO</t>
  </si>
  <si>
    <t>PIZ-502</t>
  </si>
  <si>
    <t>89944-073-2010</t>
  </si>
  <si>
    <t>BENITO MAMANI QUISCA</t>
  </si>
  <si>
    <t xml:space="preserve">APIS VILLALOBOS AMPUERO MZ F - LOTE 5 </t>
  </si>
  <si>
    <t>XG-5947</t>
  </si>
  <si>
    <t>0052-CTPGL-15-2005</t>
  </si>
  <si>
    <t>EPIFANIA MORALES ROJAS</t>
  </si>
  <si>
    <t>MZ. L LOTE 29 ASOCIACION DE VIVIENDA LOS ALAMOS</t>
  </si>
  <si>
    <t>PG-2973</t>
  </si>
  <si>
    <t>0001-CBGL-19-2007</t>
  </si>
  <si>
    <t>JR. SAN CRISTOBAL 295</t>
  </si>
  <si>
    <t>XO-7313</t>
  </si>
  <si>
    <t>109593-073-200514</t>
  </si>
  <si>
    <t>B3S-850</t>
  </si>
  <si>
    <t>39467-073-2010</t>
  </si>
  <si>
    <t>XH-1378</t>
  </si>
  <si>
    <t> 3330</t>
  </si>
  <si>
    <t>0001-CBGL-13-2000</t>
  </si>
  <si>
    <t>NAPOLEON ZAMBRANO CASTRO</t>
  </si>
  <si>
    <t>LAS TURQUEZAS N° 480 URB. SANTA INES</t>
  </si>
  <si>
    <t>WO-5941</t>
  </si>
  <si>
    <t>JOSE RAUL RIVA PORTOCARRERO</t>
  </si>
  <si>
    <t>AUZANGATE N°549</t>
  </si>
  <si>
    <t>OQ-4093</t>
  </si>
  <si>
    <t> 330</t>
  </si>
  <si>
    <t>147849-073-181119</t>
  </si>
  <si>
    <t>MACHACA CALCINA ANGEL SALVADOR</t>
  </si>
  <si>
    <t>JR. AREQUIPA N° 121</t>
  </si>
  <si>
    <t>Z7E-843</t>
  </si>
  <si>
    <t>MARCELA VILCA DE VELIZ</t>
  </si>
  <si>
    <t>AV. TARAPACA N° 621</t>
  </si>
  <si>
    <t>PGC-505</t>
  </si>
  <si>
    <t>0034-CTPGL-15-2005</t>
  </si>
  <si>
    <t>FAMYR GROUP E.I.R.L.</t>
  </si>
  <si>
    <t>CALLE RECUAY N° 233</t>
  </si>
  <si>
    <t>PGO-466</t>
  </si>
  <si>
    <t>138345-073-030918</t>
  </si>
  <si>
    <t>IRIS FERNANDEZ CELIS</t>
  </si>
  <si>
    <t xml:space="preserve">FUNDO BARBADILLO MZ. C LT 3A </t>
  </si>
  <si>
    <t>C4X-866</t>
  </si>
  <si>
    <t>41509-073-2010</t>
  </si>
  <si>
    <t>JR. JORGE EZETA Nº 425 2DO. PISO N° 202</t>
  </si>
  <si>
    <t>A2H-933</t>
  </si>
  <si>
    <t>MÓNICA MARÍA MERCEDES LOAYZA FERRARI</t>
  </si>
  <si>
    <t>141477-073-110319</t>
  </si>
  <si>
    <t>TRUCKS RIVERA S.A.C.</t>
  </si>
  <si>
    <t>AV. METROPOLITANA N° 266 DPTO. 202 APV. FORTALEZA</t>
  </si>
  <si>
    <t>A9I-978</t>
  </si>
  <si>
    <t> C3H-729</t>
  </si>
  <si>
    <t> AZF-732</t>
  </si>
  <si>
    <t> 15830</t>
  </si>
  <si>
    <t>MOISES RIVERA CAMPOS</t>
  </si>
  <si>
    <t>109979-073-160614</t>
  </si>
  <si>
    <t>TRANSMDICAS S.R.L.</t>
  </si>
  <si>
    <t>URB VILLA HERMOSA C-11</t>
  </si>
  <si>
    <t>V9B-985</t>
  </si>
  <si>
    <t> V3I-851</t>
  </si>
  <si>
    <t>RICHARD ALDRIN PEZO HUAYLLA</t>
  </si>
  <si>
    <t>109978-073-160614</t>
  </si>
  <si>
    <t>V9C-976</t>
  </si>
  <si>
    <t> V3I-859</t>
  </si>
  <si>
    <t>41510-073-2010</t>
  </si>
  <si>
    <t>A2H-932</t>
  </si>
  <si>
    <t>112948-073-241214</t>
  </si>
  <si>
    <t>CARRET. HUANUCO TINGO MARIA KM 3.5 MZ D, LOTE 12, MIRAFLORES</t>
  </si>
  <si>
    <t>W4K-932</t>
  </si>
  <si>
    <t> 2075</t>
  </si>
  <si>
    <t>0002-CTPGL-06-2005</t>
  </si>
  <si>
    <t>MILTON CESAR DIAZ CALLA</t>
  </si>
  <si>
    <t>JR. CUMBE MAYO N° 218</t>
  </si>
  <si>
    <t>PIE-481</t>
  </si>
  <si>
    <t>LUCIO ESTRADA GALLEGOS</t>
  </si>
  <si>
    <t>VARIANTE UCHUMAYO KM. 34</t>
  </si>
  <si>
    <t>OG-5088</t>
  </si>
  <si>
    <t>112949-073-261214</t>
  </si>
  <si>
    <t>CARRET. HUANUCO TINGO MARIA KM 3.5 MZ-D, LOTE 12 MIRAFLORES</t>
  </si>
  <si>
    <t>W3J-743</t>
  </si>
  <si>
    <t>LUZ GALDOS DE CHAVEZ</t>
  </si>
  <si>
    <t>CALLE VILLA HERMOSA N° 310</t>
  </si>
  <si>
    <t>PO-4776</t>
  </si>
  <si>
    <t>118576-073-181115</t>
  </si>
  <si>
    <t xml:space="preserve">CALLE WASHINGTON N° 204 A </t>
  </si>
  <si>
    <t>VAC-998</t>
  </si>
  <si>
    <t> V7Y-937</t>
  </si>
  <si>
    <t>138302-073-310818</t>
  </si>
  <si>
    <t>ORTIZ REATEGUI ROCIO DEL PILAR</t>
  </si>
  <si>
    <t>JG CONDORCANQUI 790 TUPAC AMARU</t>
  </si>
  <si>
    <t>C4U-935</t>
  </si>
  <si>
    <t>35026-073-2010</t>
  </si>
  <si>
    <t>COMPAÑIA DIESEL GAS S.R.L.</t>
  </si>
  <si>
    <t>WP-9293</t>
  </si>
  <si>
    <t>0088-CTPGL-15-2003</t>
  </si>
  <si>
    <t>SECILIO VARGAS MONTERO</t>
  </si>
  <si>
    <t>AV. LOS TUSILAGOS N° 369 URB. LAS VIOLETAS</t>
  </si>
  <si>
    <t>PII-381</t>
  </si>
  <si>
    <t>0026-CTPGL-15-2005</t>
  </si>
  <si>
    <t>MOISES OLIVARES TAIPE</t>
  </si>
  <si>
    <t>MZ. J LOTE 11 FUNDO SAN CARLOS</t>
  </si>
  <si>
    <t>PS-1537</t>
  </si>
  <si>
    <t>147643-073-081119</t>
  </si>
  <si>
    <t>CARRETERA HUANUCO - TINGO MARIA KM 3.5 MZ. D LT. 12 MIRAFLORES</t>
  </si>
  <si>
    <t>BAY-772</t>
  </si>
  <si>
    <t>134160-073-260118</t>
  </si>
  <si>
    <t>AV.AVIACIÓN N° 608</t>
  </si>
  <si>
    <t>F9A-993</t>
  </si>
  <si>
    <t> 15600</t>
  </si>
  <si>
    <t>141295-073-181119</t>
  </si>
  <si>
    <t>OPERADOR LOGISTICO GASES INDUSTRIALES S.A.C.</t>
  </si>
  <si>
    <t>JR. SANTA BEATRIZ N° 178 BARR. MOLLEPAMPA</t>
  </si>
  <si>
    <t>M6E-814</t>
  </si>
  <si>
    <t> 2350</t>
  </si>
  <si>
    <t>MARCO AURELIO LA TORRE SANCHEZ</t>
  </si>
  <si>
    <t>118325-073-191115</t>
  </si>
  <si>
    <t>BRAHIL S.R.L.</t>
  </si>
  <si>
    <t>ASOC. VILLA PARAISO MZ F4 LOTE 6</t>
  </si>
  <si>
    <t>V7E-785</t>
  </si>
  <si>
    <t>BRAULIO SUPHO QUISPE</t>
  </si>
  <si>
    <t>147644-073-081119</t>
  </si>
  <si>
    <t xml:space="preserve">CARRETERA HUANUCO - TINGO MARIA KM 3.5 MZ. D LT. 12 MIRAFLORES </t>
  </si>
  <si>
    <t>BAR-864</t>
  </si>
  <si>
    <t>0036-CTPGL-15-2005</t>
  </si>
  <si>
    <t>JOSE ANTONIO VILLAREAL IZQUIERDO</t>
  </si>
  <si>
    <t>PSJE. JOSE OLAYA MZ. G LOTE 1-B AA.HH. INDEPENDIENTE</t>
  </si>
  <si>
    <t>OG-9357</t>
  </si>
  <si>
    <t>XI-9372</t>
  </si>
  <si>
    <t>89681-073-2010</t>
  </si>
  <si>
    <t>MARCIAL GENARO QUISPE TINTAYA</t>
  </si>
  <si>
    <t>AV. JESUS Nº 405 MARIANO MELGAR</t>
  </si>
  <si>
    <t>XC-1455</t>
  </si>
  <si>
    <t> 2070</t>
  </si>
  <si>
    <t>0093-CTPGL-15-2003</t>
  </si>
  <si>
    <t>AV. COLECTORA MZ. A-19 LOTE 16 ASOC. VIV. SANTA ANITA</t>
  </si>
  <si>
    <t>OQ-2357</t>
  </si>
  <si>
    <t>0036-CTPGL-15-2004</t>
  </si>
  <si>
    <t>ANTENOR ALEJANDRO AMBROSIO SAMANIEGO</t>
  </si>
  <si>
    <t>AV. INDOAMERICA N° 460 - URB. TAHUANTINSUYO</t>
  </si>
  <si>
    <t>PID-879</t>
  </si>
  <si>
    <t>83016-073-270814</t>
  </si>
  <si>
    <t>C7C-750</t>
  </si>
  <si>
    <t>0071-CTPGL-15-2003</t>
  </si>
  <si>
    <t>LUIS HURTADO CERON</t>
  </si>
  <si>
    <t>CALLE MONACO N° 178 URB. LOS PORTALES DE JAVIER PRADO</t>
  </si>
  <si>
    <t>OQ-3422</t>
  </si>
  <si>
    <t>114136-073-260315</t>
  </si>
  <si>
    <t xml:space="preserve">JUANA LEONOR BENDEZU BARRIENTOS </t>
  </si>
  <si>
    <t xml:space="preserve">JR. TACNA N° 542 </t>
  </si>
  <si>
    <t>D9Z-938</t>
  </si>
  <si>
    <t>107342-073-150114</t>
  </si>
  <si>
    <t>RHG ASESORES DE IMAGEN S.A.C.</t>
  </si>
  <si>
    <t>CALLE SANTA URSULA MZ. M LOTE 33 - URB. LA MERCED III ETAPA</t>
  </si>
  <si>
    <t>H1Y-872</t>
  </si>
  <si>
    <t> 4365</t>
  </si>
  <si>
    <t>LUIS RICARDO HUAMAN GUERRA</t>
  </si>
  <si>
    <t>116276-073-140715</t>
  </si>
  <si>
    <t>AFW-905</t>
  </si>
  <si>
    <t>0049-CBGL-15-2006</t>
  </si>
  <si>
    <t>XO-7068</t>
  </si>
  <si>
    <t> 4420</t>
  </si>
  <si>
    <t>148512-073-281219</t>
  </si>
  <si>
    <t>ELISA TORIVIA MAMANI CORI</t>
  </si>
  <si>
    <t>12 DE DICIEMBRE SAN ANTONIO</t>
  </si>
  <si>
    <t>Z7E-775</t>
  </si>
  <si>
    <t>GRAL. MOTANGNE N° 222 URB. AURORA</t>
  </si>
  <si>
    <t>OQ-4411</t>
  </si>
  <si>
    <t>0003-CBGL-04-2001</t>
  </si>
  <si>
    <t>RUBY JEANETTE SALAS GALDOS</t>
  </si>
  <si>
    <t>CALLE HUASCAR N° 823 AA.HH. JUVENTUD MISTIANA</t>
  </si>
  <si>
    <t>PH-4159</t>
  </si>
  <si>
    <t>0116-CBGL-15-2001</t>
  </si>
  <si>
    <t>XQ-8166</t>
  </si>
  <si>
    <t>114697-073-040515</t>
  </si>
  <si>
    <t xml:space="preserve">PROL MCAL NIETO DOMINGO 142A - LOS SAUCES </t>
  </si>
  <si>
    <t>AEF-821</t>
  </si>
  <si>
    <t>41418-073-050711</t>
  </si>
  <si>
    <t xml:space="preserve">PANAMERICANA SUR KM. 59 </t>
  </si>
  <si>
    <t>Z2X-941</t>
  </si>
  <si>
    <t>0079-CTPGL-15-2001</t>
  </si>
  <si>
    <t>OH-5262</t>
  </si>
  <si>
    <t>117299-073-110915</t>
  </si>
  <si>
    <t>COMERCIALIZADORA Y DISTRIBUIDORA TORRES RUIZ S.A.C.</t>
  </si>
  <si>
    <t>JR. RIO PIURA MZ. C1 LOTE 13, PUEBLO JOVEN LOS ALAMOS</t>
  </si>
  <si>
    <t>AHX-849</t>
  </si>
  <si>
    <t>OSMAN TORRES RUIZ</t>
  </si>
  <si>
    <t>0088-CTPGL-15-2001</t>
  </si>
  <si>
    <t>PGW-502</t>
  </si>
  <si>
    <t>0081-CTPGL-15-2001</t>
  </si>
  <si>
    <t>PGQ-891</t>
  </si>
  <si>
    <t>137609-073-310718</t>
  </si>
  <si>
    <t>TRANSPORTE QUINTO S.A.C.</t>
  </si>
  <si>
    <t>PROL. MARISCAL NIETO DOMINGO N° 142A URB. LOS SAUCES</t>
  </si>
  <si>
    <t>C8Q-758</t>
  </si>
  <si>
    <t>114010-073-170820</t>
  </si>
  <si>
    <t>DISTRIBUIDORA DE GAS VILCHEZ E.I.R.L.</t>
  </si>
  <si>
    <t>CALLE SAN JOSE N° 483</t>
  </si>
  <si>
    <t>AAI-810</t>
  </si>
  <si>
    <t> 1520</t>
  </si>
  <si>
    <t>VILCHEZ YLLATOPA CARLOS ALBERTO</t>
  </si>
  <si>
    <t>129170-073-100920</t>
  </si>
  <si>
    <t>SUR ORIENTE GAS E.I.R.L.</t>
  </si>
  <si>
    <t>AV. MADRE DE DIOS N 233</t>
  </si>
  <si>
    <t>TAMBOPATA</t>
  </si>
  <si>
    <t>F0L-994</t>
  </si>
  <si>
    <t> D1J-895</t>
  </si>
  <si>
    <t>HELAR JOSE LUDEÑA TORRE</t>
  </si>
  <si>
    <t>0009-CBGL-04-2009</t>
  </si>
  <si>
    <t>ALEJO TUNCO, SALVADOR</t>
  </si>
  <si>
    <t>WZ-5680</t>
  </si>
  <si>
    <t>146165-073-030919</t>
  </si>
  <si>
    <t>JR. COLOMBIA 211 -PAMPA DE CAMARONES</t>
  </si>
  <si>
    <t>VBI-972</t>
  </si>
  <si>
    <t> AKB-868</t>
  </si>
  <si>
    <t> 15400</t>
  </si>
  <si>
    <t>135549-073-090418</t>
  </si>
  <si>
    <t>URB. PROGRESO TUPAC AMARU A-1-B</t>
  </si>
  <si>
    <t>AFI-972</t>
  </si>
  <si>
    <t> A1B-935</t>
  </si>
  <si>
    <t> 16000</t>
  </si>
  <si>
    <t xml:space="preserve">LILIAM ELAINE LINARES REYNOSO </t>
  </si>
  <si>
    <t>117510-073-071015</t>
  </si>
  <si>
    <t>MULTISERVICIOS AYMIT S.R.L.</t>
  </si>
  <si>
    <t>JR. MOQUEGUA 1434</t>
  </si>
  <si>
    <t>AHO-938</t>
  </si>
  <si>
    <t>ADOLFO SERGIO VILLAR FIERRO</t>
  </si>
  <si>
    <t>105399-073-260913</t>
  </si>
  <si>
    <t>MZ. B-U LOTE 11-14 URB. INDUSTRIAL OQUENDO</t>
  </si>
  <si>
    <t>D0B-758</t>
  </si>
  <si>
    <t>138050-073-160818</t>
  </si>
  <si>
    <t>ALEXANDER ANGELES CHAVEZ</t>
  </si>
  <si>
    <t>JR. ANCASH N° 935 INT. 107 BARRIOS ALTOS</t>
  </si>
  <si>
    <t>A6L-935</t>
  </si>
  <si>
    <t>0061-CTPGL-15-2006</t>
  </si>
  <si>
    <t>LUNA LA TORRE, ESTUVAR</t>
  </si>
  <si>
    <t>JR. CARMEN N° 419</t>
  </si>
  <si>
    <t>OG-2149</t>
  </si>
  <si>
    <t>0000108-PIU</t>
  </si>
  <si>
    <t>EDITA EMELDA MANZANARES GOMEZ</t>
  </si>
  <si>
    <t>CALLE UNION N° 311</t>
  </si>
  <si>
    <t>WC-8083</t>
  </si>
  <si>
    <t>114458-073-200315</t>
  </si>
  <si>
    <t>JR. ENRIQUE RAMIREZ LUNA N° 602</t>
  </si>
  <si>
    <t>ACY-752</t>
  </si>
  <si>
    <t>84120-073-090516</t>
  </si>
  <si>
    <t>D5U-713</t>
  </si>
  <si>
    <t>0010-CTPGL-04-2003</t>
  </si>
  <si>
    <t>JUAN PACHECO AMADO</t>
  </si>
  <si>
    <t>URB. FERROVIARIA MZ. L-18</t>
  </si>
  <si>
    <t>OH-4310</t>
  </si>
  <si>
    <t>142848-073-260419</t>
  </si>
  <si>
    <t>RIVER GAS EIRL</t>
  </si>
  <si>
    <t>URB. SOL DE ORO MZ A LOTE 07 ZONA B</t>
  </si>
  <si>
    <t>V0J-784</t>
  </si>
  <si>
    <t>BELTRAN RIVERA GARAY</t>
  </si>
  <si>
    <t>0051-CTPGL-15-2005</t>
  </si>
  <si>
    <t>PGU-205</t>
  </si>
  <si>
    <t>95972-073-290212</t>
  </si>
  <si>
    <t>PROMOVI III, NUEVA VICTORIA , MZ. 18, LT 05 - PAMPA INALAMBRICA</t>
  </si>
  <si>
    <t>Z3R-854</t>
  </si>
  <si>
    <t>ALEJANDRO JESUS ARPASI GUTIERREZ</t>
  </si>
  <si>
    <t>145881-073-140819</t>
  </si>
  <si>
    <t>BBM-939</t>
  </si>
  <si>
    <t>88807-073-240412</t>
  </si>
  <si>
    <t>P1J-874</t>
  </si>
  <si>
    <t>100018-073-190213</t>
  </si>
  <si>
    <t>CORPORACION ANDINA DEL GAS PERU S.A.C.</t>
  </si>
  <si>
    <t>CALLE DEUSTUA 1035</t>
  </si>
  <si>
    <t>V4Y-945</t>
  </si>
  <si>
    <t>96293-073-270312</t>
  </si>
  <si>
    <t xml:space="preserve">AV. LOS FAISANES Nº 608 </t>
  </si>
  <si>
    <t>B4B-717</t>
  </si>
  <si>
    <t> 5025</t>
  </si>
  <si>
    <t>105538-073-071113</t>
  </si>
  <si>
    <t>D1N-702</t>
  </si>
  <si>
    <t>148399-073-261219</t>
  </si>
  <si>
    <t>GAVIDIA GALVEZ MADELEIDY</t>
  </si>
  <si>
    <t>CALLE RAYMONDI N° 300 PJ SAN LORENZO</t>
  </si>
  <si>
    <t>M3Q-780</t>
  </si>
  <si>
    <t>0078-CTPGL-15-2001</t>
  </si>
  <si>
    <t>PGQ-893</t>
  </si>
  <si>
    <t>PGU-636</t>
  </si>
  <si>
    <t>35002-073-020713</t>
  </si>
  <si>
    <t>B5A-780</t>
  </si>
  <si>
    <t>124063-073-051016</t>
  </si>
  <si>
    <t>JEINER BURGOS JUAPE</t>
  </si>
  <si>
    <t>AV. LA MARINA N° 202</t>
  </si>
  <si>
    <t>M5O-831</t>
  </si>
  <si>
    <t>142449-073-030419</t>
  </si>
  <si>
    <t>EUGENIA YAURI ASTO</t>
  </si>
  <si>
    <t>BLOCK 78 DPTO. 402 URB. LA CRUCETA</t>
  </si>
  <si>
    <t>M3Y-788</t>
  </si>
  <si>
    <t>0086-CTPGL-15-2001</t>
  </si>
  <si>
    <t>LLAMA GAS S A</t>
  </si>
  <si>
    <t>PGW-501</t>
  </si>
  <si>
    <t>0087-CTPGL-15-2001</t>
  </si>
  <si>
    <t>PGW-500</t>
  </si>
  <si>
    <t>0019-CTPGL-15-2005</t>
  </si>
  <si>
    <t>PIG-515</t>
  </si>
  <si>
    <t>116277-073-140715</t>
  </si>
  <si>
    <t>AFX-869</t>
  </si>
  <si>
    <t>0054-CBGL-15-2005</t>
  </si>
  <si>
    <t>XI-3022</t>
  </si>
  <si>
    <t>PGU-688</t>
  </si>
  <si>
    <t>147515-073-071119</t>
  </si>
  <si>
    <t xml:space="preserve">ELIZABETH KARINA TICONA HUARACA </t>
  </si>
  <si>
    <t xml:space="preserve">JIRON LIBERTAD N°102 ALTO LIBERTAD </t>
  </si>
  <si>
    <t>V0N-927</t>
  </si>
  <si>
    <t> 1845</t>
  </si>
  <si>
    <t>0053-CBGL-15-2005</t>
  </si>
  <si>
    <t>XO-4486</t>
  </si>
  <si>
    <t>91591-073-291012</t>
  </si>
  <si>
    <t>COMERCIALIZADORA DE GLP VASQUEZ E.I.R.L.</t>
  </si>
  <si>
    <t>AV. MARGINAL MZ. B, LOTE 6 - 7, PERENE</t>
  </si>
  <si>
    <t>CHANCHAMAYO</t>
  </si>
  <si>
    <t>PERENE</t>
  </si>
  <si>
    <t>W1C-871</t>
  </si>
  <si>
    <t>LILIANA VASQUEZ RUA</t>
  </si>
  <si>
    <t>0052-CBGL-15-2005</t>
  </si>
  <si>
    <t>ABASTIBLE GAS DEL PERU S.A.C</t>
  </si>
  <si>
    <t>AV. LOS DURAZNOS N° 422 - URB. CANTO GRANDE</t>
  </si>
  <si>
    <t>XI-4617</t>
  </si>
  <si>
    <t> 22500</t>
  </si>
  <si>
    <t>0006-CBGL-04-2007</t>
  </si>
  <si>
    <t xml:space="preserve">AV. MANTO No 122 URB. VISTA ALEGRE </t>
  </si>
  <si>
    <t>XO-9010</t>
  </si>
  <si>
    <t> 4440</t>
  </si>
  <si>
    <t>0005-CTPGL-04-2006</t>
  </si>
  <si>
    <t>FREDDY RONALD HERRERA JUAREZ</t>
  </si>
  <si>
    <t>URB. RAMIRO PRIALE No 1 PAMPAS DE POLANCO</t>
  </si>
  <si>
    <t>OH-3419</t>
  </si>
  <si>
    <t>ZI-1078</t>
  </si>
  <si>
    <t>ITALO SOLIMANO FIGALLO</t>
  </si>
  <si>
    <t>OI-7540</t>
  </si>
  <si>
    <t>91862-073-010411</t>
  </si>
  <si>
    <t>ASOC. BRISAS DE SANTA CLARA MZ. B, LT. 2</t>
  </si>
  <si>
    <t>B1L-880</t>
  </si>
  <si>
    <t> 4944</t>
  </si>
  <si>
    <t>0019-CBGL-15-2001</t>
  </si>
  <si>
    <t>XI-4571</t>
  </si>
  <si>
    <t>XQ-4630</t>
  </si>
  <si>
    <t> 2670</t>
  </si>
  <si>
    <t>0002-CBGL-22-2009</t>
  </si>
  <si>
    <t>JR. FRANCISCO PIZARRO 860 TARAPOTO</t>
  </si>
  <si>
    <t>XC-1804</t>
  </si>
  <si>
    <t>0031-CTPGL-15-2004</t>
  </si>
  <si>
    <t>LUIS FELIPE BATTIFORA ROVEGNO</t>
  </si>
  <si>
    <t>AV. ENCALADA N° 851</t>
  </si>
  <si>
    <t>PIH-929</t>
  </si>
  <si>
    <t> 440</t>
  </si>
  <si>
    <t>86457-073-2010</t>
  </si>
  <si>
    <t>ENVASADORA ALFA GAS S.A.</t>
  </si>
  <si>
    <t>LOS EUCALIPTOS 198 SHANGRI LA</t>
  </si>
  <si>
    <t>XQ-6776</t>
  </si>
  <si>
    <t>JORGE ALBERTO TALAVERA BAZALAR</t>
  </si>
  <si>
    <t>0001-CTPGL-12-2008</t>
  </si>
  <si>
    <t>CASTRO YUPANQUI, RODOLFO FELIX</t>
  </si>
  <si>
    <t>CALLE AMARILIS N° 251 - EL TAMBO</t>
  </si>
  <si>
    <t>PP-7108</t>
  </si>
  <si>
    <t> 2940</t>
  </si>
  <si>
    <t>130892-073-030817</t>
  </si>
  <si>
    <t>TRANSPORTES QUINTO S.A.C</t>
  </si>
  <si>
    <t xml:space="preserve">PROL. MARISCAL NIETO DOMINGO NRO. 142-A URB. LOS SAUCES </t>
  </si>
  <si>
    <t>ASQ-764</t>
  </si>
  <si>
    <t> 630</t>
  </si>
  <si>
    <t>100016-073-180213</t>
  </si>
  <si>
    <t>V3H-792</t>
  </si>
  <si>
    <t>105401-073-230913</t>
  </si>
  <si>
    <t>D0J-946</t>
  </si>
  <si>
    <t>MANUEL CHAUCA BALCAZAR</t>
  </si>
  <si>
    <t>PANAMERICANA SUR KM. N° 59 FUNDO LA PATITA</t>
  </si>
  <si>
    <t>OG-6520</t>
  </si>
  <si>
    <t>86452-073-020713</t>
  </si>
  <si>
    <t>L1B-906</t>
  </si>
  <si>
    <t> 1740</t>
  </si>
  <si>
    <t>118715-073-060116</t>
  </si>
  <si>
    <t>EMPRESA DE TRANSPORTES DE GAS JUAN RINA EIRL</t>
  </si>
  <si>
    <t>JR. PANAMERICANA NRO. 557</t>
  </si>
  <si>
    <t>V3U-764</t>
  </si>
  <si>
    <t> 7615</t>
  </si>
  <si>
    <t>RINA ARCE BELLIDO</t>
  </si>
  <si>
    <t>146379-073-110919</t>
  </si>
  <si>
    <t>LIMA GAS S A</t>
  </si>
  <si>
    <t>CALLE 149, ZONA 7, FUNDO BOCANEGRA</t>
  </si>
  <si>
    <t>V1P-994</t>
  </si>
  <si>
    <t> D8M-840</t>
  </si>
  <si>
    <t>RICARDO DAVID YEPEZ CALDERON</t>
  </si>
  <si>
    <t>0106-CBGL-15-2005</t>
  </si>
  <si>
    <t>WF-3982</t>
  </si>
  <si>
    <t>138225-073-300818</t>
  </si>
  <si>
    <t>CALLE MOLLENDO NRO 106 SAN MARTIN DE SOCABAYA</t>
  </si>
  <si>
    <t>V7H-910</t>
  </si>
  <si>
    <t>0001-CBGL-12-2006</t>
  </si>
  <si>
    <t>OP-1191</t>
  </si>
  <si>
    <t>124584-073-241016</t>
  </si>
  <si>
    <t>CARLOS EFRAIN IDONES MORALES</t>
  </si>
  <si>
    <t>AV. CARLOS IZAGUIRRE S/N, URB. LAS MARGARITAS LOTE 28 – 29, MZ. A</t>
  </si>
  <si>
    <t>ANN-889</t>
  </si>
  <si>
    <t>0002-CBGL-10-2008</t>
  </si>
  <si>
    <t>FULGAS PLANTA ENVASADORA DE G.L.P S.A</t>
  </si>
  <si>
    <t>CARRETERA HUANUCO - TINGO MARIA KM 3.5 MIRAFLORES</t>
  </si>
  <si>
    <t>WM-3343</t>
  </si>
  <si>
    <t>0001-CBGL-08-2005</t>
  </si>
  <si>
    <t>SULMA GARRAFA ARANYA</t>
  </si>
  <si>
    <t>CALLE MARISCAL CASTILLA N° A-10-11-HUANCARO</t>
  </si>
  <si>
    <t>WZ-5729</t>
  </si>
  <si>
    <t>0014-CBGL-04-2009</t>
  </si>
  <si>
    <t>RICARDO PALMA HANCCO</t>
  </si>
  <si>
    <t>AV NICOLAS DE PIEROLA 107S.RURAL PACHACUTEC</t>
  </si>
  <si>
    <t>XU-2852</t>
  </si>
  <si>
    <t> 9360</t>
  </si>
  <si>
    <t>0001-CTPGL-08-2005</t>
  </si>
  <si>
    <t>JOSE ADOLFO TRELLES MUÑOZ</t>
  </si>
  <si>
    <t>CALLE MARISCAL CASTILLA A-10-11 HUANCARO</t>
  </si>
  <si>
    <t>PZ-6308</t>
  </si>
  <si>
    <t>0003-CBGL-11-2008</t>
  </si>
  <si>
    <t>AV. PANAMERICANA SUR KM. 300 S/N</t>
  </si>
  <si>
    <t>WH-9149</t>
  </si>
  <si>
    <t> 8320</t>
  </si>
  <si>
    <t>112735-073-091214</t>
  </si>
  <si>
    <t>HECTOR ALFREDO CALIZAYA BARRIENTOS</t>
  </si>
  <si>
    <t>ASOCIACION 28 DE AGOSTO C-5 , MZ 07 LOTE 24</t>
  </si>
  <si>
    <t>Z4F-738</t>
  </si>
  <si>
    <t>0111-CTPGL-15-2003</t>
  </si>
  <si>
    <t>OH-5318</t>
  </si>
  <si>
    <t>125299-073-200517</t>
  </si>
  <si>
    <t xml:space="preserve">RUBEN INCAPUÑO HANCCO </t>
  </si>
  <si>
    <t>ASOCIACIÓN CIUDAD DE DIOS ZONA 2 COMITÉ 17 MZ E LOTE 05</t>
  </si>
  <si>
    <t>YURA</t>
  </si>
  <si>
    <t>V1E-946</t>
  </si>
  <si>
    <t>RUBEN INCAPUÑO HANCCO</t>
  </si>
  <si>
    <t>105400-073-260913</t>
  </si>
  <si>
    <t>D0B-877</t>
  </si>
  <si>
    <t>128950-073-170617</t>
  </si>
  <si>
    <t xml:space="preserve">ORLANDO LARKI PAREDES CAMPOS </t>
  </si>
  <si>
    <t>AV. AMERICA NORTE N° 1810 URB. LAS QUINTANAS</t>
  </si>
  <si>
    <t>T2A-883</t>
  </si>
  <si>
    <t> 6250</t>
  </si>
  <si>
    <t>130890-073-030817</t>
  </si>
  <si>
    <t>PROLONGACION MARISCAL NIETO N° 142-A URB. LOS SAUCES</t>
  </si>
  <si>
    <t>ASP-921</t>
  </si>
  <si>
    <t>150935-073-040920</t>
  </si>
  <si>
    <t>CORPORACION DE COMERCIO Y SERVICIOS GOMERO S.A.C.</t>
  </si>
  <si>
    <t>JR.JOSE MANUEL PEREYRA 554 URB PANAMERICANA NORTE</t>
  </si>
  <si>
    <t>BCG-891</t>
  </si>
  <si>
    <t> 658</t>
  </si>
  <si>
    <t>CARMEN ROSA VILCHEZ GOMERO</t>
  </si>
  <si>
    <t>150938-073-040920</t>
  </si>
  <si>
    <t>JR. JOSE MANUEL PEREYRA N° 554 URB. PANAMERICANA NORTE</t>
  </si>
  <si>
    <t>BEI-765</t>
  </si>
  <si>
    <t>108868-073-160414</t>
  </si>
  <si>
    <t>M4R-907</t>
  </si>
  <si>
    <t>101049-073-170213</t>
  </si>
  <si>
    <t>CARGUERO EXPRESS EMPRESA INDIVIDUAL DE RESPONSABILIDAD LIMITADA</t>
  </si>
  <si>
    <t>MARIANO MELGAL 237</t>
  </si>
  <si>
    <t>D2A-876</t>
  </si>
  <si>
    <t> 2790</t>
  </si>
  <si>
    <t>ALFREDO ROJAS PALOMINO</t>
  </si>
  <si>
    <t>145813-073-141219</t>
  </si>
  <si>
    <t>ESTACION DE SERVICIOS SACRAMENTO E.I.R.L.</t>
  </si>
  <si>
    <t>CARRETERA PANAMERICANA SUR KM. 398.5 (CASERIO SACRAMENTO)</t>
  </si>
  <si>
    <t>TGF-987</t>
  </si>
  <si>
    <t> AXM-866</t>
  </si>
  <si>
    <t> BCT-869</t>
  </si>
  <si>
    <t>CARLOS ANDRES MUÑOZ PEÑA</t>
  </si>
  <si>
    <t>0005-CBGL-14-2008</t>
  </si>
  <si>
    <t>CALLE PARDO Y MIGUEL 379 URB. LATINA</t>
  </si>
  <si>
    <t>XC-1791</t>
  </si>
  <si>
    <t>99823-073-191212</t>
  </si>
  <si>
    <t xml:space="preserve">GUILLERMINA LEVITA QUISPE </t>
  </si>
  <si>
    <t>AV. CESAR VALLEJO Nº 400-URB. 4 DE OCTUBRE</t>
  </si>
  <si>
    <t>V3Q-718</t>
  </si>
  <si>
    <t>85642-073-010718</t>
  </si>
  <si>
    <t xml:space="preserve">SERVICIOS RSC DIESEL E.I.R.L. </t>
  </si>
  <si>
    <t>JR. RUFINO MACEDO MZ. H LOTE 11 URB. INDUSTRIAL PANAMERICANA NORTE</t>
  </si>
  <si>
    <t>F8B-794</t>
  </si>
  <si>
    <t>35007-073-260813</t>
  </si>
  <si>
    <t xml:space="preserve">CALLE MALECON MZ. A LOTE 17 URB. PROLIMA 4TA. ETAPA </t>
  </si>
  <si>
    <t>C9Y-830</t>
  </si>
  <si>
    <t>0066-CTPGL-15-2003</t>
  </si>
  <si>
    <t>LUCY GAS S.R.L.</t>
  </si>
  <si>
    <t>JR. LA UNION N° 424 URB. LOS GERANIOS</t>
  </si>
  <si>
    <t>OO-7952</t>
  </si>
  <si>
    <t>0067-CTPGL-15-2003</t>
  </si>
  <si>
    <t>LUZ NELLY TOYCO PRESA</t>
  </si>
  <si>
    <t>PP-9040</t>
  </si>
  <si>
    <t>131165-073-050619</t>
  </si>
  <si>
    <t>ABASTIBLE GAS DEL PERU SAC</t>
  </si>
  <si>
    <t>AV. LOS DURAZNOS N° 422 URB. CANTO GRANDE</t>
  </si>
  <si>
    <t>ARI-920</t>
  </si>
  <si>
    <t> 1630</t>
  </si>
  <si>
    <t>JOSE LUIS ATOCCSA GUARDIA</t>
  </si>
  <si>
    <t>144377-073-040619</t>
  </si>
  <si>
    <t>AV. LOS FAISANES NRO. 608, URB. LA CAMPIÑA</t>
  </si>
  <si>
    <t>M3T-998</t>
  </si>
  <si>
    <t> AZF-851</t>
  </si>
  <si>
    <t> ADW-760</t>
  </si>
  <si>
    <t> AJL-922</t>
  </si>
  <si>
    <t> 11480</t>
  </si>
  <si>
    <t>GLADIS IRMA HINOSTROZA ALCOCER</t>
  </si>
  <si>
    <t>86368-073-260516</t>
  </si>
  <si>
    <t>A2J-815</t>
  </si>
  <si>
    <t>0107-CBGL-15-2001</t>
  </si>
  <si>
    <t>XG-5287</t>
  </si>
  <si>
    <t>133831-073-120118</t>
  </si>
  <si>
    <t>DISTRIBUIDORA DE REPUESTOS, LUBRICANTES Y COMBUSTIBLES S.R.L.</t>
  </si>
  <si>
    <t>JR. BOLIVAR N° 582 PISO 1 ZONA CENTRO CIVICO</t>
  </si>
  <si>
    <t>TCR-978</t>
  </si>
  <si>
    <t> T7F-928</t>
  </si>
  <si>
    <t> 7975</t>
  </si>
  <si>
    <t xml:space="preserve">SILVESTRE YUPANQUI CHACON </t>
  </si>
  <si>
    <t>XG-7222</t>
  </si>
  <si>
    <t>0073-CTPGL-15-2001</t>
  </si>
  <si>
    <t>PGC-948</t>
  </si>
  <si>
    <t>0028-CTPGL-15-2002</t>
  </si>
  <si>
    <t>PIH-340</t>
  </si>
  <si>
    <t>0072-CTPGL-15-2001</t>
  </si>
  <si>
    <t>PGW-528</t>
  </si>
  <si>
    <t>0030-CTPGL-15-2002</t>
  </si>
  <si>
    <t>PIH-339</t>
  </si>
  <si>
    <t>97970-073-180820</t>
  </si>
  <si>
    <t xml:space="preserve">CALLE SAN JOSE N° 483 </t>
  </si>
  <si>
    <t>B5R-761</t>
  </si>
  <si>
    <t>0031-CTPGL-15-2002</t>
  </si>
  <si>
    <t>PIH-338</t>
  </si>
  <si>
    <t>0075-CTPGL-15-2001</t>
  </si>
  <si>
    <t>PGQ-443</t>
  </si>
  <si>
    <t>140127-073-170519</t>
  </si>
  <si>
    <t>LOPEZ SAMANIEGO JESSICA ROXANA</t>
  </si>
  <si>
    <t xml:space="preserve">AV. PASEO DE LA BREÑA NRO. 633 </t>
  </si>
  <si>
    <t>W4E-922</t>
  </si>
  <si>
    <t>JESSICA ROXANA LOPEZ SAMANIEGO</t>
  </si>
  <si>
    <t>0109-CBGL-15-2001</t>
  </si>
  <si>
    <t>XQ-8654</t>
  </si>
  <si>
    <t>0000092-CUS</t>
  </si>
  <si>
    <t>MIELDE DISTRIBUCIONES E.I.R.L.</t>
  </si>
  <si>
    <t>CALLE BELEN N° 915-B</t>
  </si>
  <si>
    <t>PZ-6335</t>
  </si>
  <si>
    <t>NEMESIO RAENZ N° 1969</t>
  </si>
  <si>
    <t>WP-7921</t>
  </si>
  <si>
    <t>JR. NEMESIO RAEZ N° 1969</t>
  </si>
  <si>
    <t>WP-8268</t>
  </si>
  <si>
    <t>130888-073-030817</t>
  </si>
  <si>
    <t>PROLONGACION MARISCAL NIETO DOMINGO N° 142A LOS SAUCES</t>
  </si>
  <si>
    <t>ASQ-711</t>
  </si>
  <si>
    <t>0076-CTPGL-15-2001</t>
  </si>
  <si>
    <t>PGT-896</t>
  </si>
  <si>
    <t>134831-073-090318</t>
  </si>
  <si>
    <t>CAR. HUANUCO A TINGO MARIA KM. 3.5 MZA. D LOTE. 12 MIRAFLORES</t>
  </si>
  <si>
    <t>ATC-909</t>
  </si>
  <si>
    <t> 2885</t>
  </si>
  <si>
    <t>0110-CBGL-15-2001</t>
  </si>
  <si>
    <t>XI-4611</t>
  </si>
  <si>
    <t>63533-073-300118</t>
  </si>
  <si>
    <t>C5T-935</t>
  </si>
  <si>
    <t>114320-073-080419</t>
  </si>
  <si>
    <t>AV. SAN JUAN MZ. G LOTE 1A URB LAS VEGAS</t>
  </si>
  <si>
    <t>F2L-995</t>
  </si>
  <si>
    <t> COG-913</t>
  </si>
  <si>
    <t xml:space="preserve"> D5W-803 </t>
  </si>
  <si>
    <t> D5X-856</t>
  </si>
  <si>
    <t>0074-CTPGL-15-2001</t>
  </si>
  <si>
    <t>XQ-1864</t>
  </si>
  <si>
    <t>0003-CBGL-13-2005</t>
  </si>
  <si>
    <t>XQ-3100</t>
  </si>
  <si>
    <t> 1260</t>
  </si>
  <si>
    <t>92849-073-210812</t>
  </si>
  <si>
    <t>JULIO FUENTES VALDIVIA</t>
  </si>
  <si>
    <t xml:space="preserve">AV. PROLONGACION DOLORES 203 </t>
  </si>
  <si>
    <t>V2E-873</t>
  </si>
  <si>
    <t>116348-073-050815</t>
  </si>
  <si>
    <t>AA.HH. LAS FLORES MZ. 35 LT. 11</t>
  </si>
  <si>
    <t>AHB-814</t>
  </si>
  <si>
    <t>84491-073-2010</t>
  </si>
  <si>
    <t>NATY MARCELINA GUERRA APAZA</t>
  </si>
  <si>
    <t>VILLA SAN JUAN P-5</t>
  </si>
  <si>
    <t>OH-5605</t>
  </si>
  <si>
    <t>0001-CBGL-13-2005</t>
  </si>
  <si>
    <t>COSTA GAS S.A.</t>
  </si>
  <si>
    <t>CARRETERA PANAMERICANA NORTE KM. 557</t>
  </si>
  <si>
    <t>PGE-098</t>
  </si>
  <si>
    <t>0001-CTPGL-15-2010</t>
  </si>
  <si>
    <t>AV. PACHACUTEC - MZ. B - LT. 2 - PARQUE INDUSTRIAL</t>
  </si>
  <si>
    <t>OP-1049</t>
  </si>
  <si>
    <t>0002-CBGL-13-2005</t>
  </si>
  <si>
    <t>PGI-479</t>
  </si>
  <si>
    <t>144789-073-260619</t>
  </si>
  <si>
    <t xml:space="preserve">JESUS REYNALDO CJUIRO CHINCHAZO </t>
  </si>
  <si>
    <t>P.J. VILLA EL GOLF COMITÉ 3, AV. SANCHEZ CARRION MZ. K, LOTE 22</t>
  </si>
  <si>
    <t>VOC-932</t>
  </si>
  <si>
    <t>JESUS REYNALDO CJUIRO CHINCHAZO</t>
  </si>
  <si>
    <t>36673-073-290814</t>
  </si>
  <si>
    <t>F8Y-798</t>
  </si>
  <si>
    <t>144791-073-260619</t>
  </si>
  <si>
    <t xml:space="preserve">JAIME QUISPE HUARACCA </t>
  </si>
  <si>
    <t>URB. ASOC, J. L. B. Y RIVERO, MZ. 3D, LOTE 3, SECTOR 6</t>
  </si>
  <si>
    <t>V6T-720</t>
  </si>
  <si>
    <t>JAIME QUISPE HUARACCA</t>
  </si>
  <si>
    <t>133892-073-100118</t>
  </si>
  <si>
    <t>YHONATAN ALEXANDER CONTRERAS CAMARA</t>
  </si>
  <si>
    <t>AV. SANTA MARGARITA MZ C LOTE 10</t>
  </si>
  <si>
    <t>AUA-739</t>
  </si>
  <si>
    <t>0003-CBGL-07-2003</t>
  </si>
  <si>
    <t>WK-4005</t>
  </si>
  <si>
    <t>0015-CTPGL-07-2003</t>
  </si>
  <si>
    <t>PK-6021</t>
  </si>
  <si>
    <t>0018-CBGL-15-2002</t>
  </si>
  <si>
    <t>WO-9939</t>
  </si>
  <si>
    <t>0019-CBGL-15-2002</t>
  </si>
  <si>
    <t>XI-4570</t>
  </si>
  <si>
    <t>0017-CBGL-15-2002</t>
  </si>
  <si>
    <t>XI-5874</t>
  </si>
  <si>
    <t>EMPRESA DE TRANSPORTES ORTIZ S.R.L.</t>
  </si>
  <si>
    <t>AV. RAIMONDI N° 540</t>
  </si>
  <si>
    <t>ZE-5402</t>
  </si>
  <si>
    <t> YE-5412</t>
  </si>
  <si>
    <t>0015-CBGL-15-2005</t>
  </si>
  <si>
    <t>MARTHA EDELMIRA CAMPOVERDE OLEMAR DE BENDEZU</t>
  </si>
  <si>
    <t>JR. TACNA N° 707 - DPTO. N° 301</t>
  </si>
  <si>
    <t>XQ-5673</t>
  </si>
  <si>
    <t>135333-073-030418</t>
  </si>
  <si>
    <t>MZ 28, A-1 SECTOR F ASOCIACION DE FAMILIA 09 DE FEBRERO</t>
  </si>
  <si>
    <t>F1R-925</t>
  </si>
  <si>
    <t>PILAR EXILDA RIQUELME PEREZ</t>
  </si>
  <si>
    <t>MZ. A LOTE A-19 URB. LOS CIPRESES CAMPOY</t>
  </si>
  <si>
    <t>XI-1523</t>
  </si>
  <si>
    <t>104783-073-181020</t>
  </si>
  <si>
    <t>PJ. GRUPO ZONAL 3 MZ. 4 LOTE 8 P.J. SEMIRURAL PACHACUTEC</t>
  </si>
  <si>
    <t>V6M-986</t>
  </si>
  <si>
    <t> B7W-747</t>
  </si>
  <si>
    <t> C9E-753</t>
  </si>
  <si>
    <t> V9M-713</t>
  </si>
  <si>
    <t>21112-073-100118</t>
  </si>
  <si>
    <t>YHONATAN ALEXANDER NCONTERRAS CAMARA</t>
  </si>
  <si>
    <t>CALLE 24 MZ. T LOTE 1 URB. CALERA DE LA MERCED</t>
  </si>
  <si>
    <t>D0T-703</t>
  </si>
  <si>
    <t>113089-073-140917</t>
  </si>
  <si>
    <t>NOEMI VILCARROMERO ARCOS</t>
  </si>
  <si>
    <t>AV. SANTA ANA N°500 URB. CHACHAPOYAS</t>
  </si>
  <si>
    <t>M3A-993</t>
  </si>
  <si>
    <t> AFP-721</t>
  </si>
  <si>
    <t>123553-073-080916</t>
  </si>
  <si>
    <t>AIDA CYNTHIA SANTOS ASTAHUAMÁN</t>
  </si>
  <si>
    <t>PARQUE INDUSTRIAL EL ASESOR, MZ. 5, LOTE 11</t>
  </si>
  <si>
    <t>B5Z-773</t>
  </si>
  <si>
    <t>PARQUE PALOMMARES N° 311 URB. CAMPOY</t>
  </si>
  <si>
    <t>WI-6969</t>
  </si>
  <si>
    <t>83455-073-120412</t>
  </si>
  <si>
    <t>D3H-889</t>
  </si>
  <si>
    <t>97554-073-090812</t>
  </si>
  <si>
    <t>PRODUCTOS ANDINOS AQP EIRL</t>
  </si>
  <si>
    <t>CALLE NUEVA 209-INTERIOR 218</t>
  </si>
  <si>
    <t>V5E-944</t>
  </si>
  <si>
    <t>GONZALO JAIME OLIVARES CASTRO</t>
  </si>
  <si>
    <t>0020-CTPGL-15-2004</t>
  </si>
  <si>
    <t>LUIS ALBERTO COLLANTES VELASQUEZ</t>
  </si>
  <si>
    <t>CALLE LAS PETUNIAS N° 158 ZONA 7</t>
  </si>
  <si>
    <t>OI-9497</t>
  </si>
  <si>
    <t>0106-CBGL-15-2001</t>
  </si>
  <si>
    <t>XG-5204</t>
  </si>
  <si>
    <t>135768-073-230418</t>
  </si>
  <si>
    <t>HUATUCO MEZA MARLENI MARITZA</t>
  </si>
  <si>
    <t>JR. DOS DE MAYO 229</t>
  </si>
  <si>
    <t>D1K-760</t>
  </si>
  <si>
    <t>106343-073-020114</t>
  </si>
  <si>
    <t>EMPRESA DE TRANSPORTES MARIA DE FATIMA E.I.R.L.</t>
  </si>
  <si>
    <t>CALLE PAZ SOLDAN N° 113 VALLECITO</t>
  </si>
  <si>
    <t>ZH-4119</t>
  </si>
  <si>
    <t> Z1U-863</t>
  </si>
  <si>
    <t> 8990</t>
  </si>
  <si>
    <t>JULIO ENRIQUE PINTO CUEVA</t>
  </si>
  <si>
    <t>AV. PANAMERICANA NORTE KM. 665</t>
  </si>
  <si>
    <t>WD-6216</t>
  </si>
  <si>
    <t>0001-CBGL-03-2006</t>
  </si>
  <si>
    <t>RICHARD CELESTINO TORRE MARCELO</t>
  </si>
  <si>
    <t>AV. JHON F. KENNEDY N°540</t>
  </si>
  <si>
    <t>CHINCHEROS</t>
  </si>
  <si>
    <t>WO-9237</t>
  </si>
  <si>
    <t>0015-CTPGL-15-2003</t>
  </si>
  <si>
    <t>PIJ-094</t>
  </si>
  <si>
    <t>0014-CTPGL-15-2003</t>
  </si>
  <si>
    <t>PIJ-077</t>
  </si>
  <si>
    <t>0030-CTPGL-15-2005</t>
  </si>
  <si>
    <t>ABDON PAUCA AYQUIPA</t>
  </si>
  <si>
    <t>JR. MARIANO PASTOR SEVILLA N° 121</t>
  </si>
  <si>
    <t>PID-462</t>
  </si>
  <si>
    <t>120613-073-060416</t>
  </si>
  <si>
    <t xml:space="preserve">ENTERPRISE GOAL S.R.L. </t>
  </si>
  <si>
    <t xml:space="preserve">AV. MANUEL CIPRIANO DULANTO N° 1681 DPTO. 603 </t>
  </si>
  <si>
    <t>D1W-839</t>
  </si>
  <si>
    <t>ROCIO DEL PILAR ALIAGA DE LA CRUZ</t>
  </si>
  <si>
    <t>0012-CTPGL-04-2003</t>
  </si>
  <si>
    <t>DISTRIBUIDORA LAGO AZUL S.A.C.</t>
  </si>
  <si>
    <t>CALLE MICAELA BASTIDAS N° 111 URB. LA TOMILLA</t>
  </si>
  <si>
    <t>QH-2503</t>
  </si>
  <si>
    <t>0001-CBGL-14-2000</t>
  </si>
  <si>
    <t>JUAN MANUEL QUIROZ TORRES</t>
  </si>
  <si>
    <t>LAS CAUTIVAS N° 130 URB. REMIGIO SILVA</t>
  </si>
  <si>
    <t>WO-3863</t>
  </si>
  <si>
    <t>LUIS CHUQUISTA RIOS</t>
  </si>
  <si>
    <t>AV. PACIFICO N° 520 URB. QUIÑONEZ</t>
  </si>
  <si>
    <t>WD-6852</t>
  </si>
  <si>
    <t>LORENA CABANILLAS LEIVA</t>
  </si>
  <si>
    <t>MZ. C LOTES 33-34-35 PARQUE INDUSTRIAL</t>
  </si>
  <si>
    <t>WD-6269</t>
  </si>
  <si>
    <t>120562-073-070416</t>
  </si>
  <si>
    <t xml:space="preserve">DISTRIBUIDORA JA S.A.C. </t>
  </si>
  <si>
    <t>N° 669 INT. 1 URB. SAN JOAQUIN (FRENTE LUBRICENTRO ZAVALETA)</t>
  </si>
  <si>
    <t>F7E-989</t>
  </si>
  <si>
    <t> AKO-947</t>
  </si>
  <si>
    <t> 16250</t>
  </si>
  <si>
    <t>CESAR AUGUSTO VASQUEZ TINCOPA</t>
  </si>
  <si>
    <t>0000040-LAM</t>
  </si>
  <si>
    <t>NATALIO RUPERTO ZAMBRANO CAMPANA</t>
  </si>
  <si>
    <t>CALLE ILO N° 440</t>
  </si>
  <si>
    <t>PGC-801</t>
  </si>
  <si>
    <t>0002-CBGL-20-2008</t>
  </si>
  <si>
    <t>CALLE DOS DE MAYO Nº 210</t>
  </si>
  <si>
    <t>XC-1202</t>
  </si>
  <si>
    <t>0020-CTPGL-15-2003</t>
  </si>
  <si>
    <t>AV. PRIMAVERA N° 560</t>
  </si>
  <si>
    <t>PII-560</t>
  </si>
  <si>
    <t>112431-073-140416</t>
  </si>
  <si>
    <t xml:space="preserve">EMPRESA DE TRANSPORTES MANUEL JESUS CAMPOS CALLUPE EIRL </t>
  </si>
  <si>
    <t> ABU-740</t>
  </si>
  <si>
    <t>120618-073-050416</t>
  </si>
  <si>
    <t>CORPORACION DE SERVICIOS A GAS S.A.C.</t>
  </si>
  <si>
    <t>JR. LOS SAUCES N° 341 URB LOS ROSALES</t>
  </si>
  <si>
    <t>M5K-782</t>
  </si>
  <si>
    <t>ALFREDO ANTONIO PASTOR ALVA</t>
  </si>
  <si>
    <t>0019-CTPGL-15-2003</t>
  </si>
  <si>
    <t>PIJ-078</t>
  </si>
  <si>
    <t>0018-CTPGL-15-2003</t>
  </si>
  <si>
    <t>PIJ-090</t>
  </si>
  <si>
    <t>136608-073-050618</t>
  </si>
  <si>
    <t>J &amp; M MULTISERVICIOS GENERALES MOQUEGUA S.R.L.</t>
  </si>
  <si>
    <t>CALLE SAN CRISTOBAL E-5, PUEBLO JOVEN MARISCAL NIETO</t>
  </si>
  <si>
    <t>V9L-947</t>
  </si>
  <si>
    <t>JOHNNATHAN DAYVI SOSA ALFARO</t>
  </si>
  <si>
    <t>0055-CTPGL-15-2009</t>
  </si>
  <si>
    <t>FLOR DE AMANCAES MZ. F, LOTE 38</t>
  </si>
  <si>
    <t>PQZ-176</t>
  </si>
  <si>
    <t>0017-CTPGL-15-2003</t>
  </si>
  <si>
    <t>PII-980</t>
  </si>
  <si>
    <t>0016-CTPGL-15-2003</t>
  </si>
  <si>
    <t>PII-988</t>
  </si>
  <si>
    <t>131465-073-060917</t>
  </si>
  <si>
    <t>SHILICO GAS S.A.C.</t>
  </si>
  <si>
    <t>JR. JUNIN N° 841</t>
  </si>
  <si>
    <t>CELENDIN</t>
  </si>
  <si>
    <t>ATE-804</t>
  </si>
  <si>
    <t xml:space="preserve">JOSE MIGUEL BRIONES SILVA </t>
  </si>
  <si>
    <t>104761-073-260516</t>
  </si>
  <si>
    <t>A2I-905</t>
  </si>
  <si>
    <t>0001-CTPGL-20-2008</t>
  </si>
  <si>
    <t>VICTOR JULIO GOMEZ SANDOVAL</t>
  </si>
  <si>
    <t>LOS ALHELIES MZ. J LOTE 2 URB. SAN BERNARDO</t>
  </si>
  <si>
    <t>PC-9365</t>
  </si>
  <si>
    <t>127496-073-040417</t>
  </si>
  <si>
    <t>JOSE LUIS CASTRO LOPEZ</t>
  </si>
  <si>
    <t>JR. DOMINGO AYARZA N° S/N SEC. CCOLLANA BAJA</t>
  </si>
  <si>
    <t>PARINACOCHAS</t>
  </si>
  <si>
    <t>CORACORA</t>
  </si>
  <si>
    <t>ADM-804</t>
  </si>
  <si>
    <t> 4680</t>
  </si>
  <si>
    <t>130776-073-010817</t>
  </si>
  <si>
    <t>EVILIO ELVIS CHAMBILLA CHURA</t>
  </si>
  <si>
    <t>PARQUE INDUSTRIAL MZ B LOTE 18-19</t>
  </si>
  <si>
    <t>W4G-861</t>
  </si>
  <si>
    <t>108284-073-180314</t>
  </si>
  <si>
    <t>CARMEN AMELIA ASTOCONDOR BERNABEL</t>
  </si>
  <si>
    <t>JR. COLMENA Nº 368 KM. 11</t>
  </si>
  <si>
    <t>F6D-820</t>
  </si>
  <si>
    <t>138648-073-150918</t>
  </si>
  <si>
    <t>P3Y-894</t>
  </si>
  <si>
    <t>0047-CBGL-15-2009</t>
  </si>
  <si>
    <t>LLAMA GAS PUCALLPA S.A.</t>
  </si>
  <si>
    <t>AV FERMIN TANGUIS S/N°</t>
  </si>
  <si>
    <t>PISCO</t>
  </si>
  <si>
    <t>WGL-030</t>
  </si>
  <si>
    <t>89550-073-2010</t>
  </si>
  <si>
    <t>TRANSPORTES OJEDA E.I.R.L</t>
  </si>
  <si>
    <t>NEPTUNO N° 130</t>
  </si>
  <si>
    <t>T1Q-918</t>
  </si>
  <si>
    <t>89548-073-2010</t>
  </si>
  <si>
    <t>T1Q-916</t>
  </si>
  <si>
    <t>0009-CBGL-15-2002</t>
  </si>
  <si>
    <t>MARDONIO MAURICIO ORE</t>
  </si>
  <si>
    <t>JR. BELISARIO SUAREZ N° 185 URB. LOS FICUS</t>
  </si>
  <si>
    <t>XQ-3254</t>
  </si>
  <si>
    <t>134206-073-020518</t>
  </si>
  <si>
    <t>PATRICIA JANETH ALVAREZ VEGA</t>
  </si>
  <si>
    <t>CALLE DANTE N° 358</t>
  </si>
  <si>
    <t>C6W-857</t>
  </si>
  <si>
    <t> 625</t>
  </si>
  <si>
    <t>0047-CTPGL-15-2009</t>
  </si>
  <si>
    <t>INVERSIONES DELCO HNOS S.A.C</t>
  </si>
  <si>
    <t>URB. SAN MARTIN MZ.H, LT.31</t>
  </si>
  <si>
    <t>PGD-741</t>
  </si>
  <si>
    <t> 275</t>
  </si>
  <si>
    <t>0011-CTPGL-15-2005</t>
  </si>
  <si>
    <t>J&amp;J SERVICES TRANSPORTES Y SERVICIOS GENERALES SAC.</t>
  </si>
  <si>
    <t>JR. MANUEL ITURREGUI N° 1056</t>
  </si>
  <si>
    <t>PIP-247</t>
  </si>
  <si>
    <t>0010-CTPGL-15-2005</t>
  </si>
  <si>
    <t>PIP-520</t>
  </si>
  <si>
    <t> 810</t>
  </si>
  <si>
    <t>0013-CTPGL-15-2005</t>
  </si>
  <si>
    <t>PIN-719</t>
  </si>
  <si>
    <t> 855</t>
  </si>
  <si>
    <t>92486-073-010611</t>
  </si>
  <si>
    <t>REPRESENTACIONES GONABEL E.I.R.L</t>
  </si>
  <si>
    <t>ASOCIACION 24 DE OCTUBRE MZ. 54 LOTE 1</t>
  </si>
  <si>
    <t>Z1Z-858</t>
  </si>
  <si>
    <t>0001-CTPGL-06-2004</t>
  </si>
  <si>
    <t>AV. SAN MARTIN DE PORRES LOTE 51 - BARRIO MOLLEPAMPA</t>
  </si>
  <si>
    <t>PIM-880</t>
  </si>
  <si>
    <t>92898-073-300811</t>
  </si>
  <si>
    <t>TRANSPORTES Y NEGOCIACIONES MARYFER S.A.C.</t>
  </si>
  <si>
    <t>UCV 130, LOTE 15, A.H. HUAYCAN, ZONA H</t>
  </si>
  <si>
    <t>A3D-903</t>
  </si>
  <si>
    <t>ALFREDO ROJAS CARHUARICRA</t>
  </si>
  <si>
    <t>99546-073-121212</t>
  </si>
  <si>
    <t>YIMY CARLOS GOMEZ MUÑOZ</t>
  </si>
  <si>
    <t>ANDRES RAZURI N° 208 SEGUNDO PISO 15 DE ENERO</t>
  </si>
  <si>
    <t>V2V-839</t>
  </si>
  <si>
    <t>XQ-1863</t>
  </si>
  <si>
    <t>0009-CTPGL-13-2001</t>
  </si>
  <si>
    <t>SEGUNDO E. RONCAL JUSTIINIANO</t>
  </si>
  <si>
    <t>AV. LAS TURQUEZAS N° 495 URB. SANTA INES</t>
  </si>
  <si>
    <t>PGJ-451</t>
  </si>
  <si>
    <t>135163-073-280318</t>
  </si>
  <si>
    <t>SANTOS JOAQUIN AGUIRRE JULCA</t>
  </si>
  <si>
    <t>PROLONGACION UNION N° 1961</t>
  </si>
  <si>
    <t>T6H-824</t>
  </si>
  <si>
    <t> 585</t>
  </si>
  <si>
    <t>138032-073-170818</t>
  </si>
  <si>
    <t>CALLE MOLLENDO # 106 SAN MARTIN DE SOCABAYA</t>
  </si>
  <si>
    <t>V9T-728</t>
  </si>
  <si>
    <t>0105-CBGL-15-2001</t>
  </si>
  <si>
    <t>JR. SULLANA N° 1820 CHACRA RIOS NORTE</t>
  </si>
  <si>
    <t>XO-2273</t>
  </si>
  <si>
    <t>0005-CBGL-10-2009</t>
  </si>
  <si>
    <t>COLPA GAS S.A.C.</t>
  </si>
  <si>
    <t>KM. 4.5 CARRETERA AL AEROPUERTO - COLPA BAJA</t>
  </si>
  <si>
    <t>WGN-286</t>
  </si>
  <si>
    <t>84820-073-021016</t>
  </si>
  <si>
    <t>C9D-771</t>
  </si>
  <si>
    <t> 1855</t>
  </si>
  <si>
    <t>0018-CBGL-12-2005</t>
  </si>
  <si>
    <t>AV. LEONCIO PRADO Nº 800 - CHILCA</t>
  </si>
  <si>
    <t>ZP-1367</t>
  </si>
  <si>
    <t> YP-1331</t>
  </si>
  <si>
    <t> 21840</t>
  </si>
  <si>
    <t>39649-073-170816</t>
  </si>
  <si>
    <t>CALLE A, Nº 149, ZONA 7, FUNDO BOCANEGRA</t>
  </si>
  <si>
    <t>A7J-744</t>
  </si>
  <si>
    <t>JUAN MANUEL NAVARRO RAMIREZ</t>
  </si>
  <si>
    <t>0012-CBGL-15-2002</t>
  </si>
  <si>
    <t>CALLE CHINCHAYSUYO N° 118</t>
  </si>
  <si>
    <t>WO-6754</t>
  </si>
  <si>
    <t>86569-073-2010</t>
  </si>
  <si>
    <t>DISTRIBUCIONES Y SERVICIOS ESDESOL SAC</t>
  </si>
  <si>
    <t>PASAJE LA LIMPIEZA Nº 101 URB. MANZANITOS-CERCADO</t>
  </si>
  <si>
    <t>OH-5906</t>
  </si>
  <si>
    <t> 230</t>
  </si>
  <si>
    <t>SIXTO RAMOS ASTETE</t>
  </si>
  <si>
    <t>135394-073-110418</t>
  </si>
  <si>
    <t>SUCASAIRE CCAMA HECTOR</t>
  </si>
  <si>
    <t>AV NIEVES BUSTAMANTE #104 URB FRANCISCO MOSTAJO</t>
  </si>
  <si>
    <t>V8W-892</t>
  </si>
  <si>
    <t>0001-CTBGL-15-2009</t>
  </si>
  <si>
    <t>PERALTA PEREZ, JUAN SALVADOR</t>
  </si>
  <si>
    <t>JR. CASTROVIRREYNA N° 417</t>
  </si>
  <si>
    <t>PIA-313</t>
  </si>
  <si>
    <t>122790-073-290716</t>
  </si>
  <si>
    <t>CARRT. HUANUCO TINGO MARIA KM. 3.5 MZ D LOTE 12 MIRAFLORES</t>
  </si>
  <si>
    <t>AJS-936</t>
  </si>
  <si>
    <t>108870-073-170414</t>
  </si>
  <si>
    <t>M4R-914</t>
  </si>
  <si>
    <t>118775-073-140116</t>
  </si>
  <si>
    <t>CALLE CARAVELI, MZA X, LOTE 10 B</t>
  </si>
  <si>
    <t>C4K-800</t>
  </si>
  <si>
    <t>98135-073-310812</t>
  </si>
  <si>
    <t xml:space="preserve">JR. RUFINO MACEDO MZ H S/N, INTERIOR 11 URB. INDUSTRIAL PANAMERICANA NORTE </t>
  </si>
  <si>
    <t>BOL-756</t>
  </si>
  <si>
    <t> 4375</t>
  </si>
  <si>
    <t>139068-073-141018</t>
  </si>
  <si>
    <t>JIRON LAMBAYEQUE ZN. F, GRUPO 19, MZ. 20, LTE. 01, SEMI RURAL PACHACUTEC</t>
  </si>
  <si>
    <t>D0M-985</t>
  </si>
  <si>
    <t> V8Q-849</t>
  </si>
  <si>
    <t>137337-073-120718</t>
  </si>
  <si>
    <t xml:space="preserve">OSCAR HERNAN CORRALES ESQUIVEL </t>
  </si>
  <si>
    <t>AV. GUARDIA CIVIL SUR S/N MZ. C LOTE 3 URB. VIÑAS DE SAN ANTONIO</t>
  </si>
  <si>
    <t>AVT-875</t>
  </si>
  <si>
    <t>17970-073-090916</t>
  </si>
  <si>
    <t>V6G-724</t>
  </si>
  <si>
    <t> 6600</t>
  </si>
  <si>
    <t>ROSARIO CACERES ALIAGA</t>
  </si>
  <si>
    <t>112689-073-181020</t>
  </si>
  <si>
    <t>V9T-990</t>
  </si>
  <si>
    <t> V3A-708</t>
  </si>
  <si>
    <t>42241-073-2010</t>
  </si>
  <si>
    <t>J&amp;J SERVICES TRANSPORTES Y SERVICIOS GENERALES S.A.C.</t>
  </si>
  <si>
    <t>A2H-935</t>
  </si>
  <si>
    <t> 785</t>
  </si>
  <si>
    <t>0063-CTPGL-15-2004</t>
  </si>
  <si>
    <t>AV. MORALES DUAREZ N° 642</t>
  </si>
  <si>
    <t>PIB-034</t>
  </si>
  <si>
    <t>42318-073-2010</t>
  </si>
  <si>
    <t>A2H-934</t>
  </si>
  <si>
    <t>0065-CTPGL-15-2003</t>
  </si>
  <si>
    <t>REPRESENTACIONES RASNOR S.R.L.</t>
  </si>
  <si>
    <t>SECTOR 9 GRUPO 1 MZ. I LOTE 7</t>
  </si>
  <si>
    <t>OO-8574</t>
  </si>
  <si>
    <t>0089-CTPGL-15-2003</t>
  </si>
  <si>
    <t>PERCY JESUS PORTILLA TURRIATE</t>
  </si>
  <si>
    <t>URB. PRO LIMA MZ. A-1 LOTE 17 4TA. ETAPA</t>
  </si>
  <si>
    <t>PGL-999</t>
  </si>
  <si>
    <t>61052-073-310519</t>
  </si>
  <si>
    <t>SURSA GAS E.I.R.L</t>
  </si>
  <si>
    <t>PANAMERICANA SUR KM. 59, FUNDO LA PATITA</t>
  </si>
  <si>
    <t>Z1G-853</t>
  </si>
  <si>
    <t>0001-CBGL-15-2006</t>
  </si>
  <si>
    <t>S &amp; C SERVICIO LOGISTICO S.A</t>
  </si>
  <si>
    <t>AV. ALFREDO MENDIOLA 1405</t>
  </si>
  <si>
    <t>XG-6961</t>
  </si>
  <si>
    <t>122792-073-290716</t>
  </si>
  <si>
    <t>AJT-810</t>
  </si>
  <si>
    <t>0003-CTPGL-04-2003</t>
  </si>
  <si>
    <t>JUAN ANTONIO LUCAS VARGAS EDUARDO</t>
  </si>
  <si>
    <t>COOPERATIVA JUVENTUD FERROVIARIA MZ. M LOTE 5</t>
  </si>
  <si>
    <t>OH-5628</t>
  </si>
  <si>
    <t>113166-073-130115</t>
  </si>
  <si>
    <t>AV. EL SOL MZ. C LT. 13</t>
  </si>
  <si>
    <t>Z5U-844</t>
  </si>
  <si>
    <t>ABRAHAM ESPINOZA VALDEOS</t>
  </si>
  <si>
    <t>URB. SANTA ROSA MZ-S LOTE 1</t>
  </si>
  <si>
    <t>PH-6869</t>
  </si>
  <si>
    <t>JORGE SARAVIA SAUÑE</t>
  </si>
  <si>
    <t>JR. CUPIDO MZ. D LOTE 21 URB. OLIMPO</t>
  </si>
  <si>
    <t>WO-9361</t>
  </si>
  <si>
    <t> 2700</t>
  </si>
  <si>
    <t>0056-CTPGL-15-2005</t>
  </si>
  <si>
    <t>PIT-183</t>
  </si>
  <si>
    <t>142270-073-010419</t>
  </si>
  <si>
    <t>Y1Q-861</t>
  </si>
  <si>
    <t>119892-073-110216</t>
  </si>
  <si>
    <t xml:space="preserve">AMERICA LOGISTICA DISTRIBUCION Y TRANSPORTE DEL PERU S.A. </t>
  </si>
  <si>
    <t>CL BELISARIO SOSA PELÁEZ 1055 - URB. CHACRA RÍOS SUR</t>
  </si>
  <si>
    <t>AKC-701</t>
  </si>
  <si>
    <t>JOSE MIGUEL FERRIL GUISADO</t>
  </si>
  <si>
    <t>89705-073-060611</t>
  </si>
  <si>
    <t>CARLOS FERNANDO ZAVALETA NEGREIROS</t>
  </si>
  <si>
    <t>JIRON 1ERO DE MAYO Nº 486</t>
  </si>
  <si>
    <t>XQ-5363</t>
  </si>
  <si>
    <t>103824-073-020713</t>
  </si>
  <si>
    <t>CARLOS YABET REYES ALARCON</t>
  </si>
  <si>
    <t>CARRETERA MARGINAL KM. 3 SATIPO - MAZAMARI</t>
  </si>
  <si>
    <t>RIO NEGRO</t>
  </si>
  <si>
    <t>XW-1037</t>
  </si>
  <si>
    <t>109770-073-090614</t>
  </si>
  <si>
    <t>FANY ROSA ESCALANTE VARAS</t>
  </si>
  <si>
    <t xml:space="preserve">SANTA CRUZ 600 - BARRIO CHICAGO </t>
  </si>
  <si>
    <t>T6L-872</t>
  </si>
  <si>
    <t> T6L-872</t>
  </si>
  <si>
    <t>0110-CTPGL-15-2004</t>
  </si>
  <si>
    <t>JOSE ESPINOZA MONTOYA</t>
  </si>
  <si>
    <t>JR. ESPERANZA 895</t>
  </si>
  <si>
    <t>PO-7471</t>
  </si>
  <si>
    <t>0001-CBGL-15-2004</t>
  </si>
  <si>
    <t>XQ-4835</t>
  </si>
  <si>
    <t>0002-CTPGL-15-2004</t>
  </si>
  <si>
    <t>OO-2688</t>
  </si>
  <si>
    <t>0047-CTPGL-15-2006</t>
  </si>
  <si>
    <t>MAVEL NANSI MARCELO SALVADOR</t>
  </si>
  <si>
    <t>PASAJE LAS MERCEDES S/N</t>
  </si>
  <si>
    <t>PIC-566</t>
  </si>
  <si>
    <t>106027-073-020716</t>
  </si>
  <si>
    <t>F2J-857</t>
  </si>
  <si>
    <t>0010-CTPGL-07-2003</t>
  </si>
  <si>
    <t>SERGIO GORGONIO BLAS ROJAS</t>
  </si>
  <si>
    <t>MZ. G-18 LOTE 4 AA.HH. BOCANEGRA</t>
  </si>
  <si>
    <t>PII-216</t>
  </si>
  <si>
    <t>92553-073-051016</t>
  </si>
  <si>
    <t>C3A-828</t>
  </si>
  <si>
    <t>96129-073-230312</t>
  </si>
  <si>
    <t>DOMINGA QUISPE QUISPE</t>
  </si>
  <si>
    <t>VIA EXPRESA F-1-3</t>
  </si>
  <si>
    <t>X2G-934</t>
  </si>
  <si>
    <t>96328-073-051016</t>
  </si>
  <si>
    <t>D5Q-812</t>
  </si>
  <si>
    <t> 5315</t>
  </si>
  <si>
    <t>119893-073-110216</t>
  </si>
  <si>
    <t xml:space="preserve">CL BELISARIO SOSA PELÁEZ 1055 - URB CHACRA RÍOS SUR </t>
  </si>
  <si>
    <t>AKB-933</t>
  </si>
  <si>
    <t>0001-CTPGL-15-2004</t>
  </si>
  <si>
    <t>PGS-609</t>
  </si>
  <si>
    <t> 560</t>
  </si>
  <si>
    <t>CALLE PARDO Y MIGUEL N° 379 URB. LATINA</t>
  </si>
  <si>
    <t>WC-7986</t>
  </si>
  <si>
    <t>0009-CBGL-15-2009</t>
  </si>
  <si>
    <t>LUIS PONCE RODRIGUEZ E.I.R.L</t>
  </si>
  <si>
    <t>HUGO ESPINOZA N° 159, URB. CUETO FERNANDINI</t>
  </si>
  <si>
    <t>XQ-8664</t>
  </si>
  <si>
    <t>REPRESENTACIONES DIAZ S.C.R.L.</t>
  </si>
  <si>
    <t>AV. TENIENTE PRINGLES N° 116</t>
  </si>
  <si>
    <t>PGD-248</t>
  </si>
  <si>
    <t>149071-073-040220</t>
  </si>
  <si>
    <t>GRUPO DON GAS EMPRESA INDIVIDUAL DE RESPONSABILIDAD LIMITADA</t>
  </si>
  <si>
    <t>CALLE AMARILIS N° 253</t>
  </si>
  <si>
    <t>W1W-934</t>
  </si>
  <si>
    <t>ALICIA YUPANQUI VDA DE CASTRO</t>
  </si>
  <si>
    <t>99591-073-021212</t>
  </si>
  <si>
    <t>JOSE FREDDY LINARES CHUQUIRUNA</t>
  </si>
  <si>
    <t>JR. ALFONSO LATORRE BARRANTES Nº 248 URB. HORACIO ZEVALLOS</t>
  </si>
  <si>
    <t>M3G-804</t>
  </si>
  <si>
    <t>139067-073-141018</t>
  </si>
  <si>
    <t>JIRON LAMBAYEQUE ZN F-GRUPO 19 -MZ 20 LOTE-01 SEMIRURAL PACHACUTEC</t>
  </si>
  <si>
    <t>D0N-987</t>
  </si>
  <si>
    <t> V8Q-824</t>
  </si>
  <si>
    <t>139070-073-141018</t>
  </si>
  <si>
    <t>JIRON LAMBAYEQUE ZN. F, GRUPO 19, MZ 20 LOTE 1 SEMIRURAL PACHACUTEC</t>
  </si>
  <si>
    <t>0002-CTPGL-04-2004</t>
  </si>
  <si>
    <t>AV. GOYENECHE N° 817</t>
  </si>
  <si>
    <t>OH-5335</t>
  </si>
  <si>
    <t>138570-073-140918</t>
  </si>
  <si>
    <t>SERVICIOS DE TRANSPORTES ARCHI EIRL</t>
  </si>
  <si>
    <t>JR. NAPO N° 660</t>
  </si>
  <si>
    <t>L1C-833</t>
  </si>
  <si>
    <t>60432-073-050716</t>
  </si>
  <si>
    <t>MZ. 65 LOTE 1 SECTOR 3 AA.HH EL MILAGRO</t>
  </si>
  <si>
    <t>A4I-822</t>
  </si>
  <si>
    <t> 6240</t>
  </si>
  <si>
    <t>112695-073-251020</t>
  </si>
  <si>
    <t>V9T-977</t>
  </si>
  <si>
    <t> C9F-727</t>
  </si>
  <si>
    <t> F3P-785</t>
  </si>
  <si>
    <t> V9M-702</t>
  </si>
  <si>
    <t>0001-CBGL-04-2004</t>
  </si>
  <si>
    <t>GUIDO ROGELIO CONDORI MAMANI</t>
  </si>
  <si>
    <t>CALLE MARIANO MELGAR N°1009</t>
  </si>
  <si>
    <t>WH-7053</t>
  </si>
  <si>
    <t>0001-CBGL-05-2004</t>
  </si>
  <si>
    <t>FILOMENA LIBIA FERNANDEZ MENDOZA</t>
  </si>
  <si>
    <t>PLAZOLETA PRINCIPAL N° 128</t>
  </si>
  <si>
    <t>WS-2033</t>
  </si>
  <si>
    <t>0002-CTPGL-23-2007</t>
  </si>
  <si>
    <t>AV. AVIACION MZ.D, LT.9</t>
  </si>
  <si>
    <t>PK-1967</t>
  </si>
  <si>
    <t>88129-073-2010</t>
  </si>
  <si>
    <t>TRANSPORTES PERCY LAZO E.I.R.L</t>
  </si>
  <si>
    <t>AV. MARISCAL CASTILLA 626</t>
  </si>
  <si>
    <t>V1N-840</t>
  </si>
  <si>
    <t>HIPOLITO PERCY LAZO LINARES</t>
  </si>
  <si>
    <t>0001-CTPGL-13-2003</t>
  </si>
  <si>
    <t>JOSE ALDANA ROSADO</t>
  </si>
  <si>
    <t>CALLE LAS RONDANITAS MZ. 54 LT. 11 URB. LA RINCONADA</t>
  </si>
  <si>
    <t>PD-1075</t>
  </si>
  <si>
    <t>0001-CTPGL-23-2003</t>
  </si>
  <si>
    <t>MIGUEL ANGEL PONGO JIMENEZ</t>
  </si>
  <si>
    <t>AV. VIGIL N° 489 URB. MIGUEL GRAU</t>
  </si>
  <si>
    <t>PK-5641</t>
  </si>
  <si>
    <t>PGJ-402</t>
  </si>
  <si>
    <t>94624-073-141111</t>
  </si>
  <si>
    <t>WILFREDO TOMAS RAMOS RIVERA</t>
  </si>
  <si>
    <t>MZA. 227 LOTE 10 - ZONA INDUSTRIAL</t>
  </si>
  <si>
    <t>WC-3532</t>
  </si>
  <si>
    <t>140068-073-031218</t>
  </si>
  <si>
    <t>SERVICIOS GENERALES SALLES EIRL</t>
  </si>
  <si>
    <t>JR ARICA NRO 433</t>
  </si>
  <si>
    <t>Z3I-931</t>
  </si>
  <si>
    <t>0039-CBGL-15-2001</t>
  </si>
  <si>
    <t>XI-5120</t>
  </si>
  <si>
    <t>0040-CBGL-15-2001</t>
  </si>
  <si>
    <t>XI-5822</t>
  </si>
  <si>
    <t>0041-CBGL-15-2001</t>
  </si>
  <si>
    <t>XQ-4771</t>
  </si>
  <si>
    <t>33380-073-100412</t>
  </si>
  <si>
    <t>W3E-847</t>
  </si>
  <si>
    <t> 3950</t>
  </si>
  <si>
    <t xml:space="preserve">VITALIANO PONCE MEDRANO </t>
  </si>
  <si>
    <t>0002-CBGL-05-2004</t>
  </si>
  <si>
    <t>VICTOR GABINO QUISPE GUERRA</t>
  </si>
  <si>
    <t>JR. MARIA PARADO DE BELLIDO N° 37 - SAN FRANCISCO</t>
  </si>
  <si>
    <t>LA MAR</t>
  </si>
  <si>
    <t>AYNA</t>
  </si>
  <si>
    <t>WP-7785</t>
  </si>
  <si>
    <t>148870-073-260120</t>
  </si>
  <si>
    <t>TAYPE OLIVARES OSWALDO ALEJANDRO</t>
  </si>
  <si>
    <t>CALLE COMERCIO Nº 320 CHALA</t>
  </si>
  <si>
    <t xml:space="preserve">V8K-979 </t>
  </si>
  <si>
    <t xml:space="preserve"> C1R-941 </t>
  </si>
  <si>
    <t> C6R-938</t>
  </si>
  <si>
    <t xml:space="preserve">OSWALDO ALEJANDRO TAYPE OLIVARES </t>
  </si>
  <si>
    <t>86994-073-2010</t>
  </si>
  <si>
    <t>EMPRESA DE TRANSPORTES OCELI S.R.L.</t>
  </si>
  <si>
    <t>CALLE TARMA N° 174 - CHUCCHIS</t>
  </si>
  <si>
    <t>ZI-3935</t>
  </si>
  <si>
    <t> YI-3437</t>
  </si>
  <si>
    <t>CELIA VIRGINIA CHAVEZ SALAZAR</t>
  </si>
  <si>
    <t>105314-073-021013</t>
  </si>
  <si>
    <t>JUAN BENITO ARELLANO</t>
  </si>
  <si>
    <t xml:space="preserve">JR. MARIANO MELGAR S/N - HUALHUAS GRANDE </t>
  </si>
  <si>
    <t>D1O-703</t>
  </si>
  <si>
    <t> 4990</t>
  </si>
  <si>
    <t>0002-CBGL-22-2002</t>
  </si>
  <si>
    <t>WX-1490</t>
  </si>
  <si>
    <t>0003-CBGL-22-2002</t>
  </si>
  <si>
    <t>WX-1727</t>
  </si>
  <si>
    <t>88469-073-150219</t>
  </si>
  <si>
    <t>INMACULADA DE LA ASUNTA AREQUIPA S.R.L</t>
  </si>
  <si>
    <t xml:space="preserve">ASC. CIUDAD MUNICIPAL ZONA IV MZA. A LOTE. 3 </t>
  </si>
  <si>
    <t>Z1H-936</t>
  </si>
  <si>
    <t>MILTON FRANCO DIAZ CRISTINO</t>
  </si>
  <si>
    <t>144555-073-250120</t>
  </si>
  <si>
    <t>MZ. G2, LOTE 36, URB. COOVITIOMAR</t>
  </si>
  <si>
    <t>AXI-801</t>
  </si>
  <si>
    <t>ORESTES LEON SOTO</t>
  </si>
  <si>
    <t>JR. ANTONIO GARLAND N° 573</t>
  </si>
  <si>
    <t>WQ-8515</t>
  </si>
  <si>
    <t>144842-073-250120</t>
  </si>
  <si>
    <t>AZK-712</t>
  </si>
  <si>
    <t> 410</t>
  </si>
  <si>
    <t>114411-073-060415</t>
  </si>
  <si>
    <t>GRUPO EL MORADITO S.A.C.</t>
  </si>
  <si>
    <t>AV. GRAU N° 292 INTERIOR 703-B</t>
  </si>
  <si>
    <t>Z5V-799</t>
  </si>
  <si>
    <t>0061-CTPGL-15-2003</t>
  </si>
  <si>
    <t>PEDRO SERAPIO SUMIANO MAURI</t>
  </si>
  <si>
    <t>AV. LOS DIAMANTES N° 2546 URB. SAN CARLOS</t>
  </si>
  <si>
    <t>PC-7089</t>
  </si>
  <si>
    <t>95119-073-141211</t>
  </si>
  <si>
    <t>LUIS GONZAGA RIOS LUCAS</t>
  </si>
  <si>
    <t xml:space="preserve">VILLA EDUCADORES D 08 </t>
  </si>
  <si>
    <t>COV-834</t>
  </si>
  <si>
    <t>147560-073-081119</t>
  </si>
  <si>
    <t xml:space="preserve">ANA GABRIELA AGUILAR HALLASI </t>
  </si>
  <si>
    <t xml:space="preserve">CALLE DANIEL ALCIDES CARRION P.J. 3 DE OCTUBRE MZ. B LOTE 07 </t>
  </si>
  <si>
    <t>V0Q-782</t>
  </si>
  <si>
    <t>106263-073-121113</t>
  </si>
  <si>
    <t>AV. DEL PINAR N° 124 INT. 402 URB. CHACARILLA DEL ESTANQUE</t>
  </si>
  <si>
    <t>C2K-764</t>
  </si>
  <si>
    <t>121487-073-100716</t>
  </si>
  <si>
    <t>INVERSIONES VIFAT HERMANOS E.I.R.L.</t>
  </si>
  <si>
    <t>CALLE 15 DE AGOSTO N° 909-A, BARRIO MORALILLOS</t>
  </si>
  <si>
    <t>S1U-881</t>
  </si>
  <si>
    <t>BRADY PEREZ CHANCHARI</t>
  </si>
  <si>
    <t>0027-CBGL-15-2002</t>
  </si>
  <si>
    <t>WN-1648</t>
  </si>
  <si>
    <t>0009-CTPGL-04-2004</t>
  </si>
  <si>
    <t>CARLOS ALBERTO ZEBALLOS POMACHAPI</t>
  </si>
  <si>
    <t>AV. SAN MARTIN N° 1107</t>
  </si>
  <si>
    <t>OH-5334</t>
  </si>
  <si>
    <t>101260-073-230120</t>
  </si>
  <si>
    <t>D5D-758</t>
  </si>
  <si>
    <t>40799-073-2011</t>
  </si>
  <si>
    <t>RICHARD RONY VELIZ VILCA</t>
  </si>
  <si>
    <t>AV. CHILPINILLA Nº 410</t>
  </si>
  <si>
    <t>OH-6533</t>
  </si>
  <si>
    <t> 1230</t>
  </si>
  <si>
    <t>146130-073-040919</t>
  </si>
  <si>
    <t>A &amp; S OPERADOR LOGISTICO E.I.R.L</t>
  </si>
  <si>
    <t>JR. HUASCAR N° 520</t>
  </si>
  <si>
    <t>BBK-789</t>
  </si>
  <si>
    <t>SEGUNDO JORGE OCAMPO PIÑA</t>
  </si>
  <si>
    <t>0052-CTPGL-15-2007</t>
  </si>
  <si>
    <t>INVERSIONES MEJIA - CALDERON S.A.C.</t>
  </si>
  <si>
    <t>MZ. N. LOTE 186. LOTIZACION LEONCIO PRADO OESTE</t>
  </si>
  <si>
    <t>PGC-235</t>
  </si>
  <si>
    <t>128063-073-081119</t>
  </si>
  <si>
    <t>AV. VARIANTE DE UCHUMAYO KM. 2.5 SEC. SEMI RURAL PACHACUTEC</t>
  </si>
  <si>
    <t>VBR-979</t>
  </si>
  <si>
    <t xml:space="preserve"> ADU-860 </t>
  </si>
  <si>
    <t xml:space="preserve"> ADV-803 </t>
  </si>
  <si>
    <t> AKR-949</t>
  </si>
  <si>
    <t xml:space="preserve"> AKT-833 </t>
  </si>
  <si>
    <t xml:space="preserve"> F3O-867 </t>
  </si>
  <si>
    <t> V0H-736</t>
  </si>
  <si>
    <t xml:space="preserve">ALEJANDRO MARCOS CORRALES RAMOS </t>
  </si>
  <si>
    <t>101415-073-280213</t>
  </si>
  <si>
    <t>D5Y-797</t>
  </si>
  <si>
    <t>111210-073-050914</t>
  </si>
  <si>
    <t>COMTRADIS S. A. C.</t>
  </si>
  <si>
    <t>AV. VENEZUELA MZ-19 LTE-24</t>
  </si>
  <si>
    <t>ACP-723</t>
  </si>
  <si>
    <t> 5250</t>
  </si>
  <si>
    <t>WILFREDO LEONIDAS LEON HUAMAN</t>
  </si>
  <si>
    <t>ELIZARIANA CACERES GIBAJA</t>
  </si>
  <si>
    <t>LOS EUCALIPTOS N° 186 URB. JORGE CHAVEZ</t>
  </si>
  <si>
    <t>PGI-491</t>
  </si>
  <si>
    <t>114410-073-060415</t>
  </si>
  <si>
    <t>Z5V-796</t>
  </si>
  <si>
    <t>0010-CTPGL-04-2004</t>
  </si>
  <si>
    <t>MARICELA ELIZABETH OROPEZA PICASSO</t>
  </si>
  <si>
    <t>PROLONGACION PUENTE ARNAO N° 1702</t>
  </si>
  <si>
    <t>PI-7426</t>
  </si>
  <si>
    <t>107779-073-120214</t>
  </si>
  <si>
    <t xml:space="preserve">C&amp;M SERVICENTROS S.A.C. </t>
  </si>
  <si>
    <t xml:space="preserve">AV. DEL PARQUE NORTE Nº 885 URB CORPAC </t>
  </si>
  <si>
    <t>C4B-841</t>
  </si>
  <si>
    <t>ABELARDO VICENTE CASTRO LUJAN</t>
  </si>
  <si>
    <t>0016-CBGL-15-2004</t>
  </si>
  <si>
    <t>XG-1059</t>
  </si>
  <si>
    <t> 2310</t>
  </si>
  <si>
    <t>137923-073-090818</t>
  </si>
  <si>
    <t>CALLE A, 149, ZONA 7 FUNDO BOCANEGRA</t>
  </si>
  <si>
    <t>AUZ-728</t>
  </si>
  <si>
    <t>0001-CBGL-13-2006</t>
  </si>
  <si>
    <t>PERU GAS S.A.C</t>
  </si>
  <si>
    <t xml:space="preserve">PANAMERICANA NORTE KM. 665 </t>
  </si>
  <si>
    <t>XO-5958</t>
  </si>
  <si>
    <t>0001-CBGL-04-2005</t>
  </si>
  <si>
    <t>CALLE WASHINTONG N° 204-A</t>
  </si>
  <si>
    <t>ZK-1100</t>
  </si>
  <si>
    <t> YH-3319</t>
  </si>
  <si>
    <t>137922-073-090818</t>
  </si>
  <si>
    <t xml:space="preserve">LIMA GAS S A </t>
  </si>
  <si>
    <t xml:space="preserve">CALLE A, 149 ZONA 7 FUNDO BOCANEGRA </t>
  </si>
  <si>
    <t>AVE-765</t>
  </si>
  <si>
    <t>132380-073-190820</t>
  </si>
  <si>
    <t>CORPORACION ROYMAX S.A.C.</t>
  </si>
  <si>
    <t>AV. CONFRATERNIDAD NRO. S/N</t>
  </si>
  <si>
    <t>C9R-982</t>
  </si>
  <si>
    <t> AAC-914</t>
  </si>
  <si>
    <t> A9V-838</t>
  </si>
  <si>
    <t> D3M-850</t>
  </si>
  <si>
    <t xml:space="preserve">TANIA KAREN ARCE ROMANI </t>
  </si>
  <si>
    <t>141087-073-310119</t>
  </si>
  <si>
    <t>PROVEEDORA DEL SUR E.I.R.L.</t>
  </si>
  <si>
    <t>AV. DOS DE MAYO N° 1268</t>
  </si>
  <si>
    <t>AYS-778</t>
  </si>
  <si>
    <t>JULIO ALI FIGUEROA GONZALES</t>
  </si>
  <si>
    <t>93811-073-140911</t>
  </si>
  <si>
    <t>JAIME EDUARDO HURTADO HUAMAN</t>
  </si>
  <si>
    <t>JR. GRAU Nº 390</t>
  </si>
  <si>
    <t>CHUPACA</t>
  </si>
  <si>
    <t>HUACHAC</t>
  </si>
  <si>
    <t>C4O-897</t>
  </si>
  <si>
    <t>43097-073-260215</t>
  </si>
  <si>
    <t>F1J-944</t>
  </si>
  <si>
    <t>0008-CTPGL-04-2004</t>
  </si>
  <si>
    <t>JAIME ERNESTO CABANA MANTILLA</t>
  </si>
  <si>
    <t>COOPERATIVA UNIVERSITARIA MZ. F LOTE 1-B</t>
  </si>
  <si>
    <t>OH-5821</t>
  </si>
  <si>
    <t>0015-CBGL-15-2004</t>
  </si>
  <si>
    <t>XQ-3861</t>
  </si>
  <si>
    <t>XI-2992</t>
  </si>
  <si>
    <t>86812-073-270115</t>
  </si>
  <si>
    <t>A2Q-811</t>
  </si>
  <si>
    <t> 2970</t>
  </si>
  <si>
    <t>94131-073-270115</t>
  </si>
  <si>
    <t>C1Y-826</t>
  </si>
  <si>
    <t> 3475</t>
  </si>
  <si>
    <t>0046-CBGL-15-2001</t>
  </si>
  <si>
    <t>WO-4798</t>
  </si>
  <si>
    <t>92916-073-060711</t>
  </si>
  <si>
    <t>JORGE UBERTO MEDINA TTITO</t>
  </si>
  <si>
    <t xml:space="preserve">CALLE MOLLENDO MZ B, LT 6, URB. 200 MILLAS </t>
  </si>
  <si>
    <t>ZH-1771</t>
  </si>
  <si>
    <t>0070-CTPGL-15-2001</t>
  </si>
  <si>
    <t>PGI-410</t>
  </si>
  <si>
    <t>140543-073-311218</t>
  </si>
  <si>
    <t xml:space="preserve">ROMEL VILCHEZ VILLACRES </t>
  </si>
  <si>
    <t xml:space="preserve">JR. ALFONSO UGARTE 364 </t>
  </si>
  <si>
    <t>AWJ-796</t>
  </si>
  <si>
    <t>89107-073-2010</t>
  </si>
  <si>
    <t>EUGENIO VIVANCO ENCISO</t>
  </si>
  <si>
    <t>MZ. P, LT. 29A, URBANIZACIÓN ROSA LUZ</t>
  </si>
  <si>
    <t>PQY-812</t>
  </si>
  <si>
    <t>94132-073-270115</t>
  </si>
  <si>
    <t>C1T-877</t>
  </si>
  <si>
    <t>0000127-CUS</t>
  </si>
  <si>
    <t>FLAVIO PEZO GARRIDO</t>
  </si>
  <si>
    <t>MARIANO LOS SANTOS N° 403</t>
  </si>
  <si>
    <t>CALCA</t>
  </si>
  <si>
    <t>PT-1233</t>
  </si>
  <si>
    <t>0006-CTPGL-07-2003</t>
  </si>
  <si>
    <t>CALLE MANTARO N° 528 URB. SANTA LUISA</t>
  </si>
  <si>
    <t>OI-5981</t>
  </si>
  <si>
    <t>0007-CTPGL-07-2003</t>
  </si>
  <si>
    <t>OQ-5472</t>
  </si>
  <si>
    <t>137727-073-010818</t>
  </si>
  <si>
    <t xml:space="preserve">LUIS WILMER GONZALES PALOMINO </t>
  </si>
  <si>
    <t>JR. AGUAYTIA MZ. 24 LT. 06</t>
  </si>
  <si>
    <t>CAMPOVERDE</t>
  </si>
  <si>
    <t>AXE-932</t>
  </si>
  <si>
    <t>43098-073-180814</t>
  </si>
  <si>
    <t>D6C-795</t>
  </si>
  <si>
    <t>0001-CBGL-07-2003</t>
  </si>
  <si>
    <t>XP-3825</t>
  </si>
  <si>
    <t>ZM-1002</t>
  </si>
  <si>
    <t> WM-2345</t>
  </si>
  <si>
    <t>144990-073-211020</t>
  </si>
  <si>
    <t>ENTERPRISE GOAL S.R.L.</t>
  </si>
  <si>
    <t>AV JACINTO IBARRA N°260</t>
  </si>
  <si>
    <t>W1L-993</t>
  </si>
  <si>
    <t> C1U-748</t>
  </si>
  <si>
    <t>103262-073-211218</t>
  </si>
  <si>
    <t>NEGOCIOS VICA E.I.R.L.</t>
  </si>
  <si>
    <t>JR. PUNO N° 1069</t>
  </si>
  <si>
    <t>MORROPON</t>
  </si>
  <si>
    <t>CHULUCANAS</t>
  </si>
  <si>
    <t>P2L-773</t>
  </si>
  <si>
    <t xml:space="preserve">SEGUNDO MANUEL ANTONIO VILCHEZ CARDENAS </t>
  </si>
  <si>
    <t>89182-073-2010</t>
  </si>
  <si>
    <t>XC-1908</t>
  </si>
  <si>
    <t>0018-CTPGL-15-2001</t>
  </si>
  <si>
    <t>PGX-926</t>
  </si>
  <si>
    <t>0019-CTPGL-15-2001</t>
  </si>
  <si>
    <t>PGX-924</t>
  </si>
  <si>
    <t>0018-CBGL-15-2001</t>
  </si>
  <si>
    <t>XI-7595</t>
  </si>
  <si>
    <t>0015-CBGL-15-2001</t>
  </si>
  <si>
    <t>PW-1815</t>
  </si>
  <si>
    <t>0016-CBGL-15-2001</t>
  </si>
  <si>
    <t>WD-7822</t>
  </si>
  <si>
    <t>0140-CBGL-15-2001</t>
  </si>
  <si>
    <t>XQ-3880</t>
  </si>
  <si>
    <t>0002-CBGL-14-2007</t>
  </si>
  <si>
    <t>MARIA CECILIA OJEDA HERNANDEZ</t>
  </si>
  <si>
    <t>IMELDA LOPEZ N° 235 URB. MAGISTERIAL</t>
  </si>
  <si>
    <t>WC-8684</t>
  </si>
  <si>
    <t>60951-073-240215</t>
  </si>
  <si>
    <t>F8B-795</t>
  </si>
  <si>
    <t>86916-073-270115</t>
  </si>
  <si>
    <t>A2Q-929</t>
  </si>
  <si>
    <t>0004-CBGL-12-2009</t>
  </si>
  <si>
    <t>WP-9909</t>
  </si>
  <si>
    <t>LUIS LEON ESTRADA</t>
  </si>
  <si>
    <t>URB. SARITA COLONIA MZ. K LOTE 16</t>
  </si>
  <si>
    <t>OG-5079</t>
  </si>
  <si>
    <t>0003-CBGL-12-2008</t>
  </si>
  <si>
    <t>FREDDY MATIAS BALDEON OROPEZA</t>
  </si>
  <si>
    <t>JR. PASCO 392</t>
  </si>
  <si>
    <t>XP-5201</t>
  </si>
  <si>
    <t> XP-5201</t>
  </si>
  <si>
    <t>0005-CBGL-12-2009</t>
  </si>
  <si>
    <t>WP-9910</t>
  </si>
  <si>
    <t>0032-CTPGL-15-2001</t>
  </si>
  <si>
    <t>OQ-8784</t>
  </si>
  <si>
    <t>117019-073-020915</t>
  </si>
  <si>
    <t>TRANSMINO E.I.R.L</t>
  </si>
  <si>
    <t>CALLE JORGE CHAVEZ E-11</t>
  </si>
  <si>
    <t>V7Y-779</t>
  </si>
  <si>
    <t>NORI AGUILAR AYALA DE RIVERA</t>
  </si>
  <si>
    <t>134291-073-060218</t>
  </si>
  <si>
    <t>ADQ-987</t>
  </si>
  <si>
    <t> T9F-939</t>
  </si>
  <si>
    <t> AHY-847</t>
  </si>
  <si>
    <t> F4O-753</t>
  </si>
  <si>
    <t> AJW-892</t>
  </si>
  <si>
    <t> ANF-735</t>
  </si>
  <si>
    <t> ANR-910</t>
  </si>
  <si>
    <t> AMK-773</t>
  </si>
  <si>
    <t> 15360</t>
  </si>
  <si>
    <t>87499-073-2010</t>
  </si>
  <si>
    <t>CLAUDIA PRADO LLALLAHUI</t>
  </si>
  <si>
    <t>JR. LOS ALAMOS N° 210</t>
  </si>
  <si>
    <t>XU-4933</t>
  </si>
  <si>
    <t> 2890</t>
  </si>
  <si>
    <t>110535-073-120714</t>
  </si>
  <si>
    <t>AV. DEL PINAR N° 124, INT. 402- URB CHACARILLA DEL ESTANQUE</t>
  </si>
  <si>
    <t>ABL-775</t>
  </si>
  <si>
    <t>60952-073-130315</t>
  </si>
  <si>
    <t>F6Y-818</t>
  </si>
  <si>
    <t>96972-073-220512</t>
  </si>
  <si>
    <t>PSJE. LAS ORQUIDEAS N° 110</t>
  </si>
  <si>
    <t>C9U-865</t>
  </si>
  <si>
    <t>104576-073-031219</t>
  </si>
  <si>
    <t>CRUZ CORP SOCIEDAD ANONIMA CERRADA</t>
  </si>
  <si>
    <t>PROLONG. AV REAL S/N SICUANI ESQUINA PANAMERICANA CON PUENTE CAMILO</t>
  </si>
  <si>
    <t>B6W-728</t>
  </si>
  <si>
    <t>141357-073-150219</t>
  </si>
  <si>
    <t>A5Z-894</t>
  </si>
  <si>
    <t> 3985</t>
  </si>
  <si>
    <t>EMPRESA DICHU E.I.R.L.</t>
  </si>
  <si>
    <t>JR. ALFONSO UGARTE N° 197</t>
  </si>
  <si>
    <t>XI-4242</t>
  </si>
  <si>
    <t> 1080</t>
  </si>
  <si>
    <t>94808-073-290312</t>
  </si>
  <si>
    <t>JESHUA OPERADOR LOGISTICO S.A.C</t>
  </si>
  <si>
    <t>CALLE CALLAO N° 1002</t>
  </si>
  <si>
    <t>P2G-890</t>
  </si>
  <si>
    <t>0047-CBGL-15-2001</t>
  </si>
  <si>
    <t>XI-1404</t>
  </si>
  <si>
    <t>0048-CBGL-15-2001</t>
  </si>
  <si>
    <t>XG-3440</t>
  </si>
  <si>
    <t>FULL GAS INVERSIONES ANDINAS S.R.L.</t>
  </si>
  <si>
    <t>AV. VERONA N° 2031 URB. INDUSTRIAL SANTA ROSA</t>
  </si>
  <si>
    <t>XG-7819</t>
  </si>
  <si>
    <t>102652-073-020315</t>
  </si>
  <si>
    <t>TRANSPORTES EFRAIN ANDRADE S.A.C</t>
  </si>
  <si>
    <t>PROLONGACION LA MAR 121 URB EL RETABLO</t>
  </si>
  <si>
    <t>D3J-979</t>
  </si>
  <si>
    <t> B5L-866</t>
  </si>
  <si>
    <t> C1T-777</t>
  </si>
  <si>
    <t>0001-CTPGL-21-2009</t>
  </si>
  <si>
    <t>JR. DANIEL ALCIDES CARRIÓN Nº 1355 - MZ. B LT. 12</t>
  </si>
  <si>
    <t>PU-6914</t>
  </si>
  <si>
    <t> 106</t>
  </si>
  <si>
    <t>0097-CTPGL-15-2003</t>
  </si>
  <si>
    <t>JOAQUIN SANTA CRUZ AGUILAR</t>
  </si>
  <si>
    <t>JR. OCROS N° 399 URB. SANTOYO</t>
  </si>
  <si>
    <t>PGX-218</t>
  </si>
  <si>
    <t>0098-CTPGL-15-2003</t>
  </si>
  <si>
    <t>RENTA GAS S.A.C.</t>
  </si>
  <si>
    <t>PIJ-412</t>
  </si>
  <si>
    <t>96197-073-150312</t>
  </si>
  <si>
    <t>SERVOSA GAS SAC</t>
  </si>
  <si>
    <t>AV B S/N URB EX FUNDO OQUENDO</t>
  </si>
  <si>
    <t>COW-837</t>
  </si>
  <si>
    <t>0002-CBGL-04-2003</t>
  </si>
  <si>
    <t>LORENZA JUSTINIANA SULLCA MAQUE</t>
  </si>
  <si>
    <t>JR. UCAYALI N° 213 PP.JJ. BUENOS AIRES</t>
  </si>
  <si>
    <t>XH-3531</t>
  </si>
  <si>
    <t>21716-073-150418</t>
  </si>
  <si>
    <t>COSTA GAS TRUJILLO S.A.C.</t>
  </si>
  <si>
    <t>CARRETERA INDUSTRIAL A LAREDO KM. 1-C</t>
  </si>
  <si>
    <t>P1I-929</t>
  </si>
  <si>
    <t>MARCO ANTONIO VASQUEZ WONG</t>
  </si>
  <si>
    <t>133051-073-211117</t>
  </si>
  <si>
    <t>PAUL EDSON MEDINA LA TORRE</t>
  </si>
  <si>
    <t>JR. COLOMBIA 211 PAMPA DE CAMARONES</t>
  </si>
  <si>
    <t>VCB-981</t>
  </si>
  <si>
    <t> V7I-883</t>
  </si>
  <si>
    <t> 15320</t>
  </si>
  <si>
    <t>0002-CBGL-10-2009</t>
  </si>
  <si>
    <t>WK-4577</t>
  </si>
  <si>
    <t> 2170</t>
  </si>
  <si>
    <t>140397-073-211218</t>
  </si>
  <si>
    <t>MACROSIG INGENIEROS S.A.</t>
  </si>
  <si>
    <t>URB. ROSAS DEL VALLE F -24 II ETAPA</t>
  </si>
  <si>
    <t>AYM-935</t>
  </si>
  <si>
    <t xml:space="preserve">JIMMY WOODY HUAMAN VALDIVIA </t>
  </si>
  <si>
    <t>VISI GAS S.A.</t>
  </si>
  <si>
    <t>MARISCAL LA MAR N° 200 URB. EL PINO</t>
  </si>
  <si>
    <t>WG-1823</t>
  </si>
  <si>
    <t>104600-073-280813</t>
  </si>
  <si>
    <t>JR NESTOR MADALENGOITIA 151</t>
  </si>
  <si>
    <t>D0K-770</t>
  </si>
  <si>
    <t>104611-073-230813</t>
  </si>
  <si>
    <t>AV. MARISCAL OSCAR R. BENAVIDES N° 4470 URB. SAN JOSE</t>
  </si>
  <si>
    <t>B9I-737</t>
  </si>
  <si>
    <t> 760</t>
  </si>
  <si>
    <t>EDUARDO RAUL RAMIREZ ROMAN</t>
  </si>
  <si>
    <t>108370-073-090516</t>
  </si>
  <si>
    <t>C4X-871</t>
  </si>
  <si>
    <t>0157-CBGL-15-2001</t>
  </si>
  <si>
    <t>WO-4238</t>
  </si>
  <si>
    <t>CLI ALMACENAJE Y DISTRIBUCION S.A</t>
  </si>
  <si>
    <t>CALLE SANTA ROSA N° 511</t>
  </si>
  <si>
    <t>XQ-3856</t>
  </si>
  <si>
    <t>93012-073-110418</t>
  </si>
  <si>
    <t>MOCHE</t>
  </si>
  <si>
    <t>T2N-841</t>
  </si>
  <si>
    <t> 2355</t>
  </si>
  <si>
    <t>PID-819</t>
  </si>
  <si>
    <t>91860-073-180716</t>
  </si>
  <si>
    <t>JR. VIRGEN DEL PILAR MZ N. LOTE 12</t>
  </si>
  <si>
    <t>F6T-987</t>
  </si>
  <si>
    <t> X1L-818</t>
  </si>
  <si>
    <t>113718-073-060215</t>
  </si>
  <si>
    <t>A4K-880</t>
  </si>
  <si>
    <t>108408-073-010915</t>
  </si>
  <si>
    <t>URBANIZACION LA COLONIAL 2DA ETAPA I-4</t>
  </si>
  <si>
    <t>V5S-785</t>
  </si>
  <si>
    <t>CARMEN ROSA PRADA CUMBA DE UGARTE</t>
  </si>
  <si>
    <t>AV. MERINO N° 2027</t>
  </si>
  <si>
    <t>PH-5562</t>
  </si>
  <si>
    <t>92915-073-010915</t>
  </si>
  <si>
    <t>URBANIZACION LA COLONIAL 2 ETAPA, I-4</t>
  </si>
  <si>
    <t>Z2T-932</t>
  </si>
  <si>
    <t> 3990</t>
  </si>
  <si>
    <t>PGQ-689</t>
  </si>
  <si>
    <t>0023-CBGL-15-2005</t>
  </si>
  <si>
    <t>AV. ALFREDO MENDIOLA N° 1405 - URB. FIORI</t>
  </si>
  <si>
    <t>XG-3856</t>
  </si>
  <si>
    <t> 3220</t>
  </si>
  <si>
    <t>98789-073-181012</t>
  </si>
  <si>
    <t>JIRON MIRAFLORES BARRIO LA NUEVA ESPERANZA MZ B LOTE 14</t>
  </si>
  <si>
    <t>B1N-949</t>
  </si>
  <si>
    <t>3665-073-121018</t>
  </si>
  <si>
    <t>D4B-975</t>
  </si>
  <si>
    <t> AXU-912</t>
  </si>
  <si>
    <t>137957-073-080818</t>
  </si>
  <si>
    <t>MZ. B LOTE 4, URB. LOS DELFINES</t>
  </si>
  <si>
    <t>Z6V-758</t>
  </si>
  <si>
    <t>130930-073-181018</t>
  </si>
  <si>
    <t>CALLE SANTA JUANITA NRO. 169 - PP.JJ. URRUNAGA</t>
  </si>
  <si>
    <t>B5H-895</t>
  </si>
  <si>
    <t>87481-073-2010</t>
  </si>
  <si>
    <t>TRANSPORTES ESCOBAR EIRL</t>
  </si>
  <si>
    <t>URB INDEPENDENCIA AMERICANA A-11</t>
  </si>
  <si>
    <t>ZG-9931</t>
  </si>
  <si>
    <t> YG-9063</t>
  </si>
  <si>
    <t>MELANEA ELISABETH CAHUANA RAMOS</t>
  </si>
  <si>
    <t>PGQ-680</t>
  </si>
  <si>
    <t>0009-CBGL-08-2009</t>
  </si>
  <si>
    <t>LINARES REYNOSO, LILIAM ELAINE</t>
  </si>
  <si>
    <t>PROLONGACION AV. MANCO CAPAC Nº 242</t>
  </si>
  <si>
    <t>WK-4344</t>
  </si>
  <si>
    <t>83080-073-190717</t>
  </si>
  <si>
    <t>SEGUNDO GERONIMO VIZCARDO SANCHES</t>
  </si>
  <si>
    <t>CALLE CHACHAPOYAS Nº 202, URB. SAN MARTÍN DE SOCABAYA</t>
  </si>
  <si>
    <t>Z4W-721</t>
  </si>
  <si>
    <t>0009-CBGL-12-2008</t>
  </si>
  <si>
    <t>WP-9753</t>
  </si>
  <si>
    <t>137956-073-080818</t>
  </si>
  <si>
    <t xml:space="preserve">MZ. B LOTE 04, URB. LOS DELFINES </t>
  </si>
  <si>
    <t>Z6V-760</t>
  </si>
  <si>
    <t>0066-CTPGL-15-2004</t>
  </si>
  <si>
    <t>AV. PRIMAVERA N° 1290 OFIC. 401 - MONTERRICO</t>
  </si>
  <si>
    <t>OG-3537</t>
  </si>
  <si>
    <t>122284-073-040716</t>
  </si>
  <si>
    <t>AVENIDA NUEVO HORIZONTE MZ E LT 9</t>
  </si>
  <si>
    <t>ALU-788</t>
  </si>
  <si>
    <t>PGQ-681</t>
  </si>
  <si>
    <t>ZG-3905</t>
  </si>
  <si>
    <t> YG-6117</t>
  </si>
  <si>
    <t> 30000</t>
  </si>
  <si>
    <t>PGQ-691</t>
  </si>
  <si>
    <t>137955-073-080818</t>
  </si>
  <si>
    <t>Z6V-759</t>
  </si>
  <si>
    <t>106029-073-290316</t>
  </si>
  <si>
    <t>F2M-783</t>
  </si>
  <si>
    <t>137070-073-280618</t>
  </si>
  <si>
    <t>D6T-973</t>
  </si>
  <si>
    <t> B4Z-903</t>
  </si>
  <si>
    <t> 11880</t>
  </si>
  <si>
    <t>104962-073-280316</t>
  </si>
  <si>
    <t>A2I-913</t>
  </si>
  <si>
    <t>61909-073-2010</t>
  </si>
  <si>
    <t>138 S.A.C.</t>
  </si>
  <si>
    <t>CALLE PEDRO HERAUD N° 105</t>
  </si>
  <si>
    <t>PQF-165</t>
  </si>
  <si>
    <t>MARÍA VIRGINIA GIANNINA OSORES BARANDIARÁN</t>
  </si>
  <si>
    <t>141254-073-140219</t>
  </si>
  <si>
    <t>LIZANDRO ALIAGA DURAN</t>
  </si>
  <si>
    <t>CENTRO POBLADO HUARICHACA</t>
  </si>
  <si>
    <t>PACHITEA</t>
  </si>
  <si>
    <t>MOLINO</t>
  </si>
  <si>
    <t>AJJ-800</t>
  </si>
  <si>
    <t>0081-CBGL-15-2005</t>
  </si>
  <si>
    <t>ROSA VICTORIA MENDOZA BERNAL</t>
  </si>
  <si>
    <t>JR. RAMON CASTILLA N° 460 EL PROGRESO</t>
  </si>
  <si>
    <t>XQ-8524</t>
  </si>
  <si>
    <t>0004-CBGL-13-2006</t>
  </si>
  <si>
    <t>ELIAS MANUEL LUJAN BLAS</t>
  </si>
  <si>
    <t>LAS RODONITAS MZ 54 LOTE 11</t>
  </si>
  <si>
    <t>WX-1436</t>
  </si>
  <si>
    <t>0067-CTPGL-15-2005</t>
  </si>
  <si>
    <t>J &amp; J SERVICES TRANSPORTES Y SERVICIOS GENERALES S.A.C</t>
  </si>
  <si>
    <t>JR. JORGE EZETA 425 2DO. PISO</t>
  </si>
  <si>
    <t>PIT-848</t>
  </si>
  <si>
    <t>0004-CBGL-12-2007</t>
  </si>
  <si>
    <t>ZP-1182</t>
  </si>
  <si>
    <t> 13680</t>
  </si>
  <si>
    <t>0068-CTPGL-15-2005</t>
  </si>
  <si>
    <t xml:space="preserve">JR. JORGE EZETA 425 2DO PSIO </t>
  </si>
  <si>
    <t>PIT-849</t>
  </si>
  <si>
    <t>PG-4821</t>
  </si>
  <si>
    <t>0066-CTPGL-15-2005</t>
  </si>
  <si>
    <t>J &amp; J SERVICES - TRANSPORTES Y SERVICIOS GENERALES S.A.C</t>
  </si>
  <si>
    <t xml:space="preserve">JR. JORGE EZETA 425 2DO. PISO </t>
  </si>
  <si>
    <t>PIT-846</t>
  </si>
  <si>
    <t>0064-CTPGL-15-2005</t>
  </si>
  <si>
    <t>J &amp; J SERVICES - TRANSPORTE Y SERVICIOS GENERALES S.A.C.</t>
  </si>
  <si>
    <t>PIT-847</t>
  </si>
  <si>
    <t>PQ-1932</t>
  </si>
  <si>
    <t>JULIO CESAR RAMOS CISNEROS</t>
  </si>
  <si>
    <t>CALLE MANZANITOS N° 310</t>
  </si>
  <si>
    <t>OI-6524</t>
  </si>
  <si>
    <t>123861-073-101016</t>
  </si>
  <si>
    <t xml:space="preserve">SERVICIOS GENERALES YERVIN E.I.R.L. </t>
  </si>
  <si>
    <t xml:space="preserve">JR. TARAPACA 400 </t>
  </si>
  <si>
    <t>BOLOGNESI</t>
  </si>
  <si>
    <t>CHIQUIAN</t>
  </si>
  <si>
    <t>D2T-944</t>
  </si>
  <si>
    <t> D2T-944</t>
  </si>
  <si>
    <t>EDUARDO PACO PEREZ GAMARRA</t>
  </si>
  <si>
    <t>44769-073-2010</t>
  </si>
  <si>
    <t>PIY-787</t>
  </si>
  <si>
    <t>DELMIRA MARÍA DEL CARMEN OSORES BARANDIARÁN</t>
  </si>
  <si>
    <t>ALBERTO RUESTA JIMENEZ</t>
  </si>
  <si>
    <t>AV. PANAMERICANA N° 720</t>
  </si>
  <si>
    <t>WB-1155</t>
  </si>
  <si>
    <t>CALLE SANTA ISABEL N° 462 AA.HH. SANCHEZ CERRO</t>
  </si>
  <si>
    <t>PB-2704</t>
  </si>
  <si>
    <t>PX-2653</t>
  </si>
  <si>
    <t>0006-CBGL-12-2004</t>
  </si>
  <si>
    <t>XO-6274</t>
  </si>
  <si>
    <t>44534-073-2010</t>
  </si>
  <si>
    <t>138 S.A.C</t>
  </si>
  <si>
    <t>PIY-324</t>
  </si>
  <si>
    <t>MARIA VIRGINIA GIANNINA OSORES BARANDIARAN</t>
  </si>
  <si>
    <t>0057-CBGL-15-2009</t>
  </si>
  <si>
    <t>CALLE A, ZONA 7, EX FUNDO BOCANEGRA CALLAO-LIMA GAS</t>
  </si>
  <si>
    <t>XG-2805</t>
  </si>
  <si>
    <t>OI-3835</t>
  </si>
  <si>
    <t>0058-CBGL-15-2009</t>
  </si>
  <si>
    <t xml:space="preserve">MZ.M LT.7 ASOC. VIV. SR. DE LOS MILAGROS </t>
  </si>
  <si>
    <t>XG-4183</t>
  </si>
  <si>
    <t> 3060</t>
  </si>
  <si>
    <t>119483-073-260820</t>
  </si>
  <si>
    <t>Y1B-986</t>
  </si>
  <si>
    <t>110957-073-110814</t>
  </si>
  <si>
    <t>DISTRIBUIDORA CAT Y SERVICIOS EMPRESA INDIVIDUAL DE RESPONSABILIDAD LIMITADA</t>
  </si>
  <si>
    <t xml:space="preserve">COMPLEJO HABITACIONAL HILARIO MENDIVIL N° I-B DEPARTAMENTO 302 </t>
  </si>
  <si>
    <t>B7D-791</t>
  </si>
  <si>
    <t>CARLOS ALBERTO TINAJEROS LOVATON</t>
  </si>
  <si>
    <t>123666-073-180718</t>
  </si>
  <si>
    <t>UNASOL E.I.R.L.</t>
  </si>
  <si>
    <t>W5T-741</t>
  </si>
  <si>
    <t>RODOLFO FELIX CASTRO YUPANQUI</t>
  </si>
  <si>
    <t>CALLE LAS LAS EXPORTACIONES N° 231 URB. INDUSTRIAL PRO</t>
  </si>
  <si>
    <t>OG-6110</t>
  </si>
  <si>
    <t>ACCIONISTAS Y DISTRIBUIDORES DE GAS S.A.</t>
  </si>
  <si>
    <t>JR. TAYACAJA N° 642</t>
  </si>
  <si>
    <t>XI-6488</t>
  </si>
  <si>
    <t>FELIX PABLO CABILLAS VENTOCILLA</t>
  </si>
  <si>
    <t>JR. LA PALMA N° 376</t>
  </si>
  <si>
    <t>PGJ-542</t>
  </si>
  <si>
    <t>61910-073-2010</t>
  </si>
  <si>
    <t>PQF-515</t>
  </si>
  <si>
    <t>0003-CBGL-20-2010</t>
  </si>
  <si>
    <t xml:space="preserve">MZ 223 LOTES 3, 4, 5 ZONA INDUSTRIAL </t>
  </si>
  <si>
    <t>T1B-816</t>
  </si>
  <si>
    <t> 2505</t>
  </si>
  <si>
    <t>106270-202-150316</t>
  </si>
  <si>
    <t>F2T-828</t>
  </si>
  <si>
    <t>113199-073-270919</t>
  </si>
  <si>
    <t>C1X-871</t>
  </si>
  <si>
    <t>NAJAR BENITES WILLY EZEQUIEL</t>
  </si>
  <si>
    <t>43275-073-2010</t>
  </si>
  <si>
    <t>PIV-189</t>
  </si>
  <si>
    <t>106028-073-110316</t>
  </si>
  <si>
    <t>F2L-863</t>
  </si>
  <si>
    <t>0035-CBGL-15-2007</t>
  </si>
  <si>
    <t>MONRROY ARROYO CESAR AUGUSTO</t>
  </si>
  <si>
    <t>CALLE HUGO ESPINIZA 156 URB. CUETO FERNANDINI</t>
  </si>
  <si>
    <t>WP-8988</t>
  </si>
  <si>
    <t>106031-073-280316</t>
  </si>
  <si>
    <t>F2L-907</t>
  </si>
  <si>
    <t>144360-073-060619</t>
  </si>
  <si>
    <t>VALDIVIA CONTRERAS YMER ITALUCIO</t>
  </si>
  <si>
    <t>PASAJE SANTA INES MZ. B LT. 12 AA.HH JUANITA ALCANTARA</t>
  </si>
  <si>
    <t>B3S-878</t>
  </si>
  <si>
    <t>97220-073-180612</t>
  </si>
  <si>
    <t>CALLE COMERCIO N°320</t>
  </si>
  <si>
    <t>D5J-923</t>
  </si>
  <si>
    <t>0024-CTPGL-15-2005</t>
  </si>
  <si>
    <t>JR. JOSE ITURREGUI N°1056</t>
  </si>
  <si>
    <t>PIP-621</t>
  </si>
  <si>
    <t>141086-073-050219</t>
  </si>
  <si>
    <t xml:space="preserve">SANTOS YSABEL CHAMORRO AGUILAR </t>
  </si>
  <si>
    <t>MZ.12 LOTE 13 ALBERTO FUJIMORI FUJIMORI</t>
  </si>
  <si>
    <t>T9Q-858</t>
  </si>
  <si>
    <t> T9Q-858</t>
  </si>
  <si>
    <t>PACIENCIA SATURNINA CHUPAN ESPINOZA</t>
  </si>
  <si>
    <t>JR. HUAYTAMPA N° 499</t>
  </si>
  <si>
    <t>PG-6525</t>
  </si>
  <si>
    <t>ANTONIO GANTO ESCANDON</t>
  </si>
  <si>
    <t>URB. PACHACAMAC MZ. H LOTE 29</t>
  </si>
  <si>
    <t>PI-9584</t>
  </si>
  <si>
    <t>41833-073-2010</t>
  </si>
  <si>
    <t>JR. PEDRO HERAUD N° 105</t>
  </si>
  <si>
    <t>PIS-938</t>
  </si>
  <si>
    <t> 535</t>
  </si>
  <si>
    <t>DELMIRA MARIA DEL CARMEN OSORES BARANDIARAN</t>
  </si>
  <si>
    <t>43479-073-2010</t>
  </si>
  <si>
    <t>PIV-896</t>
  </si>
  <si>
    <t>0002-CBGL-15-2006</t>
  </si>
  <si>
    <t>REPRESENTACIONES B&amp;K S.A.</t>
  </si>
  <si>
    <t>AV, INDUSTRIAL 705</t>
  </si>
  <si>
    <t>WC-5881</t>
  </si>
  <si>
    <t>0008-CTPGL-07-2003</t>
  </si>
  <si>
    <t>OQ-4256</t>
  </si>
  <si>
    <t>0010-CBGL-15-2004</t>
  </si>
  <si>
    <t>CALLE LAS GAVIOTAS MZ. I-2 LOTE 22 URB. CLUB SANTA MARIA DE HUACHIPA</t>
  </si>
  <si>
    <t>XI-6051</t>
  </si>
  <si>
    <t>PC-7306</t>
  </si>
  <si>
    <t>103047-073-220513</t>
  </si>
  <si>
    <t>JORSAN E.I.R.L.</t>
  </si>
  <si>
    <t>CENTRO POBLADO VERA CRUZ CHICA, CALLE SANTA ROSA MZ X1, LOTE 03</t>
  </si>
  <si>
    <t>COCACHACRA</t>
  </si>
  <si>
    <t>B5U-932</t>
  </si>
  <si>
    <t>JORGE LUIS LLOSA PALACIOS</t>
  </si>
  <si>
    <t>RICARDO BERROSPI HUARCAYA</t>
  </si>
  <si>
    <t>AV. MARIANO CORNEJO N° 1645</t>
  </si>
  <si>
    <t>OI-3990</t>
  </si>
  <si>
    <t>41832-073-2010</t>
  </si>
  <si>
    <t>PIS-939</t>
  </si>
  <si>
    <t>PI-1089</t>
  </si>
  <si>
    <t>0105-CBGL-15-2005</t>
  </si>
  <si>
    <t>XP-2718</t>
  </si>
  <si>
    <t> 5040</t>
  </si>
  <si>
    <t>44768-073-2010</t>
  </si>
  <si>
    <t>PIY-788</t>
  </si>
  <si>
    <t>103557-073-120613</t>
  </si>
  <si>
    <t>TRANSPORTES ANTAGAS S.R.L</t>
  </si>
  <si>
    <t>AV NUEVO HORIZONTE MZ E LT 9-INT 3 URB. NUEVO HORIZONTE</t>
  </si>
  <si>
    <t>B9H-895</t>
  </si>
  <si>
    <t>89516-073-2010</t>
  </si>
  <si>
    <t>AV. DOLORES Nº 203</t>
  </si>
  <si>
    <t>V2H-853</t>
  </si>
  <si>
    <t>97183-073-050514</t>
  </si>
  <si>
    <t>CALLE PAZ SOLDAN N° 113 - VALLECITO</t>
  </si>
  <si>
    <t>V5F-922</t>
  </si>
  <si>
    <t> 8680</t>
  </si>
  <si>
    <t>136056-073-100518</t>
  </si>
  <si>
    <t>JESUS SALVADOR PORTOCARRERO PORTACARRERO</t>
  </si>
  <si>
    <t>JR. ANGAIZA N° 415</t>
  </si>
  <si>
    <t>M3J-739</t>
  </si>
  <si>
    <t> M3J-739</t>
  </si>
  <si>
    <t>1158162-TAC</t>
  </si>
  <si>
    <t>AV. EJERCITO N° 630</t>
  </si>
  <si>
    <t>PGJ-408</t>
  </si>
  <si>
    <t>118774-073-071215</t>
  </si>
  <si>
    <t>REPRESENTACIONES Y DISTRIBUCIONES C&amp;V S.R.L.</t>
  </si>
  <si>
    <t>URB. PAMPAS DE CONGATA IIMZ R LT 26</t>
  </si>
  <si>
    <t>UCHUMAYO</t>
  </si>
  <si>
    <t>V8A-801</t>
  </si>
  <si>
    <t>EUFRACIO ADOLFO CALDERON MOSCOSO</t>
  </si>
  <si>
    <t>0028-CBGL-15-2003</t>
  </si>
  <si>
    <t>VENANCIO VICTOR ANAYA FLORES</t>
  </si>
  <si>
    <t>AA.HH. HORACIO ZEVALLOS MZ. 35 LOTE 8</t>
  </si>
  <si>
    <t>XG-5727</t>
  </si>
  <si>
    <t>144430-073-040619</t>
  </si>
  <si>
    <t>BAO-852</t>
  </si>
  <si>
    <t> 5050</t>
  </si>
  <si>
    <t>0001-CTPGL-14-2008</t>
  </si>
  <si>
    <t>KARINA YVONNE SANTOYO SOKOLOWSKY</t>
  </si>
  <si>
    <t>CALLE COLON No 679 - OFICINA 401</t>
  </si>
  <si>
    <t>PIF-370</t>
  </si>
  <si>
    <t>0007-CBGL-15-2003</t>
  </si>
  <si>
    <t>CALLE LAS EXPORTACIONES N° 140 URB. INDUSTRIAL PRO</t>
  </si>
  <si>
    <t>WC-9256</t>
  </si>
  <si>
    <t>0026-CBGL-15-2009</t>
  </si>
  <si>
    <t>URB. AZCARRUNZ ALTO, MZ. C, LOTE 9 (JR. LOS FAISANES)</t>
  </si>
  <si>
    <t>WQ-2765</t>
  </si>
  <si>
    <t>89568-073-2010</t>
  </si>
  <si>
    <t>JUVENAL GONZALES PAREDES</t>
  </si>
  <si>
    <t xml:space="preserve">AV. DOLORES N° 203 </t>
  </si>
  <si>
    <t>OH-9670</t>
  </si>
  <si>
    <t>0036-CBGL-15-2002</t>
  </si>
  <si>
    <t>WC-7300</t>
  </si>
  <si>
    <t>89570-073-2010</t>
  </si>
  <si>
    <t>V2F-904</t>
  </si>
  <si>
    <t>134065-073-230118</t>
  </si>
  <si>
    <t>ASOC. CIUDAD MUNICIPAL ZONA VII, MZ. L, LOTE Nº 19</t>
  </si>
  <si>
    <t>V9K-807</t>
  </si>
  <si>
    <t>87322-073-2010</t>
  </si>
  <si>
    <t>INSTAGAS R.D. S.A.C.</t>
  </si>
  <si>
    <t>URBANIZACIÓN VILLA UNIÓN HUANCARO F-4</t>
  </si>
  <si>
    <t>A5L-853</t>
  </si>
  <si>
    <t>103558-073-140613</t>
  </si>
  <si>
    <t xml:space="preserve">AV. NUEVO HORIZONTE MZ. E LT. 9 INT. 3 NUEVO HORIZONTE </t>
  </si>
  <si>
    <t>D3C-876</t>
  </si>
  <si>
    <t>130552-073-200717</t>
  </si>
  <si>
    <t>CELAJES GAS EIRL</t>
  </si>
  <si>
    <t>AV. JOSE MARIA ARGUEDAS N°209</t>
  </si>
  <si>
    <t>ANN-840</t>
  </si>
  <si>
    <t>MERK WIGMAN NEYRA JERI</t>
  </si>
  <si>
    <t>133830-073-030118</t>
  </si>
  <si>
    <t>GRUPO S &amp; G MANRIQUE REPRESENTACIONES E.I.R.L.</t>
  </si>
  <si>
    <t>PUEBLO JOVEN EL TRIUNFO ZONA C MZ. B LT 8</t>
  </si>
  <si>
    <t>V9B-784</t>
  </si>
  <si>
    <t>144432-073-040619</t>
  </si>
  <si>
    <t>BAO-855</t>
  </si>
  <si>
    <t>84055-073-030817</t>
  </si>
  <si>
    <t xml:space="preserve">CARRETERA CUSCO URCOS S/N </t>
  </si>
  <si>
    <t>D5U-716</t>
  </si>
  <si>
    <t> 4800</t>
  </si>
  <si>
    <t>128459-073-260617</t>
  </si>
  <si>
    <t>PROL. MCAL NIETO DOMINGO N° 142A. URB LOS SAUCES</t>
  </si>
  <si>
    <t>C9M-925</t>
  </si>
  <si>
    <t>115054-073-050515</t>
  </si>
  <si>
    <t>GE INVERSIONES EIRL</t>
  </si>
  <si>
    <t>AV TOMAS BERTELLO MZ A LOTE 01 URB LAS BEGONIAS DE SANTA ROSA</t>
  </si>
  <si>
    <t>AAH-817</t>
  </si>
  <si>
    <t>MARITZA ISABEL MEDINA MATOS</t>
  </si>
  <si>
    <t>AV. CORDIALIDAD N° 7990 URB. PRO</t>
  </si>
  <si>
    <t>WD-4600</t>
  </si>
  <si>
    <t>109790-073-290614</t>
  </si>
  <si>
    <t>CALLE COMERCIO N° 320</t>
  </si>
  <si>
    <t>D9L-725</t>
  </si>
  <si>
    <t>118772-073-071215</t>
  </si>
  <si>
    <t>URB. PAMPAS DE CONGATA II MZ R LT.26</t>
  </si>
  <si>
    <t>V8A-767</t>
  </si>
  <si>
    <t xml:space="preserve">EUFRACIO ADOLFO CALDERON MOSCOSO </t>
  </si>
  <si>
    <t>0027-CTPGL-15-2005</t>
  </si>
  <si>
    <t>J &amp; J SERVICES TRANSPORTES Y SERVICIOS GENERALES SAC.</t>
  </si>
  <si>
    <t>JR. JOSE ITURREGUI N° 1056</t>
  </si>
  <si>
    <t>PIQ-943</t>
  </si>
  <si>
    <t>147326-073-231019</t>
  </si>
  <si>
    <t>ABEL EDUARDO LUQUE CLAROS</t>
  </si>
  <si>
    <t>URB. LAS BUGANVILIAS F-24</t>
  </si>
  <si>
    <t>Z3J-889</t>
  </si>
  <si>
    <t>95032-073-121211</t>
  </si>
  <si>
    <t>FABIANA TAMAYO QUIQUEA</t>
  </si>
  <si>
    <t>VICTOR RAUL HAYA DE LA TORRE MZ. A LT. 1</t>
  </si>
  <si>
    <t>OH-9780</t>
  </si>
  <si>
    <t>102235-073-170413</t>
  </si>
  <si>
    <t xml:space="preserve">AV. LAS PALMAS LOTE 6 - JOSE GALVEZ </t>
  </si>
  <si>
    <t>B9O-838</t>
  </si>
  <si>
    <t> 920</t>
  </si>
  <si>
    <t>ZENON SEVERO FALCON VALDIVIA</t>
  </si>
  <si>
    <t>0094-CBGL-15-2001</t>
  </si>
  <si>
    <t>WG-3471</t>
  </si>
  <si>
    <t>0093-CBGL-15-2001</t>
  </si>
  <si>
    <t>WQ-3795</t>
  </si>
  <si>
    <t>0006-CBGL-22-2005</t>
  </si>
  <si>
    <t>ROMAN SAAVEDRA CARRANZA</t>
  </si>
  <si>
    <t>CALLE ORFEBRES N° 298</t>
  </si>
  <si>
    <t>WC-7095</t>
  </si>
  <si>
    <t>103560-073-120613</t>
  </si>
  <si>
    <t>AV NUEVO HORIZONTE MZ E LT 19-INT 3 URB. NUEVO HORIZONTE</t>
  </si>
  <si>
    <t>D7M-882</t>
  </si>
  <si>
    <t>103559-073-140613</t>
  </si>
  <si>
    <t>D8B-854</t>
  </si>
  <si>
    <t> 2045</t>
  </si>
  <si>
    <t>144434-073-040619</t>
  </si>
  <si>
    <t>BAO-786</t>
  </si>
  <si>
    <t>0003-CBGL-10-2005</t>
  </si>
  <si>
    <t>MZ D LT 12 CARRETERA CENTRAL HUÁNUCO-TINGO MARIA KM. 3.5 MIR</t>
  </si>
  <si>
    <t>XI-9503</t>
  </si>
  <si>
    <t>0001-CBGL-20-2009</t>
  </si>
  <si>
    <t>WK-4048</t>
  </si>
  <si>
    <t>112976-073-181214</t>
  </si>
  <si>
    <t xml:space="preserve">CARRETERA FERNANDO BELAUNDE TERRY N° S/N KM 1.5 CARRETERA JUANJUI TOCACHE </t>
  </si>
  <si>
    <t>M2K-764</t>
  </si>
  <si>
    <t> 2130</t>
  </si>
  <si>
    <t>144436-073-030619</t>
  </si>
  <si>
    <t>AV. MANUEL DE LA TORRE N° 183 URB. LOS FICUS</t>
  </si>
  <si>
    <t>BAP-821</t>
  </si>
  <si>
    <t>124991-073-180117</t>
  </si>
  <si>
    <t>AV. TACNA N° 139, URB. CERCADO DE WANCHAQ</t>
  </si>
  <si>
    <t>X4C-747</t>
  </si>
  <si>
    <t>DANTE ABARCA AGUILAR</t>
  </si>
  <si>
    <t>151414-073-300920</t>
  </si>
  <si>
    <t>BEW-768</t>
  </si>
  <si>
    <t> 3495</t>
  </si>
  <si>
    <t>118964-073-231215</t>
  </si>
  <si>
    <t>EXSA E.I.R.L.</t>
  </si>
  <si>
    <t>JR. MARIANO MELGAR N° 643</t>
  </si>
  <si>
    <t>BAGUA</t>
  </si>
  <si>
    <t>M1M-822</t>
  </si>
  <si>
    <t>JOSE EDILBERTO ESTELA ALTAMIRANO</t>
  </si>
  <si>
    <t>106582-073-130114</t>
  </si>
  <si>
    <t>JR. MARIANO MELGAR S/N - HUALHUAS GRANDE</t>
  </si>
  <si>
    <t>F3H-940</t>
  </si>
  <si>
    <t>99562-073-291112</t>
  </si>
  <si>
    <t>LUIS ALBERTO PINTO CHANCO</t>
  </si>
  <si>
    <t>COOPERATIVA N° 19 PORONGOCHE E-12</t>
  </si>
  <si>
    <t>W3J-858</t>
  </si>
  <si>
    <t> 2427</t>
  </si>
  <si>
    <t>0069-CTPGL-15-2001</t>
  </si>
  <si>
    <t>OI-6251</t>
  </si>
  <si>
    <t>107766-073-141014</t>
  </si>
  <si>
    <t>D6F-708</t>
  </si>
  <si>
    <t> 6400</t>
  </si>
  <si>
    <t>0068-CTPGL-15-2001</t>
  </si>
  <si>
    <t>OI-7290</t>
  </si>
  <si>
    <t>0013-CTPGL-15-2004</t>
  </si>
  <si>
    <t>KARINA LILIANA VASQUEZ COBEÑAS</t>
  </si>
  <si>
    <t>JR. ALMIRANTE GUISSE N° 1911</t>
  </si>
  <si>
    <t>PGT-489</t>
  </si>
  <si>
    <t>124435-073-141016</t>
  </si>
  <si>
    <t xml:space="preserve">HERNAN ALCIDES BACA GONZALES </t>
  </si>
  <si>
    <t xml:space="preserve">AV. MARGINAL N° 151 URB. JAVIER PRADO VI ETAPA </t>
  </si>
  <si>
    <t>B5Q-771</t>
  </si>
  <si>
    <t>62681-073-310817</t>
  </si>
  <si>
    <t>MAGMA INVERSIONES DEL SUR SOCIEDAD ANONIMA CERRADA</t>
  </si>
  <si>
    <t>CAL. NUEVA ALTA N° 757 URB. CERCADO</t>
  </si>
  <si>
    <t>V8Q-915</t>
  </si>
  <si>
    <t xml:space="preserve">JOSE IGNACIO CERVANTES MONTEAGUDO </t>
  </si>
  <si>
    <t>144435-073-040619</t>
  </si>
  <si>
    <t>BAO-892</t>
  </si>
  <si>
    <t>144433-073-040619</t>
  </si>
  <si>
    <t>BAO-893</t>
  </si>
  <si>
    <t>0002-CBGL-10-2005</t>
  </si>
  <si>
    <t>MZ D LT 12 CARRETERA HUÁNUCO-TINGO MARIA KM. 3.5 MIRAFLORES</t>
  </si>
  <si>
    <t>XI-8859</t>
  </si>
  <si>
    <t> 12880</t>
  </si>
  <si>
    <t>0001-CBGL-10-2005</t>
  </si>
  <si>
    <t>MZ D LT 12 CARRETERA HUÁNUCO-TINGO MARÍA KM 3.5 MIRAFLORES</t>
  </si>
  <si>
    <t>WZ-3126</t>
  </si>
  <si>
    <t>0037-CBGL-15-2002</t>
  </si>
  <si>
    <t>WC-6703</t>
  </si>
  <si>
    <t>0001-CTBGL-04-2009</t>
  </si>
  <si>
    <t>SOLEDAD CHARCA QUISPE</t>
  </si>
  <si>
    <t>CALLE PUENTE ARNAO 1120</t>
  </si>
  <si>
    <t>OH-7329</t>
  </si>
  <si>
    <t> 235</t>
  </si>
  <si>
    <t>125809-073-180920</t>
  </si>
  <si>
    <t>TRANSPORTES CONDORPUNA S.R.L.</t>
  </si>
  <si>
    <t>AV. "A" N° 256 SECTOR SANTA EMILIA</t>
  </si>
  <si>
    <t>M3K-978</t>
  </si>
  <si>
    <t> AFY-802</t>
  </si>
  <si>
    <t> BED-710</t>
  </si>
  <si>
    <t> 14000</t>
  </si>
  <si>
    <t>MIGUEL ANGEL DIAZ CUBAS</t>
  </si>
  <si>
    <t>95031-073-121211</t>
  </si>
  <si>
    <t>VICTOR RAUL HAYA DE LA TORRE MZ. A LOTE 1</t>
  </si>
  <si>
    <t>OH-9783</t>
  </si>
  <si>
    <t>0031-CBGL-15-2006</t>
  </si>
  <si>
    <t>PANAMERICANA SUR KM 301 ICA CENTRO DE DISTRIBUCIÓN SOLGAS IC</t>
  </si>
  <si>
    <t>WD-7311</t>
  </si>
  <si>
    <t> 1125</t>
  </si>
  <si>
    <t>0080-CBGL-15-2005</t>
  </si>
  <si>
    <t>MZ. M LOTE 7 COOPETARIVA SEÑOR DE LOS MILAGROS</t>
  </si>
  <si>
    <t>XO-1387</t>
  </si>
  <si>
    <t>0012-CTPGL-15-2004</t>
  </si>
  <si>
    <t>MARIA ANTONIETA MENDEZ RAMOS</t>
  </si>
  <si>
    <t>PI-5398</t>
  </si>
  <si>
    <t>139457-073-130120</t>
  </si>
  <si>
    <t xml:space="preserve">ACR-983 </t>
  </si>
  <si>
    <t> B5P-794</t>
  </si>
  <si>
    <t> AMV-790</t>
  </si>
  <si>
    <t> AHG-810</t>
  </si>
  <si>
    <t xml:space="preserve">ANITA PATRICIA FALCON RAMIREZ </t>
  </si>
  <si>
    <t>124030-073-171016</t>
  </si>
  <si>
    <t xml:space="preserve">JEINER BURGOS JUAPE </t>
  </si>
  <si>
    <t>CALLE LOS LAURELES MZ. B LOTE 1 CASERIO SAN JOSE</t>
  </si>
  <si>
    <t>VIRU</t>
  </si>
  <si>
    <t>T4V-858</t>
  </si>
  <si>
    <t> 3225</t>
  </si>
  <si>
    <t>0012-CBGL-04-2007</t>
  </si>
  <si>
    <t>URB. ALVAREZ THOMAS A - 24</t>
  </si>
  <si>
    <t>WH-8072</t>
  </si>
  <si>
    <t> 4883</t>
  </si>
  <si>
    <t>0006-CBGL-13-2009</t>
  </si>
  <si>
    <t>XI-1146</t>
  </si>
  <si>
    <t>84999-073-040818</t>
  </si>
  <si>
    <t>JR. LAMBAYEQUE ZONA F MZ. 20 LOTE 1 SEMIRURAL PACHACUTEC</t>
  </si>
  <si>
    <t>V3B-752</t>
  </si>
  <si>
    <t> 5720</t>
  </si>
  <si>
    <t>41161-073-040818</t>
  </si>
  <si>
    <t>W2Y-824</t>
  </si>
  <si>
    <t>112197-073-051114</t>
  </si>
  <si>
    <t>EMPRESA DE TRANSPORTES CESAR S.A.C</t>
  </si>
  <si>
    <t>T7B-842</t>
  </si>
  <si>
    <t> 1972</t>
  </si>
  <si>
    <t xml:space="preserve">CESAR AUGUSTO HEREDIA LOPEZ </t>
  </si>
  <si>
    <t>0017-CBGL-12-2005</t>
  </si>
  <si>
    <t>ZP-1179</t>
  </si>
  <si>
    <t> YN-1095</t>
  </si>
  <si>
    <t> 20160</t>
  </si>
  <si>
    <t>134581-073-210218</t>
  </si>
  <si>
    <t>CALLE UNIÓN ZONA A, MZ. E, LOTE Nº 12, PP.JJ. VILLA INDEPENDIENTE</t>
  </si>
  <si>
    <t>V8V-916</t>
  </si>
  <si>
    <t>RAUL LOPEZ QUISPE</t>
  </si>
  <si>
    <t>39967-073-040818</t>
  </si>
  <si>
    <t>V5W-707</t>
  </si>
  <si>
    <t>62806-073-040818</t>
  </si>
  <si>
    <t>V2P-877</t>
  </si>
  <si>
    <t> 7440</t>
  </si>
  <si>
    <t>0072-CTPGL-15-2003</t>
  </si>
  <si>
    <t>MZ. F LOTE 38 COMITE 6 AA.HH. FLOR DE AMANCAES</t>
  </si>
  <si>
    <t>PIA-308</t>
  </si>
  <si>
    <t>96663-073-060712</t>
  </si>
  <si>
    <t>MAXIMO ESCOBAR MAMANI</t>
  </si>
  <si>
    <t>CALLE PAZ SOLDAN 612</t>
  </si>
  <si>
    <t>V2D-760</t>
  </si>
  <si>
    <t> 1725</t>
  </si>
  <si>
    <t>0005-CBGL-14-2006</t>
  </si>
  <si>
    <t>CALLE PARDO Y MIGUEL N° 379 URB LATINA</t>
  </si>
  <si>
    <t>WQ-4995</t>
  </si>
  <si>
    <t>37397-073-240517</t>
  </si>
  <si>
    <t>F9J-730</t>
  </si>
  <si>
    <t>0001-CTBGL-08-2001</t>
  </si>
  <si>
    <t>ELISBAN ESCOBAR SANCHEZ</t>
  </si>
  <si>
    <t>URB. SAN LUIS F-3</t>
  </si>
  <si>
    <t>PZ-6465</t>
  </si>
  <si>
    <t>0003-CBGL-14-2008</t>
  </si>
  <si>
    <t>TRANSPORTES Y SERVICIOS MARA S.A.C.</t>
  </si>
  <si>
    <t>MZCALLE JUAN BUEN DIA N 254 - URB. PATAZCA</t>
  </si>
  <si>
    <t>XI-3946</t>
  </si>
  <si>
    <t> 4760</t>
  </si>
  <si>
    <t>0004-CBGL-14-2008</t>
  </si>
  <si>
    <t>WILLIAM BONON CUBAS</t>
  </si>
  <si>
    <t>CALLE SUCRE 957</t>
  </si>
  <si>
    <t>WC-8647</t>
  </si>
  <si>
    <t> 3700</t>
  </si>
  <si>
    <t>39304-073-050818</t>
  </si>
  <si>
    <t>B3K-873</t>
  </si>
  <si>
    <t>132628-073-311017</t>
  </si>
  <si>
    <t>DAVID CONDORI DURAND</t>
  </si>
  <si>
    <t>LAS CASUARINAS 3ERA ETAPA MZ. H LT. 12</t>
  </si>
  <si>
    <t>ATV-700</t>
  </si>
  <si>
    <t>148523-073-230120</t>
  </si>
  <si>
    <t>SERVICIOS EN OPERACIONES LOGISTICAS DE HICROCARBUROS Y MERCANCIAS S.A.C. - SOLHYM S.A.C.</t>
  </si>
  <si>
    <t xml:space="preserve">CALLE 1 MZ. "B" LOTE 21, URB. SANTA ROSITA DE ATE I ETAPA </t>
  </si>
  <si>
    <t>BDC-878</t>
  </si>
  <si>
    <t>0070-CTPGL-15-2003</t>
  </si>
  <si>
    <t>DISTRIBUIDORA ZOOO S.A.C</t>
  </si>
  <si>
    <t>AV. GUARDIA REPUBLICANA N? 1070 EX-CAPILLA</t>
  </si>
  <si>
    <t>PID-855</t>
  </si>
  <si>
    <t>0060-CTPGL-15-2006</t>
  </si>
  <si>
    <t>FIDEL AMADOR ARIAS RAMOS</t>
  </si>
  <si>
    <t>PROLONGACION CORONEL CASTILLO 472</t>
  </si>
  <si>
    <t>MALA</t>
  </si>
  <si>
    <t>PIK-464</t>
  </si>
  <si>
    <t>108397-073-190314</t>
  </si>
  <si>
    <t>CARLOS ADRIANO BONILLA ROALCABA</t>
  </si>
  <si>
    <t>AV. SIMON BOLIVAR N° 1444 CHONGOYAPE.</t>
  </si>
  <si>
    <t>CHONGOYAPE</t>
  </si>
  <si>
    <t>M4S-849</t>
  </si>
  <si>
    <t>ESPINOZA CHICCHIS, VIRGILIA</t>
  </si>
  <si>
    <t>PGC-791</t>
  </si>
  <si>
    <t>92275-073-240517</t>
  </si>
  <si>
    <t>B0S-908</t>
  </si>
  <si>
    <t>45030-073-050813</t>
  </si>
  <si>
    <t>ZONA INDUSTRIAL MZ. 227 LOTE 10</t>
  </si>
  <si>
    <t>Z3W-742</t>
  </si>
  <si>
    <t>0049-CTPGL-15-2005</t>
  </si>
  <si>
    <t>PIT-223</t>
  </si>
  <si>
    <t>144834-073-260619</t>
  </si>
  <si>
    <t>TITAN GAS S.A.C.</t>
  </si>
  <si>
    <t>AV. EL SOL MZA. D1 LOTE 7A Z.I. PARQUE INDUSTRIAL</t>
  </si>
  <si>
    <t>B8T-733</t>
  </si>
  <si>
    <t>JOHN FRANCO CARBAJAL RUIZ</t>
  </si>
  <si>
    <t>0015-CBGL-12-2007</t>
  </si>
  <si>
    <t>TERESA PETRONILA SANCHEZ BENITO</t>
  </si>
  <si>
    <t>FCO. DE PAULA Y OTERO N°183</t>
  </si>
  <si>
    <t>XP-5667</t>
  </si>
  <si>
    <t>86625-073-2010</t>
  </si>
  <si>
    <t>CARRETERA PANAMERICANA SUR KM.21</t>
  </si>
  <si>
    <t>XI-5544</t>
  </si>
  <si>
    <t> 2377</t>
  </si>
  <si>
    <t>121621-073-310516</t>
  </si>
  <si>
    <t>URB. SOL DE ORO, MZ. A, LOTE N° 7, ZONA B</t>
  </si>
  <si>
    <t>V8I-829</t>
  </si>
  <si>
    <t>3644-073-121018</t>
  </si>
  <si>
    <t>D4Z-995</t>
  </si>
  <si>
    <t> D50-847</t>
  </si>
  <si>
    <t>0052-CTPGL-15-2003</t>
  </si>
  <si>
    <t>OSCAR EDUARDO BRAVO CARRERA</t>
  </si>
  <si>
    <t>EDIFICIO LOS SAUCES - DPTO 603 RESIDENCIAL SAN FELIPE</t>
  </si>
  <si>
    <t>PL-2445</t>
  </si>
  <si>
    <t>RUFINO MEJIA VALLE</t>
  </si>
  <si>
    <t>AV.REPUBLICA N° 395 TABLADA DE LURIN</t>
  </si>
  <si>
    <t>PGS-843</t>
  </si>
  <si>
    <t>20832-073-190116</t>
  </si>
  <si>
    <t>EMPRESA DE TRANSPORTES DON FERNANDO S.A.C.</t>
  </si>
  <si>
    <t>CARRETERA INDUSTRIAL A LAREDO - SUB LOTE 04 - BARRIO NUEVO KM. 1-C</t>
  </si>
  <si>
    <t>T5M-908</t>
  </si>
  <si>
    <t>0014-CTPGL-15-2007</t>
  </si>
  <si>
    <t>JOSE OSWALDO CHAVEZ VASQUEZ</t>
  </si>
  <si>
    <t>JR. HUAMANGA N 1225</t>
  </si>
  <si>
    <t>PGH-380</t>
  </si>
  <si>
    <t>0002-CBGL-20-2007</t>
  </si>
  <si>
    <t>AV. GRAU Nº 1007 - CASTILLA</t>
  </si>
  <si>
    <t>WO-6002</t>
  </si>
  <si>
    <t>0060-CTPGL-15-2003</t>
  </si>
  <si>
    <t>SERVICENTRO LOS ROSALES S.A.</t>
  </si>
  <si>
    <t>AV. PROLONGACION PASEO DE LA REPUBLICA N° 7807</t>
  </si>
  <si>
    <t>PIA-211</t>
  </si>
  <si>
    <t>3401-073-240517</t>
  </si>
  <si>
    <t>F3B-737</t>
  </si>
  <si>
    <t> 225</t>
  </si>
  <si>
    <t>0001-CBGL-20-2008</t>
  </si>
  <si>
    <t>AV, GRAU N° 1007</t>
  </si>
  <si>
    <t>XW-1048</t>
  </si>
  <si>
    <t>113314-073-310115</t>
  </si>
  <si>
    <t>CARMEN DOLORES FLORES DELGADO</t>
  </si>
  <si>
    <t>ABRAHAM MANRIQUE C-9</t>
  </si>
  <si>
    <t>V0G-978</t>
  </si>
  <si>
    <t> V7K-814</t>
  </si>
  <si>
    <t> 11760</t>
  </si>
  <si>
    <t>91431-073-2011</t>
  </si>
  <si>
    <t>ROLANDO CARLOS RODRIGUEZ VELASCO</t>
  </si>
  <si>
    <t>PASAJE TARAPACA N° 260</t>
  </si>
  <si>
    <t>W2O-835</t>
  </si>
  <si>
    <t>0012-CTPGL-15-2007</t>
  </si>
  <si>
    <t>CALLE BERNARDINO LEON Y LEON N° 105</t>
  </si>
  <si>
    <t>PGO-129</t>
  </si>
  <si>
    <t>144427-073-040619</t>
  </si>
  <si>
    <t>BAO-854</t>
  </si>
  <si>
    <t>39406-073-2010</t>
  </si>
  <si>
    <t xml:space="preserve">HUARO OPERADOR LOGISTICO S.A.C. </t>
  </si>
  <si>
    <t>AV. SOSA PELAEZ N° 1111 BLOCK 06 DPTO 106</t>
  </si>
  <si>
    <t>A4A-990</t>
  </si>
  <si>
    <t> YG-9110</t>
  </si>
  <si>
    <t>IRMA ADELA ROJAS FLORES</t>
  </si>
  <si>
    <t>0004-CBGL-13-2009</t>
  </si>
  <si>
    <t>MZ. L LOTE 10 URB. PORTAL DEL CHACARERO</t>
  </si>
  <si>
    <t>WC-6426</t>
  </si>
  <si>
    <t>0083-CTPGL-15-2002</t>
  </si>
  <si>
    <t>PII-535</t>
  </si>
  <si>
    <t>20626-073-191115</t>
  </si>
  <si>
    <t xml:space="preserve">AV. PANAMERICANA SUR KM. 59 </t>
  </si>
  <si>
    <t>F7B-739</t>
  </si>
  <si>
    <t>0010-CBGL-07-2005</t>
  </si>
  <si>
    <t>EXTRA GAS S.A.</t>
  </si>
  <si>
    <t>MZ-B-U LT-11-14 - URB. INDUSTRIAL OQUENDO KM 8 ½</t>
  </si>
  <si>
    <t>XG-5239</t>
  </si>
  <si>
    <t>LUIS MARTIN MINAYA SALDAÑA</t>
  </si>
  <si>
    <t>HERMELINDA CARRERA N° 151 URB. PANDO</t>
  </si>
  <si>
    <t>WH-7788</t>
  </si>
  <si>
    <t>0017-CTPGL-15-2007</t>
  </si>
  <si>
    <t>PIS-762</t>
  </si>
  <si>
    <t>WQ-2466</t>
  </si>
  <si>
    <t>0022-CBGL-15-2007</t>
  </si>
  <si>
    <t>AV. GRAN CHIMU 143, COOPERATIVA ANDAHUAYLAS</t>
  </si>
  <si>
    <t>WGA-545</t>
  </si>
  <si>
    <t> 3870</t>
  </si>
  <si>
    <t>AMELIA R. ALVA GARRO</t>
  </si>
  <si>
    <t>JR. EMILIO TENORIO GADEA N° 267</t>
  </si>
  <si>
    <t>WO-7366</t>
  </si>
  <si>
    <t>107848-073-060314</t>
  </si>
  <si>
    <t>F5Y-852</t>
  </si>
  <si>
    <t>98657-073-021012</t>
  </si>
  <si>
    <t>P1W-714</t>
  </si>
  <si>
    <t>CASTRO ARAMBULO WILLIAM RODOLFO</t>
  </si>
  <si>
    <t>62566-073-220813</t>
  </si>
  <si>
    <t>C2N-813</t>
  </si>
  <si>
    <t>0011-CBGL-07-2005</t>
  </si>
  <si>
    <t>WK-2836</t>
  </si>
  <si>
    <t>117971-073-261218</t>
  </si>
  <si>
    <t xml:space="preserve">SERVICIOS GADA E.I.R.L. </t>
  </si>
  <si>
    <t xml:space="preserve">CALLE CIRO ALEGRIA N° 276. URB. JUAN PABLO II </t>
  </si>
  <si>
    <t>AJI-898</t>
  </si>
  <si>
    <t>GABY CRISTINA MORENO MATOS</t>
  </si>
  <si>
    <t>106250-073-081113</t>
  </si>
  <si>
    <t>TRANSPORTES CESAR AUGUSTO SALAZAR E.I.R.L.</t>
  </si>
  <si>
    <t>MZ. K LOTE 28 CONJUNTO HABITACIONAL MICAELA BASTIDAS II ETAPA</t>
  </si>
  <si>
    <t>M4I-710</t>
  </si>
  <si>
    <t>0012-CBGL-07-2005</t>
  </si>
  <si>
    <t>XG-9015</t>
  </si>
  <si>
    <t>0016-CTPGL-15-2001</t>
  </si>
  <si>
    <t>HUALBERTO D. PEÑAFIEL PANDO</t>
  </si>
  <si>
    <t>SECTOR FRANCISCO DE LA CRUZ MZ. 38 LOTE 21 AA.HH. PAMPLONA ALTA</t>
  </si>
  <si>
    <t>PB-1685</t>
  </si>
  <si>
    <t>142064-073-200319</t>
  </si>
  <si>
    <t>BERNARDINO LIMA CAHUANA</t>
  </si>
  <si>
    <t xml:space="preserve">BLOCK 78 DPTO. 402 URB. LA CRUCETA </t>
  </si>
  <si>
    <t>AHW-873</t>
  </si>
  <si>
    <t>144429-073-050619</t>
  </si>
  <si>
    <t>BAP-842</t>
  </si>
  <si>
    <t>AV. PROLONGACION PRIMAVERA N° 120 OF. A-316</t>
  </si>
  <si>
    <t>WL-1070</t>
  </si>
  <si>
    <t>85607-073-2010</t>
  </si>
  <si>
    <t>VILMA CCAPIRA QUISPE</t>
  </si>
  <si>
    <t>ASENTAMIENTO HUMANO BERLIN CALLE GARDENIAS MZ C LT 2 ZONA "A"</t>
  </si>
  <si>
    <t>OH-9130</t>
  </si>
  <si>
    <t>144431-073-050619</t>
  </si>
  <si>
    <t>AV. MANUEL DE LA TORRE 183 URB. LOS FICUS</t>
  </si>
  <si>
    <t>BAO-895</t>
  </si>
  <si>
    <t>97494-073-190712</t>
  </si>
  <si>
    <t>AGRIPINA CHAMBI MAMANI</t>
  </si>
  <si>
    <t>CALLE LAMBAYEQUE S/N, MZ. F-10, LT. 02 SEMI RURAL PACHACUTEC</t>
  </si>
  <si>
    <t>P2A-835</t>
  </si>
  <si>
    <t>124103-073-221216</t>
  </si>
  <si>
    <t>F1U-809</t>
  </si>
  <si>
    <t> 6870</t>
  </si>
  <si>
    <t>0081-CTPGL-15-2002</t>
  </si>
  <si>
    <t>PIJ-001</t>
  </si>
  <si>
    <t>144428-073-040619</t>
  </si>
  <si>
    <t>BAO-783</t>
  </si>
  <si>
    <t>107846-073-070314</t>
  </si>
  <si>
    <t>F5W-846</t>
  </si>
  <si>
    <t> 6850</t>
  </si>
  <si>
    <t>89319-073-2010</t>
  </si>
  <si>
    <t xml:space="preserve">PASAJE LOS PINOS 190 PISO 16 MIRAFLORES </t>
  </si>
  <si>
    <t>B1U-834</t>
  </si>
  <si>
    <t>107844-073-070314</t>
  </si>
  <si>
    <t>F5W-909</t>
  </si>
  <si>
    <t>107845-073-070314</t>
  </si>
  <si>
    <t>F5Y-790</t>
  </si>
  <si>
    <t>84914-073-2010</t>
  </si>
  <si>
    <t>JESÚS ANGÉLICA MEJÍA ZÚÑIGA</t>
  </si>
  <si>
    <t>AA.HH. BOCANEGRA - CALLAO, MZ. C14, LOTE 19</t>
  </si>
  <si>
    <t>PGU-152</t>
  </si>
  <si>
    <t> 740</t>
  </si>
  <si>
    <t>120423-073-100719</t>
  </si>
  <si>
    <t>ALO-742</t>
  </si>
  <si>
    <t>89307-073-2010</t>
  </si>
  <si>
    <t>PASAJE LOS PINOS 190 PISO 16 - MIRAFLORES</t>
  </si>
  <si>
    <t>B1U-838</t>
  </si>
  <si>
    <t>CARLOS ARTURO GÓMEZ LAZO</t>
  </si>
  <si>
    <t>89289-073-2010</t>
  </si>
  <si>
    <t xml:space="preserve">PASAJE LOS PINOS N° 190, PISO 16 </t>
  </si>
  <si>
    <t>B1T-856</t>
  </si>
  <si>
    <t>0096-CBGL-15-2005</t>
  </si>
  <si>
    <t>XO-7952</t>
  </si>
  <si>
    <t> 5175</t>
  </si>
  <si>
    <t>89334-073-2010</t>
  </si>
  <si>
    <t>PASAJE LOS PINOS N° 190, PISO 16</t>
  </si>
  <si>
    <t>B1T-819</t>
  </si>
  <si>
    <t>89290-073-2010</t>
  </si>
  <si>
    <t>B1T-929</t>
  </si>
  <si>
    <t>44813-073-040613</t>
  </si>
  <si>
    <t>D5N-922</t>
  </si>
  <si>
    <t>TRANSPORTE MALAMUT S.R.L.</t>
  </si>
  <si>
    <t>TENIENTE ROMANET N° 135</t>
  </si>
  <si>
    <t>XI-6959</t>
  </si>
  <si>
    <t>114925-073-230415</t>
  </si>
  <si>
    <t>TEOFILO QUISPE TINTAYA</t>
  </si>
  <si>
    <t>AV. 28 DE JULIO Nº 547</t>
  </si>
  <si>
    <t>YUNGUYO</t>
  </si>
  <si>
    <t>Y1H-836</t>
  </si>
  <si>
    <t>0008-CBGL-07-2005</t>
  </si>
  <si>
    <t>CALLE BETA N° 279-A PARQUE INTERNACIONAL INDUSTRIA Y COMERCIO</t>
  </si>
  <si>
    <t>XI-1818</t>
  </si>
  <si>
    <t>107849-073-060314</t>
  </si>
  <si>
    <t>F5Y-789</t>
  </si>
  <si>
    <t>0005-CBGL-25-2008</t>
  </si>
  <si>
    <t>SUPERGAS AMAZONICO SAC</t>
  </si>
  <si>
    <t>JR. LOS CEDROS LOTES 06, 07 , 08,16,17,18</t>
  </si>
  <si>
    <t>WM-2548</t>
  </si>
  <si>
    <t>107841-073-050314</t>
  </si>
  <si>
    <t>F5W-898</t>
  </si>
  <si>
    <t>107840-073-050314</t>
  </si>
  <si>
    <t>F5Y-842</t>
  </si>
  <si>
    <t>89318-073-2010</t>
  </si>
  <si>
    <t>B1T-858</t>
  </si>
  <si>
    <t>120899-073-221019</t>
  </si>
  <si>
    <t>NORTH GAS S.A.C.</t>
  </si>
  <si>
    <t>CALLE DANIEL ALCIDES CARRION MZ. R LT. 1</t>
  </si>
  <si>
    <t>A8I-877</t>
  </si>
  <si>
    <t>PEDRO ANTONIO CALLAN RAMOS</t>
  </si>
  <si>
    <t>0002-CBGL-06-2005</t>
  </si>
  <si>
    <t>JR. EXEQUIEL MONTOYA N° 853</t>
  </si>
  <si>
    <t>WC-6623</t>
  </si>
  <si>
    <t>107847-073-070314</t>
  </si>
  <si>
    <t>CALLE MINERIA 320 URB. LOS FICUS</t>
  </si>
  <si>
    <t>F5W-908</t>
  </si>
  <si>
    <t>34405-073-031018</t>
  </si>
  <si>
    <t>FELIPE ELMER ROMERO RAMOS</t>
  </si>
  <si>
    <t>SECTOR 09 GRUPO 1 MZ. D LT.16</t>
  </si>
  <si>
    <t>C4N-897</t>
  </si>
  <si>
    <t>147880-073-251119</t>
  </si>
  <si>
    <t>MULTISERVICIOS J.K.F. SOCIEDAD ANONIMA CERRADA-MULTISERVICIOS J.K.F. S.A.C.</t>
  </si>
  <si>
    <t>AV. PUKIRI MZA. T LOTE. 12-B CENTRO POBLADO PUKIRI</t>
  </si>
  <si>
    <t>X4N-785</t>
  </si>
  <si>
    <t>0001-CBGL-25-2007</t>
  </si>
  <si>
    <t xml:space="preserve">AV. ARBORIZACION S/N </t>
  </si>
  <si>
    <t>WGC-399</t>
  </si>
  <si>
    <t>0003-CBGL-12-2004</t>
  </si>
  <si>
    <t>WP-7945</t>
  </si>
  <si>
    <t> 9200</t>
  </si>
  <si>
    <t>107842-073-050314</t>
  </si>
  <si>
    <t>F5W-871</t>
  </si>
  <si>
    <t>0004-CBGL-12-2008</t>
  </si>
  <si>
    <t>JR. TRUJILLO 1405</t>
  </si>
  <si>
    <t>WGE-569</t>
  </si>
  <si>
    <t>0098-CBGL-15-2005</t>
  </si>
  <si>
    <t>CARLOS ALBERTO VALDEZ SALAS</t>
  </si>
  <si>
    <t>AV. JOSE GALVEZ N° 1979- DPTO. 11</t>
  </si>
  <si>
    <t>WP-8989</t>
  </si>
  <si>
    <t>16252-073-120218</t>
  </si>
  <si>
    <t>LUCY CHOY QUISPE</t>
  </si>
  <si>
    <t>CIUDADELA MAGISTERIAL Z S LOTE 12</t>
  </si>
  <si>
    <t>ATB-789</t>
  </si>
  <si>
    <t>0021-CTPGL-15-2003</t>
  </si>
  <si>
    <t>BENICIO UCHANTE LEON BLAS</t>
  </si>
  <si>
    <t>MZ. S LOTE 4 URB. MIGUEL GRAU</t>
  </si>
  <si>
    <t>PIE-928</t>
  </si>
  <si>
    <t>0002-CBGL-25-2007</t>
  </si>
  <si>
    <t>WGC-400</t>
  </si>
  <si>
    <t>0103-CTPGL-15-2004</t>
  </si>
  <si>
    <t>TEODORO RIVAS LIZANO</t>
  </si>
  <si>
    <t>AV. PACHACUTEC N° 7045</t>
  </si>
  <si>
    <t>OQ-2622</t>
  </si>
  <si>
    <t>99612-073-181212</t>
  </si>
  <si>
    <t>CALLE CARAVELI S/N MZ.X LOTE 10</t>
  </si>
  <si>
    <t>V3J-903</t>
  </si>
  <si>
    <t>82713-073-2010</t>
  </si>
  <si>
    <t>AVENIDA NICOLAS DE PIEROLA Nº 1140</t>
  </si>
  <si>
    <t>PQQ-593</t>
  </si>
  <si>
    <t>125805-073-030117</t>
  </si>
  <si>
    <t xml:space="preserve">AV." A" N° 256 SECTOR SANTA EMILIA </t>
  </si>
  <si>
    <t>F4T-976</t>
  </si>
  <si>
    <t> D1Z-897</t>
  </si>
  <si>
    <t>95705-073-300112</t>
  </si>
  <si>
    <t>MZ. 223 LOTES 3, 4, 5, ZONA INDUSTRIAL</t>
  </si>
  <si>
    <t>P2J-869</t>
  </si>
  <si>
    <t> 885</t>
  </si>
  <si>
    <t>134418-073-190319</t>
  </si>
  <si>
    <t>LIVIAPOMA CUNYA ALCIDES</t>
  </si>
  <si>
    <t>CALLE JAZMINES MZA. H, LOTE 08, A.H. 31 DE ENERO</t>
  </si>
  <si>
    <t>D4F-841</t>
  </si>
  <si>
    <t> 555</t>
  </si>
  <si>
    <t>86455-073-050613</t>
  </si>
  <si>
    <t>C2N-812</t>
  </si>
  <si>
    <t>125567-073-231216</t>
  </si>
  <si>
    <t>URB. LOS DELFINES MZ B LOTE 4</t>
  </si>
  <si>
    <t>Z6J-898</t>
  </si>
  <si>
    <t>123780-073-120916</t>
  </si>
  <si>
    <t>CORPORACIÓN PERUANA DE NEGOCIOS BELLO HORIZONTE S.A.C.</t>
  </si>
  <si>
    <t>CALLE HOLANDA N° 107</t>
  </si>
  <si>
    <t>V8O-850</t>
  </si>
  <si>
    <t>EDGAR IVAN NIETO NINA</t>
  </si>
  <si>
    <t>104706-073-100616</t>
  </si>
  <si>
    <t>A2I-869</t>
  </si>
  <si>
    <t>109645-073-180118</t>
  </si>
  <si>
    <t>TRANSPORTES HNOS. BROWN CESAR S.A.C.</t>
  </si>
  <si>
    <t>AV. MADRE DE DIOS N° 635</t>
  </si>
  <si>
    <t>C4K-986</t>
  </si>
  <si>
    <t> V2Y-834</t>
  </si>
  <si>
    <t> B5Y-837</t>
  </si>
  <si>
    <t> X1H-834</t>
  </si>
  <si>
    <t> 9840</t>
  </si>
  <si>
    <t>JUANA HURTADO CAMPO</t>
  </si>
  <si>
    <t>138035-073-140818</t>
  </si>
  <si>
    <t>P3Y-779</t>
  </si>
  <si>
    <t>102509-073-160118</t>
  </si>
  <si>
    <t xml:space="preserve">CONCEPCION BRICEÑO SALINAS </t>
  </si>
  <si>
    <t>CALLE LAS CASUARINAS MZ. C LOTE 11 URB. LA RINCONADA</t>
  </si>
  <si>
    <t>T4W-845</t>
  </si>
  <si>
    <t>122745-073-210816</t>
  </si>
  <si>
    <t>AVENIDA MANCO CAPAC N° 242</t>
  </si>
  <si>
    <t>Z4Z-791</t>
  </si>
  <si>
    <t> 2055</t>
  </si>
  <si>
    <t>117315-073-191015</t>
  </si>
  <si>
    <t>JUAN SANCHEZ MORALES</t>
  </si>
  <si>
    <t>AV. MANUEL A. ODRIA N° 922-926</t>
  </si>
  <si>
    <t>C7F-788</t>
  </si>
  <si>
    <t>93304-073-270711</t>
  </si>
  <si>
    <t>CAL. GOZZOLI NRO. 660 URB. LAS MAGNOLIAS (ALT. CDRA 31 DE AVIACION)</t>
  </si>
  <si>
    <t>C5M-839</t>
  </si>
  <si>
    <t> 2422</t>
  </si>
  <si>
    <t>0034-CTPGL-15-2004</t>
  </si>
  <si>
    <t>MARIA LUZ PUNIL GUILLEN</t>
  </si>
  <si>
    <t>CALLE AMATISTAS MZ. L LOTE 5 COOP. GAMARRA LOS OLIVOS</t>
  </si>
  <si>
    <t>PIJ-468</t>
  </si>
  <si>
    <t>0001-CBGL-12-2009</t>
  </si>
  <si>
    <t>AV. LEONCIO PRADO Nª 800</t>
  </si>
  <si>
    <t>ZP-1724</t>
  </si>
  <si>
    <t> YI-6563</t>
  </si>
  <si>
    <t>0058-CTPGL-15-2008</t>
  </si>
  <si>
    <t>CINDY YICEL LAVADO CAYCHO</t>
  </si>
  <si>
    <t>JR. HERNAN CORTEZ N° 725 AAHH CERRO EL AGUSTINO</t>
  </si>
  <si>
    <t>PIQ-628</t>
  </si>
  <si>
    <t>0002-CBGL-12-2007</t>
  </si>
  <si>
    <t>EMPRESA DE TRANSPORTES CALIFORNIA SA</t>
  </si>
  <si>
    <t>AV LEONCIO PRADO Nª 800</t>
  </si>
  <si>
    <t>XP-5907</t>
  </si>
  <si>
    <t>0011-CTPGL-07-2003</t>
  </si>
  <si>
    <t>PGY-617</t>
  </si>
  <si>
    <t>125566-073-231216</t>
  </si>
  <si>
    <t>Z6J-901</t>
  </si>
  <si>
    <t>0044-CBGL-15-2001</t>
  </si>
  <si>
    <t>AMADOR LEON TORRES</t>
  </si>
  <si>
    <t>AV. TUPAC AMARU N° 4121</t>
  </si>
  <si>
    <t>WQ-5638</t>
  </si>
  <si>
    <t>0001-CBGL-22-2003</t>
  </si>
  <si>
    <t>AV. SALAVERRY N° 571-779</t>
  </si>
  <si>
    <t>WH-9531</t>
  </si>
  <si>
    <t>LUIS ENRIQUE FAJARDO ORTIZ</t>
  </si>
  <si>
    <t>JR. MARCARA N° 5309 URB. VILLA DEL NORTE</t>
  </si>
  <si>
    <t>OI-5052</t>
  </si>
  <si>
    <t>0012-CBGL-04-2008</t>
  </si>
  <si>
    <t>EDALGAS S.A.C.</t>
  </si>
  <si>
    <t>XG-3183</t>
  </si>
  <si>
    <t>116681-073-170815</t>
  </si>
  <si>
    <t>MARIA TERESA APARICIO LECAROS</t>
  </si>
  <si>
    <t>MZ-A LOTE 6 URB. SEÑOR DE HUANCA</t>
  </si>
  <si>
    <t>X2G-789</t>
  </si>
  <si>
    <t> 7597</t>
  </si>
  <si>
    <t>0011-CBGL-04-2008</t>
  </si>
  <si>
    <t>S.G.I.CONTRASTISTAS SAC</t>
  </si>
  <si>
    <t>IDELFONSO LOPEZ 809 DEL PUEBLO DE ZAMACOLA</t>
  </si>
  <si>
    <t>XH-4869</t>
  </si>
  <si>
    <t> 1960</t>
  </si>
  <si>
    <t>0006-CBGL-15-2003</t>
  </si>
  <si>
    <t>WC-8428</t>
  </si>
  <si>
    <t>111768-073-280519</t>
  </si>
  <si>
    <t>V7U-992</t>
  </si>
  <si>
    <t> A1V-839</t>
  </si>
  <si>
    <t> V3Z-926</t>
  </si>
  <si>
    <t> C1R-941</t>
  </si>
  <si>
    <t> 11200</t>
  </si>
  <si>
    <t>134852-073-110318</t>
  </si>
  <si>
    <t>MZ. I LT. 36 - URB. LOS CEDROS</t>
  </si>
  <si>
    <t>T9C-872</t>
  </si>
  <si>
    <t>134853-073-110318</t>
  </si>
  <si>
    <t>T8Y-845</t>
  </si>
  <si>
    <t>0004-CBGL-04-2004</t>
  </si>
  <si>
    <t>DAVID HUAYPA CARLOS</t>
  </si>
  <si>
    <t>URB. LEONCIO PRADO K-5</t>
  </si>
  <si>
    <t>WH-8836</t>
  </si>
  <si>
    <t>118304-073-191115</t>
  </si>
  <si>
    <t>AV. PAKAMUROS 2091 PUEBLO LIBRE</t>
  </si>
  <si>
    <t>T7I-827</t>
  </si>
  <si>
    <t> 1975</t>
  </si>
  <si>
    <t>131468-073-290817</t>
  </si>
  <si>
    <t>JR. 28 DE JULIO N° 340</t>
  </si>
  <si>
    <t>AMW-941</t>
  </si>
  <si>
    <t>ROBERTO ANASTACIO IMAN</t>
  </si>
  <si>
    <t>CALLE CUZCO N° 651</t>
  </si>
  <si>
    <t>PGJ-940</t>
  </si>
  <si>
    <t>105343-073-011013</t>
  </si>
  <si>
    <t>PAUL EDSON MEDINA LATORRE</t>
  </si>
  <si>
    <t>JIRON RAMON CASTILLA N° 647 - BARRIO ZARUMILLA</t>
  </si>
  <si>
    <t>Z1E-983</t>
  </si>
  <si>
    <t> A5M-861</t>
  </si>
  <si>
    <t>2542-073-2010</t>
  </si>
  <si>
    <t>GAS DEL SUR OPERADORES S.A.C.</t>
  </si>
  <si>
    <t>CALLE ESTADOS UNIDOS 990</t>
  </si>
  <si>
    <t>XI1338</t>
  </si>
  <si>
    <t>FRANCISCO JAVIER ZORRILLA SUENO</t>
  </si>
  <si>
    <t>85749-073-130711</t>
  </si>
  <si>
    <t>EDGAR JOLBERT ANCHAPURI BEDREGAL</t>
  </si>
  <si>
    <t>CARLOS BACAFLOR P-4</t>
  </si>
  <si>
    <t>V1A-925</t>
  </si>
  <si>
    <t>0001-CTPGL-10-2009</t>
  </si>
  <si>
    <t>CAJAHUANCA COLLAO, DARIO</t>
  </si>
  <si>
    <t>AV. RAYMONDI Nº 1166, 2DO. PISO - TINGO MARIA</t>
  </si>
  <si>
    <t>PIY-036</t>
  </si>
  <si>
    <t>0061-CBGL-15-2009</t>
  </si>
  <si>
    <t>PROLONGACION LA MAR 121, URB. EL RETABLO 1ERA ETAPA</t>
  </si>
  <si>
    <t>XI-2944</t>
  </si>
  <si>
    <t> 8115</t>
  </si>
  <si>
    <t>0001-CTPGL-20-2000</t>
  </si>
  <si>
    <t>OQ-5726</t>
  </si>
  <si>
    <t>86458-073-050613</t>
  </si>
  <si>
    <t>C2N-809</t>
  </si>
  <si>
    <t>0090-CBGL-15-2005</t>
  </si>
  <si>
    <t>XI-4472</t>
  </si>
  <si>
    <t>138654-073-081018</t>
  </si>
  <si>
    <t>TRANSMINO E.I.R.L.</t>
  </si>
  <si>
    <t>ASOCIACIÓN PRO VIVIENDA JORGE CHAVEZ, ZN. A, MZ. E, LOTE Nº 11</t>
  </si>
  <si>
    <t>V9V-803</t>
  </si>
  <si>
    <t>88802-073-031012</t>
  </si>
  <si>
    <t>P1J-875</t>
  </si>
  <si>
    <t>118395-073-061115</t>
  </si>
  <si>
    <t>TRANSPORTES HNOS BROWN CESAR SOCIEDAD ANONIMA CERRADA</t>
  </si>
  <si>
    <t>AV. MADRE DE DIOS N° 635, URB. PUERTO MALDONADO</t>
  </si>
  <si>
    <t>AJX-821</t>
  </si>
  <si>
    <t> 1995</t>
  </si>
  <si>
    <t>88808-073-031012</t>
  </si>
  <si>
    <t>P1J-842</t>
  </si>
  <si>
    <t>16401-073-220811</t>
  </si>
  <si>
    <t>A0D-986</t>
  </si>
  <si>
    <t> A8Q-900</t>
  </si>
  <si>
    <t> D5N-885</t>
  </si>
  <si>
    <t>0001-CBGL-06-2004</t>
  </si>
  <si>
    <t>AV. SAN MARTIN DE PORRES LOTE 51 BARRIO MOLLEPAMPA</t>
  </si>
  <si>
    <t>XH-2725</t>
  </si>
  <si>
    <t>118394-073-061115</t>
  </si>
  <si>
    <t>TRANSPORTES HNOS. BROWN CESAR SOCIEDAD ANONIMA CERRADA.</t>
  </si>
  <si>
    <t>AJW-739</t>
  </si>
  <si>
    <t>104709-073-100616</t>
  </si>
  <si>
    <t>A2M-927</t>
  </si>
  <si>
    <t>ALFREDO BALLON VIZCARRA</t>
  </si>
  <si>
    <t>JR. LOS FICUS N° 272 URB. EL OLIVAR</t>
  </si>
  <si>
    <t>OG-5077</t>
  </si>
  <si>
    <t>AUGUSTO NAKAODO NAKAHODO</t>
  </si>
  <si>
    <t>JR. HUANUCO N° 1054</t>
  </si>
  <si>
    <t>OI-4143</t>
  </si>
  <si>
    <t>118396-073-071115</t>
  </si>
  <si>
    <t>F3W-765</t>
  </si>
  <si>
    <t> 2235</t>
  </si>
  <si>
    <t>105603-073-101013</t>
  </si>
  <si>
    <t>URB. RICARDO PALMA MZ A, LOTE 2</t>
  </si>
  <si>
    <t>V1Z-982</t>
  </si>
  <si>
    <t> X2M-836</t>
  </si>
  <si>
    <t>134679-073-270218</t>
  </si>
  <si>
    <t>WASHADA INVERSIONES S.A.C.</t>
  </si>
  <si>
    <t>AV. LA MARINA N° 1814</t>
  </si>
  <si>
    <t>AUP-735</t>
  </si>
  <si>
    <t>PATRICIA KRISS SANDI ESTRADA</t>
  </si>
  <si>
    <t>0002-CTPGL-15-2010</t>
  </si>
  <si>
    <t>HERMES AGUIRRE CHAVEZ</t>
  </si>
  <si>
    <t>AV. EL CARMEN Nª 201 URB. SAN ROQUE</t>
  </si>
  <si>
    <t>PGM-820</t>
  </si>
  <si>
    <t> 334</t>
  </si>
  <si>
    <t>0003-CBGL-04-2004</t>
  </si>
  <si>
    <t>JESUS FLORES VEGA</t>
  </si>
  <si>
    <t>URB. JUAN EL BUENO A-28</t>
  </si>
  <si>
    <t>WH-6979</t>
  </si>
  <si>
    <t>0035-CBGL-15-2003</t>
  </si>
  <si>
    <t>AV. LAS PALMAS. LOTE 6. JOSE GALVEZ</t>
  </si>
  <si>
    <t>XI-7075</t>
  </si>
  <si>
    <t>0036-CBGL-15-2003</t>
  </si>
  <si>
    <t>XO-2884</t>
  </si>
  <si>
    <t>0002-CBGL-04-2004</t>
  </si>
  <si>
    <t>NICANOR BARRIONUEVO CONTRERAS</t>
  </si>
  <si>
    <t>AV. SALAVERRY N° 122 - URB. PROGRESISTA</t>
  </si>
  <si>
    <t>XH-2519</t>
  </si>
  <si>
    <t> 6950</t>
  </si>
  <si>
    <t>0043-CTPGL-15-2003</t>
  </si>
  <si>
    <t>PIH-516</t>
  </si>
  <si>
    <t>0044-CTPGL-15-2003</t>
  </si>
  <si>
    <t>PIH-623</t>
  </si>
  <si>
    <t>86597-073-130616</t>
  </si>
  <si>
    <t>A2I-914</t>
  </si>
  <si>
    <t>86603-073-2010</t>
  </si>
  <si>
    <t>XI-4335</t>
  </si>
  <si>
    <t>117780-073-101015</t>
  </si>
  <si>
    <t xml:space="preserve">FERCASH S.A.C. </t>
  </si>
  <si>
    <t xml:space="preserve">JR. AGUA SANTA N° 350 </t>
  </si>
  <si>
    <t>AFL-868</t>
  </si>
  <si>
    <t>WALTER MARTIN HERRERA GOMEZ</t>
  </si>
  <si>
    <t>0021-CBGL-15-2001</t>
  </si>
  <si>
    <t>RAUL BRUNO RANILLA TEJADA</t>
  </si>
  <si>
    <t>CALLE JORGE BRAGGI N° 385 URB. CHAMA.</t>
  </si>
  <si>
    <t>XH-1210</t>
  </si>
  <si>
    <t>35674-073-150914</t>
  </si>
  <si>
    <t>D5U-949</t>
  </si>
  <si>
    <t>0003-CTPGL-04-2004</t>
  </si>
  <si>
    <t>TERESA MENDOZA OSORIO</t>
  </si>
  <si>
    <t>COOP. INGENIEROS - EL BALCON C-18</t>
  </si>
  <si>
    <t>OH-4099</t>
  </si>
  <si>
    <t>133060-073-241117</t>
  </si>
  <si>
    <t>FUEL GAS &amp; OIL CORPORATION S.A.C.</t>
  </si>
  <si>
    <t xml:space="preserve">CALLE LEONARDO DA VINCI 249 OFIC. 3 </t>
  </si>
  <si>
    <t>ATW-834</t>
  </si>
  <si>
    <t>RICARDO MARTIN GUARDIA MORENO</t>
  </si>
  <si>
    <t>0064-CBGL-15-2005</t>
  </si>
  <si>
    <t>XQ-3523</t>
  </si>
  <si>
    <t>0099-CTPGL-15-2003</t>
  </si>
  <si>
    <t>PID-213</t>
  </si>
  <si>
    <t>0037-CBGL-15-2003</t>
  </si>
  <si>
    <t>XI-9966</t>
  </si>
  <si>
    <t>VIVIANO PEÑA VILLARRUBIA</t>
  </si>
  <si>
    <t>28 DE JULIO N° 671</t>
  </si>
  <si>
    <t>IMPERIAL</t>
  </si>
  <si>
    <t>PF-4318</t>
  </si>
  <si>
    <t>0100-CTPGL-15-2003</t>
  </si>
  <si>
    <t>PIC-956</t>
  </si>
  <si>
    <t>133903-073-080118</t>
  </si>
  <si>
    <t xml:space="preserve">SERVICIOS EN OPERACIONES LOGISTICAS DE HIDROCARBUROS Y MERCANCIAS S.A.C. </t>
  </si>
  <si>
    <t>CALLE 1 MZ. B LOTE 21 URB. SANTA ROSITA DE ATE</t>
  </si>
  <si>
    <t>AUP-731</t>
  </si>
  <si>
    <t>0038-CTPGL-15-2003</t>
  </si>
  <si>
    <t>PIH-875</t>
  </si>
  <si>
    <t>95944-073-250213</t>
  </si>
  <si>
    <t>URB. PIEDRA SANTA MZ. P LOTE 7</t>
  </si>
  <si>
    <t>C5T-823</t>
  </si>
  <si>
    <t> 1690</t>
  </si>
  <si>
    <t>108630-073-060614</t>
  </si>
  <si>
    <t>JESSICA GIULIANA VILLANUEVA TEJADA</t>
  </si>
  <si>
    <t>FRANCISCO MOSTAJO 157 SANTA ROSA</t>
  </si>
  <si>
    <t>V5G-839</t>
  </si>
  <si>
    <t>138174-073-240818</t>
  </si>
  <si>
    <t>P3Y-827</t>
  </si>
  <si>
    <t>142870-073-130519</t>
  </si>
  <si>
    <t>INVERSIONES J Y E.I. E.I.R.L.</t>
  </si>
  <si>
    <t xml:space="preserve">JR. MANCO CAPAC 112 A.H. SAN ISIDRO MZ. C – LOTE 17 </t>
  </si>
  <si>
    <t xml:space="preserve">H2J-946 </t>
  </si>
  <si>
    <t> 1040</t>
  </si>
  <si>
    <t>JUAN OSCAR EPIFANIA LOZADA</t>
  </si>
  <si>
    <t>0016-CBGL-04-2009</t>
  </si>
  <si>
    <t>EULALIA QUISPE HUMPIRI</t>
  </si>
  <si>
    <t>AV NICOLAS DE PIEROLA 107</t>
  </si>
  <si>
    <t>XQ-7905</t>
  </si>
  <si>
    <t>0101-CTPGL-15-2003</t>
  </si>
  <si>
    <t>AV. LAS PALMAS. LOTE 6 JOSE GALVEZ</t>
  </si>
  <si>
    <t>PID-771</t>
  </si>
  <si>
    <t>0045-CTPGL-15-2003</t>
  </si>
  <si>
    <t>PIH-517</t>
  </si>
  <si>
    <t>118839-073-291215</t>
  </si>
  <si>
    <t>ASOC. VILLA PARAISO MZ. F4- LT. 6</t>
  </si>
  <si>
    <t>V8D-734</t>
  </si>
  <si>
    <t> 7100</t>
  </si>
  <si>
    <t>149140-073-240620</t>
  </si>
  <si>
    <t>GUILLERMINA LEVITA QUISPE</t>
  </si>
  <si>
    <t>CENTRO INDUSTRIAL LAS CANTERAS, MZ. N LOTE 02 CARRETERA YURA KM 10.5</t>
  </si>
  <si>
    <t>V0Y-788</t>
  </si>
  <si>
    <t> 7560</t>
  </si>
  <si>
    <t>43274-073-2010</t>
  </si>
  <si>
    <t>PIV-191</t>
  </si>
  <si>
    <t>0030-CTPGL-15-2003</t>
  </si>
  <si>
    <t>PIH-363</t>
  </si>
  <si>
    <t>116839-073-160915</t>
  </si>
  <si>
    <t>HALKON E.I.R.L.</t>
  </si>
  <si>
    <t>PROLONGACIÓN LOS ANGELES S/N PARCELA 2 SECTOR PIEDRA BLANCA</t>
  </si>
  <si>
    <t>CALANA</t>
  </si>
  <si>
    <t>Z5Z-902</t>
  </si>
  <si>
    <t>0003-CBGL-12-2006</t>
  </si>
  <si>
    <t>XG-8110</t>
  </si>
  <si>
    <t> 4210</t>
  </si>
  <si>
    <t>BERTHA VELIZ DE SANTOS</t>
  </si>
  <si>
    <t>OG-5502</t>
  </si>
  <si>
    <t>112818-073-190115</t>
  </si>
  <si>
    <t>Z3X-811</t>
  </si>
  <si>
    <t> 2470</t>
  </si>
  <si>
    <t>95804-073-150212</t>
  </si>
  <si>
    <t xml:space="preserve">SERVOSA GAS S.A.C. </t>
  </si>
  <si>
    <t>AV. DEL PINAR Nº 124 INT. 402 URB. CHACARILLA DEL ESTANQUE</t>
  </si>
  <si>
    <t>D1C-807</t>
  </si>
  <si>
    <t> 1410</t>
  </si>
  <si>
    <t>128491-073-200617</t>
  </si>
  <si>
    <t>RONALD ENRIQUE DIAZ MENDOZA</t>
  </si>
  <si>
    <t>JR HUIRACOCHA N° 1318</t>
  </si>
  <si>
    <t>ANC-765</t>
  </si>
  <si>
    <t>86634-073-120616</t>
  </si>
  <si>
    <t>A2M-888</t>
  </si>
  <si>
    <t>119701-073-050216</t>
  </si>
  <si>
    <t>SERVICIO TECNICO DE REPARACION, OBRAS MECANICAS Y MANTENIMIENTO S.A.C</t>
  </si>
  <si>
    <t xml:space="preserve">CALLE LOS RODAJES N° 101 URB. INDUSTRIAL LA MILLA </t>
  </si>
  <si>
    <t>AKN-912</t>
  </si>
  <si>
    <t>MODESTO RAMIREZ ORTEGA</t>
  </si>
  <si>
    <t>139301-073-251018</t>
  </si>
  <si>
    <t>TRANSLOGI S.A.C.</t>
  </si>
  <si>
    <t>SECTOR 2 MZ. A LOTE 7 GRU. 16</t>
  </si>
  <si>
    <t>ASQ-816</t>
  </si>
  <si>
    <t>AMPARO MARTHA VARGAS TAPIA</t>
  </si>
  <si>
    <t>118149-073-030120</t>
  </si>
  <si>
    <t xml:space="preserve">JR. LAMBAYEQUE ZONA F MZ 20 LOTE 1 SEMIRURAL PACHACUTEC </t>
  </si>
  <si>
    <t>VAA-993</t>
  </si>
  <si>
    <t> AED-714</t>
  </si>
  <si>
    <t> P1N-810</t>
  </si>
  <si>
    <t> V8C-711</t>
  </si>
  <si>
    <t> V8C-843</t>
  </si>
  <si>
    <t> V2M-824</t>
  </si>
  <si>
    <t>0001-CBGL-04-2008</t>
  </si>
  <si>
    <t>TRANSPORTES SUR PACIFICO SRL</t>
  </si>
  <si>
    <t>CALLE CONDOR 101 DPTO 201 URB. TAHUAYCANI</t>
  </si>
  <si>
    <t>ZI-2459</t>
  </si>
  <si>
    <t> YI-2955</t>
  </si>
  <si>
    <t>62685-073-301014</t>
  </si>
  <si>
    <t>V6F-875</t>
  </si>
  <si>
    <t> 7600</t>
  </si>
  <si>
    <t>120488-073-230316</t>
  </si>
  <si>
    <t>INVERSIONES SAMANTHA E.I.R.L.</t>
  </si>
  <si>
    <t>CALLE SUCRE N° 370 BLOCK 5 DPTO 506</t>
  </si>
  <si>
    <t>V4J-991</t>
  </si>
  <si>
    <t> V8D-907</t>
  </si>
  <si>
    <t>140751-073-190219</t>
  </si>
  <si>
    <t>REPRESENTACIONES Y SERVICIOS GENERALES PEREDA EIRL</t>
  </si>
  <si>
    <t>GUZMAN BARRON 963 URB. EL BOSQUE</t>
  </si>
  <si>
    <t>T9S-885</t>
  </si>
  <si>
    <t>WILFREDO ANANIAS PEREDA GONZALES</t>
  </si>
  <si>
    <t>0131-CBGL-15-2001</t>
  </si>
  <si>
    <t>EVORCIO DURAN TINEO</t>
  </si>
  <si>
    <t>AV. NACIONES UNIDAS N° 1755</t>
  </si>
  <si>
    <t>WG-4020</t>
  </si>
  <si>
    <t>93309-073-220917</t>
  </si>
  <si>
    <t xml:space="preserve">CHAVIN GAS S.A. </t>
  </si>
  <si>
    <t>AV. PACHACUTEC MZ. B LOTE 2 PARCELA I</t>
  </si>
  <si>
    <t>C5T-896</t>
  </si>
  <si>
    <t> 8875</t>
  </si>
  <si>
    <t>121540-073-300516</t>
  </si>
  <si>
    <t>DISTRIBUIDORA YUPUPUPU SRL</t>
  </si>
  <si>
    <t>JR LA MERCED 451</t>
  </si>
  <si>
    <t>M5Q-853</t>
  </si>
  <si>
    <t>92407-073-260511</t>
  </si>
  <si>
    <t>REPGAS SAC</t>
  </si>
  <si>
    <t>CALLE PIZARRO N° 161</t>
  </si>
  <si>
    <t>C2E-896</t>
  </si>
  <si>
    <t xml:space="preserve">GODOFREDO SALDIVAR ANDIA </t>
  </si>
  <si>
    <t>PGU-906</t>
  </si>
  <si>
    <t>62682-073-301014</t>
  </si>
  <si>
    <t>URB. VERSALLES 22-D</t>
  </si>
  <si>
    <t>V6F-892</t>
  </si>
  <si>
    <t>0014-CBGL-12-2007</t>
  </si>
  <si>
    <t>ZP-1740</t>
  </si>
  <si>
    <t>112432-073-030120</t>
  </si>
  <si>
    <t>V0B-997</t>
  </si>
  <si>
    <t> C7S-873</t>
  </si>
  <si>
    <t> V2M-822</t>
  </si>
  <si>
    <t> V9O-712</t>
  </si>
  <si>
    <t> V9O-772</t>
  </si>
  <si>
    <t> AAY-927</t>
  </si>
  <si>
    <t> ADS-744</t>
  </si>
  <si>
    <t>0014-CBGL-15-2009</t>
  </si>
  <si>
    <t>JIRON LUIS CARRANZA 2045</t>
  </si>
  <si>
    <t>WGK-689</t>
  </si>
  <si>
    <t> 1540</t>
  </si>
  <si>
    <t>83974-073-030120</t>
  </si>
  <si>
    <t>V9H-972</t>
  </si>
  <si>
    <t> V5F-779</t>
  </si>
  <si>
    <t> V5Q-785</t>
  </si>
  <si>
    <t> V2S-767</t>
  </si>
  <si>
    <t>122061-073-280616</t>
  </si>
  <si>
    <t>DP CENTRALGAS DISTRIBUCIONES E.I.R.L</t>
  </si>
  <si>
    <t>CALLE YURUA N° 102, ZAMACOLA</t>
  </si>
  <si>
    <t>V8C-826</t>
  </si>
  <si>
    <t>YRMA CONCEPCION CUARITI PUMAHUAMAN</t>
  </si>
  <si>
    <t>0014-CTPGL-04-2004</t>
  </si>
  <si>
    <t>CALLE AMAZONAS N° 517</t>
  </si>
  <si>
    <t>OH-5761</t>
  </si>
  <si>
    <t>96334-073-090516</t>
  </si>
  <si>
    <t>D5Q-862</t>
  </si>
  <si>
    <t>41294-073-250814</t>
  </si>
  <si>
    <t>D5W-944</t>
  </si>
  <si>
    <t> 1615</t>
  </si>
  <si>
    <t>85186-073-2011</t>
  </si>
  <si>
    <t>URB. ABRAHAM MANRIQUE C-9</t>
  </si>
  <si>
    <t>ZH-5408</t>
  </si>
  <si>
    <t> YH-5203</t>
  </si>
  <si>
    <t> V2V-859</t>
  </si>
  <si>
    <t>122060-073-280616</t>
  </si>
  <si>
    <t>VAC-995</t>
  </si>
  <si>
    <t>20576-073-031114</t>
  </si>
  <si>
    <t>Z5E-811</t>
  </si>
  <si>
    <t>LUCIA HUANQUI DE CERDEÑA</t>
  </si>
  <si>
    <t>JUAN VELASCO ALVARADO W-21-03 DE OCTUBRE</t>
  </si>
  <si>
    <t>PO-9358</t>
  </si>
  <si>
    <t>WQ-1166</t>
  </si>
  <si>
    <t>0005-CBGL-15-2000</t>
  </si>
  <si>
    <t>XG-5068</t>
  </si>
  <si>
    <t>0001-CBGL-19-2006</t>
  </si>
  <si>
    <t>MERCEDARIA YAPIAS OROSCO</t>
  </si>
  <si>
    <t>CENTRO COMERCIAL CURIPATA S/N</t>
  </si>
  <si>
    <t>XQ-6942</t>
  </si>
  <si>
    <t>0042-CTPGL-15-2001</t>
  </si>
  <si>
    <t>DACIO SANTOS LEON SALCEDO</t>
  </si>
  <si>
    <t>SECTOR 6 GRUPO 10- MZ. N LOTE 21 - VILLA EL SALVADOR</t>
  </si>
  <si>
    <t>PO-9906</t>
  </si>
  <si>
    <t>41338-073-250814</t>
  </si>
  <si>
    <t xml:space="preserve">FLAMA GAS CORPORATION S.A.C. </t>
  </si>
  <si>
    <t xml:space="preserve">AV. SAN JUAN MZ. G LOTE 1A URB. LAS VEGAS </t>
  </si>
  <si>
    <t>C7V-911</t>
  </si>
  <si>
    <t> 1840</t>
  </si>
  <si>
    <t>0002-CBGL-19-2009</t>
  </si>
  <si>
    <t>MARIA LUZ GONZALES LOPEZ</t>
  </si>
  <si>
    <t>AV. CIRCUNVALACION ARENALES 408</t>
  </si>
  <si>
    <t>WN-3514</t>
  </si>
  <si>
    <t>0003-CBGL-12-2003</t>
  </si>
  <si>
    <t>PROLONGACION AV. JUAN SANTOS ATAHUALPA N° 602</t>
  </si>
  <si>
    <t>WZ-5572</t>
  </si>
  <si>
    <t>0001-CBGL-12-2003</t>
  </si>
  <si>
    <t>PROLONGACION AV. SANTOS ATAHUALPA N° 602</t>
  </si>
  <si>
    <t>WM-2294</t>
  </si>
  <si>
    <t>0011-CBGL-15-2005</t>
  </si>
  <si>
    <t>XQ-8531</t>
  </si>
  <si>
    <t>0002-CBGL-12-2003</t>
  </si>
  <si>
    <t>XQ-8823</t>
  </si>
  <si>
    <t>0012-CTPGL-15-2003</t>
  </si>
  <si>
    <t>ELENA ACOSTA RAMIREZ</t>
  </si>
  <si>
    <t>AV. UNIVERSITARIA MZ. C LOTE 7 SAN JUAN DE DIOS</t>
  </si>
  <si>
    <t>OQ-2140</t>
  </si>
  <si>
    <t>150576-073-200820</t>
  </si>
  <si>
    <t>INVERSIONES FRANSHO E.I.R.L.</t>
  </si>
  <si>
    <t>CALLE 15 DE AGOSTO N° 909 A</t>
  </si>
  <si>
    <t>F9B-912</t>
  </si>
  <si>
    <t>FRANKLIN ERICK PEREZ VALLES</t>
  </si>
  <si>
    <t>0013-CTPGL-15-2003</t>
  </si>
  <si>
    <t>OO-8155</t>
  </si>
  <si>
    <t>OQ-2353</t>
  </si>
  <si>
    <t>118089-073-161115</t>
  </si>
  <si>
    <t>P3M-816</t>
  </si>
  <si>
    <t>136743-073-130618</t>
  </si>
  <si>
    <t>SERVICIOS MULTIPLES SAMANEZ SOCIEDAD COMERCIAL DE RESPONSABILIDAD LIMITADA</t>
  </si>
  <si>
    <t>ASENTAMIENTO HUMANO VILLA LA PRADERA ALTO MISTI MZ O LOTE 6</t>
  </si>
  <si>
    <t>X4F-811</t>
  </si>
  <si>
    <t> 2220</t>
  </si>
  <si>
    <t xml:space="preserve">ABDON BACA SAMANEZ </t>
  </si>
  <si>
    <t>139099-073-141018</t>
  </si>
  <si>
    <t>CALLE TUTUPACA 273</t>
  </si>
  <si>
    <t>AXS-891</t>
  </si>
  <si>
    <t>0079-CTPGL-15-2003</t>
  </si>
  <si>
    <t>LIVIO LUNA FARFAN</t>
  </si>
  <si>
    <t>JR. EL CARMEN N° 419</t>
  </si>
  <si>
    <t>PGU-657</t>
  </si>
  <si>
    <t>0008-CTPGL-15-2000</t>
  </si>
  <si>
    <t>OQ-8098</t>
  </si>
  <si>
    <t>125481-073-211216</t>
  </si>
  <si>
    <t xml:space="preserve">TAMSA S.A.C. </t>
  </si>
  <si>
    <t xml:space="preserve">AV MARGINAL N°151 URB JAVIER PRADO VI ETAPA </t>
  </si>
  <si>
    <t>ANN-784</t>
  </si>
  <si>
    <t>TATIANA MIRIAM ORTEGA PERALTA</t>
  </si>
  <si>
    <t>PI-9591</t>
  </si>
  <si>
    <t>108209-073-070314</t>
  </si>
  <si>
    <t>CALLE PAZ SOLDAN 113-VALLECITO</t>
  </si>
  <si>
    <t>V3F-926</t>
  </si>
  <si>
    <t>120489-073-300316</t>
  </si>
  <si>
    <t>INVERSIONES SAMANTHA E.I.R.L</t>
  </si>
  <si>
    <t>CALLE SUCRE N° 370BLOCK 5 PDTO 506</t>
  </si>
  <si>
    <t>Z3A-988</t>
  </si>
  <si>
    <t> ACK-768</t>
  </si>
  <si>
    <t xml:space="preserve">SILVERIO AROCUTIPA CHAMBILLA </t>
  </si>
  <si>
    <t>139201-073-181018</t>
  </si>
  <si>
    <t>CALLE 1 MZ. B LT. 21 URB. SANTA ROSITA DE ATE I ETAPA</t>
  </si>
  <si>
    <t>B1O-971</t>
  </si>
  <si>
    <t> T6I-936</t>
  </si>
  <si>
    <t>34998-073-260813</t>
  </si>
  <si>
    <t>CALLE MALECON MZ. A LT.17 URB.PROLIMA ETAPA 4</t>
  </si>
  <si>
    <t>C9V-899</t>
  </si>
  <si>
    <t>140599-073-080119</t>
  </si>
  <si>
    <t>JR. LAMBAYEQUE ZONA F, GRUPO 19, MZ 20 LOTE 1, SEMIRURAL PACHACUTEC</t>
  </si>
  <si>
    <t>ROBERTO ICHAZO ORTEGA</t>
  </si>
  <si>
    <t>AV. 9 DE OCTUBRE N° 813</t>
  </si>
  <si>
    <t>WD-6469</t>
  </si>
  <si>
    <t>40890-073-2010</t>
  </si>
  <si>
    <t>VILMA ELIZABETH CRUZADO GUZMAN</t>
  </si>
  <si>
    <t>MZ. I LT. 7 A.A.H.H. MICAELA BASTIDAS</t>
  </si>
  <si>
    <t>Z1M-830</t>
  </si>
  <si>
    <t>63033-073-190917</t>
  </si>
  <si>
    <t>PUNTO GAS S.A.C.</t>
  </si>
  <si>
    <t>CALLE MARIE CURIE MZ. O LT. 3 ZONA INDUSTRIAL SANTA ROSA</t>
  </si>
  <si>
    <t>C5T-797</t>
  </si>
  <si>
    <t>SERGIO AUGUSTO MATOS SIFUENTES</t>
  </si>
  <si>
    <t>89366-073-170611</t>
  </si>
  <si>
    <t>MZ. 223 LOTES 3, 4 Y 5 ZONA INDUSTRIAL</t>
  </si>
  <si>
    <t>T1V-826</t>
  </si>
  <si>
    <t>PJ-1822</t>
  </si>
  <si>
    <t>122022-073-130616</t>
  </si>
  <si>
    <t xml:space="preserve">CALLE MINERIA N° 320 URB. LOS FICUS. </t>
  </si>
  <si>
    <t>AMB-838</t>
  </si>
  <si>
    <t>148716-073-140120</t>
  </si>
  <si>
    <t>MZ.O SUB LOTE C II-ZONA INDUSTRIAL</t>
  </si>
  <si>
    <t>BCO-780</t>
  </si>
  <si>
    <t>CARDENAS ALZA JULIO MIGUEL</t>
  </si>
  <si>
    <t>0004-CBGL-20-2003</t>
  </si>
  <si>
    <t>WC-8554</t>
  </si>
  <si>
    <t>0001-CBGL-07-2004</t>
  </si>
  <si>
    <t>XO-2052</t>
  </si>
  <si>
    <t>133699-073-271217</t>
  </si>
  <si>
    <t xml:space="preserve">ZONA INDUSTRIAL MZ. 223, LOTES 3,4,5 </t>
  </si>
  <si>
    <t>P3V-887</t>
  </si>
  <si>
    <t>31652-073-270215</t>
  </si>
  <si>
    <t>T5X-932</t>
  </si>
  <si>
    <t>148709-073-210120</t>
  </si>
  <si>
    <t>RIMO DISTRIBUCIONES E.I.R.L.</t>
  </si>
  <si>
    <t>PQ. IN. ZONA INDUSTRIAL 3 ETAPA MZ. L- LOTE 40</t>
  </si>
  <si>
    <t>BCF-823</t>
  </si>
  <si>
    <t> 580</t>
  </si>
  <si>
    <t xml:space="preserve">SANDRA MARIBEL MORE ZAPATA </t>
  </si>
  <si>
    <t>0000054-LIB</t>
  </si>
  <si>
    <t>ROXANA PAOLI GALLARDO</t>
  </si>
  <si>
    <t>EL MILAGRO SECTOR G MZ. D LOTE 10</t>
  </si>
  <si>
    <t>WK-3065</t>
  </si>
  <si>
    <t>0075-CTPGL-15-2006</t>
  </si>
  <si>
    <t>AV. DEL MERCADO MZ. Q-8 LOTE 18 - AA.HH. JOSE CARLOS MARIATEGUI</t>
  </si>
  <si>
    <t>OQ-7189</t>
  </si>
  <si>
    <t>120285-073-031016</t>
  </si>
  <si>
    <t>MARIA MERY HANCO CUTIPA</t>
  </si>
  <si>
    <t>ASOCIACION 28 DE AGOSTO MZ. 7 LT. 24</t>
  </si>
  <si>
    <t>C2F-934</t>
  </si>
  <si>
    <t>133701-073-271217</t>
  </si>
  <si>
    <t>P3V-926</t>
  </si>
  <si>
    <t>GUSTAVO ADOLFO PRELLWITZ GALARZA</t>
  </si>
  <si>
    <t>AV. CANTO GRANDE N° 730</t>
  </si>
  <si>
    <t>PI-6874</t>
  </si>
  <si>
    <t>101203-073-110313</t>
  </si>
  <si>
    <t>CARLOS LANDEO BEJAR</t>
  </si>
  <si>
    <t>AV. UNIVERSITARIA N° 181</t>
  </si>
  <si>
    <t>W1P-816</t>
  </si>
  <si>
    <t>0002-CTBGL-20-2003</t>
  </si>
  <si>
    <t>OB-2566</t>
  </si>
  <si>
    <t>133702-073-281217</t>
  </si>
  <si>
    <t>PIURA GAS S.A.C</t>
  </si>
  <si>
    <t>ZONA INDUSTRIAL MZA. 223, LOTES 3, 4, 5</t>
  </si>
  <si>
    <t>P3V-929</t>
  </si>
  <si>
    <t>0001-CTPGL-20-2003</t>
  </si>
  <si>
    <t>PGY-878</t>
  </si>
  <si>
    <t>98108-073-030912</t>
  </si>
  <si>
    <t>SARA RODRIGUEZ VELASQUEZ</t>
  </si>
  <si>
    <t>MZ.H LOTE 21 URB. EL BOSQUE</t>
  </si>
  <si>
    <t>T3X-816</t>
  </si>
  <si>
    <t> T3X-816</t>
  </si>
  <si>
    <t>45215-073-120711</t>
  </si>
  <si>
    <t>JR. ANGARAES Nº 549</t>
  </si>
  <si>
    <t>ZP-1712</t>
  </si>
  <si>
    <t> B5Z-887</t>
  </si>
  <si>
    <t> YP-7546</t>
  </si>
  <si>
    <t> 16430</t>
  </si>
  <si>
    <t>EVERT FELIX ROMERO VELIZ</t>
  </si>
  <si>
    <t>96933-073-060712</t>
  </si>
  <si>
    <t>TRASPORTES RUFO S.R.L.</t>
  </si>
  <si>
    <t xml:space="preserve">AV. MARIANO MELGAR 506 </t>
  </si>
  <si>
    <t>V2H-977</t>
  </si>
  <si>
    <t> V1H-892</t>
  </si>
  <si>
    <t>114704-073-100415</t>
  </si>
  <si>
    <t>JACQUELINE DEL ROCIO CHICLOTE TOLENTINO</t>
  </si>
  <si>
    <t>CALLE 18 DE MAYO N° 1431</t>
  </si>
  <si>
    <t>FLORENCIA DE MORA</t>
  </si>
  <si>
    <t>AEL-827</t>
  </si>
  <si>
    <t> 430</t>
  </si>
  <si>
    <t>0045-CBGL-15-2006</t>
  </si>
  <si>
    <t>ASOCIACION MARIA PARADO DE BELLIDO MZ Ñ LOTE 17</t>
  </si>
  <si>
    <t>XQ-2094</t>
  </si>
  <si>
    <t>148718-073-140120</t>
  </si>
  <si>
    <t xml:space="preserve">MZ.O SUB LOTE C-II-ZONA INDUSTRIAL </t>
  </si>
  <si>
    <t>BCO-817</t>
  </si>
  <si>
    <t>118744-073-021215</t>
  </si>
  <si>
    <t>ESTACION DE SERVICIOS SELVA E.I.R.L</t>
  </si>
  <si>
    <t>CALLE TUPAC YUPANQUI N° 671 URB. SANTA MARIA</t>
  </si>
  <si>
    <t>W5N-872</t>
  </si>
  <si>
    <t>43255-073-2010</t>
  </si>
  <si>
    <t>ELOY NAPOLEON GUILLEN SALAS</t>
  </si>
  <si>
    <t>1ª DE M AYO Nº 405, URB, MANUEL PRADO</t>
  </si>
  <si>
    <t>V1O-862</t>
  </si>
  <si>
    <t>99918-073-170113</t>
  </si>
  <si>
    <t>AV PARRA 2015</t>
  </si>
  <si>
    <t>V5C-849</t>
  </si>
  <si>
    <t>.</t>
  </si>
  <si>
    <t>VICTORIA LEONOR DE LA VILLA HILLMAN</t>
  </si>
  <si>
    <t>JR. SANTO DOMINGO N° 256</t>
  </si>
  <si>
    <t>CHINCHA ALTA</t>
  </si>
  <si>
    <t>OO-8610</t>
  </si>
  <si>
    <t>0089-CBGL-15-2005</t>
  </si>
  <si>
    <t>HUARANGA CONDOR, ELVIRA EUFRACIA</t>
  </si>
  <si>
    <t>ASOC. MARIA PARADO DE BELLIDO MZ. Ñ LOTE 17</t>
  </si>
  <si>
    <t>XQ-3585</t>
  </si>
  <si>
    <t>148501-073-230120</t>
  </si>
  <si>
    <t xml:space="preserve">CALLE 1 MZ. B LOTE 21, URB. SANTA ROSITA DE ATE, I ETAPA </t>
  </si>
  <si>
    <t>BDC-723</t>
  </si>
  <si>
    <t>97156-073-230414</t>
  </si>
  <si>
    <t xml:space="preserve">ZETA GAS ANDINO S.A. </t>
  </si>
  <si>
    <t>AV. DIAGONAL Nº 380 OFICINA 201</t>
  </si>
  <si>
    <t>B1M-995</t>
  </si>
  <si>
    <t>137330-073-090718</t>
  </si>
  <si>
    <t>PORFIRIO LIMAY SALDANA</t>
  </si>
  <si>
    <t>JR. EMANCIPACION N° 280</t>
  </si>
  <si>
    <t>C5P-747</t>
  </si>
  <si>
    <t>0013-CBGL-15-2006</t>
  </si>
  <si>
    <t xml:space="preserve">CALLE HUGO ESPINOZA 156, URB CARLOS CUETO FERNANDINI </t>
  </si>
  <si>
    <t>WF-3918</t>
  </si>
  <si>
    <t>97118-073-200612</t>
  </si>
  <si>
    <t xml:space="preserve">CALLE B S/N EX FUNDO OQUENDO </t>
  </si>
  <si>
    <t>A9G-900</t>
  </si>
  <si>
    <t>142312-073-290319</t>
  </si>
  <si>
    <t xml:space="preserve">ANTA GAS DE LIMA S.R.L. </t>
  </si>
  <si>
    <t xml:space="preserve">AV. NUEVO HORIZONTE MZ. E LT. 9 URB. NUEVO HORIZONTE </t>
  </si>
  <si>
    <t>AKQ-990</t>
  </si>
  <si>
    <t> AXK-735</t>
  </si>
  <si>
    <t>128077-073-280417</t>
  </si>
  <si>
    <t>ZONA INDUSTRIAL MZ. 223 LOTES 3-4-5</t>
  </si>
  <si>
    <t>P3T-711</t>
  </si>
  <si>
    <t> P3T-711</t>
  </si>
  <si>
    <t>94882-073-051211</t>
  </si>
  <si>
    <t>DW &amp; LI S.A.C.</t>
  </si>
  <si>
    <t>MZ. P1. LOTE 19. COOPERATIVA AMERICA</t>
  </si>
  <si>
    <t>B4L-989</t>
  </si>
  <si>
    <t> C9Y-876</t>
  </si>
  <si>
    <t> 9860</t>
  </si>
  <si>
    <t>LILIAN ESTHER HUAMAN DE LA CRUZ</t>
  </si>
  <si>
    <t>SIMON IMAN SANTOS</t>
  </si>
  <si>
    <t>JR. LAMBAYEQUE MZ. B LOTE 10</t>
  </si>
  <si>
    <t>WO-4671</t>
  </si>
  <si>
    <t>146810-073-151019</t>
  </si>
  <si>
    <t>MZ. O SUB LOTE C - II ZONA INDUSTRIAL</t>
  </si>
  <si>
    <t>P3Z-913</t>
  </si>
  <si>
    <t xml:space="preserve">JUSTO ELISEO CARDENAS ALZA </t>
  </si>
  <si>
    <t>ASUNCION F. CALDERON AMAYA</t>
  </si>
  <si>
    <t>JR. IQUIQUE N° 184 URB. TARAPACA</t>
  </si>
  <si>
    <t>WO-4672</t>
  </si>
  <si>
    <t>0034-CBGL-15-2004</t>
  </si>
  <si>
    <t>JULIA CRISTOBAL CALDERON</t>
  </si>
  <si>
    <t>XQ-3110</t>
  </si>
  <si>
    <t>107206-073-050214</t>
  </si>
  <si>
    <t>P2G-723</t>
  </si>
  <si>
    <t>122747-073-180716</t>
  </si>
  <si>
    <t>FLORA MARIA CHAVEZ QUIZA</t>
  </si>
  <si>
    <t>URB MANCO CAPAC MZ H LOTE 10</t>
  </si>
  <si>
    <t>ACZ-884</t>
  </si>
  <si>
    <t>134083-073-220118</t>
  </si>
  <si>
    <t>AUS-804</t>
  </si>
  <si>
    <t>84014-073-120316</t>
  </si>
  <si>
    <t>D5U-715</t>
  </si>
  <si>
    <t>134084-073-220118</t>
  </si>
  <si>
    <t>AUT-710</t>
  </si>
  <si>
    <t>93599-073-060911</t>
  </si>
  <si>
    <t>ANTONELY FLOR CAJALEON GAMEZ</t>
  </si>
  <si>
    <t>URB. PACHACAMAC BARRIO 2DA. ETAPA 4TA MZ. G LT. 43</t>
  </si>
  <si>
    <t>B7N-834</t>
  </si>
  <si>
    <t>96329-073-120316</t>
  </si>
  <si>
    <t>D6D-818</t>
  </si>
  <si>
    <t>123327-073-200916</t>
  </si>
  <si>
    <t xml:space="preserve">MACAL SERVICE S.A.C. </t>
  </si>
  <si>
    <t>CLL. VIRGEN MARIA MZ. B LT.07</t>
  </si>
  <si>
    <t>AMP-792</t>
  </si>
  <si>
    <t xml:space="preserve">AQUILES BONZANO DIAZ </t>
  </si>
  <si>
    <t>91924-073-060411</t>
  </si>
  <si>
    <t>JESHUA OPERADOR LOGÍSTICO S.A.C.</t>
  </si>
  <si>
    <t>P1S-819</t>
  </si>
  <si>
    <t>113572-073-310115</t>
  </si>
  <si>
    <t>AV. EL SOL MZ "C" LOTE 13</t>
  </si>
  <si>
    <t>V4G-931</t>
  </si>
  <si>
    <t>41749-073-060619</t>
  </si>
  <si>
    <t>INVERSIONES UBALDO S.R.L.</t>
  </si>
  <si>
    <t>CALLE ALBERTO ABERD N°136</t>
  </si>
  <si>
    <t>W4V-818</t>
  </si>
  <si>
    <t> D8U-712</t>
  </si>
  <si>
    <t> C3O-726</t>
  </si>
  <si>
    <t> C4T-757</t>
  </si>
  <si>
    <t> C9G-876</t>
  </si>
  <si>
    <t> C4W-718</t>
  </si>
  <si>
    <t> AJM-900</t>
  </si>
  <si>
    <t>SILVIA LILIANA ILIZARBE GONZALES</t>
  </si>
  <si>
    <t>0051-CBGL-15-2005</t>
  </si>
  <si>
    <t>XI-1468</t>
  </si>
  <si>
    <t>JULIO CEDRON ABRILES</t>
  </si>
  <si>
    <t>JR. LOS ALGARROBOS N° 113</t>
  </si>
  <si>
    <t>WG-4256</t>
  </si>
  <si>
    <t>86613-073-2010</t>
  </si>
  <si>
    <t>PQY-641</t>
  </si>
  <si>
    <t>107216-073-040718</t>
  </si>
  <si>
    <t>JR. RUFINO MACEDO MZ. H LT. 11 URB. INDUSTRIAL PANAMERICANA NORTE</t>
  </si>
  <si>
    <t>F4D-707</t>
  </si>
  <si>
    <t>132803-073-240519</t>
  </si>
  <si>
    <t xml:space="preserve">VICTOR FERNANDO BERROSPI MORENO </t>
  </si>
  <si>
    <t>AUD-936</t>
  </si>
  <si>
    <t>122942-073-060819</t>
  </si>
  <si>
    <t>CALLE A, 149, ZONA 7, FUNDO BOCANEGRA</t>
  </si>
  <si>
    <t>D7O-978</t>
  </si>
  <si>
    <t> T5R-870</t>
  </si>
  <si>
    <t> B8B-800</t>
  </si>
  <si>
    <t> C2J-743</t>
  </si>
  <si>
    <t>103721-073-140316</t>
  </si>
  <si>
    <t>A2I-875</t>
  </si>
  <si>
    <t>146621-073-170919</t>
  </si>
  <si>
    <t>MULTISERVICIOS E INVERSIONES N &amp; H E.I.R.L.</t>
  </si>
  <si>
    <t>AV. EDGAR DE LA TORRE MZA. H LOTE 6</t>
  </si>
  <si>
    <t>LA CONVENCION</t>
  </si>
  <si>
    <t>SANTA ANA</t>
  </si>
  <si>
    <t>X4Q-756</t>
  </si>
  <si>
    <t> 2550</t>
  </si>
  <si>
    <t xml:space="preserve">CARINA HUAMAN MEZA DE NUÑEZ </t>
  </si>
  <si>
    <t>106697-073-040214</t>
  </si>
  <si>
    <t>S1N-936</t>
  </si>
  <si>
    <t> 3160</t>
  </si>
  <si>
    <t>96345-073-120316</t>
  </si>
  <si>
    <t>D5Y-894</t>
  </si>
  <si>
    <t> 5390</t>
  </si>
  <si>
    <t>140614-073-130119</t>
  </si>
  <si>
    <t>TRANSPORTES VIDA EXPRESS S.A.C.</t>
  </si>
  <si>
    <t>JR. RIVA AGUERO N° 714 URB. PALERMO</t>
  </si>
  <si>
    <t>T9Q-803</t>
  </si>
  <si>
    <t> 1970</t>
  </si>
  <si>
    <t xml:space="preserve">VICTOR MANUEL CARRERA TORRES </t>
  </si>
  <si>
    <t>86349-073-150316</t>
  </si>
  <si>
    <t>A2I-852</t>
  </si>
  <si>
    <t>100959-073-250213</t>
  </si>
  <si>
    <t>JULIO MOGROVEJO ARANZAMENDI</t>
  </si>
  <si>
    <t>WASHINGTON 204-A J.D.HUNTER</t>
  </si>
  <si>
    <t>D4B-762</t>
  </si>
  <si>
    <t>121125-073-190820</t>
  </si>
  <si>
    <t>C9T-983</t>
  </si>
  <si>
    <t xml:space="preserve"> D3M-850 </t>
  </si>
  <si>
    <t>ARCE ROMANI TANIA KAREN</t>
  </si>
  <si>
    <t>93687-073-130911</t>
  </si>
  <si>
    <t>KM 3.5 MZ D - 12 MIRAFLORES</t>
  </si>
  <si>
    <t>WGR-685</t>
  </si>
  <si>
    <t>WO-9093</t>
  </si>
  <si>
    <t>116548-073-010915</t>
  </si>
  <si>
    <t xml:space="preserve">TRANSPORTES Y DISTRIBUCIONES THERRIUS HERNAN EIRL </t>
  </si>
  <si>
    <t xml:space="preserve">MZA. B LOTE 8 CH ALVAREZ THOMAS SECTOR 2 </t>
  </si>
  <si>
    <t>Z1K-974</t>
  </si>
  <si>
    <t> V2P-882</t>
  </si>
  <si>
    <t> 7770</t>
  </si>
  <si>
    <t>NANCY BEATRIZ QUISPE QUISPE</t>
  </si>
  <si>
    <t>PJ-1896</t>
  </si>
  <si>
    <t>109784-073-110614</t>
  </si>
  <si>
    <t>DISTRIBUIDORA SOLAR GAS E.I.R.L.</t>
  </si>
  <si>
    <t>AV. ARIAL GRAZZIANI MZ. B LOTE 20</t>
  </si>
  <si>
    <t>YUNGAY</t>
  </si>
  <si>
    <t>F4Z-864</t>
  </si>
  <si>
    <t> F4Z-864</t>
  </si>
  <si>
    <t>RODOLFO CARLOS GRANADOS VEGA</t>
  </si>
  <si>
    <t>132802-073-240519</t>
  </si>
  <si>
    <t xml:space="preserve">BERROSPI MORENO VICTOR FERNANDO </t>
  </si>
  <si>
    <t>CAL. ZAPATEL MZ. C LOTE 16 URB. SAN JOAQUIN</t>
  </si>
  <si>
    <t>AUD-875</t>
  </si>
  <si>
    <t>134081-073-220118</t>
  </si>
  <si>
    <t>AUS-843</t>
  </si>
  <si>
    <t>100186-073-070113</t>
  </si>
  <si>
    <t>D3J-702</t>
  </si>
  <si>
    <t>134080-073-220118</t>
  </si>
  <si>
    <t>AUS-788</t>
  </si>
  <si>
    <t>0005-CTPGL-04-2003</t>
  </si>
  <si>
    <t>AV. JESUS N° 405-A</t>
  </si>
  <si>
    <t>OH-5549</t>
  </si>
  <si>
    <t>134082-073-230118</t>
  </si>
  <si>
    <t>AUT-773</t>
  </si>
  <si>
    <t>AV. CARLOS IZAGUIRRE N° 275</t>
  </si>
  <si>
    <t>WI-2776</t>
  </si>
  <si>
    <t> 1120</t>
  </si>
  <si>
    <t>104145-073-170713</t>
  </si>
  <si>
    <t>DP CENTRALGAS DISTRIBUCIONES E.I.R.L.</t>
  </si>
  <si>
    <t>CALLE YURUA N° 102 - ZAMACOLA</t>
  </si>
  <si>
    <t>V4S-796</t>
  </si>
  <si>
    <t>0070-CTPGL-15-2005</t>
  </si>
  <si>
    <t>TLA DISTRIBUIDORES E.I.R.L.</t>
  </si>
  <si>
    <t>FUNDO VILLANUEVA LOTE 12</t>
  </si>
  <si>
    <t>PGJ-391</t>
  </si>
  <si>
    <t>90018-073-230415</t>
  </si>
  <si>
    <t>MZ. O SUB LOTE C 2DA. ZONA INDUSTRIAL</t>
  </si>
  <si>
    <t>D8A-714</t>
  </si>
  <si>
    <t>91848-073-290311</t>
  </si>
  <si>
    <t>B9S-883</t>
  </si>
  <si>
    <t>101975-073-091115</t>
  </si>
  <si>
    <t>CARRETERA INGENIO CHACHAPOYAS KM. 51.3</t>
  </si>
  <si>
    <t>T4Z-879</t>
  </si>
  <si>
    <t>97057-073-160714</t>
  </si>
  <si>
    <t>SVR DISTRIBUCIONES S.A.C</t>
  </si>
  <si>
    <t>AV. AVIACION 608</t>
  </si>
  <si>
    <t>S1J-850</t>
  </si>
  <si>
    <t>104333-073-260713</t>
  </si>
  <si>
    <t>B8K-728</t>
  </si>
  <si>
    <t>142869-073-130519</t>
  </si>
  <si>
    <t xml:space="preserve">H1Z-812 </t>
  </si>
  <si>
    <t>0033-CBGL-15-2004</t>
  </si>
  <si>
    <t>DANTE MARIO LUCIANI CHUMBIAUCA</t>
  </si>
  <si>
    <t>XP-3647</t>
  </si>
  <si>
    <t>0102-CTPGL-15-2001</t>
  </si>
  <si>
    <t>PGI-412</t>
  </si>
  <si>
    <t>104144-073-170713</t>
  </si>
  <si>
    <t>V4T-762</t>
  </si>
  <si>
    <t>0001-CBGL-06-2001</t>
  </si>
  <si>
    <t>WL-1803</t>
  </si>
  <si>
    <t>120310-073-140316</t>
  </si>
  <si>
    <t>C5M-925</t>
  </si>
  <si>
    <t>0003-CBGL-14-2006</t>
  </si>
  <si>
    <t>AV. AGUSTIN VALLEJO N° 338 URBANIZACION EL PARAISO</t>
  </si>
  <si>
    <t>WK-3356</t>
  </si>
  <si>
    <t>0006-CTPGL-15-2005</t>
  </si>
  <si>
    <t>LUIS ALBERTO CIEZA BAZAN</t>
  </si>
  <si>
    <t>AV. OSCAR DE LA BARREDA N° 418</t>
  </si>
  <si>
    <t>OO-1718</t>
  </si>
  <si>
    <t>0101-CTPGL-15-2001</t>
  </si>
  <si>
    <t>PGI-411</t>
  </si>
  <si>
    <t>LUIS WALTER PITA GAMBOA</t>
  </si>
  <si>
    <t>AV. JORGE GHAVEZ N° 1834</t>
  </si>
  <si>
    <t>PGC-238</t>
  </si>
  <si>
    <t>2306-073-2011</t>
  </si>
  <si>
    <t>MZ M LT. 07 ASOCIACION SEÑOR DE LOS MILAGROS</t>
  </si>
  <si>
    <t>B2R-936</t>
  </si>
  <si>
    <t>134511-073-220218</t>
  </si>
  <si>
    <t>JHONY MARCELINO APAZA PAUCAR</t>
  </si>
  <si>
    <t>JR. SAN FRANCISCO MZ. E2 LT. 4</t>
  </si>
  <si>
    <t>V8S-736</t>
  </si>
  <si>
    <t>JOSE MANUEL ARELLANO CAPARACHIN</t>
  </si>
  <si>
    <t>CALLE 7 N° 309 URB. CORPAC</t>
  </si>
  <si>
    <t>PGC-797</t>
  </si>
  <si>
    <t>92471-073-230611</t>
  </si>
  <si>
    <t>DORIS HERRERA CASTILLO</t>
  </si>
  <si>
    <t>CAL. ALEJANDRO PERALTA MZA. E LOTE 8 URB. VILLA VICTORIA</t>
  </si>
  <si>
    <t>B8S-830</t>
  </si>
  <si>
    <t>109977-073-080714</t>
  </si>
  <si>
    <t>TRNSPORTE &amp; DISTRIBUCIONES A &amp; B E.I.R.L.</t>
  </si>
  <si>
    <t>CALLE PARDO MIGUEL 379 - URB. LATINA</t>
  </si>
  <si>
    <t>M4P-888</t>
  </si>
  <si>
    <t> 1586</t>
  </si>
  <si>
    <t>16381-073-2011</t>
  </si>
  <si>
    <t>EMPRESA MULTISERVICIOS EL CCANTU &amp; MARKALU S.A.C</t>
  </si>
  <si>
    <t>MZ M LT. 07 ASOCIACIÓN SR. DE LOS MILAGROS</t>
  </si>
  <si>
    <t>A0C-885</t>
  </si>
  <si>
    <t>MARCELINO LUIS CARBAJAL VILLAGÓMEZ</t>
  </si>
  <si>
    <t>97042-073-030612</t>
  </si>
  <si>
    <t>A9G-901</t>
  </si>
  <si>
    <t>123943-073-141116</t>
  </si>
  <si>
    <t>CARGO CENTER SELETO E.R.I.L</t>
  </si>
  <si>
    <t>PASAJE PUNTA PARIÑAS, MZ B, LT 5, SANTO DOMINGO</t>
  </si>
  <si>
    <t>ANN-788</t>
  </si>
  <si>
    <t> 8830</t>
  </si>
  <si>
    <t>SERGIO FERNANDO LEVAGGI TOCCI</t>
  </si>
  <si>
    <t>138135-073-220818</t>
  </si>
  <si>
    <t>PEY-825</t>
  </si>
  <si>
    <t>89946-073-060818</t>
  </si>
  <si>
    <t>JR. LAMBAYEQUE ZONA F, MZ. 20, LOTE Nº 01, SEMI RURAL PACHACUTEC</t>
  </si>
  <si>
    <t>V2O-930</t>
  </si>
  <si>
    <t>138316-073-040918</t>
  </si>
  <si>
    <t>MZ. B12 LOTE 15 PRIMERA ETAPA P.J. TACALA</t>
  </si>
  <si>
    <t>M3F-807</t>
  </si>
  <si>
    <t xml:space="preserve">LIZANDRO ANTONIO ARANDA SALAZAR </t>
  </si>
  <si>
    <t>111075-073-230914</t>
  </si>
  <si>
    <t>AV. 28 DE JULIO Nº 554</t>
  </si>
  <si>
    <t>B1Q-990</t>
  </si>
  <si>
    <t> D0Y-836</t>
  </si>
  <si>
    <t> 11500</t>
  </si>
  <si>
    <t>JORGE LUIS GARCIA ARBULU</t>
  </si>
  <si>
    <t>115291-073-130615</t>
  </si>
  <si>
    <t>F8W-848</t>
  </si>
  <si>
    <t>41763-073-060818</t>
  </si>
  <si>
    <t>V2P-999</t>
  </si>
  <si>
    <t> V8Q-839</t>
  </si>
  <si>
    <t> V8Z-200</t>
  </si>
  <si>
    <t> 13125</t>
  </si>
  <si>
    <t>0013-CBGL-04-2008</t>
  </si>
  <si>
    <t>AV. JESUS N° 405</t>
  </si>
  <si>
    <t>XH-3280</t>
  </si>
  <si>
    <t>AV. CESAR VALLEJO N° 508</t>
  </si>
  <si>
    <t>OO-1467</t>
  </si>
  <si>
    <t>108233-073-210314</t>
  </si>
  <si>
    <t>EVARISTO ROJOS GONZALES</t>
  </si>
  <si>
    <t>CASERIO MITOBAMBA</t>
  </si>
  <si>
    <t>CHOTA</t>
  </si>
  <si>
    <t>QUEROCOTO</t>
  </si>
  <si>
    <t>M4J-800</t>
  </si>
  <si>
    <t> 2880</t>
  </si>
  <si>
    <t>TERESA OSORIO BONILLA</t>
  </si>
  <si>
    <t>PK-5532</t>
  </si>
  <si>
    <t>PK-5533</t>
  </si>
  <si>
    <t>0053-CTPGL-15-2002</t>
  </si>
  <si>
    <t>PII-368</t>
  </si>
  <si>
    <t>138315-073-040918</t>
  </si>
  <si>
    <t>TEW-980</t>
  </si>
  <si>
    <t>101930-073-040818</t>
  </si>
  <si>
    <t>V2B-741</t>
  </si>
  <si>
    <t> 5880</t>
  </si>
  <si>
    <t>89738-073-2010</t>
  </si>
  <si>
    <t>P1A-803</t>
  </si>
  <si>
    <t> 8550</t>
  </si>
  <si>
    <t>0035-CBGL-15-2002</t>
  </si>
  <si>
    <t>XU-3004</t>
  </si>
  <si>
    <t>JR. LOS INGENIEROS MZ. D-2 LOTE 11. ASOC. VIV. LOS ARTESANOS</t>
  </si>
  <si>
    <t>XQ-4718</t>
  </si>
  <si>
    <t>147137-073-181019</t>
  </si>
  <si>
    <t>V8L-836</t>
  </si>
  <si>
    <t>107465-073-230114</t>
  </si>
  <si>
    <t>MARY CELESTINA ALLASI DE CABANA</t>
  </si>
  <si>
    <t>AV SALAVERRY 215</t>
  </si>
  <si>
    <t>B3T-890</t>
  </si>
  <si>
    <t>88286-073-2010</t>
  </si>
  <si>
    <t>PUNTO DE DISTRIBUCIÓN S.A.C.</t>
  </si>
  <si>
    <t>AV. LOS PRÓCERES N° 8071, URB. INDUSTRIAL PRO</t>
  </si>
  <si>
    <t>A3V-813</t>
  </si>
  <si>
    <t> 2185</t>
  </si>
  <si>
    <t>0007-CBGL-12-2004</t>
  </si>
  <si>
    <t>XO-6285</t>
  </si>
  <si>
    <t> 7280</t>
  </si>
  <si>
    <t>116057-073-300715</t>
  </si>
  <si>
    <t>EX FUNDO MALVARROSA, PARCELA 13, KM. 197.5</t>
  </si>
  <si>
    <t>D4P-863</t>
  </si>
  <si>
    <t>HILDA LANDEO ALIAGA</t>
  </si>
  <si>
    <t>PM-3181</t>
  </si>
  <si>
    <t>JUAN ESTANISLAO BRAVO SEDAMANOS</t>
  </si>
  <si>
    <t>JR. JUNO N° 147-149 URB. LA CAMPIÑA</t>
  </si>
  <si>
    <t>PP-4689</t>
  </si>
  <si>
    <t>137696-073-280718</t>
  </si>
  <si>
    <t>SERVICIOS EN OPERACIONES LOGISTICASDE HIDROCARBUROS Y MERCANCIAS S.A.C.</t>
  </si>
  <si>
    <t>F6T-779</t>
  </si>
  <si>
    <t> 9050</t>
  </si>
  <si>
    <t>61591-073-090714</t>
  </si>
  <si>
    <t>GC. MULTIGAS E.I.R.L.</t>
  </si>
  <si>
    <t>LOTIZACION CHILLON MZ. A, LOTE 8</t>
  </si>
  <si>
    <t>AAL-702</t>
  </si>
  <si>
    <t>96420-073-070818</t>
  </si>
  <si>
    <t> M2C-913</t>
  </si>
  <si>
    <t>0112-CTPGL-15-2001</t>
  </si>
  <si>
    <t>OFELIA VILMA TINEO TARAZONA</t>
  </si>
  <si>
    <t>AV. CARLOS IZAGUIRE MZ. C LOTE 12 ASOC. LAS MARGARITAS</t>
  </si>
  <si>
    <t>PIA-796</t>
  </si>
  <si>
    <t>0065-CTPGL-15-2002</t>
  </si>
  <si>
    <t>PII-982</t>
  </si>
  <si>
    <t>148721-073-140120</t>
  </si>
  <si>
    <t xml:space="preserve">MZ.O SUB LOTE C II ZONA INDUSTRIAL </t>
  </si>
  <si>
    <t>BCO-855</t>
  </si>
  <si>
    <t>0056-CTPGL-15-2002</t>
  </si>
  <si>
    <t>PIJ-082</t>
  </si>
  <si>
    <t>0055-CTPGL-15-2002</t>
  </si>
  <si>
    <t>PII-964</t>
  </si>
  <si>
    <t>124885-073-151116</t>
  </si>
  <si>
    <t xml:space="preserve">PANDURO DIAZ VICTOR RAUL </t>
  </si>
  <si>
    <t>W3O-864</t>
  </si>
  <si>
    <t>148720-073-140120</t>
  </si>
  <si>
    <t>MZ. O SUB.LOTE C-II ZONA INDUSTRIAL</t>
  </si>
  <si>
    <t>BCN-865</t>
  </si>
  <si>
    <t>0069-CTPGL-15-2002</t>
  </si>
  <si>
    <t>PII-994</t>
  </si>
  <si>
    <t>0004-CBGL-15-2000</t>
  </si>
  <si>
    <t>WZ-2811</t>
  </si>
  <si>
    <t>0067-CTPGL-15-2002</t>
  </si>
  <si>
    <t>PII-986</t>
  </si>
  <si>
    <t>0066-CTPGL-15-2002</t>
  </si>
  <si>
    <t>PII-979</t>
  </si>
  <si>
    <t>133034-073-231117</t>
  </si>
  <si>
    <t xml:space="preserve">MONTALVO DE LA TORRE MARTHA MILAGROS </t>
  </si>
  <si>
    <t xml:space="preserve">MZA. E, LOTE 10, URB. LOS GERANIOS </t>
  </si>
  <si>
    <t>B6E-793</t>
  </si>
  <si>
    <t>MONTALVO DE LA TORRE MARTHA MILAGROS</t>
  </si>
  <si>
    <t>0003-CTPGL-15-2010</t>
  </si>
  <si>
    <t>GRIMALDO ELMER PAYANO ERASMO</t>
  </si>
  <si>
    <t>AV. PACHACUTEC MZ B LT 2 PARQUE INDUSTRIAL</t>
  </si>
  <si>
    <t>PID-333</t>
  </si>
  <si>
    <t> 520</t>
  </si>
  <si>
    <t>0041-CTPGL-15-2009</t>
  </si>
  <si>
    <t>PE-6264</t>
  </si>
  <si>
    <t>109136-073-060818</t>
  </si>
  <si>
    <t>V4Q-980</t>
  </si>
  <si>
    <t>111140-073-240715</t>
  </si>
  <si>
    <t>MZ 3 L TE URB COSSIO DEL POMAR</t>
  </si>
  <si>
    <t>P2H-761</t>
  </si>
  <si>
    <t>LLZANDRO ANTONIO ARANDA SALAZAR</t>
  </si>
  <si>
    <t>92408-073-260511</t>
  </si>
  <si>
    <t>C2E-891</t>
  </si>
  <si>
    <t>0077-CBGL-15-2007</t>
  </si>
  <si>
    <t>AV. LAS MAGNOLIAS 1041 - RESIDENCIAL PRIMAVERA</t>
  </si>
  <si>
    <t>XQ-6611</t>
  </si>
  <si>
    <t>PGJ-384</t>
  </si>
  <si>
    <t>63543-073-2010</t>
  </si>
  <si>
    <t>JOSE LUIS MAMANI QUIÑONEZ</t>
  </si>
  <si>
    <t xml:space="preserve">LA CAMPIÑA II SECTOR M - 15 </t>
  </si>
  <si>
    <t>OH-6995</t>
  </si>
  <si>
    <t>XQ-3859</t>
  </si>
  <si>
    <t>XQ-3860</t>
  </si>
  <si>
    <t>XQ-3858</t>
  </si>
  <si>
    <t>132696-073-091117</t>
  </si>
  <si>
    <t>JR. AUGUSTO B. LEGUIA N°183</t>
  </si>
  <si>
    <t>A4R-896</t>
  </si>
  <si>
    <t>XQ-3857</t>
  </si>
  <si>
    <t>84634-073-261216</t>
  </si>
  <si>
    <t>AV. LOS ROBLES MZ. I LT. 10 UR. LA CAPITANA - HUACHIPA</t>
  </si>
  <si>
    <t>W1W-985</t>
  </si>
  <si>
    <t> B9U-852</t>
  </si>
  <si>
    <t> 12240</t>
  </si>
  <si>
    <t>136979-073-200618</t>
  </si>
  <si>
    <t xml:space="preserve">SALDAÑA TORRES FERNANDO </t>
  </si>
  <si>
    <t xml:space="preserve">MZ. C3 LT. 35 ASOCIACION PANCHA PAULA ETAPA II </t>
  </si>
  <si>
    <t>AWB-702</t>
  </si>
  <si>
    <t>FERNANDO SALDAÑA TORRES</t>
  </si>
  <si>
    <t>121161-073-160919</t>
  </si>
  <si>
    <t>NEIL GILTON NUÑEZ GAONA</t>
  </si>
  <si>
    <t>JR. CAJAMARCA S/N ESQ. JR. INCA GARCILAZO DE LA VEGA S/N</t>
  </si>
  <si>
    <t>PACCHA</t>
  </si>
  <si>
    <t>M1L-832</t>
  </si>
  <si>
    <t> 7310</t>
  </si>
  <si>
    <t>0019-CBGL-15-2006</t>
  </si>
  <si>
    <t>PRIMAX S.A.</t>
  </si>
  <si>
    <t xml:space="preserve">CALLE LA PAMPILLA 145 ZONA INDUSTRIAL VENTANILLA </t>
  </si>
  <si>
    <t>XO-8804</t>
  </si>
  <si>
    <t>0015-CBGL-15-2006</t>
  </si>
  <si>
    <t>CALLE LA PAMPILLA 145 ZONA INDUSTRIAL DE VENTANILLA</t>
  </si>
  <si>
    <t>XO-8805</t>
  </si>
  <si>
    <t>118554-073-280218</t>
  </si>
  <si>
    <t>JESHUA OPERADO LOGISTICO SAC</t>
  </si>
  <si>
    <t>AV. VICE MZ 228 LOTE 04 ZONA INDUSTRIAL</t>
  </si>
  <si>
    <t>P3M-830</t>
  </si>
  <si>
    <t>106726-073-301214</t>
  </si>
  <si>
    <t xml:space="preserve">GASES Y SUMINISTROS C&amp;L SOCIEDAD ANONIMA CERRADA </t>
  </si>
  <si>
    <t xml:space="preserve">JR. CIRCUNVALACIÓN CUMBAZA N° 940 ATUMPAMPA </t>
  </si>
  <si>
    <t>T2Y-995</t>
  </si>
  <si>
    <t> T2G-839</t>
  </si>
  <si>
    <t>LUIS FERNANDO ZELADA PESANTES</t>
  </si>
  <si>
    <t>131009-073-080817</t>
  </si>
  <si>
    <t>JORGE ALBERTO MAMANI ZAMATA</t>
  </si>
  <si>
    <t>MZ C4 LOTE 09, P.J. VILLA EL PARAISO (GRIFO VILLA PARAISO 4 CDRAS)</t>
  </si>
  <si>
    <t>V9C-841</t>
  </si>
  <si>
    <t>122761-073-300716</t>
  </si>
  <si>
    <t>YOLANDA DOMITILA VADILLO CIERTO</t>
  </si>
  <si>
    <t>JR. LOS PINOS MZ. Z LOTE 31</t>
  </si>
  <si>
    <t>SAN AGUSTIN</t>
  </si>
  <si>
    <t>AFY-787</t>
  </si>
  <si>
    <t xml:space="preserve">YOLANDA DOMITILA VADILLO CIERTO </t>
  </si>
  <si>
    <t>146716-073-260919</t>
  </si>
  <si>
    <t>JR. LAMBAYEQUE, ZONA F, GRUPO 19, MZ. 20, LOTE 01, SEMI RURAL PACHACUTEC</t>
  </si>
  <si>
    <t>B0M-993</t>
  </si>
  <si>
    <t> V9M-853</t>
  </si>
  <si>
    <t>0017-CBGL-12-2009</t>
  </si>
  <si>
    <t>TRANSPORTES RAPIDOS S.A.C.</t>
  </si>
  <si>
    <t xml:space="preserve">AV. LAS AMERICAS S/N </t>
  </si>
  <si>
    <t>XP-8179</t>
  </si>
  <si>
    <t> 2025</t>
  </si>
  <si>
    <t>151582-073-051020</t>
  </si>
  <si>
    <t>JULY MILLUSKA OVALLE QUIÑONES</t>
  </si>
  <si>
    <t>AV. 28 DE JULIO N° 339 PINGULLO BAJO</t>
  </si>
  <si>
    <t>SIHUAS</t>
  </si>
  <si>
    <t>AUV-930</t>
  </si>
  <si>
    <t>1079537-ARE</t>
  </si>
  <si>
    <t>PGJ-541</t>
  </si>
  <si>
    <t>0008-CBGL-04-2008</t>
  </si>
  <si>
    <t>CALLE CHACHAPOYAS 202 SOCABAYA</t>
  </si>
  <si>
    <t>WH-2822</t>
  </si>
  <si>
    <t>106766-073-081213</t>
  </si>
  <si>
    <t>JHONY GAS E.I.R.L.</t>
  </si>
  <si>
    <t>AV. RAMON CASTILLA NRO. 592</t>
  </si>
  <si>
    <t>D1U-774</t>
  </si>
  <si>
    <t>MARIA ANGELA GOMEZ SAJAMI</t>
  </si>
  <si>
    <t>0025-CBGL-15-2004</t>
  </si>
  <si>
    <t>LILA NILDA MEDINA MATOS</t>
  </si>
  <si>
    <t>AV. CORDIALIDAD N° 7970 URB. PRO</t>
  </si>
  <si>
    <t>XQ-9711</t>
  </si>
  <si>
    <t> 4410</t>
  </si>
  <si>
    <t>0005-CBGL-15-2003</t>
  </si>
  <si>
    <t>ORLANDO GAS TAOL S.R.L.</t>
  </si>
  <si>
    <t>JR. LAURIANA N° 133</t>
  </si>
  <si>
    <t>XQ-7743</t>
  </si>
  <si>
    <t>85158-073-100815</t>
  </si>
  <si>
    <t>BALONES ANDINOS E.I.R.LTDA</t>
  </si>
  <si>
    <t>AV. PACHACUTEC MZ. B, LT. 18</t>
  </si>
  <si>
    <t>D2V-746</t>
  </si>
  <si>
    <t>BENJAMIN ROSALES NUÑEZ</t>
  </si>
  <si>
    <t>0016-CBGL-15-2006</t>
  </si>
  <si>
    <t>CALLE LA PAMPILLA 145 ZONA INDUSTRIAL VENTANILLA</t>
  </si>
  <si>
    <t>XO-8808</t>
  </si>
  <si>
    <t>92590-073-030611</t>
  </si>
  <si>
    <t>URB. LOS NARANJOS I-11</t>
  </si>
  <si>
    <t>BOX-816</t>
  </si>
  <si>
    <t>92599-073-040611</t>
  </si>
  <si>
    <t>B0W-905</t>
  </si>
  <si>
    <t>97186-073-201015</t>
  </si>
  <si>
    <t>V4M-986</t>
  </si>
  <si>
    <t>92601-073-040611</t>
  </si>
  <si>
    <t>V3D-814</t>
  </si>
  <si>
    <t>43966-073-220212</t>
  </si>
  <si>
    <t>FORZA GAS E.I.R.L.</t>
  </si>
  <si>
    <t>JR. GUIDO Nº 656</t>
  </si>
  <si>
    <t>D1T-915</t>
  </si>
  <si>
    <t>ROXANA GISELA GALINDO ROMAN</t>
  </si>
  <si>
    <t>0010-CBGL-14-2009</t>
  </si>
  <si>
    <t xml:space="preserve">PROLONGACION MEXICO N° 901 P.P.J.J MARIA PARADO DE BELLIDO </t>
  </si>
  <si>
    <t>XC-2315</t>
  </si>
  <si>
    <t> 4100</t>
  </si>
  <si>
    <t>CELESTINO FERNANDEZ ARELLANO</t>
  </si>
  <si>
    <t>MZ. B LOTE 15 PSJE. 12 DE DICIEMBRE</t>
  </si>
  <si>
    <t>PG-7563</t>
  </si>
  <si>
    <t>92592-073-040611</t>
  </si>
  <si>
    <t>B0W-941</t>
  </si>
  <si>
    <t>112739-073-060818</t>
  </si>
  <si>
    <t>V7K-796</t>
  </si>
  <si>
    <t>90082-073-060818</t>
  </si>
  <si>
    <t xml:space="preserve">JR. LAMBAYEQUE ZONA F, MZ. 20, LOTE Nº 01, SEMI RURAL PACHACUTEC </t>
  </si>
  <si>
    <t>V2O-886</t>
  </si>
  <si>
    <t>108314-073-160314</t>
  </si>
  <si>
    <t>CARRETERA PANAMERICANA NORTE KM 557</t>
  </si>
  <si>
    <t>F6S-787</t>
  </si>
  <si>
    <t>135890-073-020518</t>
  </si>
  <si>
    <t>JIRÓN CUZCO 451-B</t>
  </si>
  <si>
    <t>Z5O-822</t>
  </si>
  <si>
    <t>SOSA ALFARO JOHNNATHAN DAYVI</t>
  </si>
  <si>
    <t>113998-073-230215</t>
  </si>
  <si>
    <t>AV. WILLCAHUAIN N° 550 - ACOVICHAY</t>
  </si>
  <si>
    <t>F2G-989</t>
  </si>
  <si>
    <t> ABZ-801</t>
  </si>
  <si>
    <t>90084-073-050818</t>
  </si>
  <si>
    <t>V2O-873</t>
  </si>
  <si>
    <t>35000-073-050613</t>
  </si>
  <si>
    <t xml:space="preserve">LOGISTICA Y TRANSPORTES ALFA S.A. </t>
  </si>
  <si>
    <t>D3D-850</t>
  </si>
  <si>
    <t>88791-073-2010</t>
  </si>
  <si>
    <t>YOIGAS S.A.C.</t>
  </si>
  <si>
    <t>CALLE AMATISTA MZ. L - LT 15. ANGELICA GAMARRA</t>
  </si>
  <si>
    <t>PQX-975</t>
  </si>
  <si>
    <t>RAFAEL GAY BERNAL SUAREZ</t>
  </si>
  <si>
    <t>20831-073-2010</t>
  </si>
  <si>
    <t>OB-4460</t>
  </si>
  <si>
    <t>92600-073-030611</t>
  </si>
  <si>
    <t>V3D-834</t>
  </si>
  <si>
    <t>92602-073-040611</t>
  </si>
  <si>
    <t>V3C-895</t>
  </si>
  <si>
    <t> 725</t>
  </si>
  <si>
    <t>0040-CTPGL-15-2003</t>
  </si>
  <si>
    <t>PIH-337</t>
  </si>
  <si>
    <t>0015-CBGL-12-2005</t>
  </si>
  <si>
    <t>EMPRESA DE TRANSPORTES CALIFORNIA S.A</t>
  </si>
  <si>
    <t>XI-6990</t>
  </si>
  <si>
    <t>135105-073-020418</t>
  </si>
  <si>
    <t>Z3K-809</t>
  </si>
  <si>
    <t>SALLES REYNA EDGARD ANTONIO</t>
  </si>
  <si>
    <t>113772-073-110215</t>
  </si>
  <si>
    <t>JR. LOS GALLOS MZ. E LOTE 13</t>
  </si>
  <si>
    <t>M5E-948</t>
  </si>
  <si>
    <t>CARLO FERNANDO VASQUEZ YEPES</t>
  </si>
  <si>
    <t>0001-CBGL-02-2003</t>
  </si>
  <si>
    <t>XG-7891</t>
  </si>
  <si>
    <t>0002-CBGL-02-2003</t>
  </si>
  <si>
    <t>JOSE ALEJANDRO MONTALVAN MACEDO</t>
  </si>
  <si>
    <t>URB. EL BOSQUE A48, NUEVO CHIMBOTE</t>
  </si>
  <si>
    <t>CASMA</t>
  </si>
  <si>
    <t>WE-2611</t>
  </si>
  <si>
    <t>92152-073-230511</t>
  </si>
  <si>
    <t>VICENTE FERRER ESPINOZA CHOQUE</t>
  </si>
  <si>
    <t>ASOC. JORGE CHAVEZ MZ A2 LOTE 11</t>
  </si>
  <si>
    <t>V2J-917</t>
  </si>
  <si>
    <t>0000016-LAM</t>
  </si>
  <si>
    <t>PD-1315</t>
  </si>
  <si>
    <t>136769-073-100618</t>
  </si>
  <si>
    <t>MULTISERVICIOS KAROL E.I.R.L.</t>
  </si>
  <si>
    <t>CALLE MARIANO MELGAR N° 455 URB. SANTA ROSA</t>
  </si>
  <si>
    <t>SAN IGNACIO</t>
  </si>
  <si>
    <t>D6A-826</t>
  </si>
  <si>
    <t xml:space="preserve">JUSTO PASTOR ARIAS ABARCA </t>
  </si>
  <si>
    <t>44833-073-200117</t>
  </si>
  <si>
    <t>GLP AMAZONICO S.A.C.</t>
  </si>
  <si>
    <t xml:space="preserve">CALLE PEVAS N° 316 </t>
  </si>
  <si>
    <t>D0J-821</t>
  </si>
  <si>
    <t>SATURNINO ESTACIO PORTA</t>
  </si>
  <si>
    <t>AV. MIGUEL GRAU N° 1070</t>
  </si>
  <si>
    <t>WO-2781</t>
  </si>
  <si>
    <t>WO-2685</t>
  </si>
  <si>
    <t>84276-073-2010</t>
  </si>
  <si>
    <t>XC-2102</t>
  </si>
  <si>
    <t>96093-073-090312</t>
  </si>
  <si>
    <t xml:space="preserve">CALLE B S/N URB. EX FUNDO OQUENDO </t>
  </si>
  <si>
    <t>A9G-899</t>
  </si>
  <si>
    <t>113359-073-310115</t>
  </si>
  <si>
    <t>Z2S-926</t>
  </si>
  <si>
    <t>105177-073-301013</t>
  </si>
  <si>
    <t>TRANSPORTES Y DISTRIBUCIONES DAEL &amp; JUVI E.I.R.L.</t>
  </si>
  <si>
    <t>AV. TINTAYA N° 1333 URBANIZACION SAN MATIAS MZ. G 1</t>
  </si>
  <si>
    <t>Z1U-817</t>
  </si>
  <si>
    <t>VICTOR CALLA LOPE</t>
  </si>
  <si>
    <t>117437-073-131015</t>
  </si>
  <si>
    <t>WASHINGTON N° 204-A</t>
  </si>
  <si>
    <t>V0W-997</t>
  </si>
  <si>
    <t>121923-073-170616</t>
  </si>
  <si>
    <t>INVERSIONES Y NEGOCIACIONES MEJIA'S PERU S.A.C.</t>
  </si>
  <si>
    <t>JR. HUANUCO N° 972</t>
  </si>
  <si>
    <t>W5A-717</t>
  </si>
  <si>
    <t>RUBEN JUVENCIO MEJIA GOMEZ</t>
  </si>
  <si>
    <t>MOLIGAS HECTORIN S.A.</t>
  </si>
  <si>
    <t>AV.MEXICO N° 1376</t>
  </si>
  <si>
    <t>WQ-1501</t>
  </si>
  <si>
    <t>0002-CTPGL-08-2009</t>
  </si>
  <si>
    <t>PROLONGACION AV. MANCO CAPAC 242</t>
  </si>
  <si>
    <t>PGJ-364</t>
  </si>
  <si>
    <t> 392</t>
  </si>
  <si>
    <t>0035-CBGL-15-2005</t>
  </si>
  <si>
    <t>XG-3795</t>
  </si>
  <si>
    <t> 3190</t>
  </si>
  <si>
    <t>124390-073-021116</t>
  </si>
  <si>
    <t>AMERICA NET S.R.L</t>
  </si>
  <si>
    <t>JR. OSCAR LA BARRERA N° 460 URB. LOS LAURELES</t>
  </si>
  <si>
    <t>AEW-940</t>
  </si>
  <si>
    <t> 3770</t>
  </si>
  <si>
    <t>JOEL GUTIERREZ ZEANCAS</t>
  </si>
  <si>
    <t>0024-CBGL-15-2005</t>
  </si>
  <si>
    <t>XG-3853</t>
  </si>
  <si>
    <t> 3210</t>
  </si>
  <si>
    <t>132033-073-290917</t>
  </si>
  <si>
    <t>JHON MAXIMO PINTO ROMANI</t>
  </si>
  <si>
    <t xml:space="preserve">AV. MARGINAL 151 URB JAVIER PRADO VI ETAPA </t>
  </si>
  <si>
    <t>A0H-868</t>
  </si>
  <si>
    <t>0007-CTPGL-11-2009</t>
  </si>
  <si>
    <t>ZU GAS EIRL</t>
  </si>
  <si>
    <t>JR. LIMA 432</t>
  </si>
  <si>
    <t>PIM-773</t>
  </si>
  <si>
    <t>0008-CTPGL-11-2009</t>
  </si>
  <si>
    <t>PIQ-767</t>
  </si>
  <si>
    <t>92591-073-030611</t>
  </si>
  <si>
    <t>V3D-850</t>
  </si>
  <si>
    <t>92595-073-040611</t>
  </si>
  <si>
    <t>V3C-890</t>
  </si>
  <si>
    <t>92593-073-030611</t>
  </si>
  <si>
    <t>V3D-805</t>
  </si>
  <si>
    <t>113761-073-120215</t>
  </si>
  <si>
    <t xml:space="preserve">JR. RUFINO MACEDO S/N MZ. H INT 11 URB INDUSTRIAL PANAMERICANA NORTE </t>
  </si>
  <si>
    <t>ACK-826</t>
  </si>
  <si>
    <t> 4875</t>
  </si>
  <si>
    <t>130941-073-080817</t>
  </si>
  <si>
    <t>DYSEM H &amp; U S.R.L.</t>
  </si>
  <si>
    <t>CALLE YARAVÍ Nº 601-A, P.T. ZAMACOLA</t>
  </si>
  <si>
    <t>V9B-943</t>
  </si>
  <si>
    <t>ULISES SALCEDO CCAMERCCOA</t>
  </si>
  <si>
    <t>142048-073-050419</t>
  </si>
  <si>
    <t xml:space="preserve">FUNDO ALFALFAR KM 1. CARRETERA CHACHAPOYAS - PEDERO RUIZ </t>
  </si>
  <si>
    <t>M6I-900</t>
  </si>
  <si>
    <t>62518-073-120319</t>
  </si>
  <si>
    <t>MULTICOSAS EMPRESA INDIVIDUAL DE RESPONSABILIDAD LIMITADA</t>
  </si>
  <si>
    <t>JR. CUSCO NRO. S/N POBLADO DE YAURI</t>
  </si>
  <si>
    <t>YAURI</t>
  </si>
  <si>
    <t>B0A-820</t>
  </si>
  <si>
    <t xml:space="preserve">DAVID HUAYAPA CARLOS </t>
  </si>
  <si>
    <t>0008-CBGL-07-2010</t>
  </si>
  <si>
    <t>SETROMEC S.A.C.</t>
  </si>
  <si>
    <t>OMICRON Nº 153, PARQUE INDUSTRIAL</t>
  </si>
  <si>
    <t>A1G-837</t>
  </si>
  <si>
    <t> 1805</t>
  </si>
  <si>
    <t>132137-073-061017</t>
  </si>
  <si>
    <t xml:space="preserve">FREDY MISAEL MENESES QUINCHO </t>
  </si>
  <si>
    <t xml:space="preserve">CARRETERA CENTRAL KM. 92.3 ANEXO AYAR ALTO </t>
  </si>
  <si>
    <t>HUAROCHIRI</t>
  </si>
  <si>
    <t>SAN MATEO</t>
  </si>
  <si>
    <t>ATU-820</t>
  </si>
  <si>
    <t>FREDY MISAEL MENESES QUINCHO</t>
  </si>
  <si>
    <t>0001-CBGL-04-2007</t>
  </si>
  <si>
    <t>WASHINGTON 204 A</t>
  </si>
  <si>
    <t>WH-8645</t>
  </si>
  <si>
    <t> 4855</t>
  </si>
  <si>
    <t>0077-CTPGL-15-2002</t>
  </si>
  <si>
    <t>PII-551</t>
  </si>
  <si>
    <t>0002-CBGL-11-2009</t>
  </si>
  <si>
    <t>XI-9849</t>
  </si>
  <si>
    <t>0076-CTPGL-15-2002</t>
  </si>
  <si>
    <t>PII-537</t>
  </si>
  <si>
    <t>0033-CBGL-15-2002</t>
  </si>
  <si>
    <t>XG-8483</t>
  </si>
  <si>
    <t> 3860</t>
  </si>
  <si>
    <t>0074-CTPGL-15-2002</t>
  </si>
  <si>
    <t>PIJ-089</t>
  </si>
  <si>
    <t>XG-4138</t>
  </si>
  <si>
    <t>0006-CTPGL-11-2009</t>
  </si>
  <si>
    <t>RUIZ DE, SANCHEZ MERI</t>
  </si>
  <si>
    <t>URB. DIVINO MAESTRO A-24 INT. 3</t>
  </si>
  <si>
    <t>PIA-878</t>
  </si>
  <si>
    <t>118596-073-120116</t>
  </si>
  <si>
    <t xml:space="preserve">JOEL CHOQUEHUANCA CHICANE </t>
  </si>
  <si>
    <t>JR. DANIEL ALCIDES CARRION N° B - 13</t>
  </si>
  <si>
    <t>Z6C-815</t>
  </si>
  <si>
    <t> 2345</t>
  </si>
  <si>
    <t>91073-073-2011</t>
  </si>
  <si>
    <t>COMERCIAL EMY LUS E.I.R.L</t>
  </si>
  <si>
    <t>JR. CUSCO S/N</t>
  </si>
  <si>
    <t>V2N-886</t>
  </si>
  <si>
    <t> 4160</t>
  </si>
  <si>
    <t>LUIS CHOQUEHUANCA MERMA</t>
  </si>
  <si>
    <t>88285-073-2010</t>
  </si>
  <si>
    <t>AV. LOS PROCERES NRO 8071,URB. INDUSTRIAL PRO</t>
  </si>
  <si>
    <t>A3T-886</t>
  </si>
  <si>
    <t>EDUARDO LUIS CAPRILE CARBAJAL</t>
  </si>
  <si>
    <t>0001-CTPGL-20-2002</t>
  </si>
  <si>
    <t>PGR-532</t>
  </si>
  <si>
    <t>ANA CECILIA TELLO GOMEZ</t>
  </si>
  <si>
    <t>JR. QUILCA N° 221-1</t>
  </si>
  <si>
    <t>PGP-131</t>
  </si>
  <si>
    <t>95660-073-210417</t>
  </si>
  <si>
    <t>SUR ORIENTE GAS E.I.R.L</t>
  </si>
  <si>
    <t>AV. MADRE DE DIOS Nº 275</t>
  </si>
  <si>
    <t>W3J-809</t>
  </si>
  <si>
    <t> 8760</t>
  </si>
  <si>
    <t>HELARD JOSE LUDEÑA TORRE</t>
  </si>
  <si>
    <t>112640-073-240815</t>
  </si>
  <si>
    <t>SONIA BEATRIZ TAPIA MARQUEZ</t>
  </si>
  <si>
    <t>CALLE LIMA 763</t>
  </si>
  <si>
    <t>F0G-869</t>
  </si>
  <si>
    <t>PATRICIA GOMEZ DE VIDANGOS</t>
  </si>
  <si>
    <t>AV. PARRA N° 223</t>
  </si>
  <si>
    <t>OH-3572</t>
  </si>
  <si>
    <t>63098-073-2010</t>
  </si>
  <si>
    <t>ASOC. MARIA PARADO DE BELLIDO MZ.Ñ, LT.17</t>
  </si>
  <si>
    <t>A6G-816</t>
  </si>
  <si>
    <t>92377-073-110511</t>
  </si>
  <si>
    <t>V3I-863</t>
  </si>
  <si>
    <t>VLADIMIR CHAVEZ GALDOS</t>
  </si>
  <si>
    <t>VILLA HERMOSA N° 310 CERRITO LOS ALVAREZ</t>
  </si>
  <si>
    <t>PGI-825</t>
  </si>
  <si>
    <t>137885-073-060818</t>
  </si>
  <si>
    <t>T9M-855</t>
  </si>
  <si>
    <t> 8060</t>
  </si>
  <si>
    <t>0050-CBGL-15-2005</t>
  </si>
  <si>
    <t>XG-9243</t>
  </si>
  <si>
    <t>121190-073-310516</t>
  </si>
  <si>
    <t>EFRAIN FREDY COAQUIRA MACHACA</t>
  </si>
  <si>
    <t>UPIS RAMIRO PRIALE, MZ. B, LOTE N° 09, SECTOR PAMPAS DE POLANCO</t>
  </si>
  <si>
    <t>V4D-911</t>
  </si>
  <si>
    <t> 190</t>
  </si>
  <si>
    <t>OI-4751</t>
  </si>
  <si>
    <t>125486-073-161216</t>
  </si>
  <si>
    <t>MARCELOS SERVICIOS GENERALES E.I.R.L.</t>
  </si>
  <si>
    <t>AV. GRAU N° 1013</t>
  </si>
  <si>
    <t>X4D-847</t>
  </si>
  <si>
    <t>JONAS ZACARIAS RIOS CCALLE</t>
  </si>
  <si>
    <t>0023-CTPGL-15-2001</t>
  </si>
  <si>
    <t>PGC-473</t>
  </si>
  <si>
    <t>41735-073-180820</t>
  </si>
  <si>
    <t>JIRON LAMABAYEQUE ZONA F, GRUPO 19, MZ 20, LOTE 01 - SEMIRURAL PACHACUTEC</t>
  </si>
  <si>
    <t>V7G-983</t>
  </si>
  <si>
    <t> V8K-839</t>
  </si>
  <si>
    <t>0023-CBGL-15-2001</t>
  </si>
  <si>
    <t>XI-4566</t>
  </si>
  <si>
    <t>112690-073-181020</t>
  </si>
  <si>
    <t>V5S-973</t>
  </si>
  <si>
    <t> V2Z-780</t>
  </si>
  <si>
    <t>0051-CBGL-15-2009</t>
  </si>
  <si>
    <t>AV. HERNESTO GAMBETTA KM. 14 1/2, MZ. D, LOTE 1</t>
  </si>
  <si>
    <t>ZQ-2738</t>
  </si>
  <si>
    <t> YG-9393</t>
  </si>
  <si>
    <t> YI-8197</t>
  </si>
  <si>
    <t> 12440</t>
  </si>
  <si>
    <t>126650-073-180217</t>
  </si>
  <si>
    <t>EMPRESA INVERSIONES CAMPO GRANDE S.R.L.</t>
  </si>
  <si>
    <t>AV. 10 DE JULIO N° 713</t>
  </si>
  <si>
    <t>SANCHEZ CARRION</t>
  </si>
  <si>
    <t>HUAMACHUCO</t>
  </si>
  <si>
    <t>T8J-856</t>
  </si>
  <si>
    <t>EDUARDO CUBA BACA</t>
  </si>
  <si>
    <t>WI-1381</t>
  </si>
  <si>
    <t>93179-073-261112</t>
  </si>
  <si>
    <t xml:space="preserve">NELLY ALIAGA VIUDA DE ARMAS </t>
  </si>
  <si>
    <t>JIRON TRUJILLO N° 1405</t>
  </si>
  <si>
    <t>C5J-803</t>
  </si>
  <si>
    <t>NELLY ALIAGA VIUDA DE ARMAS</t>
  </si>
  <si>
    <t>146808-073-270919</t>
  </si>
  <si>
    <t>MZA. O SUB LOTE C - II - ZONA INDUSTRIAL</t>
  </si>
  <si>
    <t>P4C-739</t>
  </si>
  <si>
    <t> 2580</t>
  </si>
  <si>
    <t>110634-073-230415</t>
  </si>
  <si>
    <t>ECONOGAS S.R.L</t>
  </si>
  <si>
    <t>MZ. O, SUB LOTE C, 2DA. ZONA INDUSTRIAL</t>
  </si>
  <si>
    <t>F9X-926</t>
  </si>
  <si>
    <t>0060-CTPGL-15-2002</t>
  </si>
  <si>
    <t>PII-978</t>
  </si>
  <si>
    <t>0062-CTPGL-15-2002</t>
  </si>
  <si>
    <t>PIJ-000</t>
  </si>
  <si>
    <t>WI-5667</t>
  </si>
  <si>
    <t>0061-CTPGL-15-2002</t>
  </si>
  <si>
    <t>PII-989</t>
  </si>
  <si>
    <t>120284-073-300916</t>
  </si>
  <si>
    <t>LIZANDRO LAURA PUMA</t>
  </si>
  <si>
    <t>CONJUNTO HABITACIONAL ALFONSO UGARTE II ETAPA MZ. N4 LT 04</t>
  </si>
  <si>
    <t>Z5G-867</t>
  </si>
  <si>
    <t>134086-073-220118</t>
  </si>
  <si>
    <t>AUS-805</t>
  </si>
  <si>
    <t>0002-CBGL-22-2006</t>
  </si>
  <si>
    <t>JR. LAS ALMENDRAS N° 214 - 218 URBANIZACION LOS JARDINES</t>
  </si>
  <si>
    <t>PGY-047</t>
  </si>
  <si>
    <t>125487-073-161216</t>
  </si>
  <si>
    <t>X4D-848</t>
  </si>
  <si>
    <t>87853-073-2010</t>
  </si>
  <si>
    <t>JR. JOSÉ CARLOS MARIATEGUI Nº 171</t>
  </si>
  <si>
    <t>A7T-897</t>
  </si>
  <si>
    <t> 8175</t>
  </si>
  <si>
    <t>139469-073-061118</t>
  </si>
  <si>
    <t xml:space="preserve">NATALIA AURELIA HUACALLO FERIA </t>
  </si>
  <si>
    <t>AV. MARIANO MELGAR N° 506 URB. ALTO LIBERTAD</t>
  </si>
  <si>
    <t>ABU-899</t>
  </si>
  <si>
    <t>0017-CBGL-15-2003</t>
  </si>
  <si>
    <t>XI-5878</t>
  </si>
  <si>
    <t>0006-CBGL-14-2008</t>
  </si>
  <si>
    <t xml:space="preserve">CECILIA INES OJEDA HERNANDEZ </t>
  </si>
  <si>
    <t xml:space="preserve">CALLE NEPTUNO No 130 - URB. SANTA ELENA </t>
  </si>
  <si>
    <t>XH-4122</t>
  </si>
  <si>
    <t> 2730</t>
  </si>
  <si>
    <t>0078-CTPGL-15-2003</t>
  </si>
  <si>
    <t>PGQ-651</t>
  </si>
  <si>
    <t>87394-073-120316</t>
  </si>
  <si>
    <t>A2I-844</t>
  </si>
  <si>
    <t>134087-073-220118</t>
  </si>
  <si>
    <t>AV. EL POLO NRO. 397</t>
  </si>
  <si>
    <t>AUR-937</t>
  </si>
  <si>
    <t>0001-CTPGL-14-2006</t>
  </si>
  <si>
    <t>INDIRA GONZALES DIAZ</t>
  </si>
  <si>
    <t>AV. CHACHAPOYAS N° 3012</t>
  </si>
  <si>
    <t>PC-8161</t>
  </si>
  <si>
    <t>0005-CBGL-15-2002</t>
  </si>
  <si>
    <t>ANGEL EDWIN LA TORRE BERNABE</t>
  </si>
  <si>
    <t>AV. 26 DE NOVIEMBRE N° 1031</t>
  </si>
  <si>
    <t>XG-8234</t>
  </si>
  <si>
    <t>0004-CTPGL-15-2005</t>
  </si>
  <si>
    <t>CALLE AMATISTAS MZ. L LOTE 5 - COOP. GAMARRA</t>
  </si>
  <si>
    <t>PG-9007</t>
  </si>
  <si>
    <t>92934-073-040711</t>
  </si>
  <si>
    <t>MOVILGAS S.R.L.</t>
  </si>
  <si>
    <t>JR. SANTA ISABEL Nº 2100</t>
  </si>
  <si>
    <t>C3Z-811</t>
  </si>
  <si>
    <t> 2450</t>
  </si>
  <si>
    <t>HECTOR TITO VILLAR FIERRO</t>
  </si>
  <si>
    <t>83428-073-020811</t>
  </si>
  <si>
    <t>INVERSIONES MEJIA CALDERON S.A.C</t>
  </si>
  <si>
    <t>MZ N LOTE 186 URB. LEONCIO PRADO</t>
  </si>
  <si>
    <t>WGO-322</t>
  </si>
  <si>
    <t>HUGO ROGERMEJIA CALDERON</t>
  </si>
  <si>
    <t>139011-073-091018</t>
  </si>
  <si>
    <t>C2C-785</t>
  </si>
  <si>
    <t>83038-073-180815</t>
  </si>
  <si>
    <t>TRANSPORTES JKL OCHOA S.A.C.</t>
  </si>
  <si>
    <t>ASOC. DE VIVIENDA LAS BRISAS DE SANTA CLARA MZ. B LOTE 02</t>
  </si>
  <si>
    <t>B3D-930</t>
  </si>
  <si>
    <t>94135-073-271211</t>
  </si>
  <si>
    <t>JENNY ALVARADO ESCALANTE</t>
  </si>
  <si>
    <t>AV. PASEO DEL BOSQUE MZ. C LOTE 10</t>
  </si>
  <si>
    <t>C7N-871</t>
  </si>
  <si>
    <t>0001-CBGL-21-2007</t>
  </si>
  <si>
    <t>NATIVIDAD JESUSA ROSAS PUMA</t>
  </si>
  <si>
    <t>JR RIVERA DEL MAR MZ 12 LTE 4-A URB LOS CHOFERES JULIACA</t>
  </si>
  <si>
    <t>ZH-2808</t>
  </si>
  <si>
    <t> YH-4518</t>
  </si>
  <si>
    <t> 8580</t>
  </si>
  <si>
    <t>PO-4605</t>
  </si>
  <si>
    <t>0001-CTPGL-06-2005</t>
  </si>
  <si>
    <t>PC-8975</t>
  </si>
  <si>
    <t>0016-CBGL-15-2007</t>
  </si>
  <si>
    <t>AV. LOS FAISANES 608 URB. LA CAMPIÑA</t>
  </si>
  <si>
    <t>ZI-1671</t>
  </si>
  <si>
    <t> YG-9279</t>
  </si>
  <si>
    <t> 8650</t>
  </si>
  <si>
    <t>142002-073-210319</t>
  </si>
  <si>
    <t>MARTINA LIDIA JORGE MAMANI</t>
  </si>
  <si>
    <t xml:space="preserve">ASOCIACION LOS TUNALES MZ. L LOTE 03, CPM CHEN CHEN </t>
  </si>
  <si>
    <t>V0F-866</t>
  </si>
  <si>
    <t>125399-073-130819</t>
  </si>
  <si>
    <t>MATARUMI INGENIEROS E.I.R.L.</t>
  </si>
  <si>
    <t>CASERIO DE QUERCOS S/N</t>
  </si>
  <si>
    <t>HUARI</t>
  </si>
  <si>
    <t>CHAVIN DE HUANTAR</t>
  </si>
  <si>
    <t>F6X-733</t>
  </si>
  <si>
    <t>ROSS MERY YULISA RAMIREZ CUEVA</t>
  </si>
  <si>
    <t>150028-073-270720</t>
  </si>
  <si>
    <t>CARMEN ROSA NEIRA ALVARADO</t>
  </si>
  <si>
    <t>AV. CESAR VALLEJO N° 588 URB. PIURA</t>
  </si>
  <si>
    <t>P4E-860</t>
  </si>
  <si>
    <t>87999-073-2010</t>
  </si>
  <si>
    <t>ASOC. VILLA SEÑOR DE LOS MILAGROS MZ B LOTE 06</t>
  </si>
  <si>
    <t>PJ-2535</t>
  </si>
  <si>
    <t>88124-073-241115</t>
  </si>
  <si>
    <t>TRANSPORTES DLV E.I.R.L.</t>
  </si>
  <si>
    <t>A7L-856</t>
  </si>
  <si>
    <t>HENRY ALBERTO DE LA VEGA ANDERSON</t>
  </si>
  <si>
    <t>WALTER JIMENEZ QUISPE</t>
  </si>
  <si>
    <t>URB. SANTA ROSA Z-4</t>
  </si>
  <si>
    <t>PK-4768</t>
  </si>
  <si>
    <t>0001-CBGL-02-2000</t>
  </si>
  <si>
    <t>WC-3835</t>
  </si>
  <si>
    <t>18083-073-060617</t>
  </si>
  <si>
    <t>DIEGO MICHAEL VILLALOBOS URIOL</t>
  </si>
  <si>
    <t>CALLE RUTHEFER MZ. G LOTE 4,5,6 URB. PRIMAVERA</t>
  </si>
  <si>
    <t>F5W-840</t>
  </si>
  <si>
    <t>0002-CBGL-02-2000</t>
  </si>
  <si>
    <t>WD-2621</t>
  </si>
  <si>
    <t>99185-073-211112</t>
  </si>
  <si>
    <t>LUCILA CESPEDES FLORES</t>
  </si>
  <si>
    <t>JIRON LA MAR 519</t>
  </si>
  <si>
    <t>AYAVIRI</t>
  </si>
  <si>
    <t>Z2J-866</t>
  </si>
  <si>
    <t> 2855</t>
  </si>
  <si>
    <t>99082-073-191212</t>
  </si>
  <si>
    <t>ETMI PUMA RUMI S.R.L.</t>
  </si>
  <si>
    <t>URB. VISTA ALEGRE H-6</t>
  </si>
  <si>
    <t>X2K-786</t>
  </si>
  <si>
    <t> 4947</t>
  </si>
  <si>
    <t>LUZ MARINA QUISPE CHILLITUPA</t>
  </si>
  <si>
    <t>0050-CTPGL-15-2002</t>
  </si>
  <si>
    <t>PGR-429</t>
  </si>
  <si>
    <t>124163-073-081016</t>
  </si>
  <si>
    <t>WILDER MICHELITO VILLA TUESTA</t>
  </si>
  <si>
    <t>JR. SAN MARTIN 1025</t>
  </si>
  <si>
    <t>LUYA</t>
  </si>
  <si>
    <t>ADR-875</t>
  </si>
  <si>
    <t> 2640</t>
  </si>
  <si>
    <t>0010-CBGL-15-2006</t>
  </si>
  <si>
    <t xml:space="preserve">CALLE A ZONA 7 FUNDO BOCANEGRA ALTA CALLAO </t>
  </si>
  <si>
    <t>XI-9085</t>
  </si>
  <si>
    <t> 2675</t>
  </si>
  <si>
    <t>0049-CTPGL-15-2002</t>
  </si>
  <si>
    <t>PGQ-750</t>
  </si>
  <si>
    <t>137853-073-060818</t>
  </si>
  <si>
    <t>AV.CAJAMARCA MZ S LOTE 3, UC 11579, ASOCIACION DE PEQUEÑOS AVICULTORES EL DORADO</t>
  </si>
  <si>
    <t>B9A-837</t>
  </si>
  <si>
    <t>0025-CBGL-15-2002</t>
  </si>
  <si>
    <t>XI-5253</t>
  </si>
  <si>
    <t>94108-073-071111</t>
  </si>
  <si>
    <t>URB. PIEDRA SANTA MZ. P, LOTE 6 Y 7</t>
  </si>
  <si>
    <t>C5T-822</t>
  </si>
  <si>
    <t> 2040</t>
  </si>
  <si>
    <t>148986-073-070220</t>
  </si>
  <si>
    <t>HANNAH GAS E.I.R.L.</t>
  </si>
  <si>
    <t>AV GRAN CHIMU N° 648</t>
  </si>
  <si>
    <t>T0M-837</t>
  </si>
  <si>
    <t> 8050</t>
  </si>
  <si>
    <t>0009-CBGL-12-2005</t>
  </si>
  <si>
    <t>COMPAÑIA ENVASADORA EXACTO GAS EIRL</t>
  </si>
  <si>
    <t>JACINTO IBARRA 248</t>
  </si>
  <si>
    <t>WP-8887</t>
  </si>
  <si>
    <t>94412-073-161111</t>
  </si>
  <si>
    <t>ROMERIDEAS S.A.C.</t>
  </si>
  <si>
    <t>JR. COTABAMBAS Nº 357</t>
  </si>
  <si>
    <t>B1B-819</t>
  </si>
  <si>
    <t>EDWIN DAVID ROMERO TRINIDAD</t>
  </si>
  <si>
    <t>FLOR EDITH MARILUZ TASAYCO</t>
  </si>
  <si>
    <t>IGNACIO TOROTE N° 545</t>
  </si>
  <si>
    <t>PP-8775</t>
  </si>
  <si>
    <t>103070-073-200513</t>
  </si>
  <si>
    <t>CALLE COMERCIO NRO. 320</t>
  </si>
  <si>
    <t>D6X-782</t>
  </si>
  <si>
    <t>PATRICIA LILIANA OSORIO CABEL</t>
  </si>
  <si>
    <t>CALLE 2 MZ. M LOTE 30 URB. JAVIER PRADO</t>
  </si>
  <si>
    <t>PM-6796</t>
  </si>
  <si>
    <t>104604-073-140813</t>
  </si>
  <si>
    <t>TRANSPORTES BANCHERO E.I.R.L.</t>
  </si>
  <si>
    <t>CALLE 28 DE JULIO 110 URB LA LIBERTAD</t>
  </si>
  <si>
    <t>ZH-4803</t>
  </si>
  <si>
    <t> V4W-934</t>
  </si>
  <si>
    <t> 12040</t>
  </si>
  <si>
    <t>CARLOS ALBERTO SALAS DELGADO</t>
  </si>
  <si>
    <t>0016-CBGL-04-2007</t>
  </si>
  <si>
    <t xml:space="preserve">URB LA COLONIAL 2DA ETAPA MZ I - LT 4 </t>
  </si>
  <si>
    <t>WU-2209</t>
  </si>
  <si>
    <t>110985-073-160914</t>
  </si>
  <si>
    <t>Z4A-715</t>
  </si>
  <si>
    <t>110986-073-150914</t>
  </si>
  <si>
    <t>Z4E-921</t>
  </si>
  <si>
    <t>120324-073-160316</t>
  </si>
  <si>
    <t>LLAMA GAS SA</t>
  </si>
  <si>
    <t>.AV EL POLO N° 397</t>
  </si>
  <si>
    <t>ALM-750</t>
  </si>
  <si>
    <t>94521-073-091211</t>
  </si>
  <si>
    <t>JR. CIRO ALEGRIA N° 1030</t>
  </si>
  <si>
    <t>B3E-988</t>
  </si>
  <si>
    <t> A4V-895</t>
  </si>
  <si>
    <t> 15250</t>
  </si>
  <si>
    <t>0091-CTPGL-15-2003</t>
  </si>
  <si>
    <t>LARRY BRUCE SANCHEZ QUISPE</t>
  </si>
  <si>
    <t>JR. LAS POSTAS N° 369 URB. ZARATE</t>
  </si>
  <si>
    <t>PGQ-023</t>
  </si>
  <si>
    <t>116475-073-220715</t>
  </si>
  <si>
    <t xml:space="preserve">SERVICIOS E INVERSIONES GEMINIS S.A.C. </t>
  </si>
  <si>
    <t>AHG-745</t>
  </si>
  <si>
    <t>CERNA DE ORELLANA JUANA PAULA</t>
  </si>
  <si>
    <t>120326-073-170316</t>
  </si>
  <si>
    <t>AV EL POLO N° 397</t>
  </si>
  <si>
    <t>ALL-764</t>
  </si>
  <si>
    <t>0019-CBGL-04-2009</t>
  </si>
  <si>
    <t xml:space="preserve">HORTENSIA ELIZABETH VALDIVIA DE SANCHEZ </t>
  </si>
  <si>
    <t xml:space="preserve">CALLE TUMBRES 104 URB. SAN MARTIN </t>
  </si>
  <si>
    <t>ZH-3680</t>
  </si>
  <si>
    <t> YH-2981</t>
  </si>
  <si>
    <t>0004-CBGL-06-2004</t>
  </si>
  <si>
    <t>KM. 14 CARRETERA CHAMAYA - JAEN</t>
  </si>
  <si>
    <t>XL-1007</t>
  </si>
  <si>
    <t>92857-073-090811</t>
  </si>
  <si>
    <t>ELVIS HERMILIO PALOMINO OSCANOA</t>
  </si>
  <si>
    <t>CAL. ALFONSO UGARTE NRO. 122 OROYA ANTIGUA</t>
  </si>
  <si>
    <t>W2W-822</t>
  </si>
  <si>
    <t>146631-073-180919</t>
  </si>
  <si>
    <t>BECERRA CUBAS SEGUNDO ALFONSO</t>
  </si>
  <si>
    <t xml:space="preserve">MZ F LOTE 17 PUEBLO JOVEN SANTA TERESITA </t>
  </si>
  <si>
    <t>BBV-840</t>
  </si>
  <si>
    <t>85185-073-2011</t>
  </si>
  <si>
    <t xml:space="preserve">CARBAJAL VILLAGOMEZ MARCELINO LUIS </t>
  </si>
  <si>
    <t>MZ. M, LT. 7 - ASOCIACION SEÑOR DE LOS MILAGROS</t>
  </si>
  <si>
    <t>A2I-911</t>
  </si>
  <si>
    <t>HELMER RUBEN CRUZ CASTRO</t>
  </si>
  <si>
    <t>J.J. PAZOS N° 773 DPTO. 401</t>
  </si>
  <si>
    <t>PGC-231</t>
  </si>
  <si>
    <t>62966-073-2010</t>
  </si>
  <si>
    <t xml:space="preserve">HUARO OPERADOR LOGISTICO SAC </t>
  </si>
  <si>
    <t>AUTOPISTA VENTANILLA KM 16.1 CALLAO</t>
  </si>
  <si>
    <t>ZI-8229</t>
  </si>
  <si>
    <t> YI-8702</t>
  </si>
  <si>
    <t>120322-073-150316</t>
  </si>
  <si>
    <t>ALL-783</t>
  </si>
  <si>
    <t>120323-073-160316</t>
  </si>
  <si>
    <t>ALL-896</t>
  </si>
  <si>
    <t>143094-073-200519</t>
  </si>
  <si>
    <t xml:space="preserve">YUDY MONTOYA AVELIZ </t>
  </si>
  <si>
    <t xml:space="preserve">URB PACHACAMAC SECT 2 BARRIO 1 ETAPA IV MZ. C1 LT. 25 </t>
  </si>
  <si>
    <t>D9P-750</t>
  </si>
  <si>
    <t>0101-CBGL-15-2005</t>
  </si>
  <si>
    <t>XG-9534</t>
  </si>
  <si>
    <t>0100-CBGL-15-2005</t>
  </si>
  <si>
    <t>XG-5935</t>
  </si>
  <si>
    <t>WO-8226</t>
  </si>
  <si>
    <t>WI-4641</t>
  </si>
  <si>
    <t>89236-073-2010</t>
  </si>
  <si>
    <t>CARRETERA HUANUCO TINGO MARIA KM 3.5, MZ. D, LT.12, MIRAFLORES</t>
  </si>
  <si>
    <t>WGT-022</t>
  </si>
  <si>
    <t> 4460</t>
  </si>
  <si>
    <t>151392-073-220920</t>
  </si>
  <si>
    <t>EDGAR DEL CARPIO GUZMAN</t>
  </si>
  <si>
    <t>AV. INDEPENDENCIA 121 RES. INDEPENDENCIA</t>
  </si>
  <si>
    <t>HUEPETUHE</t>
  </si>
  <si>
    <t>D1G-828</t>
  </si>
  <si>
    <t>WB-3312</t>
  </si>
  <si>
    <t>91683-073-2011</t>
  </si>
  <si>
    <t>WGO-007</t>
  </si>
  <si>
    <t>94463-073-171211</t>
  </si>
  <si>
    <t>T3F-948</t>
  </si>
  <si>
    <t> 692</t>
  </si>
  <si>
    <t>87316-073-2010</t>
  </si>
  <si>
    <t>ALAN RAUL SIMON MANRIQUE PINTO</t>
  </si>
  <si>
    <t>C.H. FRANCISCO MOSTAJO BLOCK B9 DPTO 402 IV ETAPA</t>
  </si>
  <si>
    <t>OH-9701</t>
  </si>
  <si>
    <t>88778-073-2010</t>
  </si>
  <si>
    <t>JR. SANTA ISABEL N° 2100</t>
  </si>
  <si>
    <t>A8F-842</t>
  </si>
  <si>
    <t>106447-073-181113</t>
  </si>
  <si>
    <t>EMPRESA DISTRIBUIDORA DE GAS LLAMAZUL E.I.R.L</t>
  </si>
  <si>
    <t>AV. PROGRESO N°375</t>
  </si>
  <si>
    <t>D0F-784</t>
  </si>
  <si>
    <t>MIGUEL ANGEL CUBA BENDEZU</t>
  </si>
  <si>
    <t>0001-CTBGL-21-2002</t>
  </si>
  <si>
    <t>EDWARD WARREN MORENO REINERT</t>
  </si>
  <si>
    <t>JR. JOSE CHOQUEHUANCA 269</t>
  </si>
  <si>
    <t>PU-6547</t>
  </si>
  <si>
    <t>122817-073-150716</t>
  </si>
  <si>
    <t>AV. MANCO CAPAC N° 242</t>
  </si>
  <si>
    <t>C2M-971</t>
  </si>
  <si>
    <t> 10290</t>
  </si>
  <si>
    <t>87311-073-2010</t>
  </si>
  <si>
    <t>AV JAVIER DE LUNA PIZARRO 128 URB MANCO CAPAC</t>
  </si>
  <si>
    <t>OH-5942</t>
  </si>
  <si>
    <t>ALAN RAUL MANRIQUE PINTO</t>
  </si>
  <si>
    <t>0046-CTPGL-15-2005</t>
  </si>
  <si>
    <t>OH-5024</t>
  </si>
  <si>
    <t>125641-073-261216</t>
  </si>
  <si>
    <t xml:space="preserve">AV. ANTIGUA PANAMERICANA SUR N° 690 - SAN JOAQUIN VIEJO </t>
  </si>
  <si>
    <t>AMO-833</t>
  </si>
  <si>
    <t>98529-073-111012</t>
  </si>
  <si>
    <t>OC &amp; C DISTRIBUIDORES PROVEEDORES Y SERVICIOS GENERALES E.I.R.L.</t>
  </si>
  <si>
    <t>AV. SAN MARTIN 301-CALIFORNIA</t>
  </si>
  <si>
    <t>C6O-752</t>
  </si>
  <si>
    <t> 790</t>
  </si>
  <si>
    <t>OMAR DANILO CUBAS CASO</t>
  </si>
  <si>
    <t>122816-073-180716</t>
  </si>
  <si>
    <t>F7W-995</t>
  </si>
  <si>
    <t>36683-073-110713</t>
  </si>
  <si>
    <t>ORO GAS PERU S.A.C.</t>
  </si>
  <si>
    <t>AV. FERNANDO LEON DE VIVERO N° 155</t>
  </si>
  <si>
    <t>D5U-948</t>
  </si>
  <si>
    <t>TADEO ANASTACIO GUARDIA HUAMANI</t>
  </si>
  <si>
    <t>146149-073-240819</t>
  </si>
  <si>
    <t>VIA YURA KM 12 ASOC GRANJEROS UNIDOS</t>
  </si>
  <si>
    <t>V2W-874</t>
  </si>
  <si>
    <t>118341-073-251115</t>
  </si>
  <si>
    <t>COOP. VILLA EL SOL MZ. H LOTE 14</t>
  </si>
  <si>
    <t>Z1C-999</t>
  </si>
  <si>
    <t> X1E-949</t>
  </si>
  <si>
    <t> 11460</t>
  </si>
  <si>
    <t>21591-073-210812</t>
  </si>
  <si>
    <t>ANDER CLIRO ALDABA VALLE</t>
  </si>
  <si>
    <t>MZ. E LOTE 32 BARRIO 2 SECTOR 2 IV ETAPA URB. PACHACAMAC</t>
  </si>
  <si>
    <t>PIH-226</t>
  </si>
  <si>
    <t>132292-073-191017</t>
  </si>
  <si>
    <t>PETRO ENERGY CORP</t>
  </si>
  <si>
    <t>JR. SAN MARTIN 751 OFICINA 228-B</t>
  </si>
  <si>
    <t>ASA-870</t>
  </si>
  <si>
    <t> 1550</t>
  </si>
  <si>
    <t>JORGE R. WONG ROBLES</t>
  </si>
  <si>
    <t>93077-073-081111</t>
  </si>
  <si>
    <t>YSIDRO QUISPE CHOQUECHAMBI</t>
  </si>
  <si>
    <t>CALLE MANUEL GONZALES PRADA N° 209 URB SIMON BOLIVAR</t>
  </si>
  <si>
    <t>OH-6793</t>
  </si>
  <si>
    <t>0070-CBGL-15-2001</t>
  </si>
  <si>
    <t>JR. SULLANA N° 1850 CHACRA RIOS NORTE</t>
  </si>
  <si>
    <t>XO-2274</t>
  </si>
  <si>
    <t>85811-073-2010</t>
  </si>
  <si>
    <t>MAXIMO NILTON CHAVEZ SEVILLA</t>
  </si>
  <si>
    <t>AV. EL RETABLO MZ. F LT. 18 URB. SANTA LUZMILA 1 ETAPA</t>
  </si>
  <si>
    <t>POB-162</t>
  </si>
  <si>
    <t>93091-073-020911</t>
  </si>
  <si>
    <t>MIRELLA GUILLERMINA PORTOCARRERO BARRIOS</t>
  </si>
  <si>
    <t>AV CHILPINILLA Nº 410</t>
  </si>
  <si>
    <t>V3J-876</t>
  </si>
  <si>
    <t>134091-073-220118</t>
  </si>
  <si>
    <t>AUS-856</t>
  </si>
  <si>
    <t>137649-073-310718</t>
  </si>
  <si>
    <t>M3V-797</t>
  </si>
  <si>
    <t xml:space="preserve">YAURI ASTO EUGENIA </t>
  </si>
  <si>
    <t>108236-073-160514</t>
  </si>
  <si>
    <t>IDA ISABEL CONTRERAS VICTORIO</t>
  </si>
  <si>
    <t>AV. ANTONIO RAYMONDI N° 347</t>
  </si>
  <si>
    <t>F3U-732</t>
  </si>
  <si>
    <t>123310-073-170816</t>
  </si>
  <si>
    <t xml:space="preserve">RAPID GAS EIRL </t>
  </si>
  <si>
    <t xml:space="preserve">AV. ANTIGUA PANAMERICANA 690 - SAN JOAQUIN VIEJO </t>
  </si>
  <si>
    <t>Z6C-908</t>
  </si>
  <si>
    <t> 457</t>
  </si>
  <si>
    <t>JUAN ALBERTO CALIZAYA BARRIENTOS</t>
  </si>
  <si>
    <t>0001-CTPGL-14-2009</t>
  </si>
  <si>
    <t>ALYKA S.R.L</t>
  </si>
  <si>
    <t>CALLE NAZARETH N° 854 PUEBLO JOVEN ZAMORA</t>
  </si>
  <si>
    <t>PGF-768</t>
  </si>
  <si>
    <t>0046-CTPGL-15-2006</t>
  </si>
  <si>
    <t>EUSEBIO ROLANDO CASTILLA VICENTE</t>
  </si>
  <si>
    <t>UNIDAD VECINAL MATUTE BLOCK 44 DPTO. A-5</t>
  </si>
  <si>
    <t>PQ-4258</t>
  </si>
  <si>
    <t>ELSA PORTOCARRERO GILES</t>
  </si>
  <si>
    <t>CALLE RAMADAL N° 168-A URB. SANTA TERESA</t>
  </si>
  <si>
    <t>OG-9615</t>
  </si>
  <si>
    <t>0080-CBGL-15-2007</t>
  </si>
  <si>
    <t>AV. CARABAYLLO No 399, URB. SAN EULOGIO, II ETAPA</t>
  </si>
  <si>
    <t>XQ-2660</t>
  </si>
  <si>
    <t>0027-CBGL-15-2004</t>
  </si>
  <si>
    <t>MARIA ISABEL LAZARO CORDOVA</t>
  </si>
  <si>
    <t>URB. 7 DE JUNIO MZ. M LOTE 10</t>
  </si>
  <si>
    <t>PARAMONGA</t>
  </si>
  <si>
    <t>XQ-9548</t>
  </si>
  <si>
    <t>61592-073-040516</t>
  </si>
  <si>
    <t>AV. DIAGONAL Nº 380, OFICINA 201</t>
  </si>
  <si>
    <t>D4B-987</t>
  </si>
  <si>
    <t>0004-CTPGL-14-2006</t>
  </si>
  <si>
    <t>MONTENEGRO ORREGO DISTRIBUCIONES S.R.L.</t>
  </si>
  <si>
    <t>PASAJE ANTONIO RAYMONDI N° 4</t>
  </si>
  <si>
    <t>POMALCA</t>
  </si>
  <si>
    <t>PC-3867</t>
  </si>
  <si>
    <t>123308-073-170816</t>
  </si>
  <si>
    <t>Z5P-909</t>
  </si>
  <si>
    <t>0142-CBGL-15-2001</t>
  </si>
  <si>
    <t>AV. LOS FAISANES MZ. V LOTE 9 URB. LA CAMPIÑA</t>
  </si>
  <si>
    <t>ZI-2520</t>
  </si>
  <si>
    <t> YF-1112</t>
  </si>
  <si>
    <t>107105-073-261213</t>
  </si>
  <si>
    <t>D0J-839</t>
  </si>
  <si>
    <t xml:space="preserve">EDUARDO JOSE MAURICIO ESTRADA </t>
  </si>
  <si>
    <t>0158-CBGL-15-2001</t>
  </si>
  <si>
    <t>SECTOR 2 GRUPO 17 MZ. C LOTE 14</t>
  </si>
  <si>
    <t>XG-7003</t>
  </si>
  <si>
    <t>0014-CBGL-04-2007</t>
  </si>
  <si>
    <t>EMPRESA SAN BENITO DE PALERMO EIRLTDA</t>
  </si>
  <si>
    <t>CALLE UNION 32 URB MUNICIPAL (COLISEO AREQUIPA)</t>
  </si>
  <si>
    <t>XH-4885</t>
  </si>
  <si>
    <t>87542-073-2010</t>
  </si>
  <si>
    <t>COMPAÑIA ENVASADORA EXACTO GAS E.I.R.L.</t>
  </si>
  <si>
    <t>AV. JACINTO IBARRA Nº 248</t>
  </si>
  <si>
    <t>A2S-819</t>
  </si>
  <si>
    <t> 1275</t>
  </si>
  <si>
    <t>ALFREDO ROLANDO GONZALO JOAQUIN</t>
  </si>
  <si>
    <t>93454-073-120811</t>
  </si>
  <si>
    <t>JR. DIEGO FERRE NRO. 130 URB. RIGEL</t>
  </si>
  <si>
    <t>A3A-809</t>
  </si>
  <si>
    <t>151930-073-221020</t>
  </si>
  <si>
    <t>DOMINGUEZ MORANTE MOISES GERMAN</t>
  </si>
  <si>
    <t>JR. TUMBES N° 254 - TAMBOGRANDE</t>
  </si>
  <si>
    <t>TAMBO GRANDE</t>
  </si>
  <si>
    <t>P4D-740</t>
  </si>
  <si>
    <t>93451-073-120811</t>
  </si>
  <si>
    <t>C2N-808</t>
  </si>
  <si>
    <t>62034-073-130519</t>
  </si>
  <si>
    <t>AV. ARBORIZACION N° S/N</t>
  </si>
  <si>
    <t>B7Q-893</t>
  </si>
  <si>
    <t>HENRY CACERES ALIAGA</t>
  </si>
  <si>
    <t>0097-CTPGL-15-2006</t>
  </si>
  <si>
    <t>TERRA SEEDS E.I.R.L.</t>
  </si>
  <si>
    <t>JR. JORGE EZETA Nª425 2DO. PISO</t>
  </si>
  <si>
    <t>PIY-782</t>
  </si>
  <si>
    <t>0002-CBGL-13-2003</t>
  </si>
  <si>
    <t>TRANSPORTES PLUMA DE ORO E.I.R.L.</t>
  </si>
  <si>
    <t>WD-8074</t>
  </si>
  <si>
    <t>0001-CBGL-13-2003</t>
  </si>
  <si>
    <t>WD-8075</t>
  </si>
  <si>
    <t>120330-073-180316</t>
  </si>
  <si>
    <t>LLAMA GAS</t>
  </si>
  <si>
    <t>AV EL POLO 397</t>
  </si>
  <si>
    <t>ALM-796</t>
  </si>
  <si>
    <t>0052-CBGL-15-2009</t>
  </si>
  <si>
    <t>MZ. B1 LT. 1,2 Y 3 PARQUE INDUSTRIAL</t>
  </si>
  <si>
    <t>XG-9562</t>
  </si>
  <si>
    <t>63032-073-061217</t>
  </si>
  <si>
    <t xml:space="preserve">ESTACION DE SERVICIOS OTTAWA S.A.C. </t>
  </si>
  <si>
    <t>AV. PACASMAYO MZ. C LT. 1 URB. JORGE CHAVEZ ETAPA 1</t>
  </si>
  <si>
    <t>C5U-773</t>
  </si>
  <si>
    <t>STEVEN LOUIS FLORES NAVARRO</t>
  </si>
  <si>
    <t>108871-073-040614</t>
  </si>
  <si>
    <t>CARRET.HUANUCO TINGO MARIA KM 3.5 MZ D LOTE 12 MIRAFLORES</t>
  </si>
  <si>
    <t>W3K-746</t>
  </si>
  <si>
    <t>123311-073-170816</t>
  </si>
  <si>
    <t>Z5P-846</t>
  </si>
  <si>
    <t>ORLANDO SALAZAR TELLO</t>
  </si>
  <si>
    <t>PROLONGACION LA MAR N° 678</t>
  </si>
  <si>
    <t>OQ-6699</t>
  </si>
  <si>
    <t>104632-073-150813</t>
  </si>
  <si>
    <t>CUPERTINO MALPARTIDA BARRETO</t>
  </si>
  <si>
    <t>CONJUNTO RESIDENCIAL PARIACHI MZ. I-2, LOTE 27</t>
  </si>
  <si>
    <t>D6V-919</t>
  </si>
  <si>
    <t>121165-073-290416</t>
  </si>
  <si>
    <t>P3O-851</t>
  </si>
  <si>
    <t>120329-073-200316</t>
  </si>
  <si>
    <t>ALN-701</t>
  </si>
  <si>
    <t>136818-073-150618</t>
  </si>
  <si>
    <t>CARLOS SUELDO BACALLA</t>
  </si>
  <si>
    <t xml:space="preserve">AV. MARGINAL 151 URB. JAVIER PRADO VI ETAPA </t>
  </si>
  <si>
    <t>AVZ-739</t>
  </si>
  <si>
    <t>120328-073-200316</t>
  </si>
  <si>
    <t>ALM-791</t>
  </si>
  <si>
    <t>120327-073-200316</t>
  </si>
  <si>
    <t>ALM-943</t>
  </si>
  <si>
    <t>134092-073-230118</t>
  </si>
  <si>
    <t>AUT-821</t>
  </si>
  <si>
    <t>0010-CTPGL-15-2003</t>
  </si>
  <si>
    <t>ESPINOZA ALANIA, MAGALY NORMA</t>
  </si>
  <si>
    <t>PSJE. LAS LOMAS N° 230 URB. SAN GABRIEL</t>
  </si>
  <si>
    <t>PIK-112</t>
  </si>
  <si>
    <t>136151-073-150518</t>
  </si>
  <si>
    <t>GRUPO SEUUZ J &amp; G S.A.C.</t>
  </si>
  <si>
    <t>F2T-716</t>
  </si>
  <si>
    <t>MICHEL FRANK SANTOS QUIQUIA</t>
  </si>
  <si>
    <t>0009-CBGL-08-2008</t>
  </si>
  <si>
    <t>RELY CHOQUENAIRA HUAYLLA</t>
  </si>
  <si>
    <t>CALLE LEONCIO PRADO 406 - ESPINAR</t>
  </si>
  <si>
    <t>XH-3556</t>
  </si>
  <si>
    <t>42917-073-310718</t>
  </si>
  <si>
    <t>MZ. 28. A-1, SECTOR F, ASOCIACIÓN DE FAMILIA 09 DE FEBRERO</t>
  </si>
  <si>
    <t>F4Z-750</t>
  </si>
  <si>
    <t> 2605</t>
  </si>
  <si>
    <t>96252-073-250312</t>
  </si>
  <si>
    <t>CALLE HUASCAR N° 823</t>
  </si>
  <si>
    <t>V5F-902</t>
  </si>
  <si>
    <t>JHON PASTOR ZANABRIA OJEDA</t>
  </si>
  <si>
    <t>111097-073-190814</t>
  </si>
  <si>
    <t>ADI-779</t>
  </si>
  <si>
    <t>118187-073-301015</t>
  </si>
  <si>
    <t>ATM TRANSPORTES S.R.L.</t>
  </si>
  <si>
    <t>JR. JOSE OLAYA Nº 248 - TINGO MARIA</t>
  </si>
  <si>
    <t>AHC-913</t>
  </si>
  <si>
    <t>JOSE LUIS PONCE LEANDRO</t>
  </si>
  <si>
    <t>130929-073-191118</t>
  </si>
  <si>
    <t>CALLE SANTA JUANITA NRO. 169 - URB. URRUNAGA V SECTOR</t>
  </si>
  <si>
    <t>M4N-870</t>
  </si>
  <si>
    <t>38045-073-190811</t>
  </si>
  <si>
    <t>FELICIANA YOBANA VARGAS HUANCA</t>
  </si>
  <si>
    <t>URB. CAMPO VERDE C-20</t>
  </si>
  <si>
    <t>XH-2289</t>
  </si>
  <si>
    <t>124927-073-111116</t>
  </si>
  <si>
    <t>GLADYS JUSTINA PANTOJA COSTILLA</t>
  </si>
  <si>
    <t>AV. PANAMERICANA SUR N° 617 PUENTE VIRU</t>
  </si>
  <si>
    <t>T8C-835</t>
  </si>
  <si>
    <t>136168-073-160518</t>
  </si>
  <si>
    <t>GRUPO BARTHE E.I.R.L.</t>
  </si>
  <si>
    <t>CALLE COPERNICO N° 232</t>
  </si>
  <si>
    <t>F7M-770</t>
  </si>
  <si>
    <t>MARCO ANTONIO BARTHE VASQUEZ</t>
  </si>
  <si>
    <t>0112-CBGL-15-2005</t>
  </si>
  <si>
    <t>AV. TUPAC AMARU MZ. D LOTE 31 COOP. LOS MOLLES</t>
  </si>
  <si>
    <t>XO-6531</t>
  </si>
  <si>
    <t>145126-073-100719</t>
  </si>
  <si>
    <t>CAR.PANAMERICANA SUR KM. 1113</t>
  </si>
  <si>
    <t>V7C-764</t>
  </si>
  <si>
    <t xml:space="preserve">JUAN QUECAÑO VILCA </t>
  </si>
  <si>
    <t>AV. LOS FAISANES N° 608-616 URB. LA CAMPIÑA</t>
  </si>
  <si>
    <t>XI-4613</t>
  </si>
  <si>
    <t>AV. BAYOVAR ESTE MZ J-1 LOTE N° 17 AA.HH. SAN MIGUEL</t>
  </si>
  <si>
    <t>PQ-9209</t>
  </si>
  <si>
    <t>0004-CBGL-04-2008</t>
  </si>
  <si>
    <t>COOPERATIVA INGENIEROS C-18</t>
  </si>
  <si>
    <t>WK-3064</t>
  </si>
  <si>
    <t>0002-CTPGL-11-2004</t>
  </si>
  <si>
    <t>ELVIS ALBINO HUAROTTO ANGULO</t>
  </si>
  <si>
    <t>LAS NIEVES D-05 LA VICTORIA - SAN JOAQUIN VIEJO</t>
  </si>
  <si>
    <t>PF-5400</t>
  </si>
  <si>
    <t>152009-073-241020</t>
  </si>
  <si>
    <t>AV. SAN MARTIN DE PORRES N° 1837</t>
  </si>
  <si>
    <t>M6R-923</t>
  </si>
  <si>
    <t>SONIA MEDALITH LA TORRE LEZAMA</t>
  </si>
  <si>
    <t>82338-073-180811</t>
  </si>
  <si>
    <t>AV. GOZZOLI NORTE N 660</t>
  </si>
  <si>
    <t>W1R-870</t>
  </si>
  <si>
    <t>0030-CTPGL-15-2001</t>
  </si>
  <si>
    <t>PGY-077</t>
  </si>
  <si>
    <t>87253-073-2010</t>
  </si>
  <si>
    <t>REINA COLQUE MERCADO</t>
  </si>
  <si>
    <t>AV SAN MARTIN 317</t>
  </si>
  <si>
    <t>ZID-809</t>
  </si>
  <si>
    <t> 2190</t>
  </si>
  <si>
    <t>87602-073-2010</t>
  </si>
  <si>
    <t>A3O-853</t>
  </si>
  <si>
    <t>87601-073-2010</t>
  </si>
  <si>
    <t>A3N-875</t>
  </si>
  <si>
    <t>112901-073-101214</t>
  </si>
  <si>
    <t xml:space="preserve">ASOC. BRISAS DE SANTA CLARA MZ. B LT. 02 </t>
  </si>
  <si>
    <t>AAE-829</t>
  </si>
  <si>
    <t>110051-073-190614</t>
  </si>
  <si>
    <t>CALLE YURA N° 102 - ZAMACOLA</t>
  </si>
  <si>
    <t>V6G-879</t>
  </si>
  <si>
    <t>94648-073-101111</t>
  </si>
  <si>
    <t>BLANCA YOLA ASENJO DIAZ</t>
  </si>
  <si>
    <t>AV. MARISCAL CASTILLA Nº 1296</t>
  </si>
  <si>
    <t>C7K-917</t>
  </si>
  <si>
    <t>84921-073-100714</t>
  </si>
  <si>
    <t>AV. NESTOR GAMBETA MZ. B-U LOTES 11-14</t>
  </si>
  <si>
    <t>F3U-938</t>
  </si>
  <si>
    <t>137497-073-180718</t>
  </si>
  <si>
    <t>C2Y-720</t>
  </si>
  <si>
    <t>134089-073-220118</t>
  </si>
  <si>
    <t>AUT-705</t>
  </si>
  <si>
    <t>151696-073-191020</t>
  </si>
  <si>
    <t>VICTOR BERROSPI MORENO S.A.C.</t>
  </si>
  <si>
    <t>JOSE ANTONIO N° 255, DPTO 303</t>
  </si>
  <si>
    <t>BEZ-808</t>
  </si>
  <si>
    <t>102979-073-290513</t>
  </si>
  <si>
    <t>CHASQUI OIL GAS E.I.R.L</t>
  </si>
  <si>
    <t>URB AMADEO REPETO- CALLE ALFONSO UGARTE C-8-A</t>
  </si>
  <si>
    <t>X2V-742</t>
  </si>
  <si>
    <t>PABLO BARRIOS MAMANI</t>
  </si>
  <si>
    <t>151688-073-091020</t>
  </si>
  <si>
    <t>CALLE 1 MZ. B LT. 21 URB. SANTA ROSITA DE ATE</t>
  </si>
  <si>
    <t>BDT-754</t>
  </si>
  <si>
    <t>151685-073-091020</t>
  </si>
  <si>
    <t>BDS-833</t>
  </si>
  <si>
    <t>97157-073-110612</t>
  </si>
  <si>
    <t>WK-3355</t>
  </si>
  <si>
    <t>124924-073-111116</t>
  </si>
  <si>
    <t>T8G-935</t>
  </si>
  <si>
    <t>0001-CTBGL-20-2008</t>
  </si>
  <si>
    <t>MZ 223 LOTES 3, 4 Y 5 ZONA INDUSTRIAL</t>
  </si>
  <si>
    <t>PQQ-143</t>
  </si>
  <si>
    <t> 755</t>
  </si>
  <si>
    <t>87227-073-041113</t>
  </si>
  <si>
    <t xml:space="preserve">TRANSPORTES ANTAGAS S.R.L. </t>
  </si>
  <si>
    <t>AV. NUEVO HORIZONTE MZ. E LT. 9 - INT. 3 URB. NUEVO HORIZONTE</t>
  </si>
  <si>
    <t>D0R-941</t>
  </si>
  <si>
    <t>94764-073-170212</t>
  </si>
  <si>
    <t>EMPRESA SERVICIO CONTINENTAL E.I.R.L.</t>
  </si>
  <si>
    <t>AV.15 OCTUBRE S/N-PALMAPAMPA-SAMUGARI</t>
  </si>
  <si>
    <t>A7K-847</t>
  </si>
  <si>
    <t> 3104</t>
  </si>
  <si>
    <t>MAXIMILIANA HERRERAS CONDEMAITA</t>
  </si>
  <si>
    <t>94018-073-061011</t>
  </si>
  <si>
    <t>JR. CARAZ NRO. 138</t>
  </si>
  <si>
    <t>B3L-972</t>
  </si>
  <si>
    <t> C5I-833</t>
  </si>
  <si>
    <t>111098-073-190814</t>
  </si>
  <si>
    <t>ADD-764</t>
  </si>
  <si>
    <t>130234-073-030717</t>
  </si>
  <si>
    <t>SEGUNDO MARTIN VASQUEZ MORENO</t>
  </si>
  <si>
    <t>CASERIO MARAYCUCHO - HUALGAYOC</t>
  </si>
  <si>
    <t>C8K-767</t>
  </si>
  <si>
    <t>0063-CTPGL-15-2005</t>
  </si>
  <si>
    <t>AV. HEROES DEL CENEPA 354 URB. SAN MIGUEL MZ. J LT. 17</t>
  </si>
  <si>
    <t>PIN-251</t>
  </si>
  <si>
    <t> 565</t>
  </si>
  <si>
    <t>126028-073-180117</t>
  </si>
  <si>
    <t>JOSE LUIS AMERICO BARRON LOPEZ</t>
  </si>
  <si>
    <t>AA. HH. 12 DE AGOSTO MZ H LT 28 SECTOR 1</t>
  </si>
  <si>
    <t>AAN-732</t>
  </si>
  <si>
    <t>83445-073-130717</t>
  </si>
  <si>
    <t>APV VERSALLE 22-D</t>
  </si>
  <si>
    <t>WGN-828</t>
  </si>
  <si>
    <t>62688-073-130717</t>
  </si>
  <si>
    <t>AFZ-742</t>
  </si>
  <si>
    <t>96737-073-090512</t>
  </si>
  <si>
    <t>PROLONGACION AV MANCO CAPAC N° 242</t>
  </si>
  <si>
    <t>X1D-915</t>
  </si>
  <si>
    <t>0008-CTPGL-15-2006</t>
  </si>
  <si>
    <t>GERARDO UNGER N° 4875 -URB. NARANJAL</t>
  </si>
  <si>
    <t>OQ-8516</t>
  </si>
  <si>
    <t>96736-073-090512</t>
  </si>
  <si>
    <t>C2G-902</t>
  </si>
  <si>
    <t>110052-073-200614</t>
  </si>
  <si>
    <t>V6I-719</t>
  </si>
  <si>
    <t>124926-073-111116</t>
  </si>
  <si>
    <t>T7L-812</t>
  </si>
  <si>
    <t>0097-CBGL-15-2009</t>
  </si>
  <si>
    <t>JULIA BARBARA FERRER PALIAN</t>
  </si>
  <si>
    <t>AV. LOS ROBLES MZ. I LT.10 LA CAPITANA HUACHIPA</t>
  </si>
  <si>
    <t>XO-8794</t>
  </si>
  <si>
    <t> 2230</t>
  </si>
  <si>
    <t>34759-073-071216</t>
  </si>
  <si>
    <t>D7B-998</t>
  </si>
  <si>
    <t> B5V-942</t>
  </si>
  <si>
    <t> AJN-702</t>
  </si>
  <si>
    <t>104760-073-290316</t>
  </si>
  <si>
    <t>A2I-903</t>
  </si>
  <si>
    <t>84340-073-211112</t>
  </si>
  <si>
    <t>URB. ABRAHAM MANRIQUE C-11</t>
  </si>
  <si>
    <t>ZH-4885</t>
  </si>
  <si>
    <t> YI-5884</t>
  </si>
  <si>
    <t> 10560</t>
  </si>
  <si>
    <t>146516-073-120919</t>
  </si>
  <si>
    <t>BBO-935</t>
  </si>
  <si>
    <t>146517-073-120919</t>
  </si>
  <si>
    <t>BBJ-738</t>
  </si>
  <si>
    <t> 7920</t>
  </si>
  <si>
    <t>44012-073-2010</t>
  </si>
  <si>
    <t>NEGOCIOS Y SERVICIOS ANFERD C &amp; J E.I.R.L.</t>
  </si>
  <si>
    <t>JIRON 22 DE OCTUBRE 1729 CUTERVO</t>
  </si>
  <si>
    <t>WC-8321</t>
  </si>
  <si>
    <t>86630-073-100614</t>
  </si>
  <si>
    <t>A2J-814</t>
  </si>
  <si>
    <t>JYMMY ALEXANDER CACERES ALIAGA</t>
  </si>
  <si>
    <t>FELIX ARNALDO RAMOS HUAPAYA</t>
  </si>
  <si>
    <t>JR. REAL 660</t>
  </si>
  <si>
    <t>XI-2150</t>
  </si>
  <si>
    <t>99232-073-211112</t>
  </si>
  <si>
    <t>FRANCISCO CALIZAYA TARQUI</t>
  </si>
  <si>
    <t>CALLE MIGUEL GRAU 112 LA LIBERTAD</t>
  </si>
  <si>
    <t>V1O-879</t>
  </si>
  <si>
    <t>0023-CBGL-04-2009</t>
  </si>
  <si>
    <t>XI-6095</t>
  </si>
  <si>
    <t>101032-073-110213</t>
  </si>
  <si>
    <t>JR. NESTOR MADALENGOITIA N° 151 URB. EL ROSARIO</t>
  </si>
  <si>
    <t>D5Q-720</t>
  </si>
  <si>
    <t> 9577</t>
  </si>
  <si>
    <t>0023-CBGL-15-2003</t>
  </si>
  <si>
    <t>JOSE ANTONIO AVILA MARCOS</t>
  </si>
  <si>
    <t>JR. LIMA N° 1357</t>
  </si>
  <si>
    <t>XG-9230</t>
  </si>
  <si>
    <t> 1180</t>
  </si>
  <si>
    <t>97786-073-170912</t>
  </si>
  <si>
    <t>JR. LA MERCED Nº 451</t>
  </si>
  <si>
    <t>M2A-999</t>
  </si>
  <si>
    <t> M2L-795</t>
  </si>
  <si>
    <t> 13160</t>
  </si>
  <si>
    <t>0008-CTPGL-15-2004</t>
  </si>
  <si>
    <t>ELIO MERCADO ALVAREZ</t>
  </si>
  <si>
    <t>CALLE ACUARIO N° 185 COOPERATIVA DE VIVIENDA SOL DE VITARTE</t>
  </si>
  <si>
    <t>PO-9743</t>
  </si>
  <si>
    <t>JULIO WALTER ÑAVINCOPA FLORES</t>
  </si>
  <si>
    <t>CAMINOS DEL INCA N° 2387</t>
  </si>
  <si>
    <t>XG-5481</t>
  </si>
  <si>
    <t>103790-073-010713</t>
  </si>
  <si>
    <t>PIALI MOGOLLON YAULI</t>
  </si>
  <si>
    <t>ASOC. 1RO. DE JUNIO ZN. A MZA B3, LOTE 26</t>
  </si>
  <si>
    <t>PO-6175</t>
  </si>
  <si>
    <t>0007-CTPGL-15-2004</t>
  </si>
  <si>
    <t>JUAN CARLOS PEREZ RIMARI</t>
  </si>
  <si>
    <t>AV. LOS POSTES OESTE N? 318</t>
  </si>
  <si>
    <t>PGG-746</t>
  </si>
  <si>
    <t>82906-073-031115</t>
  </si>
  <si>
    <t>JAIME EDUARDO GARCIA PEREZ</t>
  </si>
  <si>
    <t>AV. 28 DE JULIO MZ. A, LOTE 6</t>
  </si>
  <si>
    <t>X1J-837</t>
  </si>
  <si>
    <t> 8640</t>
  </si>
  <si>
    <t>0001-CBGL-10-2009</t>
  </si>
  <si>
    <t>YOZ GAS E.I.R.L.</t>
  </si>
  <si>
    <t>AV. RAIMONDI N° 1166 TINGO MARIA</t>
  </si>
  <si>
    <t>WK-2701</t>
  </si>
  <si>
    <t>37186-073-071114</t>
  </si>
  <si>
    <t xml:space="preserve">AV. LOS ROBLES MZ. I LOTE 10 </t>
  </si>
  <si>
    <t>C3R-986</t>
  </si>
  <si>
    <t> 85E-878</t>
  </si>
  <si>
    <t> 3630</t>
  </si>
  <si>
    <t>91752-073-280311</t>
  </si>
  <si>
    <t>MZ. ¨L¨ LOTE 19 URB. LOS PRODUCTORES</t>
  </si>
  <si>
    <t>A7E-949</t>
  </si>
  <si>
    <t>94383-073-221111</t>
  </si>
  <si>
    <t>REINA ISABEL PIMENTEL VERA</t>
  </si>
  <si>
    <t>PUEBLO JOVEN VICTOR ANDRES BELAUNDE MZA W LOTE 30, ZONA A</t>
  </si>
  <si>
    <t>V3M-879</t>
  </si>
  <si>
    <t>121671-073-220419</t>
  </si>
  <si>
    <t>EMPRESA MULTISERVICIOS NBC S.A.C.</t>
  </si>
  <si>
    <t>AV. 28 DE JULIO MZ. E LOTE 4-B INDEPENDENCIA</t>
  </si>
  <si>
    <t>X3X-846</t>
  </si>
  <si>
    <t> 4320</t>
  </si>
  <si>
    <t xml:space="preserve">NARDA BAEZ PACHECO </t>
  </si>
  <si>
    <t>0031-CBGL-15-2007</t>
  </si>
  <si>
    <t>AV. SOSA PELAEZ N 1111 BLOCK6, DPTO. 106</t>
  </si>
  <si>
    <t>ZI-6589</t>
  </si>
  <si>
    <t> YI-5732</t>
  </si>
  <si>
    <t>134093-073-060519</t>
  </si>
  <si>
    <t>AUT-718</t>
  </si>
  <si>
    <t>0001-CBGL-07-2007</t>
  </si>
  <si>
    <t>LAMAS DELGADO ARMANDO HUMBERTO</t>
  </si>
  <si>
    <t>JR. TITICACA 173, CHUCUITO</t>
  </si>
  <si>
    <t>OO-2878</t>
  </si>
  <si>
    <t>125859-073-120319</t>
  </si>
  <si>
    <t>EMPRESA MULTISERVICIOS NBC SOCIEDAD ANOMIMA CERRADA</t>
  </si>
  <si>
    <t>AV. 28 DE JULIO MZA. E LOTE. 4-B P.J. INDEPENDENCIA</t>
  </si>
  <si>
    <t>F0Y-979</t>
  </si>
  <si>
    <t> X4D-729</t>
  </si>
  <si>
    <t>83005-073-050318</t>
  </si>
  <si>
    <t>AV. ARBORIZACION S/N</t>
  </si>
  <si>
    <t>D1J-929</t>
  </si>
  <si>
    <t>ANGEL ALBERTO JARA BAUTISTA</t>
  </si>
  <si>
    <t>AV. MATEO PUMACAHUA MZ. B LOTE 1</t>
  </si>
  <si>
    <t>PI-4302</t>
  </si>
  <si>
    <t>0011-CBGL-04-2009</t>
  </si>
  <si>
    <t>QUISPE SOTO, NOEMI LOURDES</t>
  </si>
  <si>
    <t>AV NICOLAS DE PIEROLA 107 SEMI</t>
  </si>
  <si>
    <t>WK-5413</t>
  </si>
  <si>
    <t>104648-073-270917</t>
  </si>
  <si>
    <t>AV. PACHACUTEC MZ. B LOTE 2 - ZONA I PARQUE INDUSTRIAL</t>
  </si>
  <si>
    <t>W2F-998</t>
  </si>
  <si>
    <t> C8E-945</t>
  </si>
  <si>
    <t>135910-073-020518</t>
  </si>
  <si>
    <t>ALICIA PAREDES GAVIDIA</t>
  </si>
  <si>
    <t>CALLE AREQUIPA MZ. J LT. 33 URB. TILDA</t>
  </si>
  <si>
    <t>AUU-743</t>
  </si>
  <si>
    <t> 680</t>
  </si>
  <si>
    <t>0006-CTPGL-07-2005</t>
  </si>
  <si>
    <t>ASUNCION FERNANDO CALDERON AMAYA</t>
  </si>
  <si>
    <t>JR. IQUIQUE 184 - 3 URB. TARAPACA</t>
  </si>
  <si>
    <t>PIH-957</t>
  </si>
  <si>
    <t>82612-073-280917</t>
  </si>
  <si>
    <t xml:space="preserve">JOHN GAS E.I.R.L. </t>
  </si>
  <si>
    <t>JR. JOSE GALVEZ N°1395</t>
  </si>
  <si>
    <t>C6V-835</t>
  </si>
  <si>
    <t>ANA CINTHIA ALANIA ECHIA</t>
  </si>
  <si>
    <t>116400-073-050815</t>
  </si>
  <si>
    <t>ROLY EDDY CARDENAS TALASI</t>
  </si>
  <si>
    <t>P.J. LEONCIO PRADO CALLE 07 DE JUNIO 1585</t>
  </si>
  <si>
    <t>Z5E-797</t>
  </si>
  <si>
    <t>0001-CTPGL-23-2002</t>
  </si>
  <si>
    <t>COMERCIAL MAX FREIRE S.C.R.L.</t>
  </si>
  <si>
    <t>COMITE 21 MZ. 82 LOTE 12</t>
  </si>
  <si>
    <t>PK-5602</t>
  </si>
  <si>
    <t>105923-073-061113</t>
  </si>
  <si>
    <t>MAURO LEONIDAS LUDEÑA TORRE</t>
  </si>
  <si>
    <t>AV. MADRE DE DIOS N° 275</t>
  </si>
  <si>
    <t>V3P-867</t>
  </si>
  <si>
    <t> 5280</t>
  </si>
  <si>
    <t>6718-073-060813</t>
  </si>
  <si>
    <t>T4V-888</t>
  </si>
  <si>
    <t>82394-073-060813</t>
  </si>
  <si>
    <t>MZ 223 LOTES 3, 4, Y 5 ZONA INDUSTRIAL</t>
  </si>
  <si>
    <t>B6F-882</t>
  </si>
  <si>
    <t>WM-1588</t>
  </si>
  <si>
    <t>134341-073-200218</t>
  </si>
  <si>
    <t>IROITH MOENO MELENDEZ</t>
  </si>
  <si>
    <t>AV. AVIACION MZ B LT 8 A.H. VIRGEN DE LA PURISIMA</t>
  </si>
  <si>
    <t>AMP-931</t>
  </si>
  <si>
    <t>OO-6831</t>
  </si>
  <si>
    <t>122813-073-300916</t>
  </si>
  <si>
    <t>CALLE MOLLENDO N° 106, SAN MARTÍN DE SOCABAYA</t>
  </si>
  <si>
    <t>V8L-851</t>
  </si>
  <si>
    <t>92549-073-310316</t>
  </si>
  <si>
    <t>C3A-823</t>
  </si>
  <si>
    <t>0001-CBGL-13-2009</t>
  </si>
  <si>
    <t>JR. AYACUCHO 513 INT.202</t>
  </si>
  <si>
    <t>WD-6833</t>
  </si>
  <si>
    <t>112476-073-291114</t>
  </si>
  <si>
    <t xml:space="preserve">GLORIA NELLY GELDRES PICON DE ARAUJO </t>
  </si>
  <si>
    <t xml:space="preserve">MZ. F LT. 45 COO. VIV. VIV. COOVITIOMAR </t>
  </si>
  <si>
    <t>ABU-732</t>
  </si>
  <si>
    <t>GLORIA NELLY GELDRES PICON DE ARAUJO</t>
  </si>
  <si>
    <t>0002-CBGL-20-2005</t>
  </si>
  <si>
    <t>AV. GRAU N° 1007 - CASTILLA</t>
  </si>
  <si>
    <t>XQ-2982</t>
  </si>
  <si>
    <t>0022-CTPGL-15-2001</t>
  </si>
  <si>
    <t>MEGA GAS S.A.C</t>
  </si>
  <si>
    <t>SUB-LOTE 13-A MZ. E PRIMERA ETAPA DE LA PARCELACION SEMI RUSTICA "LAS PRADERAS DE LURIN"</t>
  </si>
  <si>
    <t>PID-104</t>
  </si>
  <si>
    <t>144559-073-120619</t>
  </si>
  <si>
    <t>HUAYBER S.A.C.</t>
  </si>
  <si>
    <t>MZ. J1, LT. 2, AA.HH. LOS VIÑEDOS DE SURCO</t>
  </si>
  <si>
    <t>AYS-920</t>
  </si>
  <si>
    <t> 405</t>
  </si>
  <si>
    <t>DORIS GRACIA GAMARRA LUIS</t>
  </si>
  <si>
    <t>0008-CBGL-04-2004</t>
  </si>
  <si>
    <t>XH-4157</t>
  </si>
  <si>
    <t>83551-073-260511</t>
  </si>
  <si>
    <t>X1E-937</t>
  </si>
  <si>
    <t>0001-CTPGL-07-2000</t>
  </si>
  <si>
    <t>OQ-5769</t>
  </si>
  <si>
    <t>140657-073-090119</t>
  </si>
  <si>
    <t>ESTACIONES GASOCENTROSERVICIOS EL JORDAN E.I.R.L.</t>
  </si>
  <si>
    <t>AV. ANIBAL VEGA PORTELA S/N BARRIO SAN MARTIN</t>
  </si>
  <si>
    <t>ASUNCION</t>
  </si>
  <si>
    <t>CHACAS</t>
  </si>
  <si>
    <t>AYQ-850</t>
  </si>
  <si>
    <t>AUGUSTO JUNIOR LOPEZ GUZMAN</t>
  </si>
  <si>
    <t>135917-073-040518</t>
  </si>
  <si>
    <t xml:space="preserve">GONZALO CRISANTO CONTRERAS VICTORIO </t>
  </si>
  <si>
    <t xml:space="preserve">CALLE TUPAC YUPANQUI N° 671 </t>
  </si>
  <si>
    <t>F8C-748</t>
  </si>
  <si>
    <t>0003-CBGL-15-2004</t>
  </si>
  <si>
    <t>SUB-LOTE 13-A MZ. E PRIMERA ETAPA DE PARCELACION SEMI RUSTICA "LAS PRADERAS DE LURIN"</t>
  </si>
  <si>
    <t>WO-9783</t>
  </si>
  <si>
    <t>83457-073-101219</t>
  </si>
  <si>
    <t>CORPORACION ANDINA DEL GAS PERU SOCIEDAD ANONIMA CERRADA</t>
  </si>
  <si>
    <t xml:space="preserve">AV. JESUS Nº 400 </t>
  </si>
  <si>
    <t>D3H-884</t>
  </si>
  <si>
    <t>0001-CTPGL-20-2006</t>
  </si>
  <si>
    <t>OB-2883</t>
  </si>
  <si>
    <t>ROBERTO CUZCANO PACHAS</t>
  </si>
  <si>
    <t>AV. LIMA N° 315</t>
  </si>
  <si>
    <t>QUILMANA</t>
  </si>
  <si>
    <t>PF-3585</t>
  </si>
  <si>
    <t>39866-073-040112</t>
  </si>
  <si>
    <t>VILMA LOAYZA LUNA</t>
  </si>
  <si>
    <t>JR. CANDELARIA VILLAR 568</t>
  </si>
  <si>
    <t>PIB-791</t>
  </si>
  <si>
    <t>138137-073-220818</t>
  </si>
  <si>
    <t>P3Y-828</t>
  </si>
  <si>
    <t>0030-CBGL-15-2009</t>
  </si>
  <si>
    <t>XG-3789</t>
  </si>
  <si>
    <t>123984-073-031016</t>
  </si>
  <si>
    <t>EMPRESA DE TRANSPORTES MARIA DE FATIMA EIRL</t>
  </si>
  <si>
    <t>CALLE PAZ SOLDAN 113, URB. VALLECITO</t>
  </si>
  <si>
    <t>V1I-979</t>
  </si>
  <si>
    <t> V5F-733</t>
  </si>
  <si>
    <t>SATURDINO HIJAR TENA</t>
  </si>
  <si>
    <t>MARISCAL CASTILLA N° 193</t>
  </si>
  <si>
    <t>WI-9201</t>
  </si>
  <si>
    <t>0043-CTPGL-15-2002</t>
  </si>
  <si>
    <t>MAURA VALLADARES MORALES</t>
  </si>
  <si>
    <t>AV. ESPAÑA N° 656</t>
  </si>
  <si>
    <t>PGJ-909</t>
  </si>
  <si>
    <t>0002-CBGL-21-2004</t>
  </si>
  <si>
    <t>JUAN FEDERICO ALEJO TUNCO</t>
  </si>
  <si>
    <t>AV. HUANCANÉ N° 400</t>
  </si>
  <si>
    <t>XU-3682</t>
  </si>
  <si>
    <t>92276-073-041118</t>
  </si>
  <si>
    <t>CALLE WASHINTON 204-A</t>
  </si>
  <si>
    <t>V3I-865</t>
  </si>
  <si>
    <t>114198-073-240315</t>
  </si>
  <si>
    <t>MZ. P LOTE 1 A.H. LOMAS DE MARCHAN</t>
  </si>
  <si>
    <t>T2S-922</t>
  </si>
  <si>
    <t> 645</t>
  </si>
  <si>
    <t>138138-073-220818</t>
  </si>
  <si>
    <t>P3Y-829</t>
  </si>
  <si>
    <t>3469-073-100714</t>
  </si>
  <si>
    <t>C8J-926</t>
  </si>
  <si>
    <t xml:space="preserve">JUAN RODOLFO WONG PERONE </t>
  </si>
  <si>
    <t>106004-073-031113</t>
  </si>
  <si>
    <t>MANUEL DIEGO YEPEZ FLORES</t>
  </si>
  <si>
    <t xml:space="preserve">MZ. J LOTE 1B URB MARISCAL CASTILLA </t>
  </si>
  <si>
    <t>ASCOPE</t>
  </si>
  <si>
    <t>CASA GRANDE</t>
  </si>
  <si>
    <t>T5S-919</t>
  </si>
  <si>
    <t> 2035</t>
  </si>
  <si>
    <t>37201-073-2010</t>
  </si>
  <si>
    <t>MZ. O SUB LOTE C, 2DA. ZONA INDUSTRIAL</t>
  </si>
  <si>
    <t>XO-4688</t>
  </si>
  <si>
    <t> 1535</t>
  </si>
  <si>
    <t>0073-CTPGL-15-2005</t>
  </si>
  <si>
    <t>OQ-8519</t>
  </si>
  <si>
    <t>88189-073-040619</t>
  </si>
  <si>
    <t>GORP'S DISTRIBUCIONES SOCIEDAD DE RESPONSABILIDAD LIMITADA</t>
  </si>
  <si>
    <t xml:space="preserve">URB. MIRAFLORES A-9 </t>
  </si>
  <si>
    <t>A1O-857</t>
  </si>
  <si>
    <t> 1835</t>
  </si>
  <si>
    <t xml:space="preserve">CRISTIAM GIBAJA ORMACHEA </t>
  </si>
  <si>
    <t>86800-073-2010</t>
  </si>
  <si>
    <t>AV. LOS FAISANES N° 608, URB. LA CAMPIÑA</t>
  </si>
  <si>
    <t>ZQ-2180</t>
  </si>
  <si>
    <t> YP-1531</t>
  </si>
  <si>
    <t>ROFILIO TEÓFILO NEYRA HUAMANÍ</t>
  </si>
  <si>
    <t>0002-CBGL-16-2007</t>
  </si>
  <si>
    <t>CONSORCIO DE PAZ S.A.C</t>
  </si>
  <si>
    <t>AV. ATANASIO JAUREGUI Nº 427</t>
  </si>
  <si>
    <t>WX-1813</t>
  </si>
  <si>
    <t>0008-CBGL-15-2010</t>
  </si>
  <si>
    <t>ASOCIACIÓN MARIA PARADO DE BELLIDO MZ. Ñ, LOTE 17</t>
  </si>
  <si>
    <t>WGL-613</t>
  </si>
  <si>
    <t>36057-073-070613</t>
  </si>
  <si>
    <t>C9Z-802</t>
  </si>
  <si>
    <t>62567-073-070613</t>
  </si>
  <si>
    <t>C2N-807</t>
  </si>
  <si>
    <t>135011-073-160318</t>
  </si>
  <si>
    <t>COMTRADIS S.A.C.</t>
  </si>
  <si>
    <t>AV. VENEZUELA MZA. 19 LOTE. 24 (2DA ETAPA)</t>
  </si>
  <si>
    <t>AEN-989</t>
  </si>
  <si>
    <t> AUQ-898</t>
  </si>
  <si>
    <t> 13540</t>
  </si>
  <si>
    <t>130695-073-260717</t>
  </si>
  <si>
    <t>AV. JOSE MARIA ARGUEDAS N° 209</t>
  </si>
  <si>
    <t>ABV-939</t>
  </si>
  <si>
    <t>21111-073-100714</t>
  </si>
  <si>
    <t xml:space="preserve">CALLE 24 MZ. T LOTE 1 URB. CALERA DE LA MERCED </t>
  </si>
  <si>
    <t>B7A-855</t>
  </si>
  <si>
    <t>37204-073-2010</t>
  </si>
  <si>
    <t>MZ.O, SUB LOTE C, 2DA. ZONA INDUSTRIAL</t>
  </si>
  <si>
    <t>XO-4699</t>
  </si>
  <si>
    <t>JULIO ELISEO CARDENAS ALZA</t>
  </si>
  <si>
    <t>0025-CTPGL-15-2005</t>
  </si>
  <si>
    <t>ANGEL MARIA BANCES VILLALTA</t>
  </si>
  <si>
    <t>CALLE LAS PALMERAS N° 160 URB. LA ALBORADA</t>
  </si>
  <si>
    <t>PQ-7113</t>
  </si>
  <si>
    <t>94315-073-281111</t>
  </si>
  <si>
    <t xml:space="preserve">ASOC. DE VIVIENDA SR. DE LOS MILAGROS MZ. M, LT. 7 </t>
  </si>
  <si>
    <t>B7P-937</t>
  </si>
  <si>
    <t> 2222</t>
  </si>
  <si>
    <t>0001-CTPGL-11-2004</t>
  </si>
  <si>
    <t>HILDA ELENA VARGAS GARCIA DE RAMOS</t>
  </si>
  <si>
    <t>URB. SANTA MARIA D-269</t>
  </si>
  <si>
    <t>PI-1841</t>
  </si>
  <si>
    <t>0076-CTPGL-15-2006</t>
  </si>
  <si>
    <t>PIX-541</t>
  </si>
  <si>
    <t>118784-073-301115</t>
  </si>
  <si>
    <t xml:space="preserve">JORGE LUIS CASTAÑEDA SEVILLANO </t>
  </si>
  <si>
    <t>CALLE RICARDO SANCHEZ #303 SANTO DOMINGUITO</t>
  </si>
  <si>
    <t>T6D-973</t>
  </si>
  <si>
    <t> D9N-744,</t>
  </si>
  <si>
    <t> T6M-825</t>
  </si>
  <si>
    <t> F9C-819</t>
  </si>
  <si>
    <t>0077-CTPGL-15-2006</t>
  </si>
  <si>
    <t xml:space="preserve">J &amp; J SERVICES TRANSPORTES Y SERVICIOS GENERALES S.A.C. </t>
  </si>
  <si>
    <t xml:space="preserve">CALLE JORGE EZETA 425 2DO. PISO </t>
  </si>
  <si>
    <t>PIX-544</t>
  </si>
  <si>
    <t>WI-8084</t>
  </si>
  <si>
    <t>102422-073-180413</t>
  </si>
  <si>
    <t xml:space="preserve">AV. AMANCAES N° 154 </t>
  </si>
  <si>
    <t>D7I-762</t>
  </si>
  <si>
    <t>112654-073-281114</t>
  </si>
  <si>
    <t>AV. HUANCANE N 400. URB SANTA ROSA I ETAPA</t>
  </si>
  <si>
    <t>V6L-974</t>
  </si>
  <si>
    <t> V4N-732</t>
  </si>
  <si>
    <t> 13100</t>
  </si>
  <si>
    <t>0020-CTPGL-15-2007</t>
  </si>
  <si>
    <t xml:space="preserve">CALLE JORGE EZETA N° 425 2DO PISO </t>
  </si>
  <si>
    <t>PIZ-806</t>
  </si>
  <si>
    <t>JORGE A. GUTIERREZ VILCHEZ</t>
  </si>
  <si>
    <t>AGUSTIN GAMARRA N° 200</t>
  </si>
  <si>
    <t>CAMANA</t>
  </si>
  <si>
    <t>XH-1105</t>
  </si>
  <si>
    <t>0017-CBGL-12-2007</t>
  </si>
  <si>
    <t>COMPAÑIA ENVASADORA EXACTO GAS E.I.R.L</t>
  </si>
  <si>
    <t>JACINTO IBARRA N° 248</t>
  </si>
  <si>
    <t>XO-9183</t>
  </si>
  <si>
    <t> 1875</t>
  </si>
  <si>
    <t>0091-CTPGL-15-2001</t>
  </si>
  <si>
    <t>MARIA DEL CARMEN VASQUEZ ARIAS</t>
  </si>
  <si>
    <t>AV. DEFENSORES DE LIMA MZ. A LOTE 10</t>
  </si>
  <si>
    <t>PY-6788</t>
  </si>
  <si>
    <t>0024-CBGL-15-2003</t>
  </si>
  <si>
    <t>JORGE ALFONSO ALFARO SILVA</t>
  </si>
  <si>
    <t>JR. DOMINGO ELIAS N° 837</t>
  </si>
  <si>
    <t>XQ-5238</t>
  </si>
  <si>
    <t>WG-6530</t>
  </si>
  <si>
    <t>0005-CBGL-04-2008</t>
  </si>
  <si>
    <t>XI-4393</t>
  </si>
  <si>
    <t>WG-4690</t>
  </si>
  <si>
    <t>0022-CTPGL-15-2007</t>
  </si>
  <si>
    <t>CALLE JORGE EZETA N° 425 2DO. PISO</t>
  </si>
  <si>
    <t>PIZ-831</t>
  </si>
  <si>
    <t>0021-CTPGL-15-2007</t>
  </si>
  <si>
    <t>CONTRERAS MIRANDA, KELLI JUDITH</t>
  </si>
  <si>
    <t>AV. ANDRES AVELINO CACERES U.V.C. 9 LOTE 21 HUAYCAN</t>
  </si>
  <si>
    <t>PIZ-809</t>
  </si>
  <si>
    <t>0019-CTPGL-15-2007</t>
  </si>
  <si>
    <t>PIZ-805</t>
  </si>
  <si>
    <t>0008-CBGL-13-2009</t>
  </si>
  <si>
    <t>DANIEL ARON SAROVIO VERA</t>
  </si>
  <si>
    <t>LOS CIPRESES MZ.17 LOTE 5 URB.LA RINCONADA</t>
  </si>
  <si>
    <t>WD-7105</t>
  </si>
  <si>
    <t>0003-CTPGL-13-2003</t>
  </si>
  <si>
    <t>I.C. REPRESENTACIONES GENERALES SRL</t>
  </si>
  <si>
    <t>AV. METROPOLITANA MZ. B-1 LT. 10 URB. SAN ISIDRO</t>
  </si>
  <si>
    <t>PD-3823</t>
  </si>
  <si>
    <t>0055-CBGL-15-2005</t>
  </si>
  <si>
    <t>AV. LOS FAISANES N°608 - LA CAMPIÑA</t>
  </si>
  <si>
    <t>XQ-3522</t>
  </si>
  <si>
    <t>138147-073-270818</t>
  </si>
  <si>
    <t>SOLEDAD ROSA CHARCA QUISPE</t>
  </si>
  <si>
    <t>CALLE ALTO ALIANZA NRO. 108</t>
  </si>
  <si>
    <t>V3W-936</t>
  </si>
  <si>
    <t>60997-073-131117</t>
  </si>
  <si>
    <t>FLORES DELGADO CARMEN DOLORES</t>
  </si>
  <si>
    <t>URB ABRAHAM MANRIQUE C-9</t>
  </si>
  <si>
    <t>V9G-983</t>
  </si>
  <si>
    <t> V5P-855</t>
  </si>
  <si>
    <t>147040-073-251019</t>
  </si>
  <si>
    <t>SECTOR 2 MZ. A LOTE 7 GRUPO 16 (ENTRE LA AV. EL SOL Y AV. ALAMOS)</t>
  </si>
  <si>
    <t>BBR-774</t>
  </si>
  <si>
    <t> 2325</t>
  </si>
  <si>
    <t>118503-073-210819</t>
  </si>
  <si>
    <t>AV. VARIANTE DE UCHUMAYO KM. 25 SEC. SEMI RURAL PACHACUTEC</t>
  </si>
  <si>
    <t>V0W-970</t>
  </si>
  <si>
    <t> A2D-846</t>
  </si>
  <si>
    <t>0003-CBGL-04-2003</t>
  </si>
  <si>
    <t>JULIAN ELOY PUMA HUAMANI</t>
  </si>
  <si>
    <t xml:space="preserve">CENTRO DE SERVICIOS SAN ISIDRO S/N </t>
  </si>
  <si>
    <t>WH-6763</t>
  </si>
  <si>
    <t>0002-CTPGL-18-2004</t>
  </si>
  <si>
    <t>SERVICIOS DE GAS ILO S.R.L.</t>
  </si>
  <si>
    <t>ALTO ILO LOTE 8 MZ. M NYLON</t>
  </si>
  <si>
    <t>PJ-2594</t>
  </si>
  <si>
    <t>0071-CTPGL-15-2002</t>
  </si>
  <si>
    <t>PII-955</t>
  </si>
  <si>
    <t>92342-073-230511</t>
  </si>
  <si>
    <t>CALLE PIZARRO 161</t>
  </si>
  <si>
    <t>C2E-890</t>
  </si>
  <si>
    <t>94208-073-011111</t>
  </si>
  <si>
    <t>INVERSIONES Y REPRESENTACIONES RVC S.A.C.</t>
  </si>
  <si>
    <t>URB. ALBORADA J-2</t>
  </si>
  <si>
    <t>V3T-869</t>
  </si>
  <si>
    <t>RAUL CONDORI SANCHO</t>
  </si>
  <si>
    <t>109092-073-230414</t>
  </si>
  <si>
    <t>ASOCIACION 28 DE AGOSTO C-5, MZ 7, LOTE 24, 2DA ETAPA</t>
  </si>
  <si>
    <t>PK-5969</t>
  </si>
  <si>
    <t> 375</t>
  </si>
  <si>
    <t>92341-073-220511</t>
  </si>
  <si>
    <t>C2E-862</t>
  </si>
  <si>
    <t>GODOFREDO SALDIVAR ANDIA</t>
  </si>
  <si>
    <t>0001-CBGL-25-2009</t>
  </si>
  <si>
    <t>JR. CAHUIDE N° 830</t>
  </si>
  <si>
    <t>XI-1490</t>
  </si>
  <si>
    <t>HUGO LORENZO SANDOVAL PAYACHIN</t>
  </si>
  <si>
    <t>COOP VIV. CESAR VALLEJO MZ. A-1 LOTE 38</t>
  </si>
  <si>
    <t>PB-6625</t>
  </si>
  <si>
    <t>0006-CBGL-07-2009</t>
  </si>
  <si>
    <t xml:space="preserve">RAUL ALFREDO TORRES SANTIBAÑEZ </t>
  </si>
  <si>
    <t xml:space="preserve">CALLE A ZONA 7 FUNDO BOCANEGRA - ALTO CALLAO </t>
  </si>
  <si>
    <t>XP-2612</t>
  </si>
  <si>
    <t>0009-CBGL-15-2001</t>
  </si>
  <si>
    <t>FRECCARDI S.C.R.L.</t>
  </si>
  <si>
    <t>MZ. G LOTE 38 URB. PACHACAMAC</t>
  </si>
  <si>
    <t>XQ-9123</t>
  </si>
  <si>
    <t>0002-CBGL-14-2005</t>
  </si>
  <si>
    <t>JOSE DEL CARMEN BRAVO ACUÑA</t>
  </si>
  <si>
    <t>CALLE SANTA JUANITA N° 169 PP.JJ. URRUNAGA (V SECTOR)</t>
  </si>
  <si>
    <t>XI-9954</t>
  </si>
  <si>
    <t>0001-CTPGL-20-2009</t>
  </si>
  <si>
    <t>ZONA INDUSTRIAL MZ. 223, LOTES 3-4-5</t>
  </si>
  <si>
    <t>OB-4568</t>
  </si>
  <si>
    <t> 260</t>
  </si>
  <si>
    <t>0009-CBGL-12-2006</t>
  </si>
  <si>
    <t>AV. LEONCIO PRADO 800 - CHILCA</t>
  </si>
  <si>
    <t>WGA-552</t>
  </si>
  <si>
    <t>PGO-992</t>
  </si>
  <si>
    <t>SUCESOR ADOLFO DURAND E.I.R.L.</t>
  </si>
  <si>
    <t>WN-1896</t>
  </si>
  <si>
    <t>MARIO ALFREDO PIMENTEL VILLEGAS</t>
  </si>
  <si>
    <t>MZ. G LOTE 38 I ETAPA URB. PACHACAMAC</t>
  </si>
  <si>
    <t>XI-2385</t>
  </si>
  <si>
    <t>91548-073-2011</t>
  </si>
  <si>
    <t>JR. ANGARAES N° 549</t>
  </si>
  <si>
    <t>B5Q-842</t>
  </si>
  <si>
    <t>149902-073-110720</t>
  </si>
  <si>
    <t>CARRETERA HUANUCO TINGO MARIA KM 3.5 MZ D LOTE 12 MIRAFLORES</t>
  </si>
  <si>
    <t>W6J-735</t>
  </si>
  <si>
    <t> 3270</t>
  </si>
  <si>
    <t>JUAN JOSE CABRERA REJAS</t>
  </si>
  <si>
    <t>AV. ARGENTINA N° 248 SANTA RITA</t>
  </si>
  <si>
    <t>CHINCHA BAJA</t>
  </si>
  <si>
    <t>PGJ-403</t>
  </si>
  <si>
    <t>EDUARDO YACILA CURO</t>
  </si>
  <si>
    <t>MZ. J LOTE 12 LOS VIÑEDOS</t>
  </si>
  <si>
    <t>PGC-485</t>
  </si>
  <si>
    <t>ROBERTO BALLON SANJINEZ</t>
  </si>
  <si>
    <t>LOS FICUS N° 272 URB. EL OLIVAR</t>
  </si>
  <si>
    <t>PGK-094</t>
  </si>
  <si>
    <t>ELIAS ALFREDO ANGELES COTOS</t>
  </si>
  <si>
    <t>CARRILLO ALBORNOZ N° 283</t>
  </si>
  <si>
    <t>OG-5089</t>
  </si>
  <si>
    <t>ANTOLIN ZELA VASQUEZ</t>
  </si>
  <si>
    <t>MZ. W LOTE 10 ASOC. VIV. LAS FORTALEZAS</t>
  </si>
  <si>
    <t>XI-3507</t>
  </si>
  <si>
    <t>PGO-969</t>
  </si>
  <si>
    <t>91547-073-2011</t>
  </si>
  <si>
    <t>B5Q-840</t>
  </si>
  <si>
    <t>0001-CBGL-14-2005</t>
  </si>
  <si>
    <t>XU-3253</t>
  </si>
  <si>
    <t>91549-073-2011</t>
  </si>
  <si>
    <t>B5S-826</t>
  </si>
  <si>
    <t>LUZ ARRESE DE YARLEQUE</t>
  </si>
  <si>
    <t>MZ. L LOTE 2 URB. SANTA LEONOR</t>
  </si>
  <si>
    <t>PE-2273</t>
  </si>
  <si>
    <t>0001-CBGL-10-2001</t>
  </si>
  <si>
    <t>XP-2656</t>
  </si>
  <si>
    <t>94411-073-241011</t>
  </si>
  <si>
    <t>AV. PACHACUTEC MZ. B LT. 2 PARCELA 1 PARQ. INDUSTRIAL</t>
  </si>
  <si>
    <t>C8F-936</t>
  </si>
  <si>
    <t>BENJAMIN ROSALES NÚÑEZ</t>
  </si>
  <si>
    <t>128266-073-310817</t>
  </si>
  <si>
    <t>SOLHYM S.A.C. - SERVICIOS EN OPERACIONES LOGISTICAS DE HIDROCARBUROS Y MERCANCIAS S.A.C.</t>
  </si>
  <si>
    <t>JR. PUNO 150</t>
  </si>
  <si>
    <t>A6V-913</t>
  </si>
  <si>
    <t>128545-073-230517</t>
  </si>
  <si>
    <t>ROSY HUILLCA MAMANI</t>
  </si>
  <si>
    <t xml:space="preserve">COMUNIDAD CONDOROMA </t>
  </si>
  <si>
    <t>CONDOROMA</t>
  </si>
  <si>
    <t>V8P-796</t>
  </si>
  <si>
    <t>0085-CTPGL-15-2006</t>
  </si>
  <si>
    <t>JR. JOSE LEAL 649</t>
  </si>
  <si>
    <t>PIV-932</t>
  </si>
  <si>
    <t>86156-073-200819</t>
  </si>
  <si>
    <t xml:space="preserve">AV. MANUEL DE LA TORRE N° 183 </t>
  </si>
  <si>
    <t>D4M-987</t>
  </si>
  <si>
    <t> ABR-774</t>
  </si>
  <si>
    <t>151190-073-110920</t>
  </si>
  <si>
    <t>T0R-817</t>
  </si>
  <si>
    <t>ANGEL HUMBERTO CABRERA GIRIBALDI</t>
  </si>
  <si>
    <t>PROLONGACION JUNIN S/N</t>
  </si>
  <si>
    <t>XI-7000</t>
  </si>
  <si>
    <t>MANUEL VALENZUELA LLANCARI</t>
  </si>
  <si>
    <t>AV. MARISCAL R. BENAVIDES N° 599</t>
  </si>
  <si>
    <t>PGJ-914</t>
  </si>
  <si>
    <t>0003-CBGL-08-2007</t>
  </si>
  <si>
    <t>CARMEN MOSCOSO GUILLEN</t>
  </si>
  <si>
    <t>URB. PUCUTUPAMPA B-6-B</t>
  </si>
  <si>
    <t>WZ-5302</t>
  </si>
  <si>
    <t>ASOC. DE VIV. VIRGEN DE ASUNCION MZ. A LOTES 9-10</t>
  </si>
  <si>
    <t>XG-8812</t>
  </si>
  <si>
    <t>WI-4247</t>
  </si>
  <si>
    <t>0002-CTPGL-13-2003</t>
  </si>
  <si>
    <t>MONICA ELIZABETH MORANTE CHIROQUE</t>
  </si>
  <si>
    <t>AV. RIVA AGUERO N° 767 URB. PALERMO</t>
  </si>
  <si>
    <t>PE-2233</t>
  </si>
  <si>
    <t>124850-073-211116</t>
  </si>
  <si>
    <t>TRANSPORTE ANTARES A&amp;A EIRL</t>
  </si>
  <si>
    <t>ASC. VILLA PARAISO MZ F4 LT 5</t>
  </si>
  <si>
    <t>V8N-743</t>
  </si>
  <si>
    <t>CARMEN JULIA QUIQUEA INCA</t>
  </si>
  <si>
    <t>44213-073-171111</t>
  </si>
  <si>
    <t>MARIFE DISTRIBUCIONES S.C.R.L.</t>
  </si>
  <si>
    <t>MARIANO LINO URQUIETA NO. 161 - P.J. EL SIGLO</t>
  </si>
  <si>
    <t>OH-6258</t>
  </si>
  <si>
    <t> 158</t>
  </si>
  <si>
    <t>BERNARDINO EDGAR AROCUTIPA MAMANI</t>
  </si>
  <si>
    <t>ASTERIO ROMERO ATOCCSA</t>
  </si>
  <si>
    <t>MZ. E LOTE 20 SECTOR 6 GRUPO 5</t>
  </si>
  <si>
    <t>XI-2199</t>
  </si>
  <si>
    <t>107035-073-311213</t>
  </si>
  <si>
    <t>TEOFILA CONDORI VELASQUEZ</t>
  </si>
  <si>
    <t>CALLE EUSEBIO DELGADO S/N</t>
  </si>
  <si>
    <t>W1O-876</t>
  </si>
  <si>
    <t>123298-073-150816</t>
  </si>
  <si>
    <t xml:space="preserve">AV. ANTIGUA PANAMERICANA SUR 690 - SAN JOAQUIN VIEJO </t>
  </si>
  <si>
    <t>Z3R-928</t>
  </si>
  <si>
    <t>0003-CTPGL-15-2000</t>
  </si>
  <si>
    <t>TRANSPORTES WONG S.A.</t>
  </si>
  <si>
    <t>CALLE 24 MZ. T LOTE 1 CALERA DE LA MERCED</t>
  </si>
  <si>
    <t>PK-5060</t>
  </si>
  <si>
    <t>0034-CBGL-15-2005</t>
  </si>
  <si>
    <t>XO-3163</t>
  </si>
  <si>
    <t>123297-073-150816</t>
  </si>
  <si>
    <t>Z2W-814</t>
  </si>
  <si>
    <t>0002-CBGL-05-2010</t>
  </si>
  <si>
    <t>MAXIMILIANA INFANZON QUINTANILLA</t>
  </si>
  <si>
    <t>AV. ARENALES 1255</t>
  </si>
  <si>
    <t>XO-7588</t>
  </si>
  <si>
    <t> 6885</t>
  </si>
  <si>
    <t>123001-073-240919</t>
  </si>
  <si>
    <t>TRANSPORTES PAITITI E.I.R.L.</t>
  </si>
  <si>
    <t>AV. DOS DE MAYO Nª 1268-A</t>
  </si>
  <si>
    <t>A7T-983</t>
  </si>
  <si>
    <t> C8G-797</t>
  </si>
  <si>
    <t> F6T-837</t>
  </si>
  <si>
    <t> F6T-838</t>
  </si>
  <si>
    <t> V4K-906</t>
  </si>
  <si>
    <t> X3E-920</t>
  </si>
  <si>
    <t> A1B-865</t>
  </si>
  <si>
    <t> V7V-785</t>
  </si>
  <si>
    <t> C8J-706</t>
  </si>
  <si>
    <t> F6T-839</t>
  </si>
  <si>
    <t> AYS-712</t>
  </si>
  <si>
    <t> C9M-832</t>
  </si>
  <si>
    <t>LIDIA ERIKA HUAMANI GONZALES</t>
  </si>
  <si>
    <t>110867-073-030814</t>
  </si>
  <si>
    <t>AV. DIAGONAL SUR EX CARRETERA EL RADAR PARCELA 02, I ETAPA, AA.HH. LA FLORIDA</t>
  </si>
  <si>
    <t>WGO-669</t>
  </si>
  <si>
    <t> 1170</t>
  </si>
  <si>
    <t>0000047-LAM</t>
  </si>
  <si>
    <t>NICOLAS ERAZO RAMIREZ</t>
  </si>
  <si>
    <t>DIEGO FERRE N° 144</t>
  </si>
  <si>
    <t>REQUE</t>
  </si>
  <si>
    <t>PC-4821</t>
  </si>
  <si>
    <t>37288-073-230415</t>
  </si>
  <si>
    <t xml:space="preserve">MZ. O, SUB LOTE C, 2DA. ZONA INDUSTRIAL </t>
  </si>
  <si>
    <t>ADM-722</t>
  </si>
  <si>
    <t>115841-073-020715</t>
  </si>
  <si>
    <t>JR. FRANCISCO PIZARRO N° 850</t>
  </si>
  <si>
    <t>S1S-883</t>
  </si>
  <si>
    <t>123303-073-160816</t>
  </si>
  <si>
    <t>RAPID GAS EIRL</t>
  </si>
  <si>
    <t>Z4N-746</t>
  </si>
  <si>
    <t>123301-073-150816</t>
  </si>
  <si>
    <t xml:space="preserve">AV. ANTIGUA PANAMERICANA SUR 690 - SAN JOAQUIN </t>
  </si>
  <si>
    <t>Z6D-794</t>
  </si>
  <si>
    <t>0004-CTPGL-07-2004</t>
  </si>
  <si>
    <t>JUDITH TANIA GONZALES RIOS</t>
  </si>
  <si>
    <t>AV. MANCO CAPAC N° 1031</t>
  </si>
  <si>
    <t>OG-8765</t>
  </si>
  <si>
    <t>123302-073-160816</t>
  </si>
  <si>
    <t>AV. ANTIGUA PANAMERICANA 690 - SAN JOAQUIN VIEJO</t>
  </si>
  <si>
    <t>Z4C-792</t>
  </si>
  <si>
    <t>0033-CBGL-15-2005</t>
  </si>
  <si>
    <t>XO-3167</t>
  </si>
  <si>
    <t>91546-073-2011</t>
  </si>
  <si>
    <t>JR ANGARAES N° 549</t>
  </si>
  <si>
    <t>B5S-831</t>
  </si>
  <si>
    <t>147053-073-111019</t>
  </si>
  <si>
    <t xml:space="preserve">JULIA VASQUEZ TAPIA </t>
  </si>
  <si>
    <t>PASAJE JOSE CARLOS MARIATEGUI MZ. 34 LOTE 9A VALLECITO BAJO</t>
  </si>
  <si>
    <t>AUZ-812</t>
  </si>
  <si>
    <t>JULIA VASQUEZ TAPIA</t>
  </si>
  <si>
    <t>0006-CTPGL-15-2006</t>
  </si>
  <si>
    <t>MAX JORGE BEDOYA MARQUEZ</t>
  </si>
  <si>
    <t>JR. PEDRO HERAUD 105</t>
  </si>
  <si>
    <t>PGQ-198</t>
  </si>
  <si>
    <t>99027-073-131112</t>
  </si>
  <si>
    <t>CELESTINA MARTINA MUÑOZ PACSI</t>
  </si>
  <si>
    <t>JIRÓN 9 DE OCTUBRE N° 400</t>
  </si>
  <si>
    <t>Z1H-926</t>
  </si>
  <si>
    <t>94152-073-051211</t>
  </si>
  <si>
    <t>MARCELINA LIMAHUAYA LIMAHUAYA</t>
  </si>
  <si>
    <t>ASOC. VILLA CONTINENTAL, MZ. B, LT N° 17, CTE 4, ZONA C</t>
  </si>
  <si>
    <t>V4H-844</t>
  </si>
  <si>
    <t>146715-073-161019</t>
  </si>
  <si>
    <t>JR. RUFINO MACEDO S/N MZ H INT 11 URB INDUSTRIAL, PANAMERICANA NORTE</t>
  </si>
  <si>
    <t>BBT-751</t>
  </si>
  <si>
    <t>AV. LAS EXPORTACIONES N° 231</t>
  </si>
  <si>
    <t>XG-3228</t>
  </si>
  <si>
    <t>92552-073-310316</t>
  </si>
  <si>
    <t>C3A-826</t>
  </si>
  <si>
    <t>119820-073-140216</t>
  </si>
  <si>
    <t>JOSE ANTONIO MALDONADO VELIZ</t>
  </si>
  <si>
    <t>MI PERU MZ E15 LTE 14</t>
  </si>
  <si>
    <t>MI PERU</t>
  </si>
  <si>
    <t>AEM-794</t>
  </si>
  <si>
    <t>0001-CBGL-19-2010</t>
  </si>
  <si>
    <t xml:space="preserve">MARIO PRUDENCIO LUNA </t>
  </si>
  <si>
    <t xml:space="preserve">JR. LOS CLAVELES Nº 105 - URBANIZACION PRIMAVERA </t>
  </si>
  <si>
    <t>DANIEL ALCIDES CARRION</t>
  </si>
  <si>
    <t>YANAHUANCA</t>
  </si>
  <si>
    <t>WGL-724</t>
  </si>
  <si>
    <t> 2490</t>
  </si>
  <si>
    <t>REY WILY CHIPANA CASTILLO</t>
  </si>
  <si>
    <t>PGJ-452</t>
  </si>
  <si>
    <t>0036-CTPGL-15-2001</t>
  </si>
  <si>
    <t>PGX-020</t>
  </si>
  <si>
    <t>0060-CBGL-15-2001</t>
  </si>
  <si>
    <t>WO-3673</t>
  </si>
  <si>
    <t>0035-CTPGL-15-2001</t>
  </si>
  <si>
    <t>OO-3879</t>
  </si>
  <si>
    <t>0038-CTPGL-15-2001</t>
  </si>
  <si>
    <t>OO-3328</t>
  </si>
  <si>
    <t>0037-CTPGL-15-2001</t>
  </si>
  <si>
    <t>PGK-897</t>
  </si>
  <si>
    <t>0064-CBGL-15-2001</t>
  </si>
  <si>
    <t>XI-5255</t>
  </si>
  <si>
    <t>0022-CBGL-15-2003</t>
  </si>
  <si>
    <t>RAFAEL HUGO VILLALOBOS AZCARATE</t>
  </si>
  <si>
    <t>JR. GRAU N° 104</t>
  </si>
  <si>
    <t>XO-5183</t>
  </si>
  <si>
    <t>CORPORACION JOSE R. LINDLEY S.A.</t>
  </si>
  <si>
    <t>JR. CAJAMARCA N° 371</t>
  </si>
  <si>
    <t>OQ-2697</t>
  </si>
  <si>
    <t>95795-073-130212</t>
  </si>
  <si>
    <t>D1A-876</t>
  </si>
  <si>
    <t>6495-073-171014</t>
  </si>
  <si>
    <t>ELMER MARTINEZ LLANOS</t>
  </si>
  <si>
    <t>URB. SAN AGUSTIN MZ. K LOTE 13</t>
  </si>
  <si>
    <t>C3P-947</t>
  </si>
  <si>
    <t>0002-CBGL-12-2008</t>
  </si>
  <si>
    <t>WP-9737</t>
  </si>
  <si>
    <t> 8450</t>
  </si>
  <si>
    <t>0013-CBGL-04-2009</t>
  </si>
  <si>
    <t>PALMA HANCCO, RICARDO</t>
  </si>
  <si>
    <t>AV. NICOLAS DE PIEROLA 107 SEMI</t>
  </si>
  <si>
    <t>WK-4539</t>
  </si>
  <si>
    <t>86566-073-2010</t>
  </si>
  <si>
    <t>ZANABRIA OJEDA EIRL</t>
  </si>
  <si>
    <t>CALLE HUASCAR 823</t>
  </si>
  <si>
    <t>V1L-820</t>
  </si>
  <si>
    <t>123305-073-160816</t>
  </si>
  <si>
    <t>Z5J-703</t>
  </si>
  <si>
    <t>0001-CBGL-12-2008</t>
  </si>
  <si>
    <t>EMPRESA DE TRANSPORTES CALIFORNIAS.A</t>
  </si>
  <si>
    <t>ZP-1752</t>
  </si>
  <si>
    <t> YI-6564</t>
  </si>
  <si>
    <t> 12960</t>
  </si>
  <si>
    <t>121555-073-210616</t>
  </si>
  <si>
    <t>TRANSPORTES ANTONY ADRIAN E.I.R.L.</t>
  </si>
  <si>
    <t>CAL.PANAMA NRO. 1749 C.P. URRUNAGA</t>
  </si>
  <si>
    <t>M2F-904</t>
  </si>
  <si>
    <t> 4140</t>
  </si>
  <si>
    <t xml:space="preserve">NORMAN RESURRECCION DAVILA </t>
  </si>
  <si>
    <t>0025-CBGL-15-2005</t>
  </si>
  <si>
    <t>XG-1293</t>
  </si>
  <si>
    <t>0018-CBGL-15-2005</t>
  </si>
  <si>
    <t>XG-3846</t>
  </si>
  <si>
    <t>123306-073-150816</t>
  </si>
  <si>
    <t>Z5P-844</t>
  </si>
  <si>
    <t>123307-073-150816</t>
  </si>
  <si>
    <t>Z4V-742</t>
  </si>
  <si>
    <t>0061-CBGL-15-2001</t>
  </si>
  <si>
    <t>WI-8626</t>
  </si>
  <si>
    <t>0062-CBGL-15-2001</t>
  </si>
  <si>
    <t>WO-9640</t>
  </si>
  <si>
    <t>133474-073-211217</t>
  </si>
  <si>
    <t>CALLE SAN SALVADOR NRO. 499 CPM. LUJAN</t>
  </si>
  <si>
    <t>AEZ-773</t>
  </si>
  <si>
    <t>PAULO GAZZOLO NEYRA</t>
  </si>
  <si>
    <t>JR.CHACHAPOYAS N° 502 B-5</t>
  </si>
  <si>
    <t>WG-4258</t>
  </si>
  <si>
    <t>146714-073-161019</t>
  </si>
  <si>
    <t>JR. RUFINO MACEDO S/N MZ "H" INT 11 URB. INDUSTRIAL, PANAMERICANA NORTE</t>
  </si>
  <si>
    <t>BBU-840</t>
  </si>
  <si>
    <t xml:space="preserve">RUFINO SUCASAIRE CORNEJO </t>
  </si>
  <si>
    <t>92551-073-310316</t>
  </si>
  <si>
    <t>C3A-825</t>
  </si>
  <si>
    <t>96039-073-210312</t>
  </si>
  <si>
    <t xml:space="preserve">JR. TARMA N° 174 - CHUCCHIS </t>
  </si>
  <si>
    <t>D3S-939</t>
  </si>
  <si>
    <t>133300-073-071217</t>
  </si>
  <si>
    <t>REPARTO PERU SAC</t>
  </si>
  <si>
    <t>ANO-840</t>
  </si>
  <si>
    <t>45116-073-280312</t>
  </si>
  <si>
    <t>MZ. P2 LOTE 27 - RESIDENCIAL MAGISTERIAL</t>
  </si>
  <si>
    <t>M3O-924</t>
  </si>
  <si>
    <t>84825-073-050219</t>
  </si>
  <si>
    <t>C9D-773</t>
  </si>
  <si>
    <t>0013-CTPGL-07-2003</t>
  </si>
  <si>
    <t>PK-5558</t>
  </si>
  <si>
    <t>0094-CBGL-15-2009</t>
  </si>
  <si>
    <t>AV. BOCANEGRA Nª 475 - URB. INDUSTRIAL BOCANEGRA</t>
  </si>
  <si>
    <t>WGM-416</t>
  </si>
  <si>
    <t> 5008</t>
  </si>
  <si>
    <t>0014-CTPGL-07-2003</t>
  </si>
  <si>
    <t>CALLE BETA N° 279-A PARQUE INTERNACIONAL DE INDUSTRIA Y TURISMO</t>
  </si>
  <si>
    <t>PK-6020</t>
  </si>
  <si>
    <t>0093-CBGL-15-2009</t>
  </si>
  <si>
    <t>AV. BOCANEGRA Nª 475 - URB. INDUSTRAIL BOCANEGRA</t>
  </si>
  <si>
    <t>WGM-361</t>
  </si>
  <si>
    <t>93545-073-100317</t>
  </si>
  <si>
    <t>B1N-999</t>
  </si>
  <si>
    <t>WILLIAM RODODLFO CASTRO ARAMBULO</t>
  </si>
  <si>
    <t>98862-073-201113</t>
  </si>
  <si>
    <t>OSCAR GUTIERREZ RUBIO</t>
  </si>
  <si>
    <t>MARIA PARADO DE BELLIDO S/N</t>
  </si>
  <si>
    <t>PAUCAR DEL SARA SARA</t>
  </si>
  <si>
    <t>PAUSA</t>
  </si>
  <si>
    <t>X1R-945</t>
  </si>
  <si>
    <t>0001-CBGL-03-2010</t>
  </si>
  <si>
    <t>JIRON JUNIN Nº 435</t>
  </si>
  <si>
    <t>WK-5219</t>
  </si>
  <si>
    <t>0103-CBGL-15-2005</t>
  </si>
  <si>
    <t>MAURO POSADAS EGOAVIL</t>
  </si>
  <si>
    <t>CALLE GERMAN AGUIRRE N° 687 URB. SAN GERMAN</t>
  </si>
  <si>
    <t>OQ-2586</t>
  </si>
  <si>
    <t>133299-073-061217</t>
  </si>
  <si>
    <t>ANP-808</t>
  </si>
  <si>
    <t>0084-CTPGL-15-2006</t>
  </si>
  <si>
    <t>PO-5440</t>
  </si>
  <si>
    <t>0005-CBGL-12-2007</t>
  </si>
  <si>
    <t>EMPRESA DE TRASNPORTES CALIFORNIA S.A.</t>
  </si>
  <si>
    <t>WGB-303</t>
  </si>
  <si>
    <t>0004-CTPGL-23-2002</t>
  </si>
  <si>
    <t>ASOC. VIVI. ZORA CARBAJAL MZ. F LOTE 11</t>
  </si>
  <si>
    <t>PK-5915</t>
  </si>
  <si>
    <t>0001-CBGL-02-2009</t>
  </si>
  <si>
    <t>CALEB MELQUECEDER LOZANO CACERES</t>
  </si>
  <si>
    <t>URB. CASUARINAS MZ. M2 LOTE 2</t>
  </si>
  <si>
    <t>WC-9618</t>
  </si>
  <si>
    <t> 3960</t>
  </si>
  <si>
    <t>128934-073-050617</t>
  </si>
  <si>
    <t>AV. NUEVO HORIZONTE MZ. F LOTE 9 URB. NUEVO HORIZONTE</t>
  </si>
  <si>
    <t>ARX-772</t>
  </si>
  <si>
    <t>WO-7635</t>
  </si>
  <si>
    <t>0092-CBGL-15-2009</t>
  </si>
  <si>
    <t>WGM-370</t>
  </si>
  <si>
    <t>122397-073-100317</t>
  </si>
  <si>
    <t>F9A-988</t>
  </si>
  <si>
    <t>0007-CBGL-13-2008</t>
  </si>
  <si>
    <t>XQ-9614</t>
  </si>
  <si>
    <t>0003-CBGL-20-2008</t>
  </si>
  <si>
    <t>AV. GRAU Nº 1007</t>
  </si>
  <si>
    <t>XC-1422</t>
  </si>
  <si>
    <t>87332-073-310517</t>
  </si>
  <si>
    <t>CALLE MINERIA Nº 320, URB. LOS FICUS</t>
  </si>
  <si>
    <t>D4L-970</t>
  </si>
  <si>
    <t>JESÚS CAMPOS ARIAS</t>
  </si>
  <si>
    <t>0090-CTPGL-15-2001</t>
  </si>
  <si>
    <t>BRUNO SMITH FLORES MOTTA</t>
  </si>
  <si>
    <t>JR. MARAÑON N° 299</t>
  </si>
  <si>
    <t>PGL-537</t>
  </si>
  <si>
    <t>104182-073-010813</t>
  </si>
  <si>
    <t>AV. MARIANO MELGAR N° 506 P.J. ALTO LIBERTAD</t>
  </si>
  <si>
    <t>D7O-933</t>
  </si>
  <si>
    <t>93539-073-110317</t>
  </si>
  <si>
    <t>AV. VICE MZ. 228 LOTE 04 INDUSTRIAL</t>
  </si>
  <si>
    <t>B1N-998</t>
  </si>
  <si>
    <t>122398-073-100317</t>
  </si>
  <si>
    <t>F9A-994</t>
  </si>
  <si>
    <t>0005-CBGL-04-2003</t>
  </si>
  <si>
    <t>INVERSIONES VIRGEN DEL CARMEN S.A.C.</t>
  </si>
  <si>
    <t>URB. LANIFICIO L-303</t>
  </si>
  <si>
    <t>XH-2421</t>
  </si>
  <si>
    <t>116211-073-050517</t>
  </si>
  <si>
    <t>C5M-934</t>
  </si>
  <si>
    <t>39265-073-250116</t>
  </si>
  <si>
    <t>C6Q-976</t>
  </si>
  <si>
    <t> AJM-866</t>
  </si>
  <si>
    <t> Y1W-885</t>
  </si>
  <si>
    <t> C9Q-873</t>
  </si>
  <si>
    <t>124244-073-301116</t>
  </si>
  <si>
    <t>CALLE WHASHINGTON N° 204-A</t>
  </si>
  <si>
    <t>VBA-979</t>
  </si>
  <si>
    <t> V8Q-899</t>
  </si>
  <si>
    <t>99466-073-301112</t>
  </si>
  <si>
    <t>DISTRIBUIDORA Y COMERCIALIZADORA LOS AMERICANOS S.A.C</t>
  </si>
  <si>
    <t>AV. GRAU 1706</t>
  </si>
  <si>
    <t>P2K-940</t>
  </si>
  <si>
    <t>GUILLERMO ARTURO PALACIOS SAONA</t>
  </si>
  <si>
    <t>0000016-TAC</t>
  </si>
  <si>
    <t>ASOC. EL MORRO MZ. G LOTE 2</t>
  </si>
  <si>
    <t>PK-5923</t>
  </si>
  <si>
    <t>0013-CBGL-15-2005</t>
  </si>
  <si>
    <t>WO-1668</t>
  </si>
  <si>
    <t>88019-073-120120</t>
  </si>
  <si>
    <t>ARANDA AREVALO JESSICA MARIA</t>
  </si>
  <si>
    <t>PJE. PETROPERU S/N CUADRA 1</t>
  </si>
  <si>
    <t>M1J-868</t>
  </si>
  <si>
    <t>JESSICA MARIA ARANDA AREVALO</t>
  </si>
  <si>
    <t>0002-CTBGL-04-2003</t>
  </si>
  <si>
    <t>ROSA MANUELA BERNEDO OLIVA</t>
  </si>
  <si>
    <t>COOPERATIVA DE RIEGO CHILIG-6 CERRO JULI</t>
  </si>
  <si>
    <t>PU-5708</t>
  </si>
  <si>
    <t>125171-073-011216</t>
  </si>
  <si>
    <t>ROSALES ESPINOZA MAYALI ISHTAR</t>
  </si>
  <si>
    <t>CALLE URB. LAS DUNAS H - 09 URB. SAN JOAQUIN NUEVO</t>
  </si>
  <si>
    <t>API-822</t>
  </si>
  <si>
    <t>0004-CTPGL-20-2005</t>
  </si>
  <si>
    <t>PB-6591</t>
  </si>
  <si>
    <t>0044-CTPGL-15-2009</t>
  </si>
  <si>
    <t>LOS PINOS 190, PISO 16</t>
  </si>
  <si>
    <t>PQE-537</t>
  </si>
  <si>
    <t>130324-073-050717</t>
  </si>
  <si>
    <t>MINERIA CONSTRUCCION Y TRANSPORTE IMPERIO JVRA S.A.C.</t>
  </si>
  <si>
    <t>JR. DOS DE MAYO N° 480 CENTRO POBLADO MENOR PALMIRA</t>
  </si>
  <si>
    <t>LEIMEBAMBA</t>
  </si>
  <si>
    <t>AEW-867</t>
  </si>
  <si>
    <t>ZOILO VERA ARAUJO</t>
  </si>
  <si>
    <t>XG-7899</t>
  </si>
  <si>
    <t>0000160-PUN</t>
  </si>
  <si>
    <t>LILY HUAMANI SUPO</t>
  </si>
  <si>
    <t>JR. MACHUPICCHU N° 202 URB. TAPARACHI</t>
  </si>
  <si>
    <t>PGJ-918</t>
  </si>
  <si>
    <t>0016-CBGL-15-2002</t>
  </si>
  <si>
    <t>XI-5206</t>
  </si>
  <si>
    <t>0008-CBGL-13-2008</t>
  </si>
  <si>
    <t>MZ. L LOTE 10 URB. PORTAL DE CHACARERO</t>
  </si>
  <si>
    <t>WC-8042</t>
  </si>
  <si>
    <t>0043-CTPGL-15-2009</t>
  </si>
  <si>
    <t>CALLE A, ZONA 7, FUNDO BOCANEGRA</t>
  </si>
  <si>
    <t>PGX-199</t>
  </si>
  <si>
    <t>0106-CTPGL-15-2001</t>
  </si>
  <si>
    <t>OG-6111</t>
  </si>
  <si>
    <t>106035-073-170316</t>
  </si>
  <si>
    <t>F2K-765</t>
  </si>
  <si>
    <t>112023-073-151014</t>
  </si>
  <si>
    <t>SANTA TERESA S.R.L.</t>
  </si>
  <si>
    <t>AV. PUERTO BERMUDEZ S/N</t>
  </si>
  <si>
    <t>OXAPAMPA</t>
  </si>
  <si>
    <t>VILLA RICA</t>
  </si>
  <si>
    <t>AFI-704</t>
  </si>
  <si>
    <t>ALEJANDRO PEDRAZA SANCHEZ</t>
  </si>
  <si>
    <t>91169-073-310517</t>
  </si>
  <si>
    <t>JR. MINERIA Nº 320. URB. LOS FICUS</t>
  </si>
  <si>
    <t>D4M-989</t>
  </si>
  <si>
    <t> ABT-776</t>
  </si>
  <si>
    <t xml:space="preserve">129150-073-300817 </t>
  </si>
  <si>
    <t>JULIO CESAR DIAZ CRISTINO</t>
  </si>
  <si>
    <t>ASOCIACION CIUDAD MUNICIPAL ZN-1 MZ.C LOTE 21</t>
  </si>
  <si>
    <t>W1V-878</t>
  </si>
  <si>
    <t>104641-073-160813</t>
  </si>
  <si>
    <t>MZ C, LOTE 9, ASOC. VILLA PARAISO</t>
  </si>
  <si>
    <t>V5H-707</t>
  </si>
  <si>
    <t>116503-073-190715</t>
  </si>
  <si>
    <t>W3I-839</t>
  </si>
  <si>
    <t> 7700</t>
  </si>
  <si>
    <t>0052-CTPGL-15-2001</t>
  </si>
  <si>
    <t>PIF-897</t>
  </si>
  <si>
    <t>106269-073-280316</t>
  </si>
  <si>
    <t>F2M-817</t>
  </si>
  <si>
    <t>0036-CBGL-15-2001</t>
  </si>
  <si>
    <t>WG-7992</t>
  </si>
  <si>
    <t>0088-CBGL-15-2001</t>
  </si>
  <si>
    <t>XG-3284</t>
  </si>
  <si>
    <t>0037-CBGL-15-2001</t>
  </si>
  <si>
    <t>XI-2906</t>
  </si>
  <si>
    <t>129151-073-300817</t>
  </si>
  <si>
    <t>C8D-836</t>
  </si>
  <si>
    <t>146061-073-210819</t>
  </si>
  <si>
    <t>MULTISERVICIOS EDAM E.I.R.L.</t>
  </si>
  <si>
    <t>CAL. LOS ARRAYANES Nº 117, P.T. LOS ARRAYANES</t>
  </si>
  <si>
    <t>V9T-892</t>
  </si>
  <si>
    <t> 865</t>
  </si>
  <si>
    <t>EDWIN DENNIS ALVAREZ MENDOZA</t>
  </si>
  <si>
    <t>116502-073-020815</t>
  </si>
  <si>
    <t xml:space="preserve">TRANSPORTE DAVYS E.I.R.L. </t>
  </si>
  <si>
    <t xml:space="preserve">MZ. L, LOTE 19, URB. LOS PRODUCTORES </t>
  </si>
  <si>
    <t>ACW-872</t>
  </si>
  <si>
    <t>0053-CTPGL-15-2001</t>
  </si>
  <si>
    <t>PIF-896</t>
  </si>
  <si>
    <t>106045-073-290316</t>
  </si>
  <si>
    <t>F2K-842</t>
  </si>
  <si>
    <t>0050-CBGL-15-2006</t>
  </si>
  <si>
    <t xml:space="preserve">CALLE A ZONA 7 BOCANEGRA ALTO </t>
  </si>
  <si>
    <t>ZI-5659</t>
  </si>
  <si>
    <t> YI-5244</t>
  </si>
  <si>
    <t>0054-CTPGL-15-2001</t>
  </si>
  <si>
    <t>PIF-898</t>
  </si>
  <si>
    <t>0020-CBGL-04-2009</t>
  </si>
  <si>
    <t>S.G.I.CONTRATISTAS SAC</t>
  </si>
  <si>
    <t>IDELFONSO LOPEZ Nº809 PUEBLO DE ZAMACOLA</t>
  </si>
  <si>
    <t>XH-4517</t>
  </si>
  <si>
    <t> 1925</t>
  </si>
  <si>
    <t>99322-073-261112</t>
  </si>
  <si>
    <t>V1I-989</t>
  </si>
  <si>
    <t> YH-3425</t>
  </si>
  <si>
    <t>HERMINIA AGUIRRE OCOÑA</t>
  </si>
  <si>
    <t>MZ. I-2 LOTE 28 URB. PACIFICO</t>
  </si>
  <si>
    <t>PGJ-545</t>
  </si>
  <si>
    <t> 320</t>
  </si>
  <si>
    <t>132921-073-201117</t>
  </si>
  <si>
    <t>JR. RUFINO MACEDO S/N MZA. H LT 11 URB. INDUSTRIAL PANAMERICANA NOR</t>
  </si>
  <si>
    <t>AUH-916</t>
  </si>
  <si>
    <t>120529-073-041017</t>
  </si>
  <si>
    <t xml:space="preserve">CALLE SAN SALVADOR 499 CPM C .P.M LUJAN </t>
  </si>
  <si>
    <t>F4M-810</t>
  </si>
  <si>
    <t>116504-073-060815</t>
  </si>
  <si>
    <t xml:space="preserve">AV. VENEZUELA MZA. 19 LOTE 24 </t>
  </si>
  <si>
    <t>F4C-984</t>
  </si>
  <si>
    <t> 15070</t>
  </si>
  <si>
    <t xml:space="preserve">WILFREDO LEONIDAS LEON HUAMAN </t>
  </si>
  <si>
    <t>108024-073-190214</t>
  </si>
  <si>
    <t>AV. BELISARIO SOSA PELAEZ 1111BLOCK-6 DPTO-106</t>
  </si>
  <si>
    <t>F6V-797</t>
  </si>
  <si>
    <t>0000097-CUS</t>
  </si>
  <si>
    <t>URB. SAN LUIS MZ. E LOTE 3</t>
  </si>
  <si>
    <t>WZ-6034</t>
  </si>
  <si>
    <t>133294-073-111217</t>
  </si>
  <si>
    <t>ANO-894</t>
  </si>
  <si>
    <t>0014-CBGL-08-2009</t>
  </si>
  <si>
    <t>JOSE MANCILLA LLAVE</t>
  </si>
  <si>
    <t>PASAJE LOS SAUCES L-3, URB. LOS JARDINES</t>
  </si>
  <si>
    <t>WZ-8309</t>
  </si>
  <si>
    <t>0002-CBGL-13-2004</t>
  </si>
  <si>
    <t>DISTRIBUIDORA CAVAGA S.R.L.</t>
  </si>
  <si>
    <t>AV. LARCO 1900 URB. SAN ANDRES V ETAPA</t>
  </si>
  <si>
    <t>WD-8420</t>
  </si>
  <si>
    <t>113278-073-200115</t>
  </si>
  <si>
    <t>DRENKO INGENIERIA Y CONSTRUCCION S.A.C.</t>
  </si>
  <si>
    <t xml:space="preserve">AV. 10 DE JULIO N° 400 - </t>
  </si>
  <si>
    <t>T4W-821</t>
  </si>
  <si>
    <t>0018-CBGL-15-2009</t>
  </si>
  <si>
    <t>LELY SPECIAL CORPORATION SAC</t>
  </si>
  <si>
    <t>LOS PINOS 190 PISO 16</t>
  </si>
  <si>
    <t>XP-4771</t>
  </si>
  <si>
    <t>WQ-4883</t>
  </si>
  <si>
    <t>105165-073-120913</t>
  </si>
  <si>
    <t>JR. NESTOR MADALENGOITIA NRO. 151</t>
  </si>
  <si>
    <t>A9Y-946</t>
  </si>
  <si>
    <t>0148-CBGL-15-2001</t>
  </si>
  <si>
    <t>WP-5402</t>
  </si>
  <si>
    <t>0104-CTPGL-15-2001</t>
  </si>
  <si>
    <t>PGI-542</t>
  </si>
  <si>
    <t>0105-CTPGL-15-2001</t>
  </si>
  <si>
    <t>PI-3679</t>
  </si>
  <si>
    <t>0146-CBGL-15-2001</t>
  </si>
  <si>
    <t>WI-6588</t>
  </si>
  <si>
    <t>0103-CTPGL-15-2001</t>
  </si>
  <si>
    <t>PGI-413</t>
  </si>
  <si>
    <t>ERWIN SAN ROMAN PALAVICINI</t>
  </si>
  <si>
    <t>AV. MARIANO CORNEJO N° 1956</t>
  </si>
  <si>
    <t>PG-4922</t>
  </si>
  <si>
    <t>0004-CBGL-04-2006</t>
  </si>
  <si>
    <t xml:space="preserve">CALLE WASHIGTON 204 A </t>
  </si>
  <si>
    <t>WH-8155</t>
  </si>
  <si>
    <t> 5825</t>
  </si>
  <si>
    <t>148921-073-280120</t>
  </si>
  <si>
    <t xml:space="preserve">PASAJE FELIPE PINGLO MZ E LT9 URB SANTOYO </t>
  </si>
  <si>
    <t>D4U-808</t>
  </si>
  <si>
    <t>0001-CBGL-21-2010</t>
  </si>
  <si>
    <t>DANIEL CHALCO QUISPE</t>
  </si>
  <si>
    <t>A. BRASIL 362</t>
  </si>
  <si>
    <t>XU-5121</t>
  </si>
  <si>
    <t>93371-073-131011</t>
  </si>
  <si>
    <t>JR. JOSE CARLOS MARIATEGUI Nº 171</t>
  </si>
  <si>
    <t>C5X-891</t>
  </si>
  <si>
    <t>106070-073-290316</t>
  </si>
  <si>
    <t>F2L-862</t>
  </si>
  <si>
    <t>0004-CTPGL-04-2002</t>
  </si>
  <si>
    <t xml:space="preserve">RUBY JEANETTE SALAS GALDOS </t>
  </si>
  <si>
    <t>PGJ-539</t>
  </si>
  <si>
    <t>0024-CBGL-15-2010</t>
  </si>
  <si>
    <t>WGJ-708</t>
  </si>
  <si>
    <t>0002-CTPGL-04-2001</t>
  </si>
  <si>
    <t xml:space="preserve">MI GAS S.A.C. </t>
  </si>
  <si>
    <t>GUATEMALA N° 100 SATELITE GRANDE</t>
  </si>
  <si>
    <t>PZ-5484</t>
  </si>
  <si>
    <t>0000037-ANC</t>
  </si>
  <si>
    <t>LUCY IRAIDA SALIRROSAS TOCAS</t>
  </si>
  <si>
    <t>AV. NACIONES UNIDAS MZ. 2 LOTE 20</t>
  </si>
  <si>
    <t>PO-1962</t>
  </si>
  <si>
    <t>0004-CTPGL-04-2001</t>
  </si>
  <si>
    <t>JOSE BENITO LEON MEDINA</t>
  </si>
  <si>
    <t>FRANCISCO BOLOGNESI N° 901 ALTO INCLAN</t>
  </si>
  <si>
    <t>PH-8376</t>
  </si>
  <si>
    <t>0001-CTBGL-04-2001</t>
  </si>
  <si>
    <t>TIFFY S DISTRIBUCIONES E..I.R.L.</t>
  </si>
  <si>
    <t>CALLE URUBAMBA N° 201</t>
  </si>
  <si>
    <t>PM-2093</t>
  </si>
  <si>
    <t>ABEL ANGEL ANAYA CONDOR</t>
  </si>
  <si>
    <t>CALLE LEONCIO PRADO N° 1170</t>
  </si>
  <si>
    <t>WP-2067</t>
  </si>
  <si>
    <t>85008-073-270319</t>
  </si>
  <si>
    <t>AAGT DISTRIBUCIONES E.I.R.L.</t>
  </si>
  <si>
    <t>URB. MIRAFLORES A - 9</t>
  </si>
  <si>
    <t>X1N-828</t>
  </si>
  <si>
    <t>FLOR MARIA TAPIA CANALES</t>
  </si>
  <si>
    <t>0045-CTPGL-15-2001</t>
  </si>
  <si>
    <t>PGC-942</t>
  </si>
  <si>
    <t>COMPAÑIA PERUANA DE GAS S.A.</t>
  </si>
  <si>
    <t>AV. PANAMERICANA SUR KM. 301</t>
  </si>
  <si>
    <t>PGJ-367</t>
  </si>
  <si>
    <t>0000002-TUM</t>
  </si>
  <si>
    <t>CLEMENTE MARCHAN ARCELA</t>
  </si>
  <si>
    <t>AV. UNIVERSITARIA N° 173</t>
  </si>
  <si>
    <t>TUMBES</t>
  </si>
  <si>
    <t>PGD-145</t>
  </si>
  <si>
    <t>0003-CBGL-05-2010</t>
  </si>
  <si>
    <t>ASOC. VENTURA CCALAMAQUI MZ N LOTE 12</t>
  </si>
  <si>
    <t>WS-2437</t>
  </si>
  <si>
    <t> 2105</t>
  </si>
  <si>
    <t>85480-073-060813</t>
  </si>
  <si>
    <t>MZ. 223 LOTES 3, 4, 5 ZONA INDUSTRIAL</t>
  </si>
  <si>
    <t>D2Z-792</t>
  </si>
  <si>
    <t>82389-073-060813</t>
  </si>
  <si>
    <t>MZ. 223 LT. 3, 4 Y 5 ZONA INDUSTRIAL</t>
  </si>
  <si>
    <t>D2Z-791</t>
  </si>
  <si>
    <t>1195881-PIU</t>
  </si>
  <si>
    <t>PB-9696</t>
  </si>
  <si>
    <t>100103-073-211212</t>
  </si>
  <si>
    <t>NORA QUISPE EGUILUZ</t>
  </si>
  <si>
    <t>URB. FRANCISCO MORALES B-16</t>
  </si>
  <si>
    <t>X2H-792</t>
  </si>
  <si>
    <t>1195879-PIU</t>
  </si>
  <si>
    <t>OB-2111</t>
  </si>
  <si>
    <t>1230427-PIU</t>
  </si>
  <si>
    <t>WC-7716</t>
  </si>
  <si>
    <t> 1820</t>
  </si>
  <si>
    <t>1195887-PIU</t>
  </si>
  <si>
    <t>OB-2110</t>
  </si>
  <si>
    <t>1195884-PIU</t>
  </si>
  <si>
    <t>WD-5435</t>
  </si>
  <si>
    <t>1195882-PIU</t>
  </si>
  <si>
    <t>WB-5843</t>
  </si>
  <si>
    <t>115336-073-010715</t>
  </si>
  <si>
    <t>CALLE MOLLENDO N° 106-SAN MARTIN DE SOCABAYA</t>
  </si>
  <si>
    <t>V7S-839</t>
  </si>
  <si>
    <t>0065-CBGL-15-2001</t>
  </si>
  <si>
    <t>XI-5252</t>
  </si>
  <si>
    <t>0044-CTPGL-15-2001</t>
  </si>
  <si>
    <t>OO-6054</t>
  </si>
  <si>
    <t>96223-073-200115</t>
  </si>
  <si>
    <t>TRANSPORTES Y SERVICIOS CORRECAMINOS E.I.R.L</t>
  </si>
  <si>
    <t>JR. FRANCISCO IZQUIERDO RIOS N° 480</t>
  </si>
  <si>
    <t>S1I-860</t>
  </si>
  <si>
    <t>102068-073-250413</t>
  </si>
  <si>
    <t>ASOCIACIÓN EL ALTIPLANO SECTOR II ZONA B MZ D LOTE 18</t>
  </si>
  <si>
    <t>V4U-709</t>
  </si>
  <si>
    <t>0043-CTPGL-15-2001</t>
  </si>
  <si>
    <t>OO-2527</t>
  </si>
  <si>
    <t>95558-073-180112</t>
  </si>
  <si>
    <t>JR. DANIEL ALCIDES CARRION N° 1355 URB. NUEVA ESPERANZA MZ-B LT 12</t>
  </si>
  <si>
    <t>Z1B-980</t>
  </si>
  <si>
    <t> B1U-836</t>
  </si>
  <si>
    <t>104566-073-090813</t>
  </si>
  <si>
    <t>LUIS PEDRO RETIZ BRAVO</t>
  </si>
  <si>
    <t>JR. NICOLAS DE PIEROLA N° 384 URB JOSE CARLOS MARIATEGUI</t>
  </si>
  <si>
    <t>U1E-796</t>
  </si>
  <si>
    <t>132922-073-201117</t>
  </si>
  <si>
    <t>JR. RUFINO MACEDO S/N MZA. H LT. 11 URB. INDUSTRIAL PANAMERICANA NOR</t>
  </si>
  <si>
    <t>AUH-927</t>
  </si>
  <si>
    <t>133627-073-261217</t>
  </si>
  <si>
    <t>CALLE MOLLENDO 106 URB. MARTIN DE SOCABAYA</t>
  </si>
  <si>
    <t>V8U-710</t>
  </si>
  <si>
    <t>1177739-PIU</t>
  </si>
  <si>
    <t>OB-1962</t>
  </si>
  <si>
    <t>ROMAN NUÑEZ AGUILAR</t>
  </si>
  <si>
    <t>AV. EL PARQUE N° 570 URB. SAN ROQUE</t>
  </si>
  <si>
    <t>PGC-236</t>
  </si>
  <si>
    <t>1177740-PIU</t>
  </si>
  <si>
    <t>WB-6308</t>
  </si>
  <si>
    <t>0044-CTPGL-15-2002</t>
  </si>
  <si>
    <t>AV. PRIMAVERA N° 1290 OF.401</t>
  </si>
  <si>
    <t>PQ-1373</t>
  </si>
  <si>
    <t>MARIBEL NUÑEZ AGUILAR</t>
  </si>
  <si>
    <t>PGJ-390</t>
  </si>
  <si>
    <t>0000077-PIU</t>
  </si>
  <si>
    <t>HIPOLITO HUAYAMA CHERO</t>
  </si>
  <si>
    <t>AA.HH. 11 DE ABRIL MZ. D-4 LOTE 8</t>
  </si>
  <si>
    <t>PG-2046</t>
  </si>
  <si>
    <t>0000081-PIU</t>
  </si>
  <si>
    <t>MERCEDES NIZAMA ZARATE</t>
  </si>
  <si>
    <t>BARRIO TALARITA N° 1555</t>
  </si>
  <si>
    <t>EL ALTO</t>
  </si>
  <si>
    <t>PB-9365</t>
  </si>
  <si>
    <t>1177742-PIU</t>
  </si>
  <si>
    <t>RB-3510</t>
  </si>
  <si>
    <t>0009-CBGL-15-2006</t>
  </si>
  <si>
    <t>EMILIANO PAITA URETA</t>
  </si>
  <si>
    <t>URB. TILDA. MZ. L. LOTE 13</t>
  </si>
  <si>
    <t>XQ-9348</t>
  </si>
  <si>
    <t>0020-CBGL-15-2005</t>
  </si>
  <si>
    <t>XG-3845</t>
  </si>
  <si>
    <t>0022-CTPGL-15-2004</t>
  </si>
  <si>
    <t>PGK-084</t>
  </si>
  <si>
    <t>0001-CBGL-15-2005</t>
  </si>
  <si>
    <t>ANTA GAS S.R.L.</t>
  </si>
  <si>
    <t>AV. NUEVO HORIZONTE MZ. E LOTE 9</t>
  </si>
  <si>
    <t>XI-9470</t>
  </si>
  <si>
    <t>0012-CBGL-15-2005</t>
  </si>
  <si>
    <t>AV. PRIMAVERA N° 1290 - OF. 401 - MONTERRICO</t>
  </si>
  <si>
    <t>WO-9945</t>
  </si>
  <si>
    <t>3481-073-2010</t>
  </si>
  <si>
    <t xml:space="preserve">ECONOGAS S.R.L </t>
  </si>
  <si>
    <t xml:space="preserve">ANTIGUA PANAMERICANA SUR KM. 21 </t>
  </si>
  <si>
    <t>A8R-939</t>
  </si>
  <si>
    <t>0004-CBGL-14-2005</t>
  </si>
  <si>
    <t>JULIO SILVESTRE TORRES POZO</t>
  </si>
  <si>
    <t>JR. ARROSPI N° 315</t>
  </si>
  <si>
    <t>PK-5153</t>
  </si>
  <si>
    <t>991108-ARE</t>
  </si>
  <si>
    <t>XG-2973</t>
  </si>
  <si>
    <t>0000081-LIB</t>
  </si>
  <si>
    <t>E. GAS E.I.R.L.</t>
  </si>
  <si>
    <t>CALLE LIZARZABURU N° 785 URB. LAS QUINTANAS</t>
  </si>
  <si>
    <t>OI-6792</t>
  </si>
  <si>
    <t>0022-CTPGL-15-2003</t>
  </si>
  <si>
    <t>OH-5581</t>
  </si>
  <si>
    <t> 120</t>
  </si>
  <si>
    <t>106044-073-150316</t>
  </si>
  <si>
    <t>F2M-784</t>
  </si>
  <si>
    <t>0009-CTPGL-15-2003</t>
  </si>
  <si>
    <t>EDUARDO CHAVEZ ROJAS</t>
  </si>
  <si>
    <t>CALLE MANUEL GARCIA N° 224 PAMPLONA BAJA</t>
  </si>
  <si>
    <t>PIK-124</t>
  </si>
  <si>
    <t>VALENTIN CCAIPANI PICHIHUA</t>
  </si>
  <si>
    <t>GUSTAVO PONS MUZO Nº 188 URB. JORGE CHAVEZ</t>
  </si>
  <si>
    <t>WO-4669</t>
  </si>
  <si>
    <t>125340-073-040117</t>
  </si>
  <si>
    <t>AV. TUPAC AMARU A-1-B URB. PROGRESO</t>
  </si>
  <si>
    <t>X4C-798</t>
  </si>
  <si>
    <t> 7875</t>
  </si>
  <si>
    <t>140400-073-191218</t>
  </si>
  <si>
    <t>AYT-848</t>
  </si>
  <si>
    <t>106034-073-290316</t>
  </si>
  <si>
    <t>F2P-943</t>
  </si>
  <si>
    <t>0047-CTPGL-15-2002</t>
  </si>
  <si>
    <t>POLLYS PACKING SERVICE INTERNACIONAL S.A. (EMBARGO 034-2011-ACUM-OS-EC-APR)</t>
  </si>
  <si>
    <t>AV. UNO MZ. J LOTE 4 FUNDO BARBADILLO</t>
  </si>
  <si>
    <t>PGL-186</t>
  </si>
  <si>
    <t>100640-073-310113</t>
  </si>
  <si>
    <t>ANEXO CERRITO BUENA VISTA LOTE 11</t>
  </si>
  <si>
    <t>V2W-759</t>
  </si>
  <si>
    <t>PGC-487</t>
  </si>
  <si>
    <t>ALFREDO EDUARDO TRUJILLO TELLO</t>
  </si>
  <si>
    <t>JR. PROGRESO N° 389</t>
  </si>
  <si>
    <t>XG-5370</t>
  </si>
  <si>
    <t>0003-CBGL-04-2010</t>
  </si>
  <si>
    <t>WGI-792</t>
  </si>
  <si>
    <t>95557-073-180112</t>
  </si>
  <si>
    <t>JR. DANIEL ALCIDES CARRION N° 1355 URB NUEVA ESPERANZA MB-LT 12</t>
  </si>
  <si>
    <t>ZQ-3248</t>
  </si>
  <si>
    <t> C5F-811</t>
  </si>
  <si>
    <t>PRIMITIVA TELLO HUERTA</t>
  </si>
  <si>
    <t>JR. PROGRESO N° 179</t>
  </si>
  <si>
    <t>XG-1902</t>
  </si>
  <si>
    <t>XI-4975</t>
  </si>
  <si>
    <t>119680-073-040316</t>
  </si>
  <si>
    <t>REMY VARGAS MARAZA</t>
  </si>
  <si>
    <t>JR PASEO TURISTICO Nº 297</t>
  </si>
  <si>
    <t>Z6D-928</t>
  </si>
  <si>
    <t>0011-CTPGL-04-2002</t>
  </si>
  <si>
    <t>SANDRA JACKELINE HERRERA JUAREZ DE VELIZ</t>
  </si>
  <si>
    <t>AV. JESUS N° 722</t>
  </si>
  <si>
    <t>PGC-493</t>
  </si>
  <si>
    <t>0046-CTPGL-15-2002</t>
  </si>
  <si>
    <t>PGL-183</t>
  </si>
  <si>
    <t>101261-073-250120</t>
  </si>
  <si>
    <t>D5G-728</t>
  </si>
  <si>
    <t>63247-073-230120</t>
  </si>
  <si>
    <t>B0M-806</t>
  </si>
  <si>
    <t>0002-CBGL-07-2005</t>
  </si>
  <si>
    <t>XI-6728</t>
  </si>
  <si>
    <t>140398-073-191218</t>
  </si>
  <si>
    <t>AYU-816</t>
  </si>
  <si>
    <t>0002-CTPGL-05-2004</t>
  </si>
  <si>
    <t>PGW-035</t>
  </si>
  <si>
    <t>0001-CTPGL-05-2004</t>
  </si>
  <si>
    <t>OG-5835</t>
  </si>
  <si>
    <t>106030-073-150316</t>
  </si>
  <si>
    <t>F2L-784</t>
  </si>
  <si>
    <t>0002-CTPGL-10-2003</t>
  </si>
  <si>
    <t>OQ-7937</t>
  </si>
  <si>
    <t>0001-CTPGL-10-2003</t>
  </si>
  <si>
    <t>OG-4451</t>
  </si>
  <si>
    <t>106033-073-170316</t>
  </si>
  <si>
    <t>F2S-757</t>
  </si>
  <si>
    <t>0003-CTPGL-07-2003</t>
  </si>
  <si>
    <t>MARCO AUGUSTO VASQUEZ SHUPINGAHUA</t>
  </si>
  <si>
    <t>CALLE SAN JUAN MACIAS MZ. B LOTE 42 URB. SAN JUAN MACIAS</t>
  </si>
  <si>
    <t>PIK-125</t>
  </si>
  <si>
    <t>0004-CTPGL-07-2003</t>
  </si>
  <si>
    <t>JUAN ROBERTO PACHECO MESIAS</t>
  </si>
  <si>
    <t>MZ. 64 LOTE 6 URB. PREVI</t>
  </si>
  <si>
    <t>PIK-120</t>
  </si>
  <si>
    <t>OO-8594</t>
  </si>
  <si>
    <t>0001-CTPGL-07-2002</t>
  </si>
  <si>
    <t>OI-5676</t>
  </si>
  <si>
    <t>147760-073-131119</t>
  </si>
  <si>
    <t>AV. PACHACUTEC MZA. B LOTE 2 Z.I. PARQUE INDUSTRIAL</t>
  </si>
  <si>
    <t>F9B-826</t>
  </si>
  <si>
    <t>140402-073-191218</t>
  </si>
  <si>
    <t>AYT-897</t>
  </si>
  <si>
    <t>130575-073-210717</t>
  </si>
  <si>
    <t>GRIFO Y REPUESTOS MENA E.I.R.L.</t>
  </si>
  <si>
    <t>QUEBRADA S/N</t>
  </si>
  <si>
    <t>YANATILE</t>
  </si>
  <si>
    <t>V2O-720</t>
  </si>
  <si>
    <t>ZENON MENA HUALLPA</t>
  </si>
  <si>
    <t>0021-CBGL-15-2007</t>
  </si>
  <si>
    <t>HURANGA CONDOR, ELVIRA EUFRACIA</t>
  </si>
  <si>
    <t>MZ.Ñ,LT.17 ASOC. MARIA PRADO DE BELLIDO</t>
  </si>
  <si>
    <t>XQ-8464</t>
  </si>
  <si>
    <t>0005-CTPGL-20-2005</t>
  </si>
  <si>
    <t>PB-8502</t>
  </si>
  <si>
    <t>0022-CTPGL-15-2006</t>
  </si>
  <si>
    <t>AV. LOS FAISANES 608 LA CAMPIÑA</t>
  </si>
  <si>
    <t>PP-7430</t>
  </si>
  <si>
    <t>88821-073-2010</t>
  </si>
  <si>
    <t>A0T-856</t>
  </si>
  <si>
    <t>125146-073-130217</t>
  </si>
  <si>
    <t>MAYDA RAMOS QUISPE</t>
  </si>
  <si>
    <t>JR. RIMAC MZA. A LT. 16 URB SANTIAGO RIOS</t>
  </si>
  <si>
    <t>Z4G-804</t>
  </si>
  <si>
    <t>0006-CBGL-07-2002</t>
  </si>
  <si>
    <t>XP-3308</t>
  </si>
  <si>
    <t>0001-CBGL-04-2002</t>
  </si>
  <si>
    <t xml:space="preserve">ANDRES YUCRA HUARICALLO </t>
  </si>
  <si>
    <t>CALLE MOLLENDO N° 106</t>
  </si>
  <si>
    <t>XH-2919</t>
  </si>
  <si>
    <t>0000115-ARE</t>
  </si>
  <si>
    <t>SANIA ELSA SANCHEZ ALARCON</t>
  </si>
  <si>
    <t>OH-3916</t>
  </si>
  <si>
    <t>90513-073-2011</t>
  </si>
  <si>
    <t>SERVIGAS S.A.C.</t>
  </si>
  <si>
    <t>PROLONGACION MEXICO OESTE Nº 901 - UPIS MARIA PARADO DE BELLIDO</t>
  </si>
  <si>
    <t>M2G-908</t>
  </si>
  <si>
    <t>0002-CBGL-04-2001</t>
  </si>
  <si>
    <t>TRANSPORTES ROMULO TEJADA E.I.R.L.</t>
  </si>
  <si>
    <t>AV. PERU N° 306 URB. FECIA</t>
  </si>
  <si>
    <t>WH-8393</t>
  </si>
  <si>
    <t>83797-073-120911</t>
  </si>
  <si>
    <t>CANCHASTO MEDRANO, ALDO OCTAVIO</t>
  </si>
  <si>
    <t>JR. DIAZ BARCENAS Nº 314</t>
  </si>
  <si>
    <t>V3Q-911</t>
  </si>
  <si>
    <t>103441-073-120613</t>
  </si>
  <si>
    <t>LOGISTAS S.A</t>
  </si>
  <si>
    <t>AV RICARDO ELIAS APARICIO N° 462 C.C LAS LAGUNAS DE LA MOLINA</t>
  </si>
  <si>
    <t>A5B-827</t>
  </si>
  <si>
    <t> 3240</t>
  </si>
  <si>
    <t>MAURICIO GONZALO BENAVIDES GALLEGOS</t>
  </si>
  <si>
    <t>PIF-212</t>
  </si>
  <si>
    <t>JORGE MAX ESPINOZA ROSAS</t>
  </si>
  <si>
    <t>LAS MAGNOLIAS MZ. C LOTE 5 URB. PRIMAVERA</t>
  </si>
  <si>
    <t>XI-5009</t>
  </si>
  <si>
    <t>88453-073-170714</t>
  </si>
  <si>
    <t>MZ. B-U, LT. N° 11-14, URB. IND. OQUENDO</t>
  </si>
  <si>
    <t>C3T-911</t>
  </si>
  <si>
    <t>145198-073-150719</t>
  </si>
  <si>
    <t>AV. CARLOS IZAGUIRRE S/N URB. LAS MARGARITAS LT 28-29, MZ. A</t>
  </si>
  <si>
    <t>A7J-871</t>
  </si>
  <si>
    <t>JUAN HERNANDO MARENGO HUGO</t>
  </si>
  <si>
    <t>PJE. MARIA LUISA N° 120</t>
  </si>
  <si>
    <t>XG-5943</t>
  </si>
  <si>
    <t>0023-CTPGL-15-2010</t>
  </si>
  <si>
    <t>LIZ NOELIA PEREZ RODRIGUEZ</t>
  </si>
  <si>
    <t>CALLE 24 MZ G1 LOTE 05 A.H. 9 DE OCTUBRE</t>
  </si>
  <si>
    <t>PIV-358</t>
  </si>
  <si>
    <t>0001-CBGL-05-2003</t>
  </si>
  <si>
    <t>PAULINA DE LA CRUZ DE PILLACA</t>
  </si>
  <si>
    <t>XQ-1102</t>
  </si>
  <si>
    <t>0001-CTBGL-10-2006</t>
  </si>
  <si>
    <t>AV PERU N° 1577 A.H. PAMPA DEL CARMEN</t>
  </si>
  <si>
    <t>PM-2218</t>
  </si>
  <si>
    <t>0002-CBGL-10-2006</t>
  </si>
  <si>
    <t>XG-7665</t>
  </si>
  <si>
    <t> 3605</t>
  </si>
  <si>
    <t>139587-073-111118</t>
  </si>
  <si>
    <t>AYJ-806</t>
  </si>
  <si>
    <t>103439-073-110613</t>
  </si>
  <si>
    <t>AV RICARDO ELIAS APARICIO N 462 URB. C.C LAS LAGUNAS DE LA MOLINA</t>
  </si>
  <si>
    <t>A5B-812</t>
  </si>
  <si>
    <t>0021-CBGL-15-2005</t>
  </si>
  <si>
    <t>XG-3801</t>
  </si>
  <si>
    <t>0003-CTPGL-15-2005</t>
  </si>
  <si>
    <t>COOP. MARISCAL GAMARRA MZ. H LOTE 8</t>
  </si>
  <si>
    <t>PG-8532</t>
  </si>
  <si>
    <t>JOSE ANDRES ECA PANTA</t>
  </si>
  <si>
    <t>AV. 1 DE DICIEMBRE N° 412 PP.JJ. SAN MARTIN</t>
  </si>
  <si>
    <t>SECHURA</t>
  </si>
  <si>
    <t>PD-4901</t>
  </si>
  <si>
    <t>MZ. C LOTES 17-18-19 PARQUE INDUSTRIAL</t>
  </si>
  <si>
    <t>PGJ-385</t>
  </si>
  <si>
    <t>0000044-PIU</t>
  </si>
  <si>
    <t>SANTIAGO FACUNDO HUAMAN</t>
  </si>
  <si>
    <t>VICTOR RAUL HAYA DE LA TORRE D-11</t>
  </si>
  <si>
    <t>WB-1337</t>
  </si>
  <si>
    <t>PGJ-368</t>
  </si>
  <si>
    <t>0022-CBGL-15-2005</t>
  </si>
  <si>
    <t>XG-3800</t>
  </si>
  <si>
    <t> 3230</t>
  </si>
  <si>
    <t>AV. PACHACUTEC PARCELA 1 MZ. B LOTES 1-2</t>
  </si>
  <si>
    <t>OI-7393</t>
  </si>
  <si>
    <t>0000064-PIU</t>
  </si>
  <si>
    <t>FIDEL HERNAN VEGAS MERINO</t>
  </si>
  <si>
    <t>URB. PIURA H-4-10 II ETAPA</t>
  </si>
  <si>
    <t>PB-4666</t>
  </si>
  <si>
    <t>0006-CBGL-15-2001</t>
  </si>
  <si>
    <t>XU-2497</t>
  </si>
  <si>
    <t>0001-CBGL-13-2002</t>
  </si>
  <si>
    <t>PERU GAS S.A.- LUIS CASTRO NUÑEZ</t>
  </si>
  <si>
    <t>PANAMERICANA NORTE KM. 665, PACASMAYO</t>
  </si>
  <si>
    <t>WD-6305</t>
  </si>
  <si>
    <t>0002-CBGL-12-2006</t>
  </si>
  <si>
    <t>ROSARIO MESA CARDENAS</t>
  </si>
  <si>
    <t>PROLONGACION ICA N° 668 - HUANCAYO</t>
  </si>
  <si>
    <t>WO-9368</t>
  </si>
  <si>
    <t>0000055-PIU</t>
  </si>
  <si>
    <t>BERTILA LEON ESPINOZA</t>
  </si>
  <si>
    <t>ENACE I FELIPE SANTIAGO SALAVERRY B-34</t>
  </si>
  <si>
    <t>PB-9682</t>
  </si>
  <si>
    <t>0000091-PIU</t>
  </si>
  <si>
    <t>PEDRO MACEDA RODRIGUEZ</t>
  </si>
  <si>
    <t>AV. GRAU N° 560</t>
  </si>
  <si>
    <t>PB-5996</t>
  </si>
  <si>
    <t>40916-073-310116</t>
  </si>
  <si>
    <t>AV. PRIMAVERA N° 1290, OF. 401</t>
  </si>
  <si>
    <t>D5Q-996</t>
  </si>
  <si>
    <t> V6N-947</t>
  </si>
  <si>
    <t> AJP-842</t>
  </si>
  <si>
    <t> 7880</t>
  </si>
  <si>
    <t>86786-073-2010</t>
  </si>
  <si>
    <t>DCR CONTRATISTAS MINEROS SAC</t>
  </si>
  <si>
    <t xml:space="preserve">AV JESUS 405 </t>
  </si>
  <si>
    <t>XH-5450</t>
  </si>
  <si>
    <t> 1738</t>
  </si>
  <si>
    <t>90538-073-2011</t>
  </si>
  <si>
    <t>RAUL SINCHI ENCISO</t>
  </si>
  <si>
    <t>PROLONGACION TRUJILLO N° 1107</t>
  </si>
  <si>
    <t>W1V-924</t>
  </si>
  <si>
    <t>0019-CBGL-15-2005</t>
  </si>
  <si>
    <t>XG-3796</t>
  </si>
  <si>
    <t>138457-073-080918</t>
  </si>
  <si>
    <t>P3Y-824</t>
  </si>
  <si>
    <t>0042-CBGL-15-2007</t>
  </si>
  <si>
    <t>MZ M LOTE 7 ASOC. VIVIENDA SEÑOR DE LOS MILAGROS</t>
  </si>
  <si>
    <t>XG-6500</t>
  </si>
  <si>
    <t>0043-CBGL-15-2007</t>
  </si>
  <si>
    <t>CALLE A ZONA 7 EX FUNDO BOCANEGRA</t>
  </si>
  <si>
    <t>XO-3052</t>
  </si>
  <si>
    <t> 2030</t>
  </si>
  <si>
    <t>PIF-210</t>
  </si>
  <si>
    <t>138390-073-030918</t>
  </si>
  <si>
    <t>DAVID JUNIOR CONDORI QUISPE</t>
  </si>
  <si>
    <t>LAS CASUARINAS 3ERA ETAPA MZ. H LOTE 12</t>
  </si>
  <si>
    <t>AXR-884</t>
  </si>
  <si>
    <t>0142-CTPGL-15-2007</t>
  </si>
  <si>
    <t>YONI TENORIO MANCILLA</t>
  </si>
  <si>
    <t>MZ. L, LOTE 5 COOP. VIVIENDA LA FRAGATA</t>
  </si>
  <si>
    <t>PGC-436</t>
  </si>
  <si>
    <t>108235-073-060314</t>
  </si>
  <si>
    <t>HUAMAN HUTOS OSCAR ELVIS</t>
  </si>
  <si>
    <t>BARRIO 27 DE OCTUBRE MZ LL - LT 01</t>
  </si>
  <si>
    <t>Y1P-938</t>
  </si>
  <si>
    <t>121043-073-100317</t>
  </si>
  <si>
    <t>ALV 830</t>
  </si>
  <si>
    <t>84857-073-2011</t>
  </si>
  <si>
    <t>CREDIGAS E.I.RL</t>
  </si>
  <si>
    <t>CALLE TRUJILLO 129 ZONA A, MIGUEL GRAU</t>
  </si>
  <si>
    <t>XH-6523</t>
  </si>
  <si>
    <t>JAIME WILSON GROVAS CHUMBES</t>
  </si>
  <si>
    <t>121040-073-100317</t>
  </si>
  <si>
    <t>ALU-918</t>
  </si>
  <si>
    <t>139497-073-061118</t>
  </si>
  <si>
    <t>AYH-846</t>
  </si>
  <si>
    <t>104479-073-060813</t>
  </si>
  <si>
    <t>LOGISTICA Y TRANSPORTES ALFA S.A</t>
  </si>
  <si>
    <t>CALLE MALECON MZA. A, LTE. 17 URB. PROLIMA 4</t>
  </si>
  <si>
    <t>A7O-872</t>
  </si>
  <si>
    <t>0061-CTPGL-15-2005</t>
  </si>
  <si>
    <t>MZ. F LOTE 18 URB. SANTA LUZMILA - 1RA ETAPA</t>
  </si>
  <si>
    <t>PGW-054</t>
  </si>
  <si>
    <t>42951-073-070811</t>
  </si>
  <si>
    <t>PIU-269</t>
  </si>
  <si>
    <t>0035-CBGL-15-2004</t>
  </si>
  <si>
    <t>MARISOL HUAMAN SALAS</t>
  </si>
  <si>
    <t>NICOLAS AYLLON N° 1330</t>
  </si>
  <si>
    <t>WP-7918</t>
  </si>
  <si>
    <t>0077-CTPGL-15-2001</t>
  </si>
  <si>
    <t>PGW-403</t>
  </si>
  <si>
    <t>0007-CBGL-10-2009</t>
  </si>
  <si>
    <t>CARRETERA HUANUCO - TINGO MARIA KM. 3.5 MIRAFLORES</t>
  </si>
  <si>
    <t>XQ-2193</t>
  </si>
  <si>
    <t>139498-073-061118</t>
  </si>
  <si>
    <t>AYH-922</t>
  </si>
  <si>
    <t>0004-CTPGL-07-2007</t>
  </si>
  <si>
    <t>MILLENIUM GAS SRL</t>
  </si>
  <si>
    <t xml:space="preserve">CALLE LUIS BANCHERO ROSSI N° 163 ZONA INDUSTRIAL </t>
  </si>
  <si>
    <t>OG-4523</t>
  </si>
  <si>
    <t>93338-073-131211</t>
  </si>
  <si>
    <t>ASOCIACIÓN PROVIVIENDA JORGE CHAVEZ R-15</t>
  </si>
  <si>
    <t>V3Z-933</t>
  </si>
  <si>
    <t>134213-073-210918</t>
  </si>
  <si>
    <t>NEGOCIOS MIX’S NICOLE S.R.L.</t>
  </si>
  <si>
    <t xml:space="preserve">CALLE SAGITARIO N° 164 URB. SOL DE VITARTE SECTOR G MZ. W LOTE 32 </t>
  </si>
  <si>
    <t>F5V-984</t>
  </si>
  <si>
    <t> B3B-868</t>
  </si>
  <si>
    <t> C3H-749</t>
  </si>
  <si>
    <t>MARIA VICTORIA OCHOA LUQUE</t>
  </si>
  <si>
    <t>124458-073-221116</t>
  </si>
  <si>
    <t>AV. DIAGONAL SUR 1710</t>
  </si>
  <si>
    <t>ANE-777</t>
  </si>
  <si>
    <t>0004-CTPGL-07-2008</t>
  </si>
  <si>
    <t>DOMINGUEZ VILLANUEVA, ISAIAS</t>
  </si>
  <si>
    <t>URB. LOS GIRASOLES MZ. A LOTE 22. PRIMERA ETAPA</t>
  </si>
  <si>
    <t>OG-6508</t>
  </si>
  <si>
    <t>CARMEN GAMARRA ESPINOZA</t>
  </si>
  <si>
    <t>AV. NICOLAS AYLLON 890</t>
  </si>
  <si>
    <t>CHACLACAYO</t>
  </si>
  <si>
    <t>PP-8656</t>
  </si>
  <si>
    <t>43316-073-260813</t>
  </si>
  <si>
    <t>C2N-806</t>
  </si>
  <si>
    <t> 1415</t>
  </si>
  <si>
    <t>0096-CTPGL-15-2003</t>
  </si>
  <si>
    <t>AV. PANAMERICANA SUR KM. 59 FUNDO LA PATITA</t>
  </si>
  <si>
    <t>OQ-2506</t>
  </si>
  <si>
    <t>0001-CTBGL-04-2003</t>
  </si>
  <si>
    <t>JULIO CESAR APAZA CRUZ</t>
  </si>
  <si>
    <t>CALLE ANDAHUAYLAS N° 203 - SAN MARTIN DE SOCABAYA</t>
  </si>
  <si>
    <t>PG-3250</t>
  </si>
  <si>
    <t>0000012-ARE</t>
  </si>
  <si>
    <t>SERAFINA SONIA SOTO VILLAFUERTE</t>
  </si>
  <si>
    <t>ALVAREZ THOMAS MZ. P LOTE 22</t>
  </si>
  <si>
    <t>PH-3963</t>
  </si>
  <si>
    <t>WI-6390</t>
  </si>
  <si>
    <t>0002-CBGL-08-2008</t>
  </si>
  <si>
    <t>SAN JUAN MASIAS DE VERSALLES A-4</t>
  </si>
  <si>
    <t>XH-4904</t>
  </si>
  <si>
    <t>104478-073-140813</t>
  </si>
  <si>
    <t>CALLE MALECON MZ. A LOTE 17 URB. PROLIMA ETAPA 4</t>
  </si>
  <si>
    <t>C7B-944</t>
  </si>
  <si>
    <t>EDUARDO LEBRUN ASPILLAGA</t>
  </si>
  <si>
    <t>OSCAR GERMAN GUTARRA CAMARGO</t>
  </si>
  <si>
    <t>AV. ALFREDO FRANCO N° 120 URB.CHAMA</t>
  </si>
  <si>
    <t>QG-3183</t>
  </si>
  <si>
    <t>104477-073-060813</t>
  </si>
  <si>
    <t>CAL. MALECON MZA. A, LOTE 17 URB. PROLIMA ETAPA 4</t>
  </si>
  <si>
    <t>D4J-904</t>
  </si>
  <si>
    <t>0010-CBGL-15-2009</t>
  </si>
  <si>
    <t>JOSE CARLOS MARIATEGUI Nº 171</t>
  </si>
  <si>
    <t>WO-4883</t>
  </si>
  <si>
    <t>LUIS GUALBERTO CALCINA MORENO</t>
  </si>
  <si>
    <t>JR. SANTA ROSA N° 195</t>
  </si>
  <si>
    <t>OG-9402</t>
  </si>
  <si>
    <t>90204-073-251111</t>
  </si>
  <si>
    <t>SERDIGAS S.A.C.</t>
  </si>
  <si>
    <t>AV. PAKAMUROS Nº 201</t>
  </si>
  <si>
    <t>M2C-892</t>
  </si>
  <si>
    <t>LURDIZ ANGELITA DELGADO SOTO</t>
  </si>
  <si>
    <t>XQ-5957</t>
  </si>
  <si>
    <t>PH-5315</t>
  </si>
  <si>
    <t>128065-073-281119</t>
  </si>
  <si>
    <t xml:space="preserve">VARIANTE DE UCHUMAYO KM 2.5 SEC. SEMI RURAL PACHACUTEC </t>
  </si>
  <si>
    <t>VBQ-987</t>
  </si>
  <si>
    <t> ADU-860</t>
  </si>
  <si>
    <t> ADV-803</t>
  </si>
  <si>
    <t> AKT-833</t>
  </si>
  <si>
    <t> D3Q-777</t>
  </si>
  <si>
    <t> V0H-797</t>
  </si>
  <si>
    <t>117913-073-211015</t>
  </si>
  <si>
    <t xml:space="preserve">EMPRESA DE TRANSPORTES CALLAHAM E.I.R.L. </t>
  </si>
  <si>
    <t>JR. LOS FAISANES MZ. A-C, LT. 09, URB. AZCARRUNZ ALTO</t>
  </si>
  <si>
    <t>AHD-770</t>
  </si>
  <si>
    <t> 6015</t>
  </si>
  <si>
    <t>93335-073-110316</t>
  </si>
  <si>
    <t>SERVICIOS GENERALES DBM E.I.R.L</t>
  </si>
  <si>
    <t>JR SAN LUIS Nº 618 - SECTOR LOS INCAS ( AESPALDAS DE LA COMISARIA PNP)</t>
  </si>
  <si>
    <t>NUEVA CAJAMARCA</t>
  </si>
  <si>
    <t>T6T-876</t>
  </si>
  <si>
    <t>DOLFER LIDES BUSTAMANTE MUÑOZ</t>
  </si>
  <si>
    <t>0002-CTPGL-15-2001</t>
  </si>
  <si>
    <t>CARLOS ORTEGA PERALTA</t>
  </si>
  <si>
    <t>AV. LAS GAVIOTAS MZ 1-2 LOTE 22</t>
  </si>
  <si>
    <t>PY-6442</t>
  </si>
  <si>
    <t>0028-CBGL-15-2002</t>
  </si>
  <si>
    <t>ZI-3797</t>
  </si>
  <si>
    <t> YG-1927</t>
  </si>
  <si>
    <t> 8900</t>
  </si>
  <si>
    <t>0063-CTPGL-15-2002</t>
  </si>
  <si>
    <t>PII-995</t>
  </si>
  <si>
    <t>0001-CBGL-15-2001</t>
  </si>
  <si>
    <t>XI-4991</t>
  </si>
  <si>
    <t>0000090-PIU</t>
  </si>
  <si>
    <t>PABLO DE LA CRUZ SIESQUEN</t>
  </si>
  <si>
    <t>AA.HH. VICENTE CHUNGA ALDANA MZ. A LOTE 35</t>
  </si>
  <si>
    <t>WC-7013</t>
  </si>
  <si>
    <t>0000030-PIU</t>
  </si>
  <si>
    <t>FRANCO SILUPU SILVA</t>
  </si>
  <si>
    <t>CALLE PESCADERIA N° 287</t>
  </si>
  <si>
    <t>OQ-1809</t>
  </si>
  <si>
    <t>0000039-PIU</t>
  </si>
  <si>
    <t>MIGUEL YARLEQUE INGA</t>
  </si>
  <si>
    <t>AA.HH. ALAN GARCIA MZ D-1 LOTE 8 TALARA ALTA</t>
  </si>
  <si>
    <t>PB-8393</t>
  </si>
  <si>
    <t>108285-073-010817</t>
  </si>
  <si>
    <t>C4O-738</t>
  </si>
  <si>
    <t>0114-CBGL-15-2005</t>
  </si>
  <si>
    <t>JUAN EUSEBIO VILLANUEVA FERNANDEZ</t>
  </si>
  <si>
    <t>URB. SAN FRANCISCO DE CAYRAN MZ. J LT. 11</t>
  </si>
  <si>
    <t>WI-8559</t>
  </si>
  <si>
    <t> 8965</t>
  </si>
  <si>
    <t>0004-CBGL-13-2001</t>
  </si>
  <si>
    <t>CIRCUNCICION AYALA CHAVEZ</t>
  </si>
  <si>
    <t>JR. LEONCIO PRADO N° 989</t>
  </si>
  <si>
    <t>WD-5938</t>
  </si>
  <si>
    <t>0113-CBGL-15-2005</t>
  </si>
  <si>
    <t xml:space="preserve">URBANIZACION SAN FRANCISCO DE CAYRAN MZ. J LT. 11 </t>
  </si>
  <si>
    <t>XG-6760</t>
  </si>
  <si>
    <t>0008-CBGL-13-2001</t>
  </si>
  <si>
    <t>ALCIDES AGUILAR BARE</t>
  </si>
  <si>
    <t>CALLE JOSE ARTIGAS N° 2307</t>
  </si>
  <si>
    <t>PD-5246</t>
  </si>
  <si>
    <t>0116-CBGL-15-2005</t>
  </si>
  <si>
    <t>ROSA LUZ RAMIREZ KAWAHARA</t>
  </si>
  <si>
    <t>ASOC. SAN FRANCISCO DE CAYRAN MZ. J LT. 11</t>
  </si>
  <si>
    <t>WO-9467</t>
  </si>
  <si>
    <t> 8405</t>
  </si>
  <si>
    <t>0001-CBGL-14-2001</t>
  </si>
  <si>
    <t>DORIS SOLEDAD MORAN DE CHEVARRIA</t>
  </si>
  <si>
    <t>CALLE MARIANO MELGAR N° 152</t>
  </si>
  <si>
    <t>XO-1835</t>
  </si>
  <si>
    <t>0036-CTPGL-15-2002</t>
  </si>
  <si>
    <t>OI-9870</t>
  </si>
  <si>
    <t>0029-CBGL-15-2002</t>
  </si>
  <si>
    <t xml:space="preserve">LIMA GAS S.A. </t>
  </si>
  <si>
    <t>CALLE A, ZONA 7 FUNDO BOCANEGRA ALTO CALLAO CDRA. 39</t>
  </si>
  <si>
    <t>ZI-1835</t>
  </si>
  <si>
    <t> YG-5397</t>
  </si>
  <si>
    <t>OI-4609</t>
  </si>
  <si>
    <t>SEGUNDO NARRO HORNA</t>
  </si>
  <si>
    <t>CALLE SANTA BEATRIZ MZ. 2-B LOTE 2</t>
  </si>
  <si>
    <t>WQ-1954</t>
  </si>
  <si>
    <t>114639-073-050417</t>
  </si>
  <si>
    <t>CARRETERA PANAMERICA SUR 1113</t>
  </si>
  <si>
    <t>C5X-999</t>
  </si>
  <si>
    <t> B5O-929</t>
  </si>
  <si>
    <t>0014-CTPGL-15-2008</t>
  </si>
  <si>
    <t>CONDOR ACB INVERSIONES S.A.C</t>
  </si>
  <si>
    <t>LOS KEROS 192 URB. SALAMANCA</t>
  </si>
  <si>
    <t>PIA-325</t>
  </si>
  <si>
    <t>0084-CTPGL-15-2003</t>
  </si>
  <si>
    <t>PGR-156</t>
  </si>
  <si>
    <t>LOS PROCERES MZ. B-6 LOTE 25</t>
  </si>
  <si>
    <t>WI-3497</t>
  </si>
  <si>
    <t>123096-073-170519</t>
  </si>
  <si>
    <t>TRANSPORTES ALIFA S.A.C.</t>
  </si>
  <si>
    <t>AV. VIA EVITAMIENTO SUR N° 371</t>
  </si>
  <si>
    <t>T6C-979</t>
  </si>
  <si>
    <t> T7V-920</t>
  </si>
  <si>
    <t xml:space="preserve">JOSE RICARDO BOYD BOYD </t>
  </si>
  <si>
    <t>0102-CTPGL-15-2004</t>
  </si>
  <si>
    <t>LUIS ROSSELL PEÑA</t>
  </si>
  <si>
    <t>AV. CHANCAY N° 416</t>
  </si>
  <si>
    <t>PI-7029</t>
  </si>
  <si>
    <t>0003-CTPGL-02-2000</t>
  </si>
  <si>
    <t>PD-5429</t>
  </si>
  <si>
    <t>0032-CTPGL-15-2004</t>
  </si>
  <si>
    <t>AV. ENCALAFA N° 851</t>
  </si>
  <si>
    <t>PIH-930</t>
  </si>
  <si>
    <t>0062-CTPGL-15-2003</t>
  </si>
  <si>
    <t>MI-2926</t>
  </si>
  <si>
    <t>105359-073-260913</t>
  </si>
  <si>
    <t xml:space="preserve">JOSE LIZANDRO BURGA CHAMAYA </t>
  </si>
  <si>
    <t>AV. CAJAMARCA SUR 493</t>
  </si>
  <si>
    <t>M2O-876</t>
  </si>
  <si>
    <t>0002-CBGL-13-2002</t>
  </si>
  <si>
    <t>CARRETERA PANAMERICANA SUR KM. 557</t>
  </si>
  <si>
    <t>WD-8096</t>
  </si>
  <si>
    <t>0027-CTPGL-15-2004</t>
  </si>
  <si>
    <t>PGJ-444</t>
  </si>
  <si>
    <t>0099-CTPGL-15-2004</t>
  </si>
  <si>
    <t>EDUARDO REYNALDO ESPINOZA DIAZ</t>
  </si>
  <si>
    <t>PROLONGACION JAVIER PRADO ESTE N° 8472 - URB. LOS PORTALES</t>
  </si>
  <si>
    <t>PGX-401</t>
  </si>
  <si>
    <t>0001-CTPGL-13-2000</t>
  </si>
  <si>
    <t>NOR GAS S.R.L.</t>
  </si>
  <si>
    <t>PD-2608</t>
  </si>
  <si>
    <t>0115-CBGL-15-2005</t>
  </si>
  <si>
    <t>MZ J, LT 11, URB SAN FRANCISCO DE CAYRAN</t>
  </si>
  <si>
    <t>XP-1733</t>
  </si>
  <si>
    <t>0027-CBGL-15-2005</t>
  </si>
  <si>
    <t>XI-7355</t>
  </si>
  <si>
    <t>0055-CTPGL-15-2003</t>
  </si>
  <si>
    <t>EMPERATRIZ DEL PILAR CASUSOL SALAZAR</t>
  </si>
  <si>
    <t>AV. GENERAL GARZON 1708</t>
  </si>
  <si>
    <t>PIJ-762</t>
  </si>
  <si>
    <t> 220</t>
  </si>
  <si>
    <t>0048-CTPGL-15-2005</t>
  </si>
  <si>
    <t>PIB-659</t>
  </si>
  <si>
    <t>0047-CTPGL-15-2005</t>
  </si>
  <si>
    <t>PII-847</t>
  </si>
  <si>
    <t>PE-2690</t>
  </si>
  <si>
    <t>0102-CBGL-15-2005</t>
  </si>
  <si>
    <t>XQ-3731</t>
  </si>
  <si>
    <t>0001-CTBGL-20-2003</t>
  </si>
  <si>
    <t>ROSMERY VERONA SAAVEDRA</t>
  </si>
  <si>
    <t>AA.HH. VICTOR RAUL MZ. A LOTE 9</t>
  </si>
  <si>
    <t>PC-5908</t>
  </si>
  <si>
    <t>0108-CTPGL-15-2004</t>
  </si>
  <si>
    <t>DELIA BARBARAN ROCA DE AZAÑA</t>
  </si>
  <si>
    <t>MZ. R LOTE 2 II ETAPA - LAS PRADERAS DE SANTA ANITA</t>
  </si>
  <si>
    <t>PIL-447</t>
  </si>
  <si>
    <t>0045-CTPGL-15-2005</t>
  </si>
  <si>
    <t>PIB-742</t>
  </si>
  <si>
    <t>0072-CTPGL-15-2005</t>
  </si>
  <si>
    <t>J&amp;J SERVICES TRANSPORTES Y SERVICIOS GENERALES S.A.</t>
  </si>
  <si>
    <t>PIT-850</t>
  </si>
  <si>
    <t>0009-CBGL-15-2005</t>
  </si>
  <si>
    <t>XO-3164</t>
  </si>
  <si>
    <t>0001-CTPGL-07-2004</t>
  </si>
  <si>
    <t>HUGO WALTER MUÑOZ ZORRILLA</t>
  </si>
  <si>
    <t>MZ. 8 LOTE 14 PP.JJ. MARQUEZ</t>
  </si>
  <si>
    <t>PIP-401</t>
  </si>
  <si>
    <t>0130-CBGL-15-2001</t>
  </si>
  <si>
    <t>XI-4345</t>
  </si>
  <si>
    <t>0095-CTPGL-15-2001</t>
  </si>
  <si>
    <t>OG-7080</t>
  </si>
  <si>
    <t>140395-073-191218</t>
  </si>
  <si>
    <t>AYT-794</t>
  </si>
  <si>
    <t>0005-CBGL-08-2006</t>
  </si>
  <si>
    <t>MARIA LUISA REINOSO PANTIGOSO</t>
  </si>
  <si>
    <t>WO-2829</t>
  </si>
  <si>
    <t>0129-CBGL-15-2001</t>
  </si>
  <si>
    <t>XI-3785</t>
  </si>
  <si>
    <t>97410-073-301113</t>
  </si>
  <si>
    <t>T5S-884</t>
  </si>
  <si>
    <t>0094-CTPGL-15-2001</t>
  </si>
  <si>
    <t>PIE-243</t>
  </si>
  <si>
    <t>0093-CTPGL-15-2001</t>
  </si>
  <si>
    <t>PGI-768</t>
  </si>
  <si>
    <t>XI-4616</t>
  </si>
  <si>
    <t>0038-CTPGL-15-2005</t>
  </si>
  <si>
    <t>PIP-729</t>
  </si>
  <si>
    <t>83795-073-261020</t>
  </si>
  <si>
    <t xml:space="preserve">JR. LAMBAYEQUE ZONA F, GRUPO 19, MZ 20 LOTE 1 SEMIRURAL PACHACUTEC </t>
  </si>
  <si>
    <t>V7G-972</t>
  </si>
  <si>
    <t>0039-CTPGL-15-2005</t>
  </si>
  <si>
    <t>PIP-733</t>
  </si>
  <si>
    <t>151272-073-170920</t>
  </si>
  <si>
    <t>AV. DOS DE MAYO N° 1268-A</t>
  </si>
  <si>
    <t>VEO-990</t>
  </si>
  <si>
    <t>OSWALDO DE LA CRUZ VASQUEZ</t>
  </si>
  <si>
    <t>JR. LIMA N° 344</t>
  </si>
  <si>
    <t>XG-3363</t>
  </si>
  <si>
    <t>0043-CTPGL-15-2005</t>
  </si>
  <si>
    <t>PIP-750</t>
  </si>
  <si>
    <t>0040-CTPGL-15-2005</t>
  </si>
  <si>
    <t>PIP-741</t>
  </si>
  <si>
    <t>20587-073-030214</t>
  </si>
  <si>
    <t>MZ I LOTE 16 URB. LOS CEDROS</t>
  </si>
  <si>
    <t>D3E-728</t>
  </si>
  <si>
    <t>62689-073-130717</t>
  </si>
  <si>
    <t>V3W-802</t>
  </si>
  <si>
    <t>87122-073-2010</t>
  </si>
  <si>
    <t>LOS NARANJOS 115 URB OBANDO</t>
  </si>
  <si>
    <t>V1E-970</t>
  </si>
  <si>
    <t> YG-9069</t>
  </si>
  <si>
    <t>0015-CTPGL-15-2005</t>
  </si>
  <si>
    <t>PIN-711</t>
  </si>
  <si>
    <t>0022-CBGL-15-2002</t>
  </si>
  <si>
    <t>XO-4695</t>
  </si>
  <si>
    <t>131171-073-200817</t>
  </si>
  <si>
    <t>MZ 223 LOTES 3,4,5 ZONA INDUSTRIAL</t>
  </si>
  <si>
    <t>P3U-828</t>
  </si>
  <si>
    <t>0016-CTPGL-15-2005</t>
  </si>
  <si>
    <t>PIN-679</t>
  </si>
  <si>
    <t>95940-073-210212</t>
  </si>
  <si>
    <t>JR. COLMENA Nº 368 - KM. 11</t>
  </si>
  <si>
    <t>D2S-839</t>
  </si>
  <si>
    <t> 4985</t>
  </si>
  <si>
    <t>0012-CTPGL-15-2005</t>
  </si>
  <si>
    <t>PIP-231</t>
  </si>
  <si>
    <t>0014-CTPGL-15-2005</t>
  </si>
  <si>
    <t>PIN-712</t>
  </si>
  <si>
    <t>126288-073-310117</t>
  </si>
  <si>
    <t xml:space="preserve">ANTONIA CABRERA DE UCHASARA </t>
  </si>
  <si>
    <t xml:space="preserve">AV. AVIACION CDRA 3 NRO SN INT 925 ASOC. SEÑOR DE LOS MILAGROS </t>
  </si>
  <si>
    <t>AFC-859</t>
  </si>
  <si>
    <t>0053-CTPGL-15-2003</t>
  </si>
  <si>
    <t>PII-794</t>
  </si>
  <si>
    <t>0000174-ARE</t>
  </si>
  <si>
    <t>VARIANTE UCHUMAYO KM. 35</t>
  </si>
  <si>
    <t>PG-6724</t>
  </si>
  <si>
    <t>151437-073-300920</t>
  </si>
  <si>
    <t>JR. RUFINO MACEDO S/N MZ. H INT. 11 URB. INDUSTRIAL PANAMERICA NORTE</t>
  </si>
  <si>
    <t>BEL-713</t>
  </si>
  <si>
    <t>0008-CTPGL-15-2005</t>
  </si>
  <si>
    <t>PIP-789</t>
  </si>
  <si>
    <t>131172-073-200817</t>
  </si>
  <si>
    <t>P3U-840</t>
  </si>
  <si>
    <t>0009-CTPGL-15-2005</t>
  </si>
  <si>
    <t>PIP-699</t>
  </si>
  <si>
    <t>85840-073-2010</t>
  </si>
  <si>
    <t>AMILCAR MÁXIMO VICUÑA URETA</t>
  </si>
  <si>
    <t>AV. LOS ROBLES MZ. I LT. 10 LA CAPITANA HUACHIPA</t>
  </si>
  <si>
    <t>WN-3354</t>
  </si>
  <si>
    <t>0032-CTPGL-15-2005</t>
  </si>
  <si>
    <t>JR. JOSE MANUEL ITURREGUI N° 1056</t>
  </si>
  <si>
    <t>PIR-804</t>
  </si>
  <si>
    <t>0025-CTPGL-15-2003</t>
  </si>
  <si>
    <t>JR. SATURNO N° 259 URB. GAMINEDES</t>
  </si>
  <si>
    <t>PGU-813</t>
  </si>
  <si>
    <t>103138-073-310513</t>
  </si>
  <si>
    <t>CARGUERO EXPRESS E.I.R.L</t>
  </si>
  <si>
    <t>JR. MARIANO MELGAR N° 237</t>
  </si>
  <si>
    <t>PQW-917</t>
  </si>
  <si>
    <t>82666-073-2010</t>
  </si>
  <si>
    <t xml:space="preserve">AV. PARAGUAY MZ - I LOTE 5 </t>
  </si>
  <si>
    <t>ZH-3804</t>
  </si>
  <si>
    <t> YK-1301</t>
  </si>
  <si>
    <t> 9250</t>
  </si>
  <si>
    <t>0030-CBGL-15-2001</t>
  </si>
  <si>
    <t>AV. LOS ROBLES MZ I LOTE 10</t>
  </si>
  <si>
    <t>WQ-2534</t>
  </si>
  <si>
    <t>89537-073-2011</t>
  </si>
  <si>
    <t>OSCAR OMAR OCSA CCASA</t>
  </si>
  <si>
    <t>A.A.H.H. 24 DE OCTUBRE MZ 35, LOTE 7, PAMPA INALAMBRICA</t>
  </si>
  <si>
    <t>V1K-846</t>
  </si>
  <si>
    <t>ROCEL ESPINALES MORENO</t>
  </si>
  <si>
    <t>JR. SANTA ROSA N° 1021</t>
  </si>
  <si>
    <t>PGC-793</t>
  </si>
  <si>
    <t>6395-073-020716</t>
  </si>
  <si>
    <t>C4S-991</t>
  </si>
  <si>
    <t> 12520</t>
  </si>
  <si>
    <t>122396-073-310816</t>
  </si>
  <si>
    <t>AMERICA GAS S.A.C.</t>
  </si>
  <si>
    <t xml:space="preserve">CALLE MARIA CURIE MZA. O LT 03 Z. URB. MATERIAL SANTA ROSA </t>
  </si>
  <si>
    <t>F8S-981</t>
  </si>
  <si>
    <t> DOX-927</t>
  </si>
  <si>
    <t> F9J-897</t>
  </si>
  <si>
    <t> 14770</t>
  </si>
  <si>
    <t>ERICK ALEX TOMANDL PRIETO</t>
  </si>
  <si>
    <t>149015-073-310120</t>
  </si>
  <si>
    <t xml:space="preserve">MZ. N LOTE 12 ASOC. CALAMAQUI </t>
  </si>
  <si>
    <t>C3H-738</t>
  </si>
  <si>
    <t>112369-073-171214</t>
  </si>
  <si>
    <t>NEGOCIOS Y SERVICIOS ANFERD C&amp;J E.I.R.L</t>
  </si>
  <si>
    <t>NICOLAS DE AYLLON 241</t>
  </si>
  <si>
    <t>M4F-741</t>
  </si>
  <si>
    <t>119520-073-150216</t>
  </si>
  <si>
    <t xml:space="preserve">FLORINDA VICTORIA TINOCO ESPINOZA </t>
  </si>
  <si>
    <t xml:space="preserve">JR. ANTONIO MIRO QUESADA N° 1075, DPTO N° 123 </t>
  </si>
  <si>
    <t>B6Q-874</t>
  </si>
  <si>
    <t> B6Q-874</t>
  </si>
  <si>
    <t>91893-073-160418</t>
  </si>
  <si>
    <t>T1X-880</t>
  </si>
  <si>
    <t> 2572</t>
  </si>
  <si>
    <t>0037-CTPGL-15-2005</t>
  </si>
  <si>
    <t>PIP-728</t>
  </si>
  <si>
    <t>132275-073-111017</t>
  </si>
  <si>
    <t>ASOC. URBANIZADORA PERUARBO , SECTOR PERU, ZONA III, MZ. "C" LOTE 06</t>
  </si>
  <si>
    <t>V9H-767</t>
  </si>
  <si>
    <t>97041-073-290512</t>
  </si>
  <si>
    <t>A9H-892</t>
  </si>
  <si>
    <t>60429-073-110418</t>
  </si>
  <si>
    <t>A0X-944</t>
  </si>
  <si>
    <t> A0X-944</t>
  </si>
  <si>
    <t>139014-073-020419</t>
  </si>
  <si>
    <t>TRANSPORTES TURISMO Y SERVICIOS MULTIPLES SIERRA DEL NORTE E.I.R.L.</t>
  </si>
  <si>
    <t>CENTRO POBLADO LA PUCARA S/N</t>
  </si>
  <si>
    <t>TACABAMBA</t>
  </si>
  <si>
    <t>F5J-724</t>
  </si>
  <si>
    <t>ALADINO MEJIA LLAMO</t>
  </si>
  <si>
    <t>132276-073-161017</t>
  </si>
  <si>
    <t>WILSON MAMANI CHAMPI</t>
  </si>
  <si>
    <t>PROLONGACIÓN EUSEBIO DELGADO S/N</t>
  </si>
  <si>
    <t>C0Q-773</t>
  </si>
  <si>
    <t>0006-CTBGL-04-2004</t>
  </si>
  <si>
    <t>VILMA LORENA RODRIGUEZ PINO</t>
  </si>
  <si>
    <t>CALLE 30 DE AGOSTO N° 402 - URB. SANTA ROSA</t>
  </si>
  <si>
    <t>QH-2225</t>
  </si>
  <si>
    <t>104613-073-090913</t>
  </si>
  <si>
    <t>EDRAM GAS S.A</t>
  </si>
  <si>
    <t>AV. MARISCAL OSCAR R. BENAVIDES N° 4470 - URB. SAN JOSE</t>
  </si>
  <si>
    <t>D8F-784</t>
  </si>
  <si>
    <t>93094-073-220711</t>
  </si>
  <si>
    <t>JUAN CARLOS CONDORI ABARCA</t>
  </si>
  <si>
    <t>CALLE PAZ SOLDAN N° 612 - MIRAFLORES TRADICIONAL</t>
  </si>
  <si>
    <t>B2Z-929</t>
  </si>
  <si>
    <t>0006-CBGL-25-2008</t>
  </si>
  <si>
    <t>JR. LOS CEDROS LOTES 06,07,08,16,17,18</t>
  </si>
  <si>
    <t>XM-1468</t>
  </si>
  <si>
    <t>0007-CBGL-04-2004</t>
  </si>
  <si>
    <t>CALLE MOLLENDO N° 106 - SAN MARTIN DE SOCABAYA</t>
  </si>
  <si>
    <t>WZ-5810</t>
  </si>
  <si>
    <t>131536-073-060917</t>
  </si>
  <si>
    <t>RIVER GAS E.I.R.L.</t>
  </si>
  <si>
    <t>MZA. A LOTE 7 A.H. SOL DE ORO</t>
  </si>
  <si>
    <t>V9D-910</t>
  </si>
  <si>
    <t>BELTRAN RIVER GARAY</t>
  </si>
  <si>
    <t>87044-073-2010</t>
  </si>
  <si>
    <t>NATALIO SACACA MAMANI</t>
  </si>
  <si>
    <t>JR. CAHUIDE N° 1005 BARRIO SAN JOSE</t>
  </si>
  <si>
    <t>XU-3826</t>
  </si>
  <si>
    <t>0026-CBGL-15-2004</t>
  </si>
  <si>
    <t>JESSICA ISOLINA NORIEGA MENDOZA</t>
  </si>
  <si>
    <t>JR. FITZCARRAL N° 1586 URB. COVIDA</t>
  </si>
  <si>
    <t>XQ-9097</t>
  </si>
  <si>
    <t>138081-073-180818</t>
  </si>
  <si>
    <t>P3Y-805</t>
  </si>
  <si>
    <t>0007-CBGL-25-2008</t>
  </si>
  <si>
    <t>JR. LOC CEDROS LOTES 06, 07,08, 16, 17, 18</t>
  </si>
  <si>
    <t>WM-2688</t>
  </si>
  <si>
    <t>114961-073-070717</t>
  </si>
  <si>
    <t>AV DIAGONAL N 380 OFICINA 201</t>
  </si>
  <si>
    <t>AFD-876</t>
  </si>
  <si>
    <t> 4155</t>
  </si>
  <si>
    <t>0008-CBGL-25-2008</t>
  </si>
  <si>
    <t>JR LOS CEDROS LOTES 06, 07, 08, 16, 17, 18</t>
  </si>
  <si>
    <t>XM-1274</t>
  </si>
  <si>
    <t>139961-073-031218</t>
  </si>
  <si>
    <t>RIO AZUL INVERSIONES E.I.R.L</t>
  </si>
  <si>
    <t>JR. LETICIA N° 139</t>
  </si>
  <si>
    <t>AUK-886</t>
  </si>
  <si>
    <t>YURIE EDSSON SALAZAR YABAR</t>
  </si>
  <si>
    <t>109562-073-200514</t>
  </si>
  <si>
    <t xml:space="preserve">EDRAM GAS S A </t>
  </si>
  <si>
    <t xml:space="preserve">AV. MARISCAL OSCAR R. BENAVIDES N° 4470 </t>
  </si>
  <si>
    <t>C0X-905</t>
  </si>
  <si>
    <t>EDUARDO RAÙL RAMÌREZ ROMÀN</t>
  </si>
  <si>
    <t>ASBRI ADOLFO RUIZ RUIZ</t>
  </si>
  <si>
    <t>CALLE DIEGO FERRE N° 186</t>
  </si>
  <si>
    <t>PGC-234</t>
  </si>
  <si>
    <t>113943-073-170715</t>
  </si>
  <si>
    <t>NATIVA´S COORPORACION DEL SUR E.I.R.L.</t>
  </si>
  <si>
    <t>URB. MONTERRICO MZ. D, LT. 04</t>
  </si>
  <si>
    <t>V3D-937</t>
  </si>
  <si>
    <t>130620-073-200717</t>
  </si>
  <si>
    <t xml:space="preserve">TRANSPORTES CESAR AUGUSTO SALAZAR E.I.R.L. </t>
  </si>
  <si>
    <t>MZ K LOTE 28 C.H. MICAELA BASTIDAS II ETAPA ENACE</t>
  </si>
  <si>
    <t>P3I-754</t>
  </si>
  <si>
    <t xml:space="preserve">SALAZAR CESPEDES CESAR AUGUSTO </t>
  </si>
  <si>
    <t>PO-6163</t>
  </si>
  <si>
    <t>0110-CBGL-15-2005</t>
  </si>
  <si>
    <t>MARIANO MENDIVIL ARIAS</t>
  </si>
  <si>
    <t>JR. PARACAS 237-239</t>
  </si>
  <si>
    <t>XG-6406</t>
  </si>
  <si>
    <t>89532-073-2011</t>
  </si>
  <si>
    <t>AA.HH. 24 DE OCTUBRE MZ 35 LT 7 PAMPA INALAMBRICA</t>
  </si>
  <si>
    <t>OH-5533</t>
  </si>
  <si>
    <t>0028-CTPGL-15-2001</t>
  </si>
  <si>
    <t>PQ-3039</t>
  </si>
  <si>
    <t>120497-073-310316</t>
  </si>
  <si>
    <t>ALP-936</t>
  </si>
  <si>
    <t> 7660</t>
  </si>
  <si>
    <t>124395-073-111016</t>
  </si>
  <si>
    <t xml:space="preserve">DISTRIBUIDORA COMERCIAL MAURICIO E.I.R.L. </t>
  </si>
  <si>
    <t xml:space="preserve">AV. METROPOLITANA MZ. N. LOTE 9 </t>
  </si>
  <si>
    <t>C3D-731</t>
  </si>
  <si>
    <t>MARDONIO EULOGIO MAURICIO ORE</t>
  </si>
  <si>
    <t>0026-CTPGL-15-2001</t>
  </si>
  <si>
    <t>PG-4179</t>
  </si>
  <si>
    <t>0027-CTPGL-15-2001</t>
  </si>
  <si>
    <t>PQ-6834</t>
  </si>
  <si>
    <t>95610-073-200112</t>
  </si>
  <si>
    <t>JUAN ANTONIO MENOR MENOR</t>
  </si>
  <si>
    <t>JR. RAMON CASTILLA N° 905 - URB. CUTERVO</t>
  </si>
  <si>
    <t>WC-7179</t>
  </si>
  <si>
    <t>63716-073-050517</t>
  </si>
  <si>
    <t>C6G-879</t>
  </si>
  <si>
    <t>PGX-771</t>
  </si>
  <si>
    <t xml:space="preserve">120496-073-310316 </t>
  </si>
  <si>
    <t>ALQ-893</t>
  </si>
  <si>
    <t>110153-073-210714</t>
  </si>
  <si>
    <t>JR. HUMBOLT N° 246 - CHILCA</t>
  </si>
  <si>
    <t>F0C-754</t>
  </si>
  <si>
    <t>147045-073-111019</t>
  </si>
  <si>
    <t>CARPIO GUZMAN EDGAR</t>
  </si>
  <si>
    <t>AV. INDEPENDENCIA N°121 RESIDENCIAL</t>
  </si>
  <si>
    <t>X1Q-907</t>
  </si>
  <si>
    <t>0007-CTPGL-15-2003</t>
  </si>
  <si>
    <t>EDYH ROBERTO RAMOS AGUILAR</t>
  </si>
  <si>
    <t>JR. SANTA ROSA N° 780 VILLA SEÑOR DE LOS MILAGROS</t>
  </si>
  <si>
    <t>PIK-077</t>
  </si>
  <si>
    <t>0001-CTPGL-18-2004</t>
  </si>
  <si>
    <t>CALLE ALTO PERU N° 206 CPM SAN FRANCISCO</t>
  </si>
  <si>
    <t>OH-3463</t>
  </si>
  <si>
    <t>0002-CTPGL-15-2000</t>
  </si>
  <si>
    <t>JR. JORGE CHAVEZ N° 388</t>
  </si>
  <si>
    <t>OG-4910</t>
  </si>
  <si>
    <t>0004-CTPGL-15-2003</t>
  </si>
  <si>
    <t>SARITA MILAGROS PULACHE CASTRO</t>
  </si>
  <si>
    <t>AV. ISABEL LA CATOLICA N° 1309-8</t>
  </si>
  <si>
    <t>PIK-109</t>
  </si>
  <si>
    <t>82603-202-140716</t>
  </si>
  <si>
    <t>CALLE SANTA JUANITA Nº 169 - 5TO PISO - SECTOR URRUNAGA</t>
  </si>
  <si>
    <t>M4P-705</t>
  </si>
  <si>
    <t>JOSÉ DEL CARMEN BRAVO ACUÑA</t>
  </si>
  <si>
    <t>JESUS AGUIRRE CASO</t>
  </si>
  <si>
    <t>AA.HH. LA SAGRADA FAMILIA MZ. F LOTE 4</t>
  </si>
  <si>
    <t>OI-3838</t>
  </si>
  <si>
    <t>139900-073-101218</t>
  </si>
  <si>
    <t>ANCELMA QUISPESIVANA DE SENCIA</t>
  </si>
  <si>
    <t>AV. ELIAS AGUIRRE 807, ZN. B, MZ. 17, LOTE 22, P.J INDEPENDENCIA</t>
  </si>
  <si>
    <t>AXO-802</t>
  </si>
  <si>
    <t>CARLOS NAKANDAKARE NAKAMURA</t>
  </si>
  <si>
    <t>CALLE 3 MZ. N-1 LOTE 24 MONTERRICO SUR</t>
  </si>
  <si>
    <t>WQ-2483</t>
  </si>
  <si>
    <t> 5240</t>
  </si>
  <si>
    <t>150244-073-300720</t>
  </si>
  <si>
    <t>AS. PYMES FRANCISCO ANTONIO DE ZELA MZ C - 4</t>
  </si>
  <si>
    <t>Z6I-823</t>
  </si>
  <si>
    <t>88867-073-2010</t>
  </si>
  <si>
    <t>PARCELACIÓN CAJAMARQUILLA 2DA. ETAPA SUB LOTE 87-6</t>
  </si>
  <si>
    <t>A1T-933</t>
  </si>
  <si>
    <t> 4490</t>
  </si>
  <si>
    <t>149900-073-110720</t>
  </si>
  <si>
    <t>W6J-736</t>
  </si>
  <si>
    <t xml:space="preserve">TERESA DEL CARMEN MATUTE PALACIOS </t>
  </si>
  <si>
    <t>91833-073-290311</t>
  </si>
  <si>
    <t>JR. SANTA ISABEL Nº 1275</t>
  </si>
  <si>
    <t>B9T-827</t>
  </si>
  <si>
    <t>40480-073-020913</t>
  </si>
  <si>
    <t>AV. DIAGONAL N° 380 OFIC. 201</t>
  </si>
  <si>
    <t>D0O-840</t>
  </si>
  <si>
    <t xml:space="preserve">MIGUEL MONGE ALONSO </t>
  </si>
  <si>
    <t>89177-073-2010</t>
  </si>
  <si>
    <t>M1U-928</t>
  </si>
  <si>
    <t>0001-CBGL-20-2001</t>
  </si>
  <si>
    <t>NEGOCIOS PELIKANO E.I.R.L.</t>
  </si>
  <si>
    <t>AV. GRAU N° 549</t>
  </si>
  <si>
    <t>WB-6411</t>
  </si>
  <si>
    <t>PGC-241</t>
  </si>
  <si>
    <t>GABRIEL AURELIO CANDELA FLORES</t>
  </si>
  <si>
    <t>AV. 12 DE OCTUBRE MZ. A LOTE 12 DELICIAS DE VILLA</t>
  </si>
  <si>
    <t>OI-3825</t>
  </si>
  <si>
    <t>130618-073-200717</t>
  </si>
  <si>
    <t>P3I-737</t>
  </si>
  <si>
    <t>39684-073-121112</t>
  </si>
  <si>
    <t>PAMPAS DE CONGATA II MZ R LOTE 26</t>
  </si>
  <si>
    <t>QH-2606</t>
  </si>
  <si>
    <t>EUFRAGIO ADOLFO CALDERON MOSCOSO</t>
  </si>
  <si>
    <t>0001-CTPGL-07-2003</t>
  </si>
  <si>
    <t>CARLOS FRANCISCO RAMOS MAMANI</t>
  </si>
  <si>
    <t>MZ. G-1 LOTE 20 BOCANEGRA</t>
  </si>
  <si>
    <t>PIK-123</t>
  </si>
  <si>
    <t>ATALAYA SILVA CRUZ</t>
  </si>
  <si>
    <t>JR. 2 DE MAYO N° 679</t>
  </si>
  <si>
    <t>WD-2957</t>
  </si>
  <si>
    <t>0000010-ANC</t>
  </si>
  <si>
    <t>ZE-5413</t>
  </si>
  <si>
    <t> YE-5441</t>
  </si>
  <si>
    <t> 10360</t>
  </si>
  <si>
    <t>0003-CBGL-20-2006</t>
  </si>
  <si>
    <t>MARTHA MILAGROS MONTALVO DE LA TORRE</t>
  </si>
  <si>
    <t>URB. CLARK - DPTO 303-B</t>
  </si>
  <si>
    <t>XI-3242</t>
  </si>
  <si>
    <t>0002-CTPGL-21-2004</t>
  </si>
  <si>
    <t>NERY ABARCA DE CHURA</t>
  </si>
  <si>
    <t>JR. HUASCAR N° 542</t>
  </si>
  <si>
    <t>PP-9721</t>
  </si>
  <si>
    <t>0014-CBGL-15-2010</t>
  </si>
  <si>
    <t>A1N-862</t>
  </si>
  <si>
    <t>147276-073-221019</t>
  </si>
  <si>
    <t>MARIO ALFREDO CHINININ VALLE</t>
  </si>
  <si>
    <t>CASERIO NUEVA ESPERANZA</t>
  </si>
  <si>
    <t>D4O-894</t>
  </si>
  <si>
    <t> 639</t>
  </si>
  <si>
    <t>109718-073-031017</t>
  </si>
  <si>
    <t>CALLE SAN SALVADOR 499 - CPM. LUJAN</t>
  </si>
  <si>
    <t>M4V-865</t>
  </si>
  <si>
    <t> 1077</t>
  </si>
  <si>
    <t>0092-CTPGL-15-2003</t>
  </si>
  <si>
    <t>LUIS ENCISO CISNEROS</t>
  </si>
  <si>
    <t>AV. AGUSTIN DE LA ROSA TORO N° 764</t>
  </si>
  <si>
    <t>OQ-7750</t>
  </si>
  <si>
    <t>119706-073-170216</t>
  </si>
  <si>
    <t>LUCIO PARICANAZA PARICANAZA</t>
  </si>
  <si>
    <t xml:space="preserve">PASAJE LOS INCAS MZ-L2 LT-5 - NESTOR CACERES V. II SECTOR </t>
  </si>
  <si>
    <t>CARACOTO</t>
  </si>
  <si>
    <t>Z6B-887</t>
  </si>
  <si>
    <t>141944-073-150319</t>
  </si>
  <si>
    <t>DISTRIBUCIÓN DE GAS ILO E.I.R.L.</t>
  </si>
  <si>
    <t xml:space="preserve">MZA. 40, LOTE 02, 24 DE OCTUBRE </t>
  </si>
  <si>
    <t>Z6X-772</t>
  </si>
  <si>
    <t>125136-073-120117</t>
  </si>
  <si>
    <t>TONY GAS E.I.R.L.</t>
  </si>
  <si>
    <t>ASOC. JORGE CHAVEZ MZ A-2, LOTE 11</t>
  </si>
  <si>
    <t>Z6H-704</t>
  </si>
  <si>
    <t>ANTONIA AYCA</t>
  </si>
  <si>
    <t>0011-CTPGL-15-2003</t>
  </si>
  <si>
    <t>VICTOR ANTONIO PADILLA MEDINA</t>
  </si>
  <si>
    <t>CALLE ANDROMEDA N° 560 URB. MATELLINE</t>
  </si>
  <si>
    <t>PIK-079</t>
  </si>
  <si>
    <t>0004-CBGL-04-2003</t>
  </si>
  <si>
    <t>CALLE MOLLENDO N° 106 SAN MARTIN DE SOCABAYA</t>
  </si>
  <si>
    <t>WJ-1933</t>
  </si>
  <si>
    <t>90098-073-2010</t>
  </si>
  <si>
    <t>B2W-840</t>
  </si>
  <si>
    <t>WG-2451</t>
  </si>
  <si>
    <t>90069-073-2010</t>
  </si>
  <si>
    <t>AV. SOSA PELAEZ N°1111, BLOCK 6 DPTO. 106</t>
  </si>
  <si>
    <t>B2W-849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</si>
</sst>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764275</xdr:colOff>
      <xdr:row>3</xdr:row>
      <xdr:rowOff>47767</xdr:rowOff>
    </xdr:to>
    <xdr:pic>
      <xdr:nvPicPr>
        <xdr:cNvPr id="1026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080"/>
  <sheetViews>
    <sheetView showGridLines="0" tabSelected="1" workbookViewId="0"/>
  </sheetViews>
  <sheetFormatPr baseColWidth="10" defaultRowHeight="14" x14ac:dyDescent="0.3"/>
  <cols>
    <col min="1" max="1" width="4.8984375" customWidth="1"/>
    <col min="2" max="2" width="13.796875" customWidth="1"/>
    <col min="3" max="3" width="19.5" bestFit="1" customWidth="1"/>
    <col min="4" max="4" width="18.09765625" bestFit="1" customWidth="1"/>
    <col min="5" max="5" width="11.8984375" bestFit="1" customWidth="1"/>
    <col min="6" max="7" width="44.796875" bestFit="1" customWidth="1"/>
    <col min="8" max="9" width="23.09765625" bestFit="1" customWidth="1"/>
    <col min="10" max="10" width="38.59765625" bestFit="1" customWidth="1"/>
    <col min="11" max="11" width="9.296875" customWidth="1"/>
    <col min="12" max="12" width="9.5" customWidth="1"/>
    <col min="13" max="13" width="9.19921875" customWidth="1"/>
    <col min="14" max="14" width="9.296875" customWidth="1"/>
    <col min="15" max="15" width="9.5" customWidth="1"/>
    <col min="16" max="20" width="9.19921875" customWidth="1"/>
    <col min="21" max="36" width="10.19921875" customWidth="1"/>
    <col min="37" max="37" width="19.69921875" bestFit="1" customWidth="1"/>
    <col min="38" max="38" width="12.19921875" bestFit="1" customWidth="1"/>
    <col min="39" max="39" width="20.3984375" bestFit="1" customWidth="1"/>
    <col min="40" max="40" width="44.796875" bestFit="1" customWidth="1"/>
  </cols>
  <sheetData>
    <row r="2" spans="1:40" ht="14" customHeight="1" x14ac:dyDescent="0.3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6" spans="1:40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1" t="s">
        <v>19</v>
      </c>
      <c r="T6" s="1" t="s">
        <v>20</v>
      </c>
      <c r="U6" s="1" t="s">
        <v>21</v>
      </c>
      <c r="V6" s="1" t="s">
        <v>22</v>
      </c>
      <c r="W6" s="1" t="s">
        <v>23</v>
      </c>
      <c r="X6" s="1" t="s">
        <v>24</v>
      </c>
      <c r="Y6" s="1" t="s">
        <v>25</v>
      </c>
      <c r="Z6" s="1" t="s">
        <v>26</v>
      </c>
      <c r="AA6" s="1" t="s">
        <v>27</v>
      </c>
      <c r="AB6" s="1" t="s">
        <v>28</v>
      </c>
      <c r="AC6" s="1" t="s">
        <v>29</v>
      </c>
      <c r="AD6" s="1" t="s">
        <v>30</v>
      </c>
      <c r="AE6" s="1" t="s">
        <v>31</v>
      </c>
      <c r="AF6" s="1" t="s">
        <v>32</v>
      </c>
      <c r="AG6" s="1" t="s">
        <v>33</v>
      </c>
      <c r="AH6" s="1" t="s">
        <v>34</v>
      </c>
      <c r="AI6" s="1" t="s">
        <v>35</v>
      </c>
      <c r="AJ6" s="1" t="s">
        <v>36</v>
      </c>
      <c r="AK6" s="1" t="s">
        <v>37</v>
      </c>
      <c r="AL6" s="1" t="s">
        <v>38</v>
      </c>
      <c r="AM6" s="1" t="s">
        <v>39</v>
      </c>
      <c r="AN6" s="1" t="s">
        <v>40</v>
      </c>
    </row>
    <row r="7" spans="1:40" x14ac:dyDescent="0.3">
      <c r="A7" s="3">
        <v>1</v>
      </c>
      <c r="B7" s="3" t="str">
        <f>"1858086"</f>
        <v>1858086</v>
      </c>
      <c r="C7" s="3">
        <v>43900</v>
      </c>
      <c r="D7" s="3" t="s">
        <v>41</v>
      </c>
      <c r="E7" s="3">
        <v>20480861010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45</v>
      </c>
      <c r="K7" s="3" t="s">
        <v>46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 t="s">
        <v>47</v>
      </c>
      <c r="AL7" s="4">
        <v>38944</v>
      </c>
      <c r="AM7" s="3"/>
      <c r="AN7" s="3"/>
    </row>
    <row r="8" spans="1:40" x14ac:dyDescent="0.3">
      <c r="A8" s="3">
        <v>2</v>
      </c>
      <c r="B8" s="3" t="str">
        <f>"1147745"</f>
        <v>1147745</v>
      </c>
      <c r="C8" s="3">
        <v>3700</v>
      </c>
      <c r="D8" s="3">
        <v>1147745</v>
      </c>
      <c r="E8" s="3">
        <v>10028054616</v>
      </c>
      <c r="F8" s="3" t="s">
        <v>48</v>
      </c>
      <c r="G8" s="3" t="s">
        <v>49</v>
      </c>
      <c r="H8" s="3" t="s">
        <v>50</v>
      </c>
      <c r="I8" s="3" t="s">
        <v>50</v>
      </c>
      <c r="J8" s="3" t="s">
        <v>50</v>
      </c>
      <c r="K8" s="3" t="s">
        <v>51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 t="s">
        <v>52</v>
      </c>
      <c r="AL8" s="4">
        <v>35669</v>
      </c>
      <c r="AM8" s="3"/>
      <c r="AN8" s="3"/>
    </row>
    <row r="9" spans="1:40" x14ac:dyDescent="0.3">
      <c r="A9" s="3">
        <v>3</v>
      </c>
      <c r="B9" s="3" t="str">
        <f>"201400100055"</f>
        <v>201400100055</v>
      </c>
      <c r="C9" s="3">
        <v>82496</v>
      </c>
      <c r="D9" s="3" t="s">
        <v>53</v>
      </c>
      <c r="E9" s="3">
        <v>20507840613</v>
      </c>
      <c r="F9" s="3" t="s">
        <v>54</v>
      </c>
      <c r="G9" s="3" t="s">
        <v>55</v>
      </c>
      <c r="H9" s="3" t="s">
        <v>56</v>
      </c>
      <c r="I9" s="3" t="s">
        <v>56</v>
      </c>
      <c r="J9" s="3" t="s">
        <v>57</v>
      </c>
      <c r="K9" s="3" t="s">
        <v>58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 t="s">
        <v>59</v>
      </c>
      <c r="AL9" s="4">
        <v>41856</v>
      </c>
      <c r="AM9" s="3"/>
      <c r="AN9" s="3" t="s">
        <v>60</v>
      </c>
    </row>
    <row r="10" spans="1:40" x14ac:dyDescent="0.3">
      <c r="A10" s="3">
        <v>4</v>
      </c>
      <c r="B10" s="3" t="str">
        <f>"1116556"</f>
        <v>1116556</v>
      </c>
      <c r="C10" s="3">
        <v>6512</v>
      </c>
      <c r="D10" s="3">
        <v>1046771</v>
      </c>
      <c r="E10" s="3">
        <v>10086373047</v>
      </c>
      <c r="F10" s="3" t="s">
        <v>61</v>
      </c>
      <c r="G10" s="3" t="s">
        <v>62</v>
      </c>
      <c r="H10" s="3" t="s">
        <v>56</v>
      </c>
      <c r="I10" s="3" t="s">
        <v>56</v>
      </c>
      <c r="J10" s="3" t="s">
        <v>63</v>
      </c>
      <c r="K10" s="3" t="s">
        <v>64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 t="s">
        <v>65</v>
      </c>
      <c r="AL10" s="4">
        <v>35527</v>
      </c>
      <c r="AM10" s="3"/>
      <c r="AN10" s="3"/>
    </row>
    <row r="11" spans="1:40" ht="27.95" x14ac:dyDescent="0.3">
      <c r="A11" s="3">
        <v>5</v>
      </c>
      <c r="B11" s="3" t="str">
        <f>"201700084154"</f>
        <v>201700084154</v>
      </c>
      <c r="C11" s="3">
        <v>128947</v>
      </c>
      <c r="D11" s="3" t="s">
        <v>66</v>
      </c>
      <c r="E11" s="3">
        <v>20520704061</v>
      </c>
      <c r="F11" s="3" t="s">
        <v>67</v>
      </c>
      <c r="G11" s="3" t="s">
        <v>68</v>
      </c>
      <c r="H11" s="3" t="s">
        <v>56</v>
      </c>
      <c r="I11" s="3" t="s">
        <v>56</v>
      </c>
      <c r="J11" s="3" t="s">
        <v>69</v>
      </c>
      <c r="K11" s="3" t="s">
        <v>70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 t="s">
        <v>71</v>
      </c>
      <c r="AL11" s="4">
        <v>42891</v>
      </c>
      <c r="AM11" s="3"/>
      <c r="AN11" s="3" t="s">
        <v>72</v>
      </c>
    </row>
    <row r="12" spans="1:40" x14ac:dyDescent="0.3">
      <c r="A12" s="3">
        <v>6</v>
      </c>
      <c r="B12" s="3" t="str">
        <f>"1116551"</f>
        <v>1116551</v>
      </c>
      <c r="C12" s="3">
        <v>3593</v>
      </c>
      <c r="D12" s="3">
        <v>1069623</v>
      </c>
      <c r="E12" s="3">
        <v>16504068</v>
      </c>
      <c r="F12" s="3" t="s">
        <v>73</v>
      </c>
      <c r="G12" s="3" t="s">
        <v>74</v>
      </c>
      <c r="H12" s="3" t="s">
        <v>75</v>
      </c>
      <c r="I12" s="3" t="s">
        <v>75</v>
      </c>
      <c r="J12" s="3" t="s">
        <v>76</v>
      </c>
      <c r="K12" s="3" t="s">
        <v>77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 t="s">
        <v>65</v>
      </c>
      <c r="AL12" s="4">
        <v>35528</v>
      </c>
      <c r="AM12" s="3"/>
      <c r="AN12" s="3"/>
    </row>
    <row r="13" spans="1:40" x14ac:dyDescent="0.3">
      <c r="A13" s="3">
        <v>7</v>
      </c>
      <c r="B13" s="3" t="str">
        <f>"1116552"</f>
        <v>1116552</v>
      </c>
      <c r="C13" s="3">
        <v>3590</v>
      </c>
      <c r="D13" s="3">
        <v>1093611</v>
      </c>
      <c r="E13" s="3">
        <v>10082317649</v>
      </c>
      <c r="F13" s="3" t="s">
        <v>78</v>
      </c>
      <c r="G13" s="3" t="s">
        <v>79</v>
      </c>
      <c r="H13" s="3" t="s">
        <v>75</v>
      </c>
      <c r="I13" s="3" t="s">
        <v>75</v>
      </c>
      <c r="J13" s="3" t="s">
        <v>76</v>
      </c>
      <c r="K13" s="3" t="s">
        <v>80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 t="s">
        <v>81</v>
      </c>
      <c r="AL13" s="4">
        <v>35528</v>
      </c>
      <c r="AM13" s="3"/>
      <c r="AN13" s="3"/>
    </row>
    <row r="14" spans="1:40" x14ac:dyDescent="0.3">
      <c r="A14" s="3">
        <v>8</v>
      </c>
      <c r="B14" s="3" t="str">
        <f>"1116554"</f>
        <v>1116554</v>
      </c>
      <c r="C14" s="3">
        <v>3586</v>
      </c>
      <c r="D14" s="3">
        <v>1043563</v>
      </c>
      <c r="E14" s="3">
        <v>10079362676</v>
      </c>
      <c r="F14" s="3" t="s">
        <v>82</v>
      </c>
      <c r="G14" s="3" t="s">
        <v>83</v>
      </c>
      <c r="H14" s="3" t="s">
        <v>56</v>
      </c>
      <c r="I14" s="3" t="s">
        <v>56</v>
      </c>
      <c r="J14" s="3" t="s">
        <v>84</v>
      </c>
      <c r="K14" s="3" t="s">
        <v>85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 t="s">
        <v>65</v>
      </c>
      <c r="AL14" s="4">
        <v>35528</v>
      </c>
      <c r="AM14" s="3"/>
      <c r="AN14" s="3"/>
    </row>
    <row r="15" spans="1:40" ht="27.95" x14ac:dyDescent="0.3">
      <c r="A15" s="3">
        <v>9</v>
      </c>
      <c r="B15" s="3" t="str">
        <f>"201400045031"</f>
        <v>201400045031</v>
      </c>
      <c r="C15" s="3">
        <v>108875</v>
      </c>
      <c r="D15" s="3" t="s">
        <v>86</v>
      </c>
      <c r="E15" s="3">
        <v>20404723392</v>
      </c>
      <c r="F15" s="3" t="s">
        <v>87</v>
      </c>
      <c r="G15" s="3" t="s">
        <v>88</v>
      </c>
      <c r="H15" s="3" t="s">
        <v>89</v>
      </c>
      <c r="I15" s="3" t="s">
        <v>89</v>
      </c>
      <c r="J15" s="3" t="s">
        <v>90</v>
      </c>
      <c r="K15" s="3" t="s">
        <v>91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 t="s">
        <v>92</v>
      </c>
      <c r="AL15" s="4">
        <v>41810</v>
      </c>
      <c r="AM15" s="3"/>
      <c r="AN15" s="3" t="s">
        <v>93</v>
      </c>
    </row>
    <row r="16" spans="1:40" x14ac:dyDescent="0.3">
      <c r="A16" s="3">
        <v>10</v>
      </c>
      <c r="B16" s="3" t="str">
        <f>"1678502"</f>
        <v>1678502</v>
      </c>
      <c r="C16" s="3">
        <v>39251</v>
      </c>
      <c r="D16" s="3" t="s">
        <v>94</v>
      </c>
      <c r="E16" s="3">
        <v>10292830292</v>
      </c>
      <c r="F16" s="3" t="s">
        <v>95</v>
      </c>
      <c r="G16" s="3" t="s">
        <v>96</v>
      </c>
      <c r="H16" s="3" t="s">
        <v>97</v>
      </c>
      <c r="I16" s="3" t="s">
        <v>98</v>
      </c>
      <c r="J16" s="3" t="s">
        <v>99</v>
      </c>
      <c r="K16" s="3" t="s">
        <v>100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 t="s">
        <v>101</v>
      </c>
      <c r="AL16" s="4">
        <v>39156</v>
      </c>
      <c r="AM16" s="3"/>
      <c r="AN16" s="3"/>
    </row>
    <row r="17" spans="1:40" x14ac:dyDescent="0.3">
      <c r="A17" s="3">
        <v>11</v>
      </c>
      <c r="B17" s="3" t="str">
        <f>"201600031985"</f>
        <v>201600031985</v>
      </c>
      <c r="C17" s="3">
        <v>21445</v>
      </c>
      <c r="D17" s="3" t="s">
        <v>102</v>
      </c>
      <c r="E17" s="3">
        <v>20262254268</v>
      </c>
      <c r="F17" s="3" t="s">
        <v>103</v>
      </c>
      <c r="G17" s="3" t="s">
        <v>104</v>
      </c>
      <c r="H17" s="3" t="s">
        <v>56</v>
      </c>
      <c r="I17" s="3" t="s">
        <v>56</v>
      </c>
      <c r="J17" s="3" t="s">
        <v>105</v>
      </c>
      <c r="K17" s="3" t="s">
        <v>106</v>
      </c>
      <c r="L17" s="3" t="s">
        <v>107</v>
      </c>
      <c r="M17" s="3" t="s">
        <v>108</v>
      </c>
      <c r="N17" s="3" t="s">
        <v>109</v>
      </c>
      <c r="O17" s="3" t="s">
        <v>110</v>
      </c>
      <c r="P17" s="3" t="s">
        <v>111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 t="s">
        <v>112</v>
      </c>
      <c r="AL17" s="4">
        <v>42475</v>
      </c>
      <c r="AM17" s="3"/>
      <c r="AN17" s="3" t="s">
        <v>113</v>
      </c>
    </row>
    <row r="18" spans="1:40" x14ac:dyDescent="0.3">
      <c r="A18" s="3">
        <v>12</v>
      </c>
      <c r="B18" s="3" t="str">
        <f>"1263519"</f>
        <v>1263519</v>
      </c>
      <c r="C18" s="3">
        <v>17990</v>
      </c>
      <c r="D18" s="3">
        <v>1263519</v>
      </c>
      <c r="E18" s="3">
        <v>10086402195</v>
      </c>
      <c r="F18" s="3" t="s">
        <v>114</v>
      </c>
      <c r="G18" s="3" t="s">
        <v>115</v>
      </c>
      <c r="H18" s="3" t="s">
        <v>56</v>
      </c>
      <c r="I18" s="3" t="s">
        <v>56</v>
      </c>
      <c r="J18" s="3" t="s">
        <v>116</v>
      </c>
      <c r="K18" s="3" t="s">
        <v>117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 t="s">
        <v>118</v>
      </c>
      <c r="AL18" s="4">
        <v>36514</v>
      </c>
      <c r="AM18" s="3"/>
      <c r="AN18" s="3"/>
    </row>
    <row r="19" spans="1:40" x14ac:dyDescent="0.3">
      <c r="A19" s="3">
        <v>13</v>
      </c>
      <c r="B19" s="3" t="str">
        <f>"1116549"</f>
        <v>1116549</v>
      </c>
      <c r="C19" s="3">
        <v>3594</v>
      </c>
      <c r="D19" s="3">
        <v>1003828</v>
      </c>
      <c r="E19" s="3">
        <v>10070116451</v>
      </c>
      <c r="F19" s="3" t="s">
        <v>119</v>
      </c>
      <c r="G19" s="3" t="s">
        <v>120</v>
      </c>
      <c r="H19" s="3" t="s">
        <v>56</v>
      </c>
      <c r="I19" s="3" t="s">
        <v>56</v>
      </c>
      <c r="J19" s="3" t="s">
        <v>121</v>
      </c>
      <c r="K19" s="3" t="s">
        <v>122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 t="s">
        <v>81</v>
      </c>
      <c r="AL19" s="4">
        <v>35528</v>
      </c>
      <c r="AM19" s="3"/>
      <c r="AN19" s="3"/>
    </row>
    <row r="20" spans="1:40" x14ac:dyDescent="0.3">
      <c r="A20" s="3">
        <v>14</v>
      </c>
      <c r="B20" s="3" t="str">
        <f>"201400084001"</f>
        <v>201400084001</v>
      </c>
      <c r="C20" s="3">
        <v>110031</v>
      </c>
      <c r="D20" s="3" t="s">
        <v>123</v>
      </c>
      <c r="E20" s="3">
        <v>10308242094</v>
      </c>
      <c r="F20" s="3" t="s">
        <v>124</v>
      </c>
      <c r="G20" s="3" t="s">
        <v>125</v>
      </c>
      <c r="H20" s="3" t="s">
        <v>97</v>
      </c>
      <c r="I20" s="3" t="s">
        <v>97</v>
      </c>
      <c r="J20" s="3" t="s">
        <v>105</v>
      </c>
      <c r="K20" s="3" t="s">
        <v>126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 t="s">
        <v>127</v>
      </c>
      <c r="AL20" s="4">
        <v>41855</v>
      </c>
      <c r="AM20" s="3"/>
      <c r="AN20" s="3" t="s">
        <v>124</v>
      </c>
    </row>
    <row r="21" spans="1:40" ht="27.95" x14ac:dyDescent="0.3">
      <c r="A21" s="3">
        <v>15</v>
      </c>
      <c r="B21" s="3" t="str">
        <f>"201700081597"</f>
        <v>201700081597</v>
      </c>
      <c r="C21" s="3">
        <v>88530</v>
      </c>
      <c r="D21" s="3" t="s">
        <v>128</v>
      </c>
      <c r="E21" s="3">
        <v>20160364719</v>
      </c>
      <c r="F21" s="3" t="s">
        <v>129</v>
      </c>
      <c r="G21" s="3" t="s">
        <v>130</v>
      </c>
      <c r="H21" s="3" t="s">
        <v>56</v>
      </c>
      <c r="I21" s="3" t="s">
        <v>56</v>
      </c>
      <c r="J21" s="3" t="s">
        <v>131</v>
      </c>
      <c r="K21" s="3" t="s">
        <v>132</v>
      </c>
      <c r="L21" s="3" t="s">
        <v>133</v>
      </c>
      <c r="M21" s="3" t="s">
        <v>134</v>
      </c>
      <c r="N21" s="3" t="s">
        <v>135</v>
      </c>
      <c r="O21" s="3" t="s">
        <v>136</v>
      </c>
      <c r="P21" s="3" t="s">
        <v>137</v>
      </c>
      <c r="Q21" s="3" t="s">
        <v>138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 t="s">
        <v>139</v>
      </c>
      <c r="AL21" s="4">
        <v>42895</v>
      </c>
      <c r="AM21" s="3"/>
      <c r="AN21" s="3" t="s">
        <v>140</v>
      </c>
    </row>
    <row r="22" spans="1:40" ht="27.95" x14ac:dyDescent="0.3">
      <c r="A22" s="3">
        <v>16</v>
      </c>
      <c r="B22" s="3" t="str">
        <f>"202000009757"</f>
        <v>202000009757</v>
      </c>
      <c r="C22" s="3">
        <v>148300</v>
      </c>
      <c r="D22" s="3" t="s">
        <v>141</v>
      </c>
      <c r="E22" s="3">
        <v>20455751528</v>
      </c>
      <c r="F22" s="3" t="s">
        <v>142</v>
      </c>
      <c r="G22" s="3" t="s">
        <v>143</v>
      </c>
      <c r="H22" s="3" t="s">
        <v>97</v>
      </c>
      <c r="I22" s="3" t="s">
        <v>97</v>
      </c>
      <c r="J22" s="3" t="s">
        <v>144</v>
      </c>
      <c r="K22" s="3" t="s">
        <v>145</v>
      </c>
      <c r="L22" s="3" t="s">
        <v>146</v>
      </c>
      <c r="M22" s="3" t="s">
        <v>147</v>
      </c>
      <c r="N22" s="3" t="s">
        <v>148</v>
      </c>
      <c r="O22" s="3" t="s">
        <v>149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 t="s">
        <v>150</v>
      </c>
      <c r="AL22" s="4">
        <v>43853</v>
      </c>
      <c r="AM22" s="3"/>
      <c r="AN22" s="3" t="s">
        <v>151</v>
      </c>
    </row>
    <row r="23" spans="1:40" x14ac:dyDescent="0.3">
      <c r="A23" s="3">
        <v>17</v>
      </c>
      <c r="B23" s="3" t="str">
        <f>"1443181"</f>
        <v>1443181</v>
      </c>
      <c r="C23" s="3">
        <v>36266</v>
      </c>
      <c r="D23" s="3" t="s">
        <v>152</v>
      </c>
      <c r="E23" s="3">
        <v>10104879140</v>
      </c>
      <c r="F23" s="3" t="s">
        <v>153</v>
      </c>
      <c r="G23" s="3" t="s">
        <v>154</v>
      </c>
      <c r="H23" s="3" t="s">
        <v>56</v>
      </c>
      <c r="I23" s="3" t="s">
        <v>56</v>
      </c>
      <c r="J23" s="3" t="s">
        <v>155</v>
      </c>
      <c r="K23" s="3" t="s">
        <v>156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 t="s">
        <v>157</v>
      </c>
      <c r="AL23" s="4">
        <v>38027</v>
      </c>
      <c r="AM23" s="3"/>
      <c r="AN23" s="3"/>
    </row>
    <row r="24" spans="1:40" ht="27.95" x14ac:dyDescent="0.3">
      <c r="A24" s="3">
        <v>18</v>
      </c>
      <c r="B24" s="3" t="str">
        <f>"1528562"</f>
        <v>1528562</v>
      </c>
      <c r="C24" s="3">
        <v>35661</v>
      </c>
      <c r="D24" s="3" t="s">
        <v>158</v>
      </c>
      <c r="E24" s="3">
        <v>20100076749</v>
      </c>
      <c r="F24" s="3" t="s">
        <v>159</v>
      </c>
      <c r="G24" s="3" t="s">
        <v>160</v>
      </c>
      <c r="H24" s="3" t="s">
        <v>56</v>
      </c>
      <c r="I24" s="3" t="s">
        <v>56</v>
      </c>
      <c r="J24" s="3" t="s">
        <v>121</v>
      </c>
      <c r="K24" s="3" t="s">
        <v>161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 t="s">
        <v>162</v>
      </c>
      <c r="AL24" s="4">
        <v>38469</v>
      </c>
      <c r="AM24" s="3"/>
      <c r="AN24" s="3"/>
    </row>
    <row r="25" spans="1:40" x14ac:dyDescent="0.3">
      <c r="A25" s="3">
        <v>19</v>
      </c>
      <c r="B25" s="3" t="str">
        <f>"201200145397"</f>
        <v>201200145397</v>
      </c>
      <c r="C25" s="3">
        <v>97411</v>
      </c>
      <c r="D25" s="3" t="s">
        <v>163</v>
      </c>
      <c r="E25" s="3">
        <v>20113539594</v>
      </c>
      <c r="F25" s="3" t="s">
        <v>164</v>
      </c>
      <c r="G25" s="3" t="s">
        <v>165</v>
      </c>
      <c r="H25" s="3" t="s">
        <v>50</v>
      </c>
      <c r="I25" s="3" t="s">
        <v>50</v>
      </c>
      <c r="J25" s="3" t="s">
        <v>50</v>
      </c>
      <c r="K25" s="3" t="s">
        <v>166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 t="s">
        <v>167</v>
      </c>
      <c r="AL25" s="4">
        <v>41121</v>
      </c>
      <c r="AM25" s="3"/>
      <c r="AN25" s="3" t="s">
        <v>168</v>
      </c>
    </row>
    <row r="26" spans="1:40" x14ac:dyDescent="0.3">
      <c r="A26" s="3">
        <v>20</v>
      </c>
      <c r="B26" s="3" t="str">
        <f>"201700059616"</f>
        <v>201700059616</v>
      </c>
      <c r="C26" s="3">
        <v>127440</v>
      </c>
      <c r="D26" s="3" t="s">
        <v>169</v>
      </c>
      <c r="E26" s="3">
        <v>20572157394</v>
      </c>
      <c r="F26" s="3" t="s">
        <v>170</v>
      </c>
      <c r="G26" s="3" t="s">
        <v>171</v>
      </c>
      <c r="H26" s="3" t="s">
        <v>172</v>
      </c>
      <c r="I26" s="3" t="s">
        <v>172</v>
      </c>
      <c r="J26" s="3" t="s">
        <v>173</v>
      </c>
      <c r="K26" s="3" t="s">
        <v>174</v>
      </c>
      <c r="L26" s="3" t="s">
        <v>175</v>
      </c>
      <c r="M26" s="3" t="s">
        <v>176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 t="s">
        <v>177</v>
      </c>
      <c r="AL26" s="4">
        <v>42846</v>
      </c>
      <c r="AM26" s="3"/>
      <c r="AN26" s="3" t="s">
        <v>178</v>
      </c>
    </row>
    <row r="27" spans="1:40" ht="27.95" x14ac:dyDescent="0.3">
      <c r="A27" s="3">
        <v>21</v>
      </c>
      <c r="B27" s="3" t="str">
        <f>"1528567"</f>
        <v>1528567</v>
      </c>
      <c r="C27" s="3">
        <v>38569</v>
      </c>
      <c r="D27" s="3" t="s">
        <v>179</v>
      </c>
      <c r="E27" s="3">
        <v>20100076749</v>
      </c>
      <c r="F27" s="3" t="s">
        <v>159</v>
      </c>
      <c r="G27" s="3" t="s">
        <v>180</v>
      </c>
      <c r="H27" s="3" t="s">
        <v>56</v>
      </c>
      <c r="I27" s="3" t="s">
        <v>56</v>
      </c>
      <c r="J27" s="3" t="s">
        <v>121</v>
      </c>
      <c r="K27" s="3" t="s">
        <v>181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 t="s">
        <v>81</v>
      </c>
      <c r="AL27" s="4">
        <v>38469</v>
      </c>
      <c r="AM27" s="3"/>
      <c r="AN27" s="3"/>
    </row>
    <row r="28" spans="1:40" x14ac:dyDescent="0.3">
      <c r="A28" s="3">
        <v>22</v>
      </c>
      <c r="B28" s="3" t="str">
        <f>"1351171"</f>
        <v>1351171</v>
      </c>
      <c r="C28" s="3">
        <v>3506</v>
      </c>
      <c r="D28" s="3" t="s">
        <v>182</v>
      </c>
      <c r="E28" s="3">
        <v>20110338903</v>
      </c>
      <c r="F28" s="3" t="s">
        <v>183</v>
      </c>
      <c r="G28" s="3" t="s">
        <v>184</v>
      </c>
      <c r="H28" s="3" t="s">
        <v>56</v>
      </c>
      <c r="I28" s="3" t="s">
        <v>56</v>
      </c>
      <c r="J28" s="3" t="s">
        <v>185</v>
      </c>
      <c r="K28" s="3" t="s">
        <v>186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 t="s">
        <v>187</v>
      </c>
      <c r="AL28" s="4">
        <v>37293</v>
      </c>
      <c r="AM28" s="3"/>
      <c r="AN28" s="3"/>
    </row>
    <row r="29" spans="1:40" x14ac:dyDescent="0.3">
      <c r="A29" s="3">
        <v>23</v>
      </c>
      <c r="B29" s="3" t="str">
        <f>"1485887"</f>
        <v>1485887</v>
      </c>
      <c r="C29" s="3">
        <v>92679</v>
      </c>
      <c r="D29" s="3" t="s">
        <v>188</v>
      </c>
      <c r="E29" s="3">
        <v>20525521509</v>
      </c>
      <c r="F29" s="3" t="s">
        <v>189</v>
      </c>
      <c r="G29" s="3" t="s">
        <v>190</v>
      </c>
      <c r="H29" s="3" t="s">
        <v>50</v>
      </c>
      <c r="I29" s="3" t="s">
        <v>50</v>
      </c>
      <c r="J29" s="3" t="s">
        <v>98</v>
      </c>
      <c r="K29" s="3" t="s">
        <v>191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 t="s">
        <v>192</v>
      </c>
      <c r="AL29" s="4">
        <v>40700</v>
      </c>
      <c r="AM29" s="3"/>
      <c r="AN29" s="3" t="s">
        <v>193</v>
      </c>
    </row>
    <row r="30" spans="1:40" ht="27.95" x14ac:dyDescent="0.3">
      <c r="A30" s="3">
        <v>24</v>
      </c>
      <c r="B30" s="3" t="str">
        <f>"1528569"</f>
        <v>1528569</v>
      </c>
      <c r="C30" s="3">
        <v>37455</v>
      </c>
      <c r="D30" s="3" t="s">
        <v>194</v>
      </c>
      <c r="E30" s="3">
        <v>20100076749</v>
      </c>
      <c r="F30" s="3" t="s">
        <v>159</v>
      </c>
      <c r="G30" s="3" t="s">
        <v>160</v>
      </c>
      <c r="H30" s="3" t="s">
        <v>56</v>
      </c>
      <c r="I30" s="3" t="s">
        <v>56</v>
      </c>
      <c r="J30" s="3" t="s">
        <v>121</v>
      </c>
      <c r="K30" s="3" t="s">
        <v>195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 t="s">
        <v>118</v>
      </c>
      <c r="AL30" s="4">
        <v>38469</v>
      </c>
      <c r="AM30" s="3"/>
      <c r="AN30" s="3"/>
    </row>
    <row r="31" spans="1:40" ht="27.95" x14ac:dyDescent="0.3">
      <c r="A31" s="3">
        <v>25</v>
      </c>
      <c r="B31" s="3" t="str">
        <f>"1528565"</f>
        <v>1528565</v>
      </c>
      <c r="C31" s="3">
        <v>37540</v>
      </c>
      <c r="D31" s="3" t="s">
        <v>196</v>
      </c>
      <c r="E31" s="3">
        <v>20100076749</v>
      </c>
      <c r="F31" s="3" t="s">
        <v>159</v>
      </c>
      <c r="G31" s="3" t="s">
        <v>180</v>
      </c>
      <c r="H31" s="3" t="s">
        <v>56</v>
      </c>
      <c r="I31" s="3" t="s">
        <v>56</v>
      </c>
      <c r="J31" s="3" t="s">
        <v>121</v>
      </c>
      <c r="K31" s="3" t="s">
        <v>197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 t="s">
        <v>198</v>
      </c>
      <c r="AL31" s="4">
        <v>38469</v>
      </c>
      <c r="AM31" s="3"/>
      <c r="AN31" s="3"/>
    </row>
    <row r="32" spans="1:40" ht="27.95" x14ac:dyDescent="0.3">
      <c r="A32" s="3">
        <v>26</v>
      </c>
      <c r="B32" s="3" t="str">
        <f>"201500103938"</f>
        <v>201500103938</v>
      </c>
      <c r="C32" s="3">
        <v>116825</v>
      </c>
      <c r="D32" s="3" t="s">
        <v>199</v>
      </c>
      <c r="E32" s="3">
        <v>10087126124</v>
      </c>
      <c r="F32" s="3" t="s">
        <v>200</v>
      </c>
      <c r="G32" s="3" t="s">
        <v>201</v>
      </c>
      <c r="H32" s="3" t="s">
        <v>202</v>
      </c>
      <c r="I32" s="3" t="s">
        <v>202</v>
      </c>
      <c r="J32" s="3" t="s">
        <v>203</v>
      </c>
      <c r="K32" s="3" t="s">
        <v>204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 t="s">
        <v>81</v>
      </c>
      <c r="AL32" s="4">
        <v>42241</v>
      </c>
      <c r="AM32" s="3"/>
      <c r="AN32" s="3" t="s">
        <v>200</v>
      </c>
    </row>
    <row r="33" spans="1:40" x14ac:dyDescent="0.3">
      <c r="A33" s="3">
        <v>27</v>
      </c>
      <c r="B33" s="3" t="str">
        <f>"201700193289"</f>
        <v>201700193289</v>
      </c>
      <c r="C33" s="3">
        <v>132942</v>
      </c>
      <c r="D33" s="3" t="s">
        <v>205</v>
      </c>
      <c r="E33" s="3">
        <v>20559310035</v>
      </c>
      <c r="F33" s="3" t="s">
        <v>206</v>
      </c>
      <c r="G33" s="3" t="s">
        <v>207</v>
      </c>
      <c r="H33" s="3" t="s">
        <v>97</v>
      </c>
      <c r="I33" s="3" t="s">
        <v>208</v>
      </c>
      <c r="J33" s="3" t="s">
        <v>209</v>
      </c>
      <c r="K33" s="3" t="s">
        <v>210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 t="s">
        <v>211</v>
      </c>
      <c r="AL33" s="4">
        <v>43060</v>
      </c>
      <c r="AM33" s="3"/>
      <c r="AN33" s="3" t="s">
        <v>212</v>
      </c>
    </row>
    <row r="34" spans="1:40" x14ac:dyDescent="0.3">
      <c r="A34" s="3">
        <v>28</v>
      </c>
      <c r="B34" s="3" t="str">
        <f>"201800166068"</f>
        <v>201800166068</v>
      </c>
      <c r="C34" s="3">
        <v>138991</v>
      </c>
      <c r="D34" s="3" t="s">
        <v>213</v>
      </c>
      <c r="E34" s="3">
        <v>10004918563</v>
      </c>
      <c r="F34" s="3" t="s">
        <v>214</v>
      </c>
      <c r="G34" s="3" t="s">
        <v>215</v>
      </c>
      <c r="H34" s="3" t="s">
        <v>216</v>
      </c>
      <c r="I34" s="3" t="s">
        <v>216</v>
      </c>
      <c r="J34" s="3" t="s">
        <v>216</v>
      </c>
      <c r="K34" s="3" t="s">
        <v>217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 t="s">
        <v>218</v>
      </c>
      <c r="AL34" s="4">
        <v>43384</v>
      </c>
      <c r="AM34" s="3"/>
      <c r="AN34" s="3" t="s">
        <v>214</v>
      </c>
    </row>
    <row r="35" spans="1:40" x14ac:dyDescent="0.3">
      <c r="A35" s="3">
        <v>29</v>
      </c>
      <c r="B35" s="3" t="str">
        <f>"1465115"</f>
        <v>1465115</v>
      </c>
      <c r="C35" s="3">
        <v>38065</v>
      </c>
      <c r="D35" s="3" t="s">
        <v>219</v>
      </c>
      <c r="E35" s="3">
        <v>20118596740</v>
      </c>
      <c r="F35" s="3" t="s">
        <v>220</v>
      </c>
      <c r="G35" s="3" t="s">
        <v>221</v>
      </c>
      <c r="H35" s="3" t="s">
        <v>222</v>
      </c>
      <c r="I35" s="3" t="s">
        <v>223</v>
      </c>
      <c r="J35" s="3" t="s">
        <v>224</v>
      </c>
      <c r="K35" s="3" t="s">
        <v>225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 t="s">
        <v>226</v>
      </c>
      <c r="AL35" s="4">
        <v>38069</v>
      </c>
      <c r="AM35" s="3"/>
      <c r="AN35" s="3"/>
    </row>
    <row r="36" spans="1:40" x14ac:dyDescent="0.3">
      <c r="A36" s="3">
        <v>30</v>
      </c>
      <c r="B36" s="3" t="str">
        <f>"1351164"</f>
        <v>1351164</v>
      </c>
      <c r="C36" s="3">
        <v>6494</v>
      </c>
      <c r="D36" s="3" t="s">
        <v>227</v>
      </c>
      <c r="E36" s="3">
        <v>20110338903</v>
      </c>
      <c r="F36" s="3" t="s">
        <v>183</v>
      </c>
      <c r="G36" s="3" t="s">
        <v>228</v>
      </c>
      <c r="H36" s="3" t="s">
        <v>56</v>
      </c>
      <c r="I36" s="3" t="s">
        <v>56</v>
      </c>
      <c r="J36" s="3" t="s">
        <v>185</v>
      </c>
      <c r="K36" s="3" t="s">
        <v>229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 t="s">
        <v>230</v>
      </c>
      <c r="AL36" s="4">
        <v>37293</v>
      </c>
      <c r="AM36" s="3"/>
      <c r="AN36" s="3"/>
    </row>
    <row r="37" spans="1:40" x14ac:dyDescent="0.3">
      <c r="A37" s="3">
        <v>31</v>
      </c>
      <c r="B37" s="3" t="str">
        <f>"1351169"</f>
        <v>1351169</v>
      </c>
      <c r="C37" s="3">
        <v>3496</v>
      </c>
      <c r="D37" s="3" t="s">
        <v>231</v>
      </c>
      <c r="E37" s="3">
        <v>20110338903</v>
      </c>
      <c r="F37" s="3" t="s">
        <v>183</v>
      </c>
      <c r="G37" s="3" t="s">
        <v>228</v>
      </c>
      <c r="H37" s="3" t="s">
        <v>56</v>
      </c>
      <c r="I37" s="3" t="s">
        <v>56</v>
      </c>
      <c r="J37" s="3" t="s">
        <v>185</v>
      </c>
      <c r="K37" s="3" t="s">
        <v>232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 t="s">
        <v>233</v>
      </c>
      <c r="AL37" s="4">
        <v>37293</v>
      </c>
      <c r="AM37" s="3"/>
      <c r="AN37" s="3"/>
    </row>
    <row r="38" spans="1:40" x14ac:dyDescent="0.3">
      <c r="A38" s="3">
        <v>32</v>
      </c>
      <c r="B38" s="3" t="str">
        <f>"201400067501"</f>
        <v>201400067501</v>
      </c>
      <c r="C38" s="3">
        <v>109355</v>
      </c>
      <c r="D38" s="3" t="s">
        <v>234</v>
      </c>
      <c r="E38" s="3">
        <v>10209765484</v>
      </c>
      <c r="F38" s="3" t="s">
        <v>235</v>
      </c>
      <c r="G38" s="3" t="s">
        <v>236</v>
      </c>
      <c r="H38" s="3" t="s">
        <v>237</v>
      </c>
      <c r="I38" s="3" t="s">
        <v>238</v>
      </c>
      <c r="J38" s="3" t="s">
        <v>239</v>
      </c>
      <c r="K38" s="3" t="s">
        <v>240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 t="s">
        <v>241</v>
      </c>
      <c r="AL38" s="4">
        <v>41800</v>
      </c>
      <c r="AM38" s="3"/>
      <c r="AN38" s="3" t="s">
        <v>235</v>
      </c>
    </row>
    <row r="39" spans="1:40" ht="27.95" x14ac:dyDescent="0.3">
      <c r="A39" s="3">
        <v>33</v>
      </c>
      <c r="B39" s="3" t="str">
        <f>"201900185473"</f>
        <v>201900185473</v>
      </c>
      <c r="C39" s="3">
        <v>147696</v>
      </c>
      <c r="D39" s="3" t="s">
        <v>242</v>
      </c>
      <c r="E39" s="3">
        <v>20600109201</v>
      </c>
      <c r="F39" s="3" t="s">
        <v>243</v>
      </c>
      <c r="G39" s="3" t="s">
        <v>244</v>
      </c>
      <c r="H39" s="3" t="s">
        <v>245</v>
      </c>
      <c r="I39" s="3" t="s">
        <v>246</v>
      </c>
      <c r="J39" s="3" t="s">
        <v>247</v>
      </c>
      <c r="K39" s="3" t="s">
        <v>248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 t="s">
        <v>249</v>
      </c>
      <c r="AL39" s="4">
        <v>43787</v>
      </c>
      <c r="AM39" s="3"/>
      <c r="AN39" s="3" t="s">
        <v>250</v>
      </c>
    </row>
    <row r="40" spans="1:40" x14ac:dyDescent="0.3">
      <c r="A40" s="3">
        <v>34</v>
      </c>
      <c r="B40" s="3" t="str">
        <f>"201900185477"</f>
        <v>201900185477</v>
      </c>
      <c r="C40" s="3">
        <v>147695</v>
      </c>
      <c r="D40" s="3" t="s">
        <v>251</v>
      </c>
      <c r="E40" s="3">
        <v>10411000759</v>
      </c>
      <c r="F40" s="3" t="s">
        <v>252</v>
      </c>
      <c r="G40" s="3" t="s">
        <v>253</v>
      </c>
      <c r="H40" s="3" t="s">
        <v>97</v>
      </c>
      <c r="I40" s="3" t="s">
        <v>97</v>
      </c>
      <c r="J40" s="3" t="s">
        <v>254</v>
      </c>
      <c r="K40" s="3" t="s">
        <v>255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 t="s">
        <v>256</v>
      </c>
      <c r="AL40" s="4">
        <v>43782</v>
      </c>
      <c r="AM40" s="3"/>
      <c r="AN40" s="3" t="s">
        <v>252</v>
      </c>
    </row>
    <row r="41" spans="1:40" x14ac:dyDescent="0.3">
      <c r="A41" s="3">
        <v>35</v>
      </c>
      <c r="B41" s="3" t="str">
        <f>"201600034963"</f>
        <v>201600034963</v>
      </c>
      <c r="C41" s="3">
        <v>96344</v>
      </c>
      <c r="D41" s="3" t="s">
        <v>257</v>
      </c>
      <c r="E41" s="3">
        <v>20100366747</v>
      </c>
      <c r="F41" s="3" t="s">
        <v>258</v>
      </c>
      <c r="G41" s="3" t="s">
        <v>259</v>
      </c>
      <c r="H41" s="3" t="s">
        <v>56</v>
      </c>
      <c r="I41" s="3" t="s">
        <v>56</v>
      </c>
      <c r="J41" s="3" t="s">
        <v>185</v>
      </c>
      <c r="K41" s="3" t="s">
        <v>260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 t="s">
        <v>261</v>
      </c>
      <c r="AL41" s="4">
        <v>42481</v>
      </c>
      <c r="AM41" s="3"/>
      <c r="AN41" s="3" t="s">
        <v>262</v>
      </c>
    </row>
    <row r="42" spans="1:40" x14ac:dyDescent="0.3">
      <c r="A42" s="3">
        <v>36</v>
      </c>
      <c r="B42" s="3" t="str">
        <f>"1677966"</f>
        <v>1677966</v>
      </c>
      <c r="C42" s="3">
        <v>42495</v>
      </c>
      <c r="D42" s="3" t="s">
        <v>263</v>
      </c>
      <c r="E42" s="3">
        <v>20507840613</v>
      </c>
      <c r="F42" s="3" t="s">
        <v>264</v>
      </c>
      <c r="G42" s="3" t="s">
        <v>265</v>
      </c>
      <c r="H42" s="3" t="s">
        <v>56</v>
      </c>
      <c r="I42" s="3" t="s">
        <v>56</v>
      </c>
      <c r="J42" s="3" t="s">
        <v>57</v>
      </c>
      <c r="K42" s="3" t="s">
        <v>266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 t="s">
        <v>267</v>
      </c>
      <c r="AL42" s="4">
        <v>39171</v>
      </c>
      <c r="AM42" s="3"/>
      <c r="AN42" s="3"/>
    </row>
    <row r="43" spans="1:40" x14ac:dyDescent="0.3">
      <c r="A43" s="3">
        <v>37</v>
      </c>
      <c r="B43" s="3" t="str">
        <f>"1506276"</f>
        <v>1506276</v>
      </c>
      <c r="C43" s="3">
        <v>93440</v>
      </c>
      <c r="D43" s="3" t="s">
        <v>268</v>
      </c>
      <c r="E43" s="3">
        <v>10316686465</v>
      </c>
      <c r="F43" s="3" t="s">
        <v>269</v>
      </c>
      <c r="G43" s="3" t="s">
        <v>270</v>
      </c>
      <c r="H43" s="3" t="s">
        <v>271</v>
      </c>
      <c r="I43" s="3" t="s">
        <v>272</v>
      </c>
      <c r="J43" s="3" t="s">
        <v>273</v>
      </c>
      <c r="K43" s="3" t="s">
        <v>274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 t="s">
        <v>256</v>
      </c>
      <c r="AL43" s="4">
        <v>40827</v>
      </c>
      <c r="AM43" s="3"/>
      <c r="AN43" s="3" t="s">
        <v>269</v>
      </c>
    </row>
    <row r="44" spans="1:40" x14ac:dyDescent="0.3">
      <c r="A44" s="3">
        <v>38</v>
      </c>
      <c r="B44" s="3" t="str">
        <f>"1106385"</f>
        <v>1106385</v>
      </c>
      <c r="C44" s="3">
        <v>2774</v>
      </c>
      <c r="D44" s="3">
        <v>1106385</v>
      </c>
      <c r="E44" s="3">
        <v>20100170761</v>
      </c>
      <c r="F44" s="3" t="s">
        <v>275</v>
      </c>
      <c r="G44" s="3" t="s">
        <v>276</v>
      </c>
      <c r="H44" s="3" t="s">
        <v>56</v>
      </c>
      <c r="I44" s="3" t="s">
        <v>56</v>
      </c>
      <c r="J44" s="3" t="s">
        <v>277</v>
      </c>
      <c r="K44" s="3" t="s">
        <v>278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 t="s">
        <v>218</v>
      </c>
      <c r="AL44" s="4">
        <v>35478</v>
      </c>
      <c r="AM44" s="3"/>
      <c r="AN44" s="3"/>
    </row>
    <row r="45" spans="1:40" x14ac:dyDescent="0.3">
      <c r="A45" s="3">
        <v>39</v>
      </c>
      <c r="B45" s="3" t="str">
        <f>"1106383"</f>
        <v>1106383</v>
      </c>
      <c r="C45" s="3">
        <v>2773</v>
      </c>
      <c r="D45" s="3">
        <v>1106383</v>
      </c>
      <c r="E45" s="3">
        <v>20100170761</v>
      </c>
      <c r="F45" s="3" t="s">
        <v>275</v>
      </c>
      <c r="G45" s="3" t="s">
        <v>279</v>
      </c>
      <c r="H45" s="3" t="s">
        <v>56</v>
      </c>
      <c r="I45" s="3" t="s">
        <v>56</v>
      </c>
      <c r="J45" s="3" t="s">
        <v>277</v>
      </c>
      <c r="K45" s="3" t="s">
        <v>280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 t="s">
        <v>218</v>
      </c>
      <c r="AL45" s="4">
        <v>35478</v>
      </c>
      <c r="AM45" s="3"/>
      <c r="AN45" s="3"/>
    </row>
    <row r="46" spans="1:40" x14ac:dyDescent="0.3">
      <c r="A46" s="3">
        <v>40</v>
      </c>
      <c r="B46" s="3" t="str">
        <f>"1116569"</f>
        <v>1116569</v>
      </c>
      <c r="C46" s="3">
        <v>3564</v>
      </c>
      <c r="D46" s="3">
        <v>990091</v>
      </c>
      <c r="E46" s="3">
        <v>10257800429</v>
      </c>
      <c r="F46" s="3" t="s">
        <v>281</v>
      </c>
      <c r="G46" s="3" t="s">
        <v>282</v>
      </c>
      <c r="H46" s="3" t="s">
        <v>56</v>
      </c>
      <c r="I46" s="3" t="s">
        <v>56</v>
      </c>
      <c r="J46" s="3" t="s">
        <v>56</v>
      </c>
      <c r="K46" s="3" t="s">
        <v>283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 t="s">
        <v>65</v>
      </c>
      <c r="AL46" s="4">
        <v>35527</v>
      </c>
      <c r="AM46" s="3"/>
      <c r="AN46" s="3"/>
    </row>
    <row r="47" spans="1:40" x14ac:dyDescent="0.3">
      <c r="A47" s="3">
        <v>41</v>
      </c>
      <c r="B47" s="3" t="str">
        <f>"1106382"</f>
        <v>1106382</v>
      </c>
      <c r="C47" s="3">
        <v>2772</v>
      </c>
      <c r="D47" s="3">
        <v>1106382</v>
      </c>
      <c r="E47" s="3">
        <v>20100170761</v>
      </c>
      <c r="F47" s="3" t="s">
        <v>275</v>
      </c>
      <c r="G47" s="3" t="s">
        <v>279</v>
      </c>
      <c r="H47" s="3" t="s">
        <v>56</v>
      </c>
      <c r="I47" s="3" t="s">
        <v>56</v>
      </c>
      <c r="J47" s="3" t="s">
        <v>277</v>
      </c>
      <c r="K47" s="3" t="s">
        <v>284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 t="s">
        <v>218</v>
      </c>
      <c r="AL47" s="4">
        <v>35478</v>
      </c>
      <c r="AM47" s="3"/>
      <c r="AN47" s="3"/>
    </row>
    <row r="48" spans="1:40" x14ac:dyDescent="0.3">
      <c r="A48" s="3">
        <v>42</v>
      </c>
      <c r="B48" s="3" t="str">
        <f>"1106380"</f>
        <v>1106380</v>
      </c>
      <c r="C48" s="3">
        <v>2771</v>
      </c>
      <c r="D48" s="3">
        <v>1106380</v>
      </c>
      <c r="E48" s="3">
        <v>20100170761</v>
      </c>
      <c r="F48" s="3" t="s">
        <v>275</v>
      </c>
      <c r="G48" s="3" t="s">
        <v>276</v>
      </c>
      <c r="H48" s="3" t="s">
        <v>56</v>
      </c>
      <c r="I48" s="3" t="s">
        <v>56</v>
      </c>
      <c r="J48" s="3" t="s">
        <v>277</v>
      </c>
      <c r="K48" s="3" t="s">
        <v>285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 t="s">
        <v>218</v>
      </c>
      <c r="AL48" s="4">
        <v>35478</v>
      </c>
      <c r="AM48" s="3"/>
      <c r="AN48" s="3"/>
    </row>
    <row r="49" spans="1:40" x14ac:dyDescent="0.3">
      <c r="A49" s="3">
        <v>43</v>
      </c>
      <c r="B49" s="3" t="str">
        <f>"201300165849"</f>
        <v>201300165849</v>
      </c>
      <c r="C49" s="3">
        <v>105956</v>
      </c>
      <c r="D49" s="3" t="s">
        <v>286</v>
      </c>
      <c r="E49" s="3">
        <v>20349264413</v>
      </c>
      <c r="F49" s="3" t="s">
        <v>287</v>
      </c>
      <c r="G49" s="3" t="s">
        <v>288</v>
      </c>
      <c r="H49" s="3" t="s">
        <v>56</v>
      </c>
      <c r="I49" s="3" t="s">
        <v>56</v>
      </c>
      <c r="J49" s="3" t="s">
        <v>105</v>
      </c>
      <c r="K49" s="3" t="s">
        <v>289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 t="s">
        <v>118</v>
      </c>
      <c r="AL49" s="3" t="s">
        <v>290</v>
      </c>
      <c r="AM49" s="3"/>
      <c r="AN49" s="3" t="s">
        <v>291</v>
      </c>
    </row>
    <row r="50" spans="1:40" x14ac:dyDescent="0.3">
      <c r="A50" s="3">
        <v>44</v>
      </c>
      <c r="B50" s="3" t="str">
        <f>"201600153844"</f>
        <v>201600153844</v>
      </c>
      <c r="C50" s="3">
        <v>124564</v>
      </c>
      <c r="D50" s="3" t="s">
        <v>292</v>
      </c>
      <c r="E50" s="3">
        <v>15220773334</v>
      </c>
      <c r="F50" s="3" t="s">
        <v>293</v>
      </c>
      <c r="G50" s="3" t="s">
        <v>294</v>
      </c>
      <c r="H50" s="3" t="s">
        <v>44</v>
      </c>
      <c r="I50" s="3" t="s">
        <v>45</v>
      </c>
      <c r="J50" s="3" t="s">
        <v>45</v>
      </c>
      <c r="K50" s="3" t="s">
        <v>295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 t="s">
        <v>296</v>
      </c>
      <c r="AL50" s="4">
        <v>42669</v>
      </c>
      <c r="AM50" s="3"/>
      <c r="AN50" s="3" t="s">
        <v>293</v>
      </c>
    </row>
    <row r="51" spans="1:40" x14ac:dyDescent="0.3">
      <c r="A51" s="3">
        <v>45</v>
      </c>
      <c r="B51" s="3" t="str">
        <f>"201400100074"</f>
        <v>201400100074</v>
      </c>
      <c r="C51" s="3">
        <v>56045</v>
      </c>
      <c r="D51" s="3" t="s">
        <v>297</v>
      </c>
      <c r="E51" s="3">
        <v>20507840613</v>
      </c>
      <c r="F51" s="3" t="s">
        <v>298</v>
      </c>
      <c r="G51" s="3" t="s">
        <v>55</v>
      </c>
      <c r="H51" s="3" t="s">
        <v>56</v>
      </c>
      <c r="I51" s="3" t="s">
        <v>56</v>
      </c>
      <c r="J51" s="3" t="s">
        <v>57</v>
      </c>
      <c r="K51" s="3" t="s">
        <v>299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 t="s">
        <v>300</v>
      </c>
      <c r="AL51" s="4">
        <v>41878</v>
      </c>
      <c r="AM51" s="3"/>
      <c r="AN51" s="3" t="s">
        <v>60</v>
      </c>
    </row>
    <row r="52" spans="1:40" x14ac:dyDescent="0.3">
      <c r="A52" s="3">
        <v>46</v>
      </c>
      <c r="B52" s="3" t="str">
        <f>"1657249"</f>
        <v>1657249</v>
      </c>
      <c r="C52" s="3">
        <v>41164</v>
      </c>
      <c r="D52" s="3" t="s">
        <v>301</v>
      </c>
      <c r="E52" s="3">
        <v>10181955967</v>
      </c>
      <c r="F52" s="3" t="s">
        <v>302</v>
      </c>
      <c r="G52" s="3" t="s">
        <v>303</v>
      </c>
      <c r="H52" s="3" t="s">
        <v>44</v>
      </c>
      <c r="I52" s="3" t="s">
        <v>45</v>
      </c>
      <c r="J52" s="3" t="s">
        <v>304</v>
      </c>
      <c r="K52" s="3" t="s">
        <v>305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 t="s">
        <v>306</v>
      </c>
      <c r="AL52" s="4">
        <v>39051</v>
      </c>
      <c r="AM52" s="3"/>
      <c r="AN52" s="3"/>
    </row>
    <row r="53" spans="1:40" x14ac:dyDescent="0.3">
      <c r="A53" s="3">
        <v>47</v>
      </c>
      <c r="B53" s="3" t="str">
        <f>"1267280"</f>
        <v>1267280</v>
      </c>
      <c r="C53" s="3">
        <v>18055</v>
      </c>
      <c r="D53" s="3">
        <v>1267280</v>
      </c>
      <c r="E53" s="3">
        <v>10070895523</v>
      </c>
      <c r="F53" s="3" t="s">
        <v>307</v>
      </c>
      <c r="G53" s="3" t="s">
        <v>308</v>
      </c>
      <c r="H53" s="3" t="s">
        <v>56</v>
      </c>
      <c r="I53" s="3" t="s">
        <v>56</v>
      </c>
      <c r="J53" s="3" t="s">
        <v>309</v>
      </c>
      <c r="K53" s="3" t="s">
        <v>310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 t="s">
        <v>81</v>
      </c>
      <c r="AL53" s="4">
        <v>36546</v>
      </c>
      <c r="AM53" s="3"/>
      <c r="AN53" s="3"/>
    </row>
    <row r="54" spans="1:40" x14ac:dyDescent="0.3">
      <c r="A54" s="3">
        <v>48</v>
      </c>
      <c r="B54" s="3" t="str">
        <f>"1116565"</f>
        <v>1116565</v>
      </c>
      <c r="C54" s="3">
        <v>3600</v>
      </c>
      <c r="D54" s="3">
        <v>1116565</v>
      </c>
      <c r="E54" s="3">
        <v>10074260671</v>
      </c>
      <c r="F54" s="3" t="s">
        <v>311</v>
      </c>
      <c r="G54" s="3" t="s">
        <v>312</v>
      </c>
      <c r="H54" s="3" t="s">
        <v>56</v>
      </c>
      <c r="I54" s="3" t="s">
        <v>56</v>
      </c>
      <c r="J54" s="3" t="s">
        <v>313</v>
      </c>
      <c r="K54" s="3" t="s">
        <v>314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 t="s">
        <v>233</v>
      </c>
      <c r="AL54" s="4">
        <v>35527</v>
      </c>
      <c r="AM54" s="3"/>
      <c r="AN54" s="3"/>
    </row>
    <row r="55" spans="1:40" x14ac:dyDescent="0.3">
      <c r="A55" s="3">
        <v>49</v>
      </c>
      <c r="B55" s="3" t="str">
        <f>"201300135401"</f>
        <v>201300135401</v>
      </c>
      <c r="C55" s="3">
        <v>45158</v>
      </c>
      <c r="D55" s="3" t="s">
        <v>315</v>
      </c>
      <c r="E55" s="3">
        <v>10011558599</v>
      </c>
      <c r="F55" s="3" t="s">
        <v>316</v>
      </c>
      <c r="G55" s="3" t="s">
        <v>317</v>
      </c>
      <c r="H55" s="3" t="s">
        <v>318</v>
      </c>
      <c r="I55" s="3" t="s">
        <v>319</v>
      </c>
      <c r="J55" s="3" t="s">
        <v>319</v>
      </c>
      <c r="K55" s="3" t="s">
        <v>320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 t="s">
        <v>321</v>
      </c>
      <c r="AL55" s="3" t="s">
        <v>290</v>
      </c>
      <c r="AM55" s="3"/>
      <c r="AN55" s="3" t="s">
        <v>322</v>
      </c>
    </row>
    <row r="56" spans="1:40" x14ac:dyDescent="0.3">
      <c r="A56" s="3">
        <v>50</v>
      </c>
      <c r="B56" s="3" t="str">
        <f>"1647774"</f>
        <v>1647774</v>
      </c>
      <c r="C56" s="3">
        <v>44258</v>
      </c>
      <c r="D56" s="3" t="s">
        <v>323</v>
      </c>
      <c r="E56" s="3">
        <v>10296799462</v>
      </c>
      <c r="F56" s="3" t="s">
        <v>324</v>
      </c>
      <c r="G56" s="3" t="s">
        <v>325</v>
      </c>
      <c r="H56" s="3" t="s">
        <v>97</v>
      </c>
      <c r="I56" s="3" t="s">
        <v>97</v>
      </c>
      <c r="J56" s="3" t="s">
        <v>326</v>
      </c>
      <c r="K56" s="3" t="s">
        <v>327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 t="s">
        <v>187</v>
      </c>
      <c r="AL56" s="4">
        <v>39013</v>
      </c>
      <c r="AM56" s="3"/>
      <c r="AN56" s="3"/>
    </row>
    <row r="57" spans="1:40" x14ac:dyDescent="0.3">
      <c r="A57" s="3">
        <v>51</v>
      </c>
      <c r="B57" s="3" t="str">
        <f>"1333353"</f>
        <v>1333353</v>
      </c>
      <c r="C57" s="3">
        <v>21254</v>
      </c>
      <c r="D57" s="3" t="s">
        <v>328</v>
      </c>
      <c r="E57" s="3">
        <v>10092846615</v>
      </c>
      <c r="F57" s="3" t="s">
        <v>329</v>
      </c>
      <c r="G57" s="3" t="s">
        <v>330</v>
      </c>
      <c r="H57" s="3" t="s">
        <v>56</v>
      </c>
      <c r="I57" s="3" t="s">
        <v>56</v>
      </c>
      <c r="J57" s="3" t="s">
        <v>331</v>
      </c>
      <c r="K57" s="3" t="s">
        <v>332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 t="s">
        <v>81</v>
      </c>
      <c r="AL57" s="4">
        <v>37131</v>
      </c>
      <c r="AM57" s="3"/>
      <c r="AN57" s="3"/>
    </row>
    <row r="58" spans="1:40" x14ac:dyDescent="0.3">
      <c r="A58" s="3">
        <v>52</v>
      </c>
      <c r="B58" s="3" t="str">
        <f>"201800021369"</f>
        <v>201800021369</v>
      </c>
      <c r="C58" s="3">
        <v>134411</v>
      </c>
      <c r="D58" s="3" t="s">
        <v>333</v>
      </c>
      <c r="E58" s="3">
        <v>20100366747</v>
      </c>
      <c r="F58" s="3" t="s">
        <v>334</v>
      </c>
      <c r="G58" s="3" t="s">
        <v>335</v>
      </c>
      <c r="H58" s="3" t="s">
        <v>56</v>
      </c>
      <c r="I58" s="3" t="s">
        <v>56</v>
      </c>
      <c r="J58" s="3" t="s">
        <v>185</v>
      </c>
      <c r="K58" s="3" t="s">
        <v>336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 t="s">
        <v>337</v>
      </c>
      <c r="AL58" s="4">
        <v>43144</v>
      </c>
      <c r="AM58" s="3"/>
      <c r="AN58" s="3" t="s">
        <v>262</v>
      </c>
    </row>
    <row r="59" spans="1:40" x14ac:dyDescent="0.3">
      <c r="A59" s="3">
        <v>53</v>
      </c>
      <c r="B59" s="3" t="str">
        <f>"1965267"</f>
        <v>1965267</v>
      </c>
      <c r="C59" s="3">
        <v>85515</v>
      </c>
      <c r="D59" s="3" t="s">
        <v>338</v>
      </c>
      <c r="E59" s="3">
        <v>20223603298</v>
      </c>
      <c r="F59" s="3" t="s">
        <v>339</v>
      </c>
      <c r="G59" s="3" t="s">
        <v>340</v>
      </c>
      <c r="H59" s="3" t="s">
        <v>97</v>
      </c>
      <c r="I59" s="3" t="s">
        <v>97</v>
      </c>
      <c r="J59" s="3" t="s">
        <v>341</v>
      </c>
      <c r="K59" s="3" t="s">
        <v>342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 t="s">
        <v>343</v>
      </c>
      <c r="AL59" s="4">
        <v>40218</v>
      </c>
      <c r="AM59" s="3"/>
      <c r="AN59" s="3"/>
    </row>
    <row r="60" spans="1:40" x14ac:dyDescent="0.3">
      <c r="A60" s="3">
        <v>54</v>
      </c>
      <c r="B60" s="3" t="str">
        <f>"201900011808"</f>
        <v>201900011808</v>
      </c>
      <c r="C60" s="3">
        <v>140918</v>
      </c>
      <c r="D60" s="3" t="s">
        <v>344</v>
      </c>
      <c r="E60" s="3">
        <v>20568592922</v>
      </c>
      <c r="F60" s="3" t="s">
        <v>345</v>
      </c>
      <c r="G60" s="3" t="s">
        <v>346</v>
      </c>
      <c r="H60" s="3" t="s">
        <v>237</v>
      </c>
      <c r="I60" s="3" t="s">
        <v>238</v>
      </c>
      <c r="J60" s="3" t="s">
        <v>238</v>
      </c>
      <c r="K60" s="3" t="s">
        <v>347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 t="s">
        <v>187</v>
      </c>
      <c r="AL60" s="4">
        <v>43496</v>
      </c>
      <c r="AM60" s="3"/>
      <c r="AN60" s="3" t="s">
        <v>348</v>
      </c>
    </row>
    <row r="61" spans="1:40" x14ac:dyDescent="0.3">
      <c r="A61" s="3">
        <v>55</v>
      </c>
      <c r="B61" s="3" t="str">
        <f>"1531590"</f>
        <v>1531590</v>
      </c>
      <c r="C61" s="3">
        <v>39943</v>
      </c>
      <c r="D61" s="3" t="s">
        <v>349</v>
      </c>
      <c r="E61" s="3">
        <v>10024210117</v>
      </c>
      <c r="F61" s="3" t="s">
        <v>350</v>
      </c>
      <c r="G61" s="3" t="s">
        <v>351</v>
      </c>
      <c r="H61" s="3" t="s">
        <v>222</v>
      </c>
      <c r="I61" s="3" t="s">
        <v>223</v>
      </c>
      <c r="J61" s="3" t="s">
        <v>224</v>
      </c>
      <c r="K61" s="3" t="s">
        <v>352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 t="s">
        <v>353</v>
      </c>
      <c r="AL61" s="4">
        <v>38441</v>
      </c>
      <c r="AM61" s="3"/>
      <c r="AN61" s="3"/>
    </row>
    <row r="62" spans="1:40" x14ac:dyDescent="0.3">
      <c r="A62" s="3">
        <v>56</v>
      </c>
      <c r="B62" s="3" t="str">
        <f>"1471292"</f>
        <v>1471292</v>
      </c>
      <c r="C62" s="3">
        <v>36457</v>
      </c>
      <c r="D62" s="3" t="s">
        <v>354</v>
      </c>
      <c r="E62" s="3">
        <v>17170141709</v>
      </c>
      <c r="F62" s="3" t="s">
        <v>355</v>
      </c>
      <c r="G62" s="3" t="s">
        <v>356</v>
      </c>
      <c r="H62" s="3" t="s">
        <v>357</v>
      </c>
      <c r="I62" s="3" t="s">
        <v>358</v>
      </c>
      <c r="J62" s="3" t="s">
        <v>359</v>
      </c>
      <c r="K62" s="3" t="s">
        <v>360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 t="s">
        <v>47</v>
      </c>
      <c r="AL62" s="4">
        <v>38110</v>
      </c>
      <c r="AM62" s="3"/>
      <c r="AN62" s="3"/>
    </row>
    <row r="63" spans="1:40" x14ac:dyDescent="0.3">
      <c r="A63" s="3">
        <v>57</v>
      </c>
      <c r="B63" s="3" t="str">
        <f>"1110442"</f>
        <v>1110442</v>
      </c>
      <c r="C63" s="3">
        <v>6520</v>
      </c>
      <c r="D63" s="3">
        <v>993173</v>
      </c>
      <c r="E63" s="3">
        <v>10066102411</v>
      </c>
      <c r="F63" s="3" t="s">
        <v>361</v>
      </c>
      <c r="G63" s="3" t="s">
        <v>362</v>
      </c>
      <c r="H63" s="3" t="s">
        <v>56</v>
      </c>
      <c r="I63" s="3" t="s">
        <v>56</v>
      </c>
      <c r="J63" s="3" t="s">
        <v>363</v>
      </c>
      <c r="K63" s="3" t="s">
        <v>364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 t="s">
        <v>187</v>
      </c>
      <c r="AL63" s="4">
        <v>35499</v>
      </c>
      <c r="AM63" s="3"/>
      <c r="AN63" s="3"/>
    </row>
    <row r="64" spans="1:40" ht="27.95" x14ac:dyDescent="0.3">
      <c r="A64" s="3">
        <v>58</v>
      </c>
      <c r="B64" s="3" t="str">
        <f>"201800136597"</f>
        <v>201800136597</v>
      </c>
      <c r="C64" s="3">
        <v>138086</v>
      </c>
      <c r="D64" s="3" t="s">
        <v>365</v>
      </c>
      <c r="E64" s="3">
        <v>20478005289</v>
      </c>
      <c r="F64" s="3" t="s">
        <v>366</v>
      </c>
      <c r="G64" s="3" t="s">
        <v>367</v>
      </c>
      <c r="H64" s="3" t="s">
        <v>56</v>
      </c>
      <c r="I64" s="3" t="s">
        <v>56</v>
      </c>
      <c r="J64" s="3" t="s">
        <v>363</v>
      </c>
      <c r="K64" s="3" t="s">
        <v>368</v>
      </c>
      <c r="L64" s="3" t="s">
        <v>369</v>
      </c>
      <c r="M64" s="3" t="s">
        <v>370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 t="s">
        <v>371</v>
      </c>
      <c r="AL64" s="4">
        <v>43334</v>
      </c>
      <c r="AM64" s="3"/>
      <c r="AN64" s="3" t="s">
        <v>372</v>
      </c>
    </row>
    <row r="65" spans="1:40" ht="27.95" x14ac:dyDescent="0.3">
      <c r="A65" s="3">
        <v>59</v>
      </c>
      <c r="B65" s="3" t="str">
        <f>"1185906"</f>
        <v>1185906</v>
      </c>
      <c r="C65" s="3">
        <v>16229</v>
      </c>
      <c r="D65" s="3">
        <v>1185906</v>
      </c>
      <c r="E65" s="3">
        <v>20219231688</v>
      </c>
      <c r="F65" s="3" t="s">
        <v>373</v>
      </c>
      <c r="G65" s="3" t="s">
        <v>374</v>
      </c>
      <c r="H65" s="3" t="s">
        <v>56</v>
      </c>
      <c r="I65" s="3" t="s">
        <v>56</v>
      </c>
      <c r="J65" s="3" t="s">
        <v>155</v>
      </c>
      <c r="K65" s="3" t="s">
        <v>375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 t="s">
        <v>187</v>
      </c>
      <c r="AL65" s="4">
        <v>35951</v>
      </c>
      <c r="AM65" s="3"/>
      <c r="AN65" s="3"/>
    </row>
    <row r="66" spans="1:40" x14ac:dyDescent="0.3">
      <c r="A66" s="3">
        <v>60</v>
      </c>
      <c r="B66" s="3" t="str">
        <f>"1106379"</f>
        <v>1106379</v>
      </c>
      <c r="C66" s="3">
        <v>2770</v>
      </c>
      <c r="D66" s="3">
        <v>1106379</v>
      </c>
      <c r="E66" s="3">
        <v>20100170761</v>
      </c>
      <c r="F66" s="3" t="s">
        <v>275</v>
      </c>
      <c r="G66" s="3" t="s">
        <v>276</v>
      </c>
      <c r="H66" s="3" t="s">
        <v>56</v>
      </c>
      <c r="I66" s="3" t="s">
        <v>56</v>
      </c>
      <c r="J66" s="3" t="s">
        <v>277</v>
      </c>
      <c r="K66" s="3" t="s">
        <v>376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 t="s">
        <v>218</v>
      </c>
      <c r="AL66" s="4">
        <v>35478</v>
      </c>
      <c r="AM66" s="3"/>
      <c r="AN66" s="3"/>
    </row>
    <row r="67" spans="1:40" x14ac:dyDescent="0.3">
      <c r="A67" s="3">
        <v>61</v>
      </c>
      <c r="B67" s="3" t="str">
        <f>"201700089846"</f>
        <v>201700089846</v>
      </c>
      <c r="C67" s="3">
        <v>128069</v>
      </c>
      <c r="D67" s="3" t="s">
        <v>377</v>
      </c>
      <c r="E67" s="3">
        <v>20543367720</v>
      </c>
      <c r="F67" s="3" t="s">
        <v>378</v>
      </c>
      <c r="G67" s="3" t="s">
        <v>379</v>
      </c>
      <c r="H67" s="3" t="s">
        <v>56</v>
      </c>
      <c r="I67" s="3" t="s">
        <v>56</v>
      </c>
      <c r="J67" s="3" t="s">
        <v>380</v>
      </c>
      <c r="K67" s="3" t="s">
        <v>381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 t="s">
        <v>256</v>
      </c>
      <c r="AL67" s="4">
        <v>42921</v>
      </c>
      <c r="AM67" s="3"/>
      <c r="AN67" s="3" t="s">
        <v>382</v>
      </c>
    </row>
    <row r="68" spans="1:40" x14ac:dyDescent="0.3">
      <c r="A68" s="3">
        <v>62</v>
      </c>
      <c r="B68" s="3" t="str">
        <f>"201900149509"</f>
        <v>201900149509</v>
      </c>
      <c r="C68" s="3">
        <v>146562</v>
      </c>
      <c r="D68" s="3" t="s">
        <v>383</v>
      </c>
      <c r="E68" s="3">
        <v>20452732701</v>
      </c>
      <c r="F68" s="3" t="s">
        <v>384</v>
      </c>
      <c r="G68" s="3" t="s">
        <v>385</v>
      </c>
      <c r="H68" s="3" t="s">
        <v>386</v>
      </c>
      <c r="I68" s="3" t="s">
        <v>387</v>
      </c>
      <c r="J68" s="3" t="s">
        <v>388</v>
      </c>
      <c r="K68" s="3" t="s">
        <v>389</v>
      </c>
      <c r="L68" s="3" t="s">
        <v>390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 t="s">
        <v>371</v>
      </c>
      <c r="AL68" s="4">
        <v>43739</v>
      </c>
      <c r="AM68" s="3"/>
      <c r="AN68" s="3" t="s">
        <v>391</v>
      </c>
    </row>
    <row r="69" spans="1:40" x14ac:dyDescent="0.3">
      <c r="A69" s="3">
        <v>63</v>
      </c>
      <c r="B69" s="3" t="str">
        <f>"201800039792"</f>
        <v>201800039792</v>
      </c>
      <c r="C69" s="3">
        <v>134977</v>
      </c>
      <c r="D69" s="3" t="s">
        <v>392</v>
      </c>
      <c r="E69" s="3">
        <v>10224183891</v>
      </c>
      <c r="F69" s="3" t="s">
        <v>393</v>
      </c>
      <c r="G69" s="3" t="s">
        <v>394</v>
      </c>
      <c r="H69" s="3" t="s">
        <v>395</v>
      </c>
      <c r="I69" s="3" t="s">
        <v>396</v>
      </c>
      <c r="J69" s="3" t="s">
        <v>397</v>
      </c>
      <c r="K69" s="3" t="s">
        <v>398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 t="s">
        <v>399</v>
      </c>
      <c r="AL69" s="4">
        <v>43256</v>
      </c>
      <c r="AM69" s="3"/>
      <c r="AN69" s="3" t="s">
        <v>393</v>
      </c>
    </row>
    <row r="70" spans="1:40" x14ac:dyDescent="0.3">
      <c r="A70" s="3">
        <v>64</v>
      </c>
      <c r="B70" s="3" t="str">
        <f>"1354191"</f>
        <v>1354191</v>
      </c>
      <c r="C70" s="3">
        <v>86913</v>
      </c>
      <c r="D70" s="3" t="s">
        <v>400</v>
      </c>
      <c r="E70" s="3">
        <v>10209884700</v>
      </c>
      <c r="F70" s="3" t="s">
        <v>401</v>
      </c>
      <c r="G70" s="3" t="s">
        <v>402</v>
      </c>
      <c r="H70" s="3" t="s">
        <v>75</v>
      </c>
      <c r="I70" s="3" t="s">
        <v>75</v>
      </c>
      <c r="J70" s="3" t="s">
        <v>76</v>
      </c>
      <c r="K70" s="3" t="s">
        <v>403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 t="s">
        <v>404</v>
      </c>
      <c r="AL70" s="4">
        <v>40319</v>
      </c>
      <c r="AM70" s="3"/>
      <c r="AN70" s="3" t="s">
        <v>401</v>
      </c>
    </row>
    <row r="71" spans="1:40" x14ac:dyDescent="0.3">
      <c r="A71" s="3">
        <v>65</v>
      </c>
      <c r="B71" s="3" t="str">
        <f>"201700129680"</f>
        <v>201700129680</v>
      </c>
      <c r="C71" s="3">
        <v>118614</v>
      </c>
      <c r="D71" s="3" t="s">
        <v>405</v>
      </c>
      <c r="E71" s="3">
        <v>20601661552</v>
      </c>
      <c r="F71" s="3" t="s">
        <v>406</v>
      </c>
      <c r="G71" s="3" t="s">
        <v>407</v>
      </c>
      <c r="H71" s="3" t="s">
        <v>172</v>
      </c>
      <c r="I71" s="3" t="s">
        <v>172</v>
      </c>
      <c r="J71" s="3" t="s">
        <v>173</v>
      </c>
      <c r="K71" s="3" t="s">
        <v>408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 t="s">
        <v>306</v>
      </c>
      <c r="AL71" s="4">
        <v>42965</v>
      </c>
      <c r="AM71" s="3"/>
      <c r="AN71" s="3" t="s">
        <v>409</v>
      </c>
    </row>
    <row r="72" spans="1:40" x14ac:dyDescent="0.3">
      <c r="A72" s="3">
        <v>66</v>
      </c>
      <c r="B72" s="3" t="str">
        <f>"1489181"</f>
        <v>1489181</v>
      </c>
      <c r="C72" s="3">
        <v>37773</v>
      </c>
      <c r="D72" s="3" t="s">
        <v>410</v>
      </c>
      <c r="E72" s="3">
        <v>10098952506</v>
      </c>
      <c r="F72" s="3" t="s">
        <v>411</v>
      </c>
      <c r="G72" s="3" t="s">
        <v>412</v>
      </c>
      <c r="H72" s="3" t="s">
        <v>56</v>
      </c>
      <c r="I72" s="3" t="s">
        <v>56</v>
      </c>
      <c r="J72" s="3" t="s">
        <v>63</v>
      </c>
      <c r="K72" s="3" t="s">
        <v>413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 t="s">
        <v>187</v>
      </c>
      <c r="AL72" s="4">
        <v>38281</v>
      </c>
      <c r="AM72" s="3"/>
      <c r="AN72" s="3"/>
    </row>
    <row r="73" spans="1:40" x14ac:dyDescent="0.3">
      <c r="A73" s="3">
        <v>67</v>
      </c>
      <c r="B73" s="3" t="str">
        <f>"201400046297"</f>
        <v>201400046297</v>
      </c>
      <c r="C73" s="3">
        <v>108904</v>
      </c>
      <c r="D73" s="3" t="s">
        <v>414</v>
      </c>
      <c r="E73" s="3">
        <v>10292984478</v>
      </c>
      <c r="F73" s="3" t="s">
        <v>415</v>
      </c>
      <c r="G73" s="3" t="s">
        <v>416</v>
      </c>
      <c r="H73" s="3" t="s">
        <v>97</v>
      </c>
      <c r="I73" s="3" t="s">
        <v>97</v>
      </c>
      <c r="J73" s="3" t="s">
        <v>417</v>
      </c>
      <c r="K73" s="3" t="s">
        <v>418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 t="s">
        <v>419</v>
      </c>
      <c r="AL73" s="4">
        <v>41742</v>
      </c>
      <c r="AM73" s="3"/>
      <c r="AN73" s="3" t="s">
        <v>415</v>
      </c>
    </row>
    <row r="74" spans="1:40" x14ac:dyDescent="0.3">
      <c r="A74" s="3">
        <v>68</v>
      </c>
      <c r="B74" s="3" t="str">
        <f>"1281404"</f>
        <v>1281404</v>
      </c>
      <c r="C74" s="3">
        <v>19648</v>
      </c>
      <c r="D74" s="3">
        <v>1281404</v>
      </c>
      <c r="E74" s="3">
        <v>10153442971</v>
      </c>
      <c r="F74" s="3" t="s">
        <v>420</v>
      </c>
      <c r="G74" s="3" t="s">
        <v>421</v>
      </c>
      <c r="H74" s="3" t="s">
        <v>56</v>
      </c>
      <c r="I74" s="3" t="s">
        <v>422</v>
      </c>
      <c r="J74" s="3" t="s">
        <v>423</v>
      </c>
      <c r="K74" s="3" t="s">
        <v>424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 t="s">
        <v>425</v>
      </c>
      <c r="AL74" s="4">
        <v>36691</v>
      </c>
      <c r="AM74" s="3"/>
      <c r="AN74" s="3"/>
    </row>
    <row r="75" spans="1:40" x14ac:dyDescent="0.3">
      <c r="A75" s="3">
        <v>69</v>
      </c>
      <c r="B75" s="3" t="str">
        <f>"201600034982"</f>
        <v>201600034982</v>
      </c>
      <c r="C75" s="3">
        <v>96332</v>
      </c>
      <c r="D75" s="3" t="s">
        <v>426</v>
      </c>
      <c r="E75" s="3">
        <v>20100366747</v>
      </c>
      <c r="F75" s="3" t="s">
        <v>258</v>
      </c>
      <c r="G75" s="3" t="s">
        <v>259</v>
      </c>
      <c r="H75" s="3" t="s">
        <v>56</v>
      </c>
      <c r="I75" s="3" t="s">
        <v>56</v>
      </c>
      <c r="J75" s="3" t="s">
        <v>185</v>
      </c>
      <c r="K75" s="3" t="s">
        <v>427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 t="s">
        <v>428</v>
      </c>
      <c r="AL75" s="4">
        <v>42475</v>
      </c>
      <c r="AM75" s="3"/>
      <c r="AN75" s="3" t="s">
        <v>262</v>
      </c>
    </row>
    <row r="76" spans="1:40" ht="27.95" x14ac:dyDescent="0.3">
      <c r="A76" s="3">
        <v>70</v>
      </c>
      <c r="B76" s="3" t="str">
        <f>"1638874"</f>
        <v>1638874</v>
      </c>
      <c r="C76" s="3">
        <v>44210</v>
      </c>
      <c r="D76" s="3" t="s">
        <v>429</v>
      </c>
      <c r="E76" s="3">
        <v>20508069015</v>
      </c>
      <c r="F76" s="3" t="s">
        <v>430</v>
      </c>
      <c r="G76" s="3" t="s">
        <v>431</v>
      </c>
      <c r="H76" s="3" t="s">
        <v>56</v>
      </c>
      <c r="I76" s="3" t="s">
        <v>56</v>
      </c>
      <c r="J76" s="3" t="s">
        <v>432</v>
      </c>
      <c r="K76" s="3" t="s">
        <v>433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 t="s">
        <v>434</v>
      </c>
      <c r="AL76" s="4">
        <v>38994</v>
      </c>
      <c r="AM76" s="3"/>
      <c r="AN76" s="3"/>
    </row>
    <row r="77" spans="1:40" x14ac:dyDescent="0.3">
      <c r="A77" s="3">
        <v>71</v>
      </c>
      <c r="B77" s="3" t="str">
        <f>"1949633"</f>
        <v>1949633</v>
      </c>
      <c r="C77" s="3">
        <v>85012</v>
      </c>
      <c r="D77" s="3" t="s">
        <v>435</v>
      </c>
      <c r="E77" s="3">
        <v>20512439196</v>
      </c>
      <c r="F77" s="3" t="s">
        <v>436</v>
      </c>
      <c r="G77" s="3" t="s">
        <v>437</v>
      </c>
      <c r="H77" s="3" t="s">
        <v>56</v>
      </c>
      <c r="I77" s="3" t="s">
        <v>56</v>
      </c>
      <c r="J77" s="3" t="s">
        <v>56</v>
      </c>
      <c r="K77" s="3" t="s">
        <v>438</v>
      </c>
      <c r="L77" s="3" t="s">
        <v>439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 t="s">
        <v>440</v>
      </c>
      <c r="AL77" s="4">
        <v>40177</v>
      </c>
      <c r="AM77" s="3"/>
      <c r="AN77" s="3"/>
    </row>
    <row r="78" spans="1:40" x14ac:dyDescent="0.3">
      <c r="A78" s="3">
        <v>72</v>
      </c>
      <c r="B78" s="3" t="str">
        <f>"201800021372"</f>
        <v>201800021372</v>
      </c>
      <c r="C78" s="3">
        <v>134412</v>
      </c>
      <c r="D78" s="3" t="s">
        <v>441</v>
      </c>
      <c r="E78" s="3">
        <v>20100366747</v>
      </c>
      <c r="F78" s="3" t="s">
        <v>258</v>
      </c>
      <c r="G78" s="3" t="s">
        <v>335</v>
      </c>
      <c r="H78" s="3" t="s">
        <v>56</v>
      </c>
      <c r="I78" s="3" t="s">
        <v>56</v>
      </c>
      <c r="J78" s="3" t="s">
        <v>185</v>
      </c>
      <c r="K78" s="3" t="s">
        <v>442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 t="s">
        <v>337</v>
      </c>
      <c r="AL78" s="4">
        <v>43144</v>
      </c>
      <c r="AM78" s="3"/>
      <c r="AN78" s="3" t="s">
        <v>262</v>
      </c>
    </row>
    <row r="79" spans="1:40" x14ac:dyDescent="0.3">
      <c r="A79" s="3">
        <v>73</v>
      </c>
      <c r="B79" s="3" t="str">
        <f>"1795358"</f>
        <v>1795358</v>
      </c>
      <c r="C79" s="3">
        <v>62686</v>
      </c>
      <c r="D79" s="3" t="s">
        <v>443</v>
      </c>
      <c r="E79" s="3">
        <v>10292917177</v>
      </c>
      <c r="F79" s="3" t="s">
        <v>444</v>
      </c>
      <c r="G79" s="3" t="s">
        <v>445</v>
      </c>
      <c r="H79" s="3" t="s">
        <v>446</v>
      </c>
      <c r="I79" s="3" t="s">
        <v>446</v>
      </c>
      <c r="J79" s="3" t="s">
        <v>447</v>
      </c>
      <c r="K79" s="3" t="s">
        <v>448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 t="s">
        <v>449</v>
      </c>
      <c r="AL79" s="4">
        <v>39589</v>
      </c>
      <c r="AM79" s="3"/>
      <c r="AN79" s="3"/>
    </row>
    <row r="80" spans="1:40" x14ac:dyDescent="0.3">
      <c r="A80" s="3">
        <v>74</v>
      </c>
      <c r="B80" s="3" t="str">
        <f>"201700030827"</f>
        <v>201700030827</v>
      </c>
      <c r="C80" s="3">
        <v>44591</v>
      </c>
      <c r="D80" s="3" t="s">
        <v>450</v>
      </c>
      <c r="E80" s="3">
        <v>20100366747</v>
      </c>
      <c r="F80" s="3" t="s">
        <v>334</v>
      </c>
      <c r="G80" s="3" t="s">
        <v>451</v>
      </c>
      <c r="H80" s="3" t="s">
        <v>56</v>
      </c>
      <c r="I80" s="3" t="s">
        <v>56</v>
      </c>
      <c r="J80" s="3" t="s">
        <v>185</v>
      </c>
      <c r="K80" s="3" t="s">
        <v>452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 t="s">
        <v>453</v>
      </c>
      <c r="AL80" s="4">
        <v>42804</v>
      </c>
      <c r="AM80" s="3"/>
      <c r="AN80" s="3" t="s">
        <v>262</v>
      </c>
    </row>
    <row r="81" spans="1:40" x14ac:dyDescent="0.3">
      <c r="A81" s="3">
        <v>75</v>
      </c>
      <c r="B81" s="3" t="str">
        <f>"201700090325"</f>
        <v>201700090325</v>
      </c>
      <c r="C81" s="3">
        <v>127821</v>
      </c>
      <c r="D81" s="3" t="s">
        <v>454</v>
      </c>
      <c r="E81" s="3">
        <v>20601661552</v>
      </c>
      <c r="F81" s="3" t="s">
        <v>455</v>
      </c>
      <c r="G81" s="3" t="s">
        <v>456</v>
      </c>
      <c r="H81" s="3" t="s">
        <v>172</v>
      </c>
      <c r="I81" s="3" t="s">
        <v>172</v>
      </c>
      <c r="J81" s="3" t="s">
        <v>173</v>
      </c>
      <c r="K81" s="3" t="s">
        <v>457</v>
      </c>
      <c r="L81" s="3" t="s">
        <v>458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 t="s">
        <v>459</v>
      </c>
      <c r="AL81" s="4">
        <v>42907</v>
      </c>
      <c r="AM81" s="3"/>
      <c r="AN81" s="3" t="s">
        <v>460</v>
      </c>
    </row>
    <row r="82" spans="1:40" ht="27.95" x14ac:dyDescent="0.3">
      <c r="A82" s="3">
        <v>76</v>
      </c>
      <c r="B82" s="3" t="str">
        <f>"1556577"</f>
        <v>1556577</v>
      </c>
      <c r="C82" s="3">
        <v>41439</v>
      </c>
      <c r="D82" s="3" t="s">
        <v>461</v>
      </c>
      <c r="E82" s="3">
        <v>10235218831</v>
      </c>
      <c r="F82" s="3" t="s">
        <v>462</v>
      </c>
      <c r="G82" s="3" t="s">
        <v>463</v>
      </c>
      <c r="H82" s="3" t="s">
        <v>56</v>
      </c>
      <c r="I82" s="3" t="s">
        <v>56</v>
      </c>
      <c r="J82" s="3" t="s">
        <v>57</v>
      </c>
      <c r="K82" s="3" t="s">
        <v>464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 t="s">
        <v>187</v>
      </c>
      <c r="AL82" s="4">
        <v>38601</v>
      </c>
      <c r="AM82" s="3"/>
      <c r="AN82" s="3"/>
    </row>
    <row r="83" spans="1:40" x14ac:dyDescent="0.3">
      <c r="A83" s="3">
        <v>77</v>
      </c>
      <c r="B83" s="3" t="str">
        <f>"1612665"</f>
        <v>1612665</v>
      </c>
      <c r="C83" s="3">
        <v>43070</v>
      </c>
      <c r="D83" s="3" t="s">
        <v>465</v>
      </c>
      <c r="E83" s="3">
        <v>10282760431</v>
      </c>
      <c r="F83" s="3" t="s">
        <v>466</v>
      </c>
      <c r="G83" s="3" t="s">
        <v>467</v>
      </c>
      <c r="H83" s="3" t="s">
        <v>386</v>
      </c>
      <c r="I83" s="3" t="s">
        <v>387</v>
      </c>
      <c r="J83" s="3" t="s">
        <v>388</v>
      </c>
      <c r="K83" s="3" t="s">
        <v>468</v>
      </c>
      <c r="L83" s="3" t="s">
        <v>469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 t="s">
        <v>470</v>
      </c>
      <c r="AL83" s="4">
        <v>38938</v>
      </c>
      <c r="AM83" s="3"/>
      <c r="AN83" s="3"/>
    </row>
    <row r="84" spans="1:40" x14ac:dyDescent="0.3">
      <c r="A84" s="3">
        <v>78</v>
      </c>
      <c r="B84" s="3" t="str">
        <f>"201400100098"</f>
        <v>201400100098</v>
      </c>
      <c r="C84" s="3">
        <v>43270</v>
      </c>
      <c r="D84" s="3" t="s">
        <v>471</v>
      </c>
      <c r="E84" s="3">
        <v>20507840613</v>
      </c>
      <c r="F84" s="3" t="s">
        <v>298</v>
      </c>
      <c r="G84" s="3" t="s">
        <v>55</v>
      </c>
      <c r="H84" s="3" t="s">
        <v>56</v>
      </c>
      <c r="I84" s="3" t="s">
        <v>56</v>
      </c>
      <c r="J84" s="3" t="s">
        <v>57</v>
      </c>
      <c r="K84" s="3" t="s">
        <v>472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 t="s">
        <v>473</v>
      </c>
      <c r="AL84" s="4">
        <v>41856</v>
      </c>
      <c r="AM84" s="3"/>
      <c r="AN84" s="3" t="s">
        <v>60</v>
      </c>
    </row>
    <row r="85" spans="1:40" x14ac:dyDescent="0.3">
      <c r="A85" s="3">
        <v>79</v>
      </c>
      <c r="B85" s="3" t="str">
        <f>"1425249"</f>
        <v>1425249</v>
      </c>
      <c r="C85" s="3">
        <v>35658</v>
      </c>
      <c r="D85" s="3" t="s">
        <v>474</v>
      </c>
      <c r="E85" s="3">
        <v>10104879140</v>
      </c>
      <c r="F85" s="3" t="s">
        <v>153</v>
      </c>
      <c r="G85" s="3" t="s">
        <v>475</v>
      </c>
      <c r="H85" s="3" t="s">
        <v>56</v>
      </c>
      <c r="I85" s="3" t="s">
        <v>56</v>
      </c>
      <c r="J85" s="3" t="s">
        <v>155</v>
      </c>
      <c r="K85" s="3" t="s">
        <v>476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 t="s">
        <v>477</v>
      </c>
      <c r="AL85" s="4">
        <v>37873</v>
      </c>
      <c r="AM85" s="3"/>
      <c r="AN85" s="3"/>
    </row>
    <row r="86" spans="1:40" x14ac:dyDescent="0.3">
      <c r="A86" s="3">
        <v>80</v>
      </c>
      <c r="B86" s="3" t="str">
        <f>"201600079667"</f>
        <v>201600079667</v>
      </c>
      <c r="C86" s="3">
        <v>83229</v>
      </c>
      <c r="D86" s="3" t="s">
        <v>478</v>
      </c>
      <c r="E86" s="3">
        <v>20516667816</v>
      </c>
      <c r="F86" s="3" t="s">
        <v>479</v>
      </c>
      <c r="G86" s="3" t="s">
        <v>480</v>
      </c>
      <c r="H86" s="3" t="s">
        <v>56</v>
      </c>
      <c r="I86" s="3" t="s">
        <v>56</v>
      </c>
      <c r="J86" s="3" t="s">
        <v>481</v>
      </c>
      <c r="K86" s="3" t="s">
        <v>482</v>
      </c>
      <c r="L86" s="3" t="s">
        <v>483</v>
      </c>
      <c r="M86" s="3" t="s">
        <v>484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 t="s">
        <v>485</v>
      </c>
      <c r="AL86" s="4">
        <v>42523</v>
      </c>
      <c r="AM86" s="3"/>
      <c r="AN86" s="3" t="s">
        <v>486</v>
      </c>
    </row>
    <row r="87" spans="1:40" x14ac:dyDescent="0.3">
      <c r="A87" s="3">
        <v>81</v>
      </c>
      <c r="B87" s="3" t="str">
        <f>"1425236"</f>
        <v>1425236</v>
      </c>
      <c r="C87" s="3">
        <v>35159</v>
      </c>
      <c r="D87" s="3" t="s">
        <v>487</v>
      </c>
      <c r="E87" s="3">
        <v>20310341755</v>
      </c>
      <c r="F87" s="3" t="s">
        <v>488</v>
      </c>
      <c r="G87" s="3" t="s">
        <v>489</v>
      </c>
      <c r="H87" s="3" t="s">
        <v>395</v>
      </c>
      <c r="I87" s="3" t="s">
        <v>396</v>
      </c>
      <c r="J87" s="3" t="s">
        <v>490</v>
      </c>
      <c r="K87" s="3" t="s">
        <v>491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 t="s">
        <v>477</v>
      </c>
      <c r="AL87" s="4">
        <v>37813</v>
      </c>
      <c r="AM87" s="3"/>
      <c r="AN87" s="3"/>
    </row>
    <row r="88" spans="1:40" x14ac:dyDescent="0.3">
      <c r="A88" s="3">
        <v>82</v>
      </c>
      <c r="B88" s="3" t="str">
        <f>"201400067542"</f>
        <v>201400067542</v>
      </c>
      <c r="C88" s="3">
        <v>106404</v>
      </c>
      <c r="D88" s="3" t="s">
        <v>492</v>
      </c>
      <c r="E88" s="3">
        <v>20219520281</v>
      </c>
      <c r="F88" s="3" t="s">
        <v>493</v>
      </c>
      <c r="G88" s="3" t="s">
        <v>494</v>
      </c>
      <c r="H88" s="3" t="s">
        <v>318</v>
      </c>
      <c r="I88" s="3" t="s">
        <v>319</v>
      </c>
      <c r="J88" s="3" t="s">
        <v>495</v>
      </c>
      <c r="K88" s="3" t="s">
        <v>496</v>
      </c>
      <c r="L88" s="3" t="s">
        <v>497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 t="s">
        <v>498</v>
      </c>
      <c r="AL88" s="4">
        <v>41793</v>
      </c>
      <c r="AM88" s="3"/>
      <c r="AN88" s="3" t="s">
        <v>499</v>
      </c>
    </row>
    <row r="89" spans="1:40" x14ac:dyDescent="0.3">
      <c r="A89" s="3">
        <v>83</v>
      </c>
      <c r="B89" s="3" t="str">
        <f>"1348214"</f>
        <v>1348214</v>
      </c>
      <c r="C89" s="3">
        <v>16316</v>
      </c>
      <c r="D89" s="3" t="s">
        <v>500</v>
      </c>
      <c r="E89" s="3">
        <v>10106519493</v>
      </c>
      <c r="F89" s="3" t="s">
        <v>501</v>
      </c>
      <c r="G89" s="3" t="s">
        <v>502</v>
      </c>
      <c r="H89" s="3" t="s">
        <v>56</v>
      </c>
      <c r="I89" s="3" t="s">
        <v>56</v>
      </c>
      <c r="J89" s="3" t="s">
        <v>155</v>
      </c>
      <c r="K89" s="3" t="s">
        <v>503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 t="s">
        <v>504</v>
      </c>
      <c r="AL89" s="4">
        <v>37265</v>
      </c>
      <c r="AM89" s="3"/>
      <c r="AN89" s="3"/>
    </row>
    <row r="90" spans="1:40" x14ac:dyDescent="0.3">
      <c r="A90" s="3">
        <v>84</v>
      </c>
      <c r="B90" s="3" t="str">
        <f>"201300178987"</f>
        <v>201300178987</v>
      </c>
      <c r="C90" s="3">
        <v>97374</v>
      </c>
      <c r="D90" s="3" t="s">
        <v>505</v>
      </c>
      <c r="E90" s="3">
        <v>20481744424</v>
      </c>
      <c r="F90" s="3" t="s">
        <v>506</v>
      </c>
      <c r="G90" s="3" t="s">
        <v>507</v>
      </c>
      <c r="H90" s="3" t="s">
        <v>44</v>
      </c>
      <c r="I90" s="3" t="s">
        <v>45</v>
      </c>
      <c r="J90" s="3" t="s">
        <v>45</v>
      </c>
      <c r="K90" s="3" t="s">
        <v>508</v>
      </c>
      <c r="L90" s="3" t="s">
        <v>509</v>
      </c>
      <c r="M90" s="3" t="s">
        <v>510</v>
      </c>
      <c r="N90" s="3" t="s">
        <v>511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 t="s">
        <v>512</v>
      </c>
      <c r="AL90" s="4">
        <v>41625</v>
      </c>
      <c r="AM90" s="3"/>
      <c r="AN90" s="3" t="s">
        <v>513</v>
      </c>
    </row>
    <row r="91" spans="1:40" x14ac:dyDescent="0.3">
      <c r="A91" s="3">
        <v>85</v>
      </c>
      <c r="B91" s="3" t="str">
        <f>"201700030839"</f>
        <v>201700030839</v>
      </c>
      <c r="C91" s="3">
        <v>121041</v>
      </c>
      <c r="D91" s="3" t="s">
        <v>514</v>
      </c>
      <c r="E91" s="3">
        <v>20351516560</v>
      </c>
      <c r="F91" s="3" t="s">
        <v>515</v>
      </c>
      <c r="G91" s="3" t="s">
        <v>516</v>
      </c>
      <c r="H91" s="3" t="s">
        <v>395</v>
      </c>
      <c r="I91" s="3" t="s">
        <v>396</v>
      </c>
      <c r="J91" s="3" t="s">
        <v>397</v>
      </c>
      <c r="K91" s="3" t="s">
        <v>517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 t="s">
        <v>518</v>
      </c>
      <c r="AL91" s="4">
        <v>42920</v>
      </c>
      <c r="AM91" s="3"/>
      <c r="AN91" s="3" t="s">
        <v>519</v>
      </c>
    </row>
    <row r="92" spans="1:40" x14ac:dyDescent="0.3">
      <c r="A92" s="3">
        <v>86</v>
      </c>
      <c r="B92" s="3" t="str">
        <f>"201700059628"</f>
        <v>201700059628</v>
      </c>
      <c r="C92" s="3">
        <v>127439</v>
      </c>
      <c r="D92" s="3" t="s">
        <v>520</v>
      </c>
      <c r="E92" s="3">
        <v>20572157394</v>
      </c>
      <c r="F92" s="3" t="s">
        <v>170</v>
      </c>
      <c r="G92" s="3" t="s">
        <v>171</v>
      </c>
      <c r="H92" s="3" t="s">
        <v>172</v>
      </c>
      <c r="I92" s="3" t="s">
        <v>172</v>
      </c>
      <c r="J92" s="3" t="s">
        <v>173</v>
      </c>
      <c r="K92" s="3" t="s">
        <v>521</v>
      </c>
      <c r="L92" s="3" t="s">
        <v>175</v>
      </c>
      <c r="M92" s="3" t="s">
        <v>176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 t="s">
        <v>177</v>
      </c>
      <c r="AL92" s="4">
        <v>42846</v>
      </c>
      <c r="AM92" s="3"/>
      <c r="AN92" s="3" t="s">
        <v>178</v>
      </c>
    </row>
    <row r="93" spans="1:40" x14ac:dyDescent="0.3">
      <c r="A93" s="3">
        <v>87</v>
      </c>
      <c r="B93" s="3" t="str">
        <f>"1274793"</f>
        <v>1274793</v>
      </c>
      <c r="C93" s="3">
        <v>18167</v>
      </c>
      <c r="D93" s="3">
        <v>1274793</v>
      </c>
      <c r="E93" s="3">
        <v>10101539712</v>
      </c>
      <c r="F93" s="3" t="s">
        <v>522</v>
      </c>
      <c r="G93" s="3" t="s">
        <v>523</v>
      </c>
      <c r="H93" s="3" t="s">
        <v>56</v>
      </c>
      <c r="I93" s="3" t="s">
        <v>56</v>
      </c>
      <c r="J93" s="3" t="s">
        <v>273</v>
      </c>
      <c r="K93" s="3" t="s">
        <v>524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 t="s">
        <v>525</v>
      </c>
      <c r="AL93" s="4">
        <v>36613</v>
      </c>
      <c r="AM93" s="3"/>
      <c r="AN93" s="3"/>
    </row>
    <row r="94" spans="1:40" x14ac:dyDescent="0.3">
      <c r="A94" s="3">
        <v>88</v>
      </c>
      <c r="B94" s="3" t="str">
        <f>"1975626"</f>
        <v>1975626</v>
      </c>
      <c r="C94" s="3">
        <v>45252</v>
      </c>
      <c r="D94" s="3" t="s">
        <v>526</v>
      </c>
      <c r="E94" s="3">
        <v>20514300691</v>
      </c>
      <c r="F94" s="3" t="s">
        <v>527</v>
      </c>
      <c r="G94" s="3" t="s">
        <v>528</v>
      </c>
      <c r="H94" s="3" t="s">
        <v>56</v>
      </c>
      <c r="I94" s="3" t="s">
        <v>56</v>
      </c>
      <c r="J94" s="3" t="s">
        <v>529</v>
      </c>
      <c r="K94" s="3" t="s">
        <v>530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 t="s">
        <v>371</v>
      </c>
      <c r="AL94" s="4">
        <v>40277</v>
      </c>
      <c r="AM94" s="3"/>
      <c r="AN94" s="3"/>
    </row>
    <row r="95" spans="1:40" x14ac:dyDescent="0.3">
      <c r="A95" s="3">
        <v>89</v>
      </c>
      <c r="B95" s="3" t="str">
        <f>"1547218"</f>
        <v>1547218</v>
      </c>
      <c r="C95" s="3">
        <v>41014</v>
      </c>
      <c r="D95" s="3" t="s">
        <v>531</v>
      </c>
      <c r="E95" s="3">
        <v>10026894099</v>
      </c>
      <c r="F95" s="3" t="s">
        <v>532</v>
      </c>
      <c r="G95" s="3" t="s">
        <v>533</v>
      </c>
      <c r="H95" s="3" t="s">
        <v>50</v>
      </c>
      <c r="I95" s="3" t="s">
        <v>50</v>
      </c>
      <c r="J95" s="3" t="s">
        <v>98</v>
      </c>
      <c r="K95" s="3" t="s">
        <v>534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 t="s">
        <v>187</v>
      </c>
      <c r="AL95" s="4">
        <v>38512</v>
      </c>
      <c r="AM95" s="3"/>
      <c r="AN95" s="3"/>
    </row>
    <row r="96" spans="1:40" x14ac:dyDescent="0.3">
      <c r="A96" s="3">
        <v>90</v>
      </c>
      <c r="B96" s="3" t="str">
        <f>"1294530"</f>
        <v>1294530</v>
      </c>
      <c r="C96" s="3">
        <v>19261</v>
      </c>
      <c r="D96" s="3">
        <v>974860</v>
      </c>
      <c r="E96" s="3">
        <v>10089502336</v>
      </c>
      <c r="F96" s="3" t="s">
        <v>535</v>
      </c>
      <c r="G96" s="3" t="s">
        <v>536</v>
      </c>
      <c r="H96" s="3" t="s">
        <v>56</v>
      </c>
      <c r="I96" s="3" t="s">
        <v>56</v>
      </c>
      <c r="J96" s="3" t="s">
        <v>331</v>
      </c>
      <c r="K96" s="3" t="s">
        <v>537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 t="s">
        <v>538</v>
      </c>
      <c r="AL96" s="4">
        <v>36790</v>
      </c>
      <c r="AM96" s="3"/>
      <c r="AN96" s="3"/>
    </row>
    <row r="97" spans="1:40" x14ac:dyDescent="0.3">
      <c r="A97" s="3">
        <v>91</v>
      </c>
      <c r="B97" s="3" t="str">
        <f>"201300096487"</f>
        <v>201300096487</v>
      </c>
      <c r="C97" s="3">
        <v>42225</v>
      </c>
      <c r="D97" s="3" t="s">
        <v>539</v>
      </c>
      <c r="E97" s="3">
        <v>20543992942</v>
      </c>
      <c r="F97" s="3" t="s">
        <v>540</v>
      </c>
      <c r="G97" s="3" t="s">
        <v>541</v>
      </c>
      <c r="H97" s="3" t="s">
        <v>56</v>
      </c>
      <c r="I97" s="3" t="s">
        <v>56</v>
      </c>
      <c r="J97" s="3" t="s">
        <v>380</v>
      </c>
      <c r="K97" s="3" t="s">
        <v>542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 t="s">
        <v>157</v>
      </c>
      <c r="AL97" s="3" t="s">
        <v>290</v>
      </c>
      <c r="AM97" s="3"/>
      <c r="AN97" s="3" t="s">
        <v>543</v>
      </c>
    </row>
    <row r="98" spans="1:40" x14ac:dyDescent="0.3">
      <c r="A98" s="3">
        <v>92</v>
      </c>
      <c r="B98" s="3" t="str">
        <f>"1425237"</f>
        <v>1425237</v>
      </c>
      <c r="C98" s="3">
        <v>35098</v>
      </c>
      <c r="D98" s="3" t="s">
        <v>544</v>
      </c>
      <c r="E98" s="3">
        <v>20310341755</v>
      </c>
      <c r="F98" s="3" t="s">
        <v>488</v>
      </c>
      <c r="G98" s="3" t="s">
        <v>489</v>
      </c>
      <c r="H98" s="3" t="s">
        <v>395</v>
      </c>
      <c r="I98" s="3" t="s">
        <v>396</v>
      </c>
      <c r="J98" s="3" t="s">
        <v>490</v>
      </c>
      <c r="K98" s="3" t="s">
        <v>545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 t="s">
        <v>546</v>
      </c>
      <c r="AL98" s="4">
        <v>37813</v>
      </c>
      <c r="AM98" s="3"/>
      <c r="AN98" s="3"/>
    </row>
    <row r="99" spans="1:40" x14ac:dyDescent="0.3">
      <c r="A99" s="3">
        <v>93</v>
      </c>
      <c r="B99" s="3" t="str">
        <f>"1425238"</f>
        <v>1425238</v>
      </c>
      <c r="C99" s="3">
        <v>35093</v>
      </c>
      <c r="D99" s="3" t="s">
        <v>547</v>
      </c>
      <c r="E99" s="3">
        <v>20310341755</v>
      </c>
      <c r="F99" s="3" t="s">
        <v>488</v>
      </c>
      <c r="G99" s="3" t="s">
        <v>489</v>
      </c>
      <c r="H99" s="3" t="s">
        <v>395</v>
      </c>
      <c r="I99" s="3" t="s">
        <v>396</v>
      </c>
      <c r="J99" s="3" t="s">
        <v>490</v>
      </c>
      <c r="K99" s="3" t="s">
        <v>548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 t="s">
        <v>546</v>
      </c>
      <c r="AL99" s="4">
        <v>37813</v>
      </c>
      <c r="AM99" s="3"/>
      <c r="AN99" s="3"/>
    </row>
    <row r="100" spans="1:40" x14ac:dyDescent="0.3">
      <c r="A100" s="3">
        <v>94</v>
      </c>
      <c r="B100" s="3" t="str">
        <f>"201400155454"</f>
        <v>201400155454</v>
      </c>
      <c r="C100" s="3">
        <v>94655</v>
      </c>
      <c r="D100" s="3" t="s">
        <v>549</v>
      </c>
      <c r="E100" s="3">
        <v>20541678817</v>
      </c>
      <c r="F100" s="3" t="s">
        <v>550</v>
      </c>
      <c r="G100" s="3" t="s">
        <v>551</v>
      </c>
      <c r="H100" s="3" t="s">
        <v>271</v>
      </c>
      <c r="I100" s="3" t="s">
        <v>552</v>
      </c>
      <c r="J100" s="3" t="s">
        <v>553</v>
      </c>
      <c r="K100" s="3" t="s">
        <v>554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 t="s">
        <v>555</v>
      </c>
      <c r="AL100" s="4">
        <v>41991</v>
      </c>
      <c r="AM100" s="3"/>
      <c r="AN100" s="3" t="s">
        <v>556</v>
      </c>
    </row>
    <row r="101" spans="1:40" x14ac:dyDescent="0.3">
      <c r="A101" s="3">
        <v>95</v>
      </c>
      <c r="B101" s="3" t="str">
        <f>"201300096483"</f>
        <v>201300096483</v>
      </c>
      <c r="C101" s="3">
        <v>41401</v>
      </c>
      <c r="D101" s="3" t="s">
        <v>557</v>
      </c>
      <c r="E101" s="3">
        <v>20543992942</v>
      </c>
      <c r="F101" s="3" t="s">
        <v>540</v>
      </c>
      <c r="G101" s="3" t="s">
        <v>558</v>
      </c>
      <c r="H101" s="3" t="s">
        <v>56</v>
      </c>
      <c r="I101" s="3" t="s">
        <v>56</v>
      </c>
      <c r="J101" s="3" t="s">
        <v>380</v>
      </c>
      <c r="K101" s="3" t="s">
        <v>559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 t="s">
        <v>157</v>
      </c>
      <c r="AL101" s="3" t="s">
        <v>290</v>
      </c>
      <c r="AM101" s="3"/>
      <c r="AN101" s="3" t="s">
        <v>543</v>
      </c>
    </row>
    <row r="102" spans="1:40" x14ac:dyDescent="0.3">
      <c r="A102" s="3">
        <v>96</v>
      </c>
      <c r="B102" s="3" t="str">
        <f>"201800021357"</f>
        <v>201800021357</v>
      </c>
      <c r="C102" s="3">
        <v>134410</v>
      </c>
      <c r="D102" s="3" t="s">
        <v>560</v>
      </c>
      <c r="E102" s="3">
        <v>20100366747</v>
      </c>
      <c r="F102" s="3" t="s">
        <v>258</v>
      </c>
      <c r="G102" s="3" t="s">
        <v>335</v>
      </c>
      <c r="H102" s="3" t="s">
        <v>56</v>
      </c>
      <c r="I102" s="3" t="s">
        <v>56</v>
      </c>
      <c r="J102" s="3" t="s">
        <v>185</v>
      </c>
      <c r="K102" s="3" t="s">
        <v>561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 t="s">
        <v>562</v>
      </c>
      <c r="AL102" s="4">
        <v>43144</v>
      </c>
      <c r="AM102" s="3"/>
      <c r="AN102" s="3" t="s">
        <v>262</v>
      </c>
    </row>
    <row r="103" spans="1:40" x14ac:dyDescent="0.3">
      <c r="A103" s="3">
        <v>97</v>
      </c>
      <c r="B103" s="3" t="str">
        <f>"201300150626"</f>
        <v>201300150626</v>
      </c>
      <c r="C103" s="3">
        <v>105383</v>
      </c>
      <c r="D103" s="3" t="s">
        <v>563</v>
      </c>
      <c r="E103" s="3">
        <v>20491700417</v>
      </c>
      <c r="F103" s="3" t="s">
        <v>564</v>
      </c>
      <c r="G103" s="3" t="s">
        <v>565</v>
      </c>
      <c r="H103" s="3" t="s">
        <v>357</v>
      </c>
      <c r="I103" s="3" t="s">
        <v>566</v>
      </c>
      <c r="J103" s="3" t="s">
        <v>566</v>
      </c>
      <c r="K103" s="3" t="s">
        <v>567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 t="s">
        <v>568</v>
      </c>
      <c r="AL103" s="3" t="s">
        <v>290</v>
      </c>
      <c r="AM103" s="3"/>
      <c r="AN103" s="3" t="s">
        <v>569</v>
      </c>
    </row>
    <row r="104" spans="1:40" x14ac:dyDescent="0.3">
      <c r="A104" s="3">
        <v>98</v>
      </c>
      <c r="B104" s="3" t="str">
        <f>"1265632"</f>
        <v>1265632</v>
      </c>
      <c r="C104" s="3">
        <v>18003</v>
      </c>
      <c r="D104" s="3">
        <v>1265632</v>
      </c>
      <c r="E104" s="3">
        <v>10088316229</v>
      </c>
      <c r="F104" s="3" t="s">
        <v>570</v>
      </c>
      <c r="G104" s="3" t="s">
        <v>571</v>
      </c>
      <c r="H104" s="3" t="s">
        <v>56</v>
      </c>
      <c r="I104" s="3" t="s">
        <v>56</v>
      </c>
      <c r="J104" s="3" t="s">
        <v>572</v>
      </c>
      <c r="K104" s="3" t="s">
        <v>573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 t="s">
        <v>574</v>
      </c>
      <c r="AL104" s="4">
        <v>36535</v>
      </c>
      <c r="AM104" s="3"/>
      <c r="AN104" s="3"/>
    </row>
    <row r="105" spans="1:40" x14ac:dyDescent="0.3">
      <c r="A105" s="3">
        <v>99</v>
      </c>
      <c r="B105" s="3" t="str">
        <f>"201700089837"</f>
        <v>201700089837</v>
      </c>
      <c r="C105" s="3">
        <v>129168</v>
      </c>
      <c r="D105" s="3" t="s">
        <v>575</v>
      </c>
      <c r="E105" s="3">
        <v>20543367720</v>
      </c>
      <c r="F105" s="3" t="s">
        <v>576</v>
      </c>
      <c r="G105" s="3" t="s">
        <v>577</v>
      </c>
      <c r="H105" s="3" t="s">
        <v>56</v>
      </c>
      <c r="I105" s="3" t="s">
        <v>56</v>
      </c>
      <c r="J105" s="3" t="s">
        <v>380</v>
      </c>
      <c r="K105" s="3" t="s">
        <v>578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 t="s">
        <v>579</v>
      </c>
      <c r="AL105" s="4">
        <v>42921</v>
      </c>
      <c r="AM105" s="3"/>
      <c r="AN105" s="3" t="s">
        <v>580</v>
      </c>
    </row>
    <row r="106" spans="1:40" x14ac:dyDescent="0.3">
      <c r="A106" s="3">
        <v>100</v>
      </c>
      <c r="B106" s="3" t="str">
        <f>"1547220"</f>
        <v>1547220</v>
      </c>
      <c r="C106" s="3">
        <v>41086</v>
      </c>
      <c r="D106" s="3" t="s">
        <v>581</v>
      </c>
      <c r="E106" s="3">
        <v>10026894099</v>
      </c>
      <c r="F106" s="3" t="s">
        <v>532</v>
      </c>
      <c r="G106" s="3" t="s">
        <v>533</v>
      </c>
      <c r="H106" s="3" t="s">
        <v>50</v>
      </c>
      <c r="I106" s="3" t="s">
        <v>50</v>
      </c>
      <c r="J106" s="3" t="s">
        <v>98</v>
      </c>
      <c r="K106" s="3" t="s">
        <v>582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 t="s">
        <v>583</v>
      </c>
      <c r="AL106" s="4">
        <v>38512</v>
      </c>
      <c r="AM106" s="3"/>
      <c r="AN106" s="3"/>
    </row>
    <row r="107" spans="1:40" x14ac:dyDescent="0.3">
      <c r="A107" s="3">
        <v>101</v>
      </c>
      <c r="B107" s="3" t="str">
        <f>"201500030842"</f>
        <v>201500030842</v>
      </c>
      <c r="C107" s="3">
        <v>114111</v>
      </c>
      <c r="D107" s="3" t="s">
        <v>584</v>
      </c>
      <c r="E107" s="3">
        <v>10418687369</v>
      </c>
      <c r="F107" s="3" t="s">
        <v>585</v>
      </c>
      <c r="G107" s="3" t="s">
        <v>586</v>
      </c>
      <c r="H107" s="3" t="s">
        <v>587</v>
      </c>
      <c r="I107" s="3" t="s">
        <v>588</v>
      </c>
      <c r="J107" s="3" t="s">
        <v>588</v>
      </c>
      <c r="K107" s="3" t="s">
        <v>589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 t="s">
        <v>230</v>
      </c>
      <c r="AL107" s="4">
        <v>42088</v>
      </c>
      <c r="AM107" s="3"/>
      <c r="AN107" s="3" t="s">
        <v>585</v>
      </c>
    </row>
    <row r="108" spans="1:40" x14ac:dyDescent="0.3">
      <c r="A108" s="3">
        <v>102</v>
      </c>
      <c r="B108" s="3" t="str">
        <f>"201700129674"</f>
        <v>201700129674</v>
      </c>
      <c r="C108" s="3">
        <v>114392</v>
      </c>
      <c r="D108" s="3" t="s">
        <v>590</v>
      </c>
      <c r="E108" s="3">
        <v>20601661552</v>
      </c>
      <c r="F108" s="3" t="s">
        <v>455</v>
      </c>
      <c r="G108" s="3" t="s">
        <v>456</v>
      </c>
      <c r="H108" s="3" t="s">
        <v>172</v>
      </c>
      <c r="I108" s="3" t="s">
        <v>172</v>
      </c>
      <c r="J108" s="3" t="s">
        <v>173</v>
      </c>
      <c r="K108" s="3" t="s">
        <v>591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 t="s">
        <v>592</v>
      </c>
      <c r="AL108" s="4">
        <v>42965</v>
      </c>
      <c r="AM108" s="3"/>
      <c r="AN108" s="3" t="s">
        <v>460</v>
      </c>
    </row>
    <row r="109" spans="1:40" x14ac:dyDescent="0.3">
      <c r="A109" s="3">
        <v>103</v>
      </c>
      <c r="B109" s="3" t="str">
        <f>"1147750"</f>
        <v>1147750</v>
      </c>
      <c r="C109" s="3">
        <v>3294</v>
      </c>
      <c r="D109" s="3">
        <v>1147750</v>
      </c>
      <c r="E109" s="3">
        <v>10026137786</v>
      </c>
      <c r="F109" s="3" t="s">
        <v>593</v>
      </c>
      <c r="G109" s="3" t="s">
        <v>594</v>
      </c>
      <c r="H109" s="3" t="s">
        <v>50</v>
      </c>
      <c r="I109" s="3" t="s">
        <v>50</v>
      </c>
      <c r="J109" s="3" t="s">
        <v>50</v>
      </c>
      <c r="K109" s="3" t="s">
        <v>595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 t="s">
        <v>65</v>
      </c>
      <c r="AL109" s="4">
        <v>35669</v>
      </c>
      <c r="AM109" s="3"/>
      <c r="AN109" s="3"/>
    </row>
    <row r="110" spans="1:40" ht="27.95" x14ac:dyDescent="0.3">
      <c r="A110" s="3">
        <v>104</v>
      </c>
      <c r="B110" s="3" t="str">
        <f>"1662243"</f>
        <v>1662243</v>
      </c>
      <c r="C110" s="3">
        <v>40415</v>
      </c>
      <c r="D110" s="3" t="s">
        <v>596</v>
      </c>
      <c r="E110" s="3">
        <v>10235218831</v>
      </c>
      <c r="F110" s="3" t="s">
        <v>462</v>
      </c>
      <c r="G110" s="3" t="s">
        <v>597</v>
      </c>
      <c r="H110" s="3" t="s">
        <v>56</v>
      </c>
      <c r="I110" s="3" t="s">
        <v>56</v>
      </c>
      <c r="J110" s="3" t="s">
        <v>57</v>
      </c>
      <c r="K110" s="3" t="s">
        <v>598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 t="s">
        <v>449</v>
      </c>
      <c r="AL110" s="4">
        <v>39115</v>
      </c>
      <c r="AM110" s="3"/>
      <c r="AN110" s="3"/>
    </row>
    <row r="111" spans="1:40" ht="27.95" x14ac:dyDescent="0.3">
      <c r="A111" s="3">
        <v>105</v>
      </c>
      <c r="B111" s="3" t="str">
        <f>"1662244"</f>
        <v>1662244</v>
      </c>
      <c r="C111" s="3">
        <v>43873</v>
      </c>
      <c r="D111" s="3" t="s">
        <v>599</v>
      </c>
      <c r="E111" s="3">
        <v>10235218831</v>
      </c>
      <c r="F111" s="3" t="s">
        <v>462</v>
      </c>
      <c r="G111" s="3" t="s">
        <v>600</v>
      </c>
      <c r="H111" s="3" t="s">
        <v>56</v>
      </c>
      <c r="I111" s="3" t="s">
        <v>56</v>
      </c>
      <c r="J111" s="3" t="s">
        <v>57</v>
      </c>
      <c r="K111" s="3" t="s">
        <v>601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 t="s">
        <v>602</v>
      </c>
      <c r="AL111" s="4">
        <v>39115</v>
      </c>
      <c r="AM111" s="3"/>
      <c r="AN111" s="3"/>
    </row>
    <row r="112" spans="1:40" ht="27.95" x14ac:dyDescent="0.3">
      <c r="A112" s="3">
        <v>106</v>
      </c>
      <c r="B112" s="3" t="str">
        <f>"201400015859"</f>
        <v>201400015859</v>
      </c>
      <c r="C112" s="3">
        <v>105602</v>
      </c>
      <c r="D112" s="3" t="s">
        <v>603</v>
      </c>
      <c r="E112" s="3">
        <v>20558707560</v>
      </c>
      <c r="F112" s="3" t="s">
        <v>604</v>
      </c>
      <c r="G112" s="3" t="s">
        <v>605</v>
      </c>
      <c r="H112" s="3" t="s">
        <v>97</v>
      </c>
      <c r="I112" s="3" t="s">
        <v>97</v>
      </c>
      <c r="J112" s="3" t="s">
        <v>326</v>
      </c>
      <c r="K112" s="3" t="s">
        <v>606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 t="s">
        <v>607</v>
      </c>
      <c r="AL112" s="4">
        <v>41694</v>
      </c>
      <c r="AM112" s="3"/>
      <c r="AN112" s="3" t="s">
        <v>608</v>
      </c>
    </row>
    <row r="113" spans="1:40" x14ac:dyDescent="0.3">
      <c r="A113" s="3">
        <v>107</v>
      </c>
      <c r="B113" s="3" t="str">
        <f>"201500001193"</f>
        <v>201500001193</v>
      </c>
      <c r="C113" s="3">
        <v>113238</v>
      </c>
      <c r="D113" s="3" t="s">
        <v>609</v>
      </c>
      <c r="E113" s="3">
        <v>20533141553</v>
      </c>
      <c r="F113" s="3" t="s">
        <v>610</v>
      </c>
      <c r="G113" s="3" t="s">
        <v>611</v>
      </c>
      <c r="H113" s="3" t="s">
        <v>202</v>
      </c>
      <c r="I113" s="3" t="s">
        <v>202</v>
      </c>
      <c r="J113" s="3" t="s">
        <v>612</v>
      </c>
      <c r="K113" s="3" t="s">
        <v>613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 t="s">
        <v>614</v>
      </c>
      <c r="AL113" s="4">
        <v>42027</v>
      </c>
      <c r="AM113" s="3"/>
      <c r="AN113" s="3" t="s">
        <v>615</v>
      </c>
    </row>
    <row r="114" spans="1:40" x14ac:dyDescent="0.3">
      <c r="A114" s="3">
        <v>108</v>
      </c>
      <c r="B114" s="3" t="str">
        <f>"201600127422"</f>
        <v>201600127422</v>
      </c>
      <c r="C114" s="3">
        <v>123657</v>
      </c>
      <c r="D114" s="3" t="s">
        <v>616</v>
      </c>
      <c r="E114" s="3">
        <v>20601059861</v>
      </c>
      <c r="F114" s="3" t="s">
        <v>617</v>
      </c>
      <c r="G114" s="3" t="s">
        <v>618</v>
      </c>
      <c r="H114" s="3" t="s">
        <v>56</v>
      </c>
      <c r="I114" s="3" t="s">
        <v>56</v>
      </c>
      <c r="J114" s="3" t="s">
        <v>363</v>
      </c>
      <c r="K114" s="3" t="s">
        <v>619</v>
      </c>
      <c r="L114" s="3" t="s">
        <v>620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 t="s">
        <v>621</v>
      </c>
      <c r="AL114" s="4">
        <v>42628</v>
      </c>
      <c r="AM114" s="3"/>
      <c r="AN114" s="3" t="s">
        <v>622</v>
      </c>
    </row>
    <row r="115" spans="1:40" x14ac:dyDescent="0.3">
      <c r="A115" s="3">
        <v>109</v>
      </c>
      <c r="B115" s="3" t="str">
        <f>"201500160292"</f>
        <v>201500160292</v>
      </c>
      <c r="C115" s="3">
        <v>117373</v>
      </c>
      <c r="D115" s="3" t="s">
        <v>623</v>
      </c>
      <c r="E115" s="3">
        <v>20113539594</v>
      </c>
      <c r="F115" s="3" t="s">
        <v>164</v>
      </c>
      <c r="G115" s="3" t="s">
        <v>624</v>
      </c>
      <c r="H115" s="3" t="s">
        <v>50</v>
      </c>
      <c r="I115" s="3" t="s">
        <v>50</v>
      </c>
      <c r="J115" s="3" t="s">
        <v>50</v>
      </c>
      <c r="K115" s="3" t="s">
        <v>625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 t="s">
        <v>187</v>
      </c>
      <c r="AL115" s="4">
        <v>42354</v>
      </c>
      <c r="AM115" s="3"/>
      <c r="AN115" s="3" t="s">
        <v>626</v>
      </c>
    </row>
    <row r="116" spans="1:40" x14ac:dyDescent="0.3">
      <c r="A116" s="3">
        <v>110</v>
      </c>
      <c r="B116" s="3" t="str">
        <f>"201200137061"</f>
        <v>201200137061</v>
      </c>
      <c r="C116" s="3">
        <v>97532</v>
      </c>
      <c r="D116" s="3" t="s">
        <v>627</v>
      </c>
      <c r="E116" s="3">
        <v>10403084323</v>
      </c>
      <c r="F116" s="3" t="s">
        <v>628</v>
      </c>
      <c r="G116" s="3" t="s">
        <v>629</v>
      </c>
      <c r="H116" s="3" t="s">
        <v>222</v>
      </c>
      <c r="I116" s="3" t="s">
        <v>223</v>
      </c>
      <c r="J116" s="3" t="s">
        <v>224</v>
      </c>
      <c r="K116" s="3" t="s">
        <v>630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 t="s">
        <v>218</v>
      </c>
      <c r="AL116" s="4">
        <v>41114</v>
      </c>
      <c r="AM116" s="3"/>
      <c r="AN116" s="3" t="s">
        <v>628</v>
      </c>
    </row>
    <row r="117" spans="1:40" x14ac:dyDescent="0.3">
      <c r="A117" s="3">
        <v>111</v>
      </c>
      <c r="B117" s="3" t="str">
        <f>"1178281"</f>
        <v>1178281</v>
      </c>
      <c r="C117" s="3">
        <v>6727</v>
      </c>
      <c r="D117" s="3">
        <v>1178281</v>
      </c>
      <c r="E117" s="3">
        <v>10102285188</v>
      </c>
      <c r="F117" s="3" t="s">
        <v>631</v>
      </c>
      <c r="G117" s="3" t="s">
        <v>632</v>
      </c>
      <c r="H117" s="3" t="s">
        <v>56</v>
      </c>
      <c r="I117" s="3" t="s">
        <v>56</v>
      </c>
      <c r="J117" s="3" t="s">
        <v>331</v>
      </c>
      <c r="K117" s="3" t="s">
        <v>633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 t="s">
        <v>634</v>
      </c>
      <c r="AL117" s="4">
        <v>35893</v>
      </c>
      <c r="AM117" s="3"/>
      <c r="AN117" s="3"/>
    </row>
    <row r="118" spans="1:40" x14ac:dyDescent="0.3">
      <c r="A118" s="3">
        <v>112</v>
      </c>
      <c r="B118" s="3" t="str">
        <f>"201000001316"</f>
        <v>201000001316</v>
      </c>
      <c r="C118" s="3">
        <v>18205</v>
      </c>
      <c r="D118" s="3" t="s">
        <v>635</v>
      </c>
      <c r="E118" s="3">
        <v>10038305471</v>
      </c>
      <c r="F118" s="3" t="s">
        <v>636</v>
      </c>
      <c r="G118" s="3" t="s">
        <v>637</v>
      </c>
      <c r="H118" s="3" t="s">
        <v>50</v>
      </c>
      <c r="I118" s="3" t="s">
        <v>638</v>
      </c>
      <c r="J118" s="3" t="s">
        <v>639</v>
      </c>
      <c r="K118" s="3" t="s">
        <v>640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 t="s">
        <v>614</v>
      </c>
      <c r="AL118" s="4">
        <v>36591</v>
      </c>
      <c r="AM118" s="3"/>
      <c r="AN118" s="3"/>
    </row>
    <row r="119" spans="1:40" x14ac:dyDescent="0.3">
      <c r="A119" s="3">
        <v>113</v>
      </c>
      <c r="B119" s="3" t="str">
        <f>"201000001317"</f>
        <v>201000001317</v>
      </c>
      <c r="C119" s="3">
        <v>20581</v>
      </c>
      <c r="D119" s="3" t="s">
        <v>641</v>
      </c>
      <c r="E119" s="3">
        <v>20404723392</v>
      </c>
      <c r="F119" s="3" t="s">
        <v>642</v>
      </c>
      <c r="G119" s="3" t="s">
        <v>643</v>
      </c>
      <c r="H119" s="3" t="s">
        <v>89</v>
      </c>
      <c r="I119" s="3" t="s">
        <v>89</v>
      </c>
      <c r="J119" s="3" t="s">
        <v>90</v>
      </c>
      <c r="K119" s="3" t="s">
        <v>644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 t="s">
        <v>645</v>
      </c>
      <c r="AL119" s="4">
        <v>36873</v>
      </c>
      <c r="AM119" s="3"/>
      <c r="AN119" s="3"/>
    </row>
    <row r="120" spans="1:40" x14ac:dyDescent="0.3">
      <c r="A120" s="3">
        <v>114</v>
      </c>
      <c r="B120" s="3" t="str">
        <f>"201000001318"</f>
        <v>201000001318</v>
      </c>
      <c r="C120" s="3">
        <v>20582</v>
      </c>
      <c r="D120" s="3" t="s">
        <v>646</v>
      </c>
      <c r="E120" s="3">
        <v>20404723392</v>
      </c>
      <c r="F120" s="3" t="s">
        <v>642</v>
      </c>
      <c r="G120" s="3" t="s">
        <v>643</v>
      </c>
      <c r="H120" s="3" t="s">
        <v>89</v>
      </c>
      <c r="I120" s="3" t="s">
        <v>89</v>
      </c>
      <c r="J120" s="3" t="s">
        <v>90</v>
      </c>
      <c r="K120" s="3" t="s">
        <v>647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 t="s">
        <v>233</v>
      </c>
      <c r="AL120" s="4">
        <v>36873</v>
      </c>
      <c r="AM120" s="3"/>
      <c r="AN120" s="3"/>
    </row>
    <row r="121" spans="1:40" x14ac:dyDescent="0.3">
      <c r="A121" s="3">
        <v>115</v>
      </c>
      <c r="B121" s="3" t="str">
        <f>"201000001319"</f>
        <v>201000001319</v>
      </c>
      <c r="C121" s="3">
        <v>20583</v>
      </c>
      <c r="D121" s="3" t="s">
        <v>648</v>
      </c>
      <c r="E121" s="3">
        <v>20404723392</v>
      </c>
      <c r="F121" s="3" t="s">
        <v>642</v>
      </c>
      <c r="G121" s="3" t="s">
        <v>643</v>
      </c>
      <c r="H121" s="3" t="s">
        <v>89</v>
      </c>
      <c r="I121" s="3" t="s">
        <v>89</v>
      </c>
      <c r="J121" s="3" t="s">
        <v>90</v>
      </c>
      <c r="K121" s="3" t="s">
        <v>649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 t="s">
        <v>233</v>
      </c>
      <c r="AL121" s="4">
        <v>36873</v>
      </c>
      <c r="AM121" s="3"/>
      <c r="AN121" s="3"/>
    </row>
    <row r="122" spans="1:40" ht="27.95" x14ac:dyDescent="0.3">
      <c r="A122" s="3">
        <v>116</v>
      </c>
      <c r="B122" s="3" t="str">
        <f>"1464406"</f>
        <v>1464406</v>
      </c>
      <c r="C122" s="3">
        <v>36499</v>
      </c>
      <c r="D122" s="3" t="s">
        <v>650</v>
      </c>
      <c r="E122" s="3">
        <v>20100176450</v>
      </c>
      <c r="F122" s="3" t="s">
        <v>651</v>
      </c>
      <c r="G122" s="3" t="s">
        <v>652</v>
      </c>
      <c r="H122" s="3" t="s">
        <v>56</v>
      </c>
      <c r="I122" s="3" t="s">
        <v>56</v>
      </c>
      <c r="J122" s="3" t="s">
        <v>653</v>
      </c>
      <c r="K122" s="3" t="s">
        <v>654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 t="s">
        <v>655</v>
      </c>
      <c r="AL122" s="4">
        <v>38105</v>
      </c>
      <c r="AM122" s="3"/>
      <c r="AN122" s="3"/>
    </row>
    <row r="123" spans="1:40" x14ac:dyDescent="0.3">
      <c r="A123" s="3">
        <v>117</v>
      </c>
      <c r="B123" s="3" t="str">
        <f>"201700137018"</f>
        <v>201700137018</v>
      </c>
      <c r="C123" s="3">
        <v>131456</v>
      </c>
      <c r="D123" s="3" t="s">
        <v>656</v>
      </c>
      <c r="E123" s="3">
        <v>10407911542</v>
      </c>
      <c r="F123" s="3" t="s">
        <v>657</v>
      </c>
      <c r="G123" s="3" t="s">
        <v>658</v>
      </c>
      <c r="H123" s="3" t="s">
        <v>245</v>
      </c>
      <c r="I123" s="3" t="s">
        <v>246</v>
      </c>
      <c r="J123" s="3" t="s">
        <v>659</v>
      </c>
      <c r="K123" s="3" t="s">
        <v>660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 t="s">
        <v>218</v>
      </c>
      <c r="AL123" s="4">
        <v>43024</v>
      </c>
      <c r="AM123" s="3"/>
      <c r="AN123" s="3" t="s">
        <v>657</v>
      </c>
    </row>
    <row r="124" spans="1:40" x14ac:dyDescent="0.3">
      <c r="A124" s="3">
        <v>118</v>
      </c>
      <c r="B124" s="3" t="str">
        <f>"201000001312"</f>
        <v>201000001312</v>
      </c>
      <c r="C124" s="3">
        <v>6557</v>
      </c>
      <c r="D124" s="3">
        <v>1172609</v>
      </c>
      <c r="E124" s="3">
        <v>10156050615</v>
      </c>
      <c r="F124" s="3" t="s">
        <v>661</v>
      </c>
      <c r="G124" s="3" t="s">
        <v>662</v>
      </c>
      <c r="H124" s="3" t="s">
        <v>56</v>
      </c>
      <c r="I124" s="3" t="s">
        <v>663</v>
      </c>
      <c r="J124" s="3" t="s">
        <v>664</v>
      </c>
      <c r="K124" s="3" t="s">
        <v>665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 t="s">
        <v>65</v>
      </c>
      <c r="AL124" s="4">
        <v>35872</v>
      </c>
      <c r="AM124" s="3"/>
      <c r="AN124" s="3"/>
    </row>
    <row r="125" spans="1:40" x14ac:dyDescent="0.3">
      <c r="A125" s="3">
        <v>119</v>
      </c>
      <c r="B125" s="3" t="str">
        <f>"201600085812"</f>
        <v>201600085812</v>
      </c>
      <c r="C125" s="3">
        <v>121975</v>
      </c>
      <c r="D125" s="3" t="s">
        <v>666</v>
      </c>
      <c r="E125" s="3">
        <v>20510976887</v>
      </c>
      <c r="F125" s="3" t="s">
        <v>667</v>
      </c>
      <c r="G125" s="3" t="s">
        <v>668</v>
      </c>
      <c r="H125" s="3" t="s">
        <v>56</v>
      </c>
      <c r="I125" s="3" t="s">
        <v>56</v>
      </c>
      <c r="J125" s="3" t="s">
        <v>131</v>
      </c>
      <c r="K125" s="3" t="s">
        <v>669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 t="s">
        <v>670</v>
      </c>
      <c r="AL125" s="4">
        <v>42538</v>
      </c>
      <c r="AM125" s="3"/>
      <c r="AN125" s="3" t="s">
        <v>671</v>
      </c>
    </row>
    <row r="126" spans="1:40" x14ac:dyDescent="0.3">
      <c r="A126" s="3">
        <v>120</v>
      </c>
      <c r="B126" s="3" t="str">
        <f>"201000001314"</f>
        <v>201000001314</v>
      </c>
      <c r="C126" s="3">
        <v>18203</v>
      </c>
      <c r="D126" s="3" t="s">
        <v>672</v>
      </c>
      <c r="E126" s="3">
        <v>10033304981</v>
      </c>
      <c r="F126" s="3" t="s">
        <v>673</v>
      </c>
      <c r="G126" s="3" t="s">
        <v>674</v>
      </c>
      <c r="H126" s="3" t="s">
        <v>50</v>
      </c>
      <c r="I126" s="3" t="s">
        <v>638</v>
      </c>
      <c r="J126" s="3" t="s">
        <v>639</v>
      </c>
      <c r="K126" s="3" t="s">
        <v>675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 t="s">
        <v>574</v>
      </c>
      <c r="AL126" s="4">
        <v>36591</v>
      </c>
      <c r="AM126" s="3"/>
      <c r="AN126" s="3"/>
    </row>
    <row r="127" spans="1:40" ht="27.95" x14ac:dyDescent="0.3">
      <c r="A127" s="3">
        <v>121</v>
      </c>
      <c r="B127" s="3" t="str">
        <f>"1464409"</f>
        <v>1464409</v>
      </c>
      <c r="C127" s="3">
        <v>36532</v>
      </c>
      <c r="D127" s="3" t="s">
        <v>676</v>
      </c>
      <c r="E127" s="3">
        <v>20100176450</v>
      </c>
      <c r="F127" s="3" t="s">
        <v>651</v>
      </c>
      <c r="G127" s="3" t="s">
        <v>677</v>
      </c>
      <c r="H127" s="3" t="s">
        <v>56</v>
      </c>
      <c r="I127" s="3" t="s">
        <v>56</v>
      </c>
      <c r="J127" s="3" t="s">
        <v>653</v>
      </c>
      <c r="K127" s="3" t="s">
        <v>678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 t="s">
        <v>679</v>
      </c>
      <c r="AL127" s="4">
        <v>38105</v>
      </c>
      <c r="AM127" s="3"/>
      <c r="AN127" s="3"/>
    </row>
    <row r="128" spans="1:40" x14ac:dyDescent="0.3">
      <c r="A128" s="3">
        <v>122</v>
      </c>
      <c r="B128" s="3" t="str">
        <f>"201000001315"</f>
        <v>201000001315</v>
      </c>
      <c r="C128" s="3">
        <v>18204</v>
      </c>
      <c r="D128" s="3" t="s">
        <v>680</v>
      </c>
      <c r="E128" s="3">
        <v>10033304981</v>
      </c>
      <c r="F128" s="3" t="s">
        <v>673</v>
      </c>
      <c r="G128" s="3" t="s">
        <v>674</v>
      </c>
      <c r="H128" s="3" t="s">
        <v>50</v>
      </c>
      <c r="I128" s="3" t="s">
        <v>638</v>
      </c>
      <c r="J128" s="3" t="s">
        <v>639</v>
      </c>
      <c r="K128" s="3" t="s">
        <v>681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 t="s">
        <v>574</v>
      </c>
      <c r="AL128" s="4">
        <v>36591</v>
      </c>
      <c r="AM128" s="3"/>
      <c r="AN128" s="3"/>
    </row>
    <row r="129" spans="1:40" x14ac:dyDescent="0.3">
      <c r="A129" s="3">
        <v>123</v>
      </c>
      <c r="B129" s="3" t="str">
        <f>"201000001311"</f>
        <v>201000001311</v>
      </c>
      <c r="C129" s="3">
        <v>6555</v>
      </c>
      <c r="D129" s="3">
        <v>1172607</v>
      </c>
      <c r="E129" s="3">
        <v>10078623131</v>
      </c>
      <c r="F129" s="3" t="s">
        <v>682</v>
      </c>
      <c r="G129" s="3" t="s">
        <v>683</v>
      </c>
      <c r="H129" s="3" t="s">
        <v>56</v>
      </c>
      <c r="I129" s="3" t="s">
        <v>56</v>
      </c>
      <c r="J129" s="3" t="s">
        <v>105</v>
      </c>
      <c r="K129" s="3" t="s">
        <v>684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 t="s">
        <v>65</v>
      </c>
      <c r="AL129" s="4">
        <v>35872</v>
      </c>
      <c r="AM129" s="3"/>
      <c r="AN129" s="3"/>
    </row>
    <row r="130" spans="1:40" x14ac:dyDescent="0.3">
      <c r="A130" s="3">
        <v>124</v>
      </c>
      <c r="B130" s="3" t="str">
        <f>"201000001310"</f>
        <v>201000001310</v>
      </c>
      <c r="C130" s="3">
        <v>14429</v>
      </c>
      <c r="D130" s="3" t="s">
        <v>685</v>
      </c>
      <c r="E130" s="3">
        <v>10293510607</v>
      </c>
      <c r="F130" s="3" t="s">
        <v>686</v>
      </c>
      <c r="G130" s="3" t="s">
        <v>687</v>
      </c>
      <c r="H130" s="3" t="s">
        <v>97</v>
      </c>
      <c r="I130" s="3" t="s">
        <v>97</v>
      </c>
      <c r="J130" s="3" t="s">
        <v>688</v>
      </c>
      <c r="K130" s="3" t="s">
        <v>689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 t="s">
        <v>353</v>
      </c>
      <c r="AL130" s="4">
        <v>37342</v>
      </c>
      <c r="AM130" s="3"/>
      <c r="AN130" s="3"/>
    </row>
    <row r="131" spans="1:40" x14ac:dyDescent="0.3">
      <c r="A131" s="3">
        <v>125</v>
      </c>
      <c r="B131" s="3" t="str">
        <f>"201600085804"</f>
        <v>201600085804</v>
      </c>
      <c r="C131" s="3">
        <v>121974</v>
      </c>
      <c r="D131" s="3" t="s">
        <v>690</v>
      </c>
      <c r="E131" s="3">
        <v>20510976887</v>
      </c>
      <c r="F131" s="3" t="s">
        <v>667</v>
      </c>
      <c r="G131" s="3" t="s">
        <v>668</v>
      </c>
      <c r="H131" s="3" t="s">
        <v>56</v>
      </c>
      <c r="I131" s="3" t="s">
        <v>56</v>
      </c>
      <c r="J131" s="3" t="s">
        <v>131</v>
      </c>
      <c r="K131" s="3" t="s">
        <v>691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 t="s">
        <v>670</v>
      </c>
      <c r="AL131" s="4">
        <v>42538</v>
      </c>
      <c r="AM131" s="3"/>
      <c r="AN131" s="3" t="s">
        <v>671</v>
      </c>
    </row>
    <row r="132" spans="1:40" x14ac:dyDescent="0.3">
      <c r="A132" s="3">
        <v>126</v>
      </c>
      <c r="B132" s="3" t="str">
        <f>"1506203"</f>
        <v>1506203</v>
      </c>
      <c r="C132" s="3">
        <v>94178</v>
      </c>
      <c r="D132" s="3" t="s">
        <v>692</v>
      </c>
      <c r="E132" s="3">
        <v>20510976887</v>
      </c>
      <c r="F132" s="3" t="s">
        <v>693</v>
      </c>
      <c r="G132" s="3" t="s">
        <v>694</v>
      </c>
      <c r="H132" s="3" t="s">
        <v>56</v>
      </c>
      <c r="I132" s="3" t="s">
        <v>56</v>
      </c>
      <c r="J132" s="3" t="s">
        <v>131</v>
      </c>
      <c r="K132" s="3" t="s">
        <v>695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 t="s">
        <v>696</v>
      </c>
      <c r="AL132" s="4">
        <v>40834</v>
      </c>
      <c r="AM132" s="3"/>
      <c r="AN132" s="3" t="s">
        <v>671</v>
      </c>
    </row>
    <row r="133" spans="1:40" x14ac:dyDescent="0.3">
      <c r="A133" s="3">
        <v>127</v>
      </c>
      <c r="B133" s="3" t="str">
        <f>"1448599"</f>
        <v>1448599</v>
      </c>
      <c r="C133" s="3">
        <v>89630</v>
      </c>
      <c r="D133" s="3" t="s">
        <v>697</v>
      </c>
      <c r="E133" s="3">
        <v>10075416313</v>
      </c>
      <c r="F133" s="3" t="s">
        <v>698</v>
      </c>
      <c r="G133" s="3" t="s">
        <v>699</v>
      </c>
      <c r="H133" s="3" t="s">
        <v>56</v>
      </c>
      <c r="I133" s="3" t="s">
        <v>56</v>
      </c>
      <c r="J133" s="3" t="s">
        <v>331</v>
      </c>
      <c r="K133" s="3" t="s">
        <v>700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 t="s">
        <v>701</v>
      </c>
      <c r="AL133" s="4">
        <v>40507</v>
      </c>
      <c r="AM133" s="3"/>
      <c r="AN133" s="3" t="s">
        <v>698</v>
      </c>
    </row>
    <row r="134" spans="1:40" x14ac:dyDescent="0.3">
      <c r="A134" s="3">
        <v>128</v>
      </c>
      <c r="B134" s="3" t="str">
        <f>"201000001309"</f>
        <v>201000001309</v>
      </c>
      <c r="C134" s="3">
        <v>6513</v>
      </c>
      <c r="D134" s="3" t="s">
        <v>702</v>
      </c>
      <c r="E134" s="3">
        <v>20229089103</v>
      </c>
      <c r="F134" s="3" t="s">
        <v>703</v>
      </c>
      <c r="G134" s="3" t="s">
        <v>704</v>
      </c>
      <c r="H134" s="3" t="s">
        <v>97</v>
      </c>
      <c r="I134" s="3" t="s">
        <v>97</v>
      </c>
      <c r="J134" s="3" t="s">
        <v>705</v>
      </c>
      <c r="K134" s="3" t="s">
        <v>706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 t="s">
        <v>707</v>
      </c>
      <c r="AL134" s="4">
        <v>37333</v>
      </c>
      <c r="AM134" s="3"/>
      <c r="AN134" s="3"/>
    </row>
    <row r="135" spans="1:40" x14ac:dyDescent="0.3">
      <c r="A135" s="3">
        <v>129</v>
      </c>
      <c r="B135" s="3" t="str">
        <f>"201000001307"</f>
        <v>201000001307</v>
      </c>
      <c r="C135" s="3">
        <v>6519</v>
      </c>
      <c r="D135" s="3" t="s">
        <v>708</v>
      </c>
      <c r="E135" s="3">
        <v>20534841079</v>
      </c>
      <c r="F135" s="3" t="s">
        <v>709</v>
      </c>
      <c r="G135" s="3" t="s">
        <v>710</v>
      </c>
      <c r="H135" s="3" t="s">
        <v>97</v>
      </c>
      <c r="I135" s="3" t="s">
        <v>97</v>
      </c>
      <c r="J135" s="3" t="s">
        <v>144</v>
      </c>
      <c r="K135" s="3" t="s">
        <v>711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 t="s">
        <v>81</v>
      </c>
      <c r="AL135" s="4">
        <v>36864</v>
      </c>
      <c r="AM135" s="3"/>
      <c r="AN135" s="3"/>
    </row>
    <row r="136" spans="1:40" ht="27.95" x14ac:dyDescent="0.3">
      <c r="A136" s="3">
        <v>130</v>
      </c>
      <c r="B136" s="3" t="str">
        <f>"1371278"</f>
        <v>1371278</v>
      </c>
      <c r="C136" s="3">
        <v>86695</v>
      </c>
      <c r="D136" s="3" t="s">
        <v>712</v>
      </c>
      <c r="E136" s="3">
        <v>20522002021</v>
      </c>
      <c r="F136" s="3" t="s">
        <v>713</v>
      </c>
      <c r="G136" s="3" t="s">
        <v>714</v>
      </c>
      <c r="H136" s="3" t="s">
        <v>56</v>
      </c>
      <c r="I136" s="3" t="s">
        <v>56</v>
      </c>
      <c r="J136" s="3" t="s">
        <v>715</v>
      </c>
      <c r="K136" s="3" t="s">
        <v>716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 t="s">
        <v>717</v>
      </c>
      <c r="AL136" s="4">
        <v>40354</v>
      </c>
      <c r="AM136" s="3"/>
      <c r="AN136" s="3" t="s">
        <v>718</v>
      </c>
    </row>
    <row r="137" spans="1:40" x14ac:dyDescent="0.3">
      <c r="A137" s="3">
        <v>131</v>
      </c>
      <c r="B137" s="3" t="str">
        <f>"201000001308"</f>
        <v>201000001308</v>
      </c>
      <c r="C137" s="3">
        <v>2433</v>
      </c>
      <c r="D137" s="3" t="s">
        <v>719</v>
      </c>
      <c r="E137" s="3">
        <v>20498552065</v>
      </c>
      <c r="F137" s="3" t="s">
        <v>720</v>
      </c>
      <c r="G137" s="3" t="s">
        <v>721</v>
      </c>
      <c r="H137" s="3" t="s">
        <v>97</v>
      </c>
      <c r="I137" s="3" t="s">
        <v>97</v>
      </c>
      <c r="J137" s="3" t="s">
        <v>144</v>
      </c>
      <c r="K137" s="3" t="s">
        <v>722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 t="s">
        <v>583</v>
      </c>
      <c r="AL137" s="4">
        <v>36864</v>
      </c>
      <c r="AM137" s="3"/>
      <c r="AN137" s="3"/>
    </row>
    <row r="138" spans="1:40" x14ac:dyDescent="0.3">
      <c r="A138" s="3">
        <v>132</v>
      </c>
      <c r="B138" s="3" t="str">
        <f>"201000001305"</f>
        <v>201000001305</v>
      </c>
      <c r="C138" s="3">
        <v>19288</v>
      </c>
      <c r="D138" s="3" t="s">
        <v>723</v>
      </c>
      <c r="E138" s="3">
        <v>10180551765</v>
      </c>
      <c r="F138" s="3" t="s">
        <v>724</v>
      </c>
      <c r="G138" s="3" t="s">
        <v>725</v>
      </c>
      <c r="H138" s="3" t="s">
        <v>44</v>
      </c>
      <c r="I138" s="3" t="s">
        <v>45</v>
      </c>
      <c r="J138" s="3" t="s">
        <v>726</v>
      </c>
      <c r="K138" s="3" t="s">
        <v>727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 t="s">
        <v>81</v>
      </c>
      <c r="AL138" s="4">
        <v>36752</v>
      </c>
      <c r="AM138" s="3"/>
      <c r="AN138" s="3"/>
    </row>
    <row r="139" spans="1:40" ht="27.95" x14ac:dyDescent="0.3">
      <c r="A139" s="3">
        <v>133</v>
      </c>
      <c r="B139" s="3" t="str">
        <f>"1862954"</f>
        <v>1862954</v>
      </c>
      <c r="C139" s="3">
        <v>45040</v>
      </c>
      <c r="D139" s="3" t="s">
        <v>728</v>
      </c>
      <c r="E139" s="3">
        <v>10426532323</v>
      </c>
      <c r="F139" s="3" t="s">
        <v>729</v>
      </c>
      <c r="G139" s="3" t="s">
        <v>730</v>
      </c>
      <c r="H139" s="3" t="s">
        <v>56</v>
      </c>
      <c r="I139" s="3" t="s">
        <v>56</v>
      </c>
      <c r="J139" s="3" t="s">
        <v>363</v>
      </c>
      <c r="K139" s="3" t="s">
        <v>731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 t="s">
        <v>419</v>
      </c>
      <c r="AL139" s="4">
        <v>39885</v>
      </c>
      <c r="AM139" s="3"/>
      <c r="AN139" s="3"/>
    </row>
    <row r="140" spans="1:40" x14ac:dyDescent="0.3">
      <c r="A140" s="3">
        <v>134</v>
      </c>
      <c r="B140" s="3" t="str">
        <f>"201000001306"</f>
        <v>201000001306</v>
      </c>
      <c r="C140" s="3">
        <v>3313</v>
      </c>
      <c r="D140" s="3" t="s">
        <v>732</v>
      </c>
      <c r="E140" s="3">
        <v>20228254887</v>
      </c>
      <c r="F140" s="3" t="s">
        <v>733</v>
      </c>
      <c r="G140" s="3" t="s">
        <v>734</v>
      </c>
      <c r="H140" s="3" t="s">
        <v>44</v>
      </c>
      <c r="I140" s="3" t="s">
        <v>45</v>
      </c>
      <c r="J140" s="3" t="s">
        <v>45</v>
      </c>
      <c r="K140" s="3" t="s">
        <v>735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 t="s">
        <v>525</v>
      </c>
      <c r="AL140" s="4">
        <v>36490</v>
      </c>
      <c r="AM140" s="3"/>
      <c r="AN140" s="3"/>
    </row>
    <row r="141" spans="1:40" ht="27.95" x14ac:dyDescent="0.3">
      <c r="A141" s="3">
        <v>135</v>
      </c>
      <c r="B141" s="3" t="str">
        <f>"201000001303"</f>
        <v>201000001303</v>
      </c>
      <c r="C141" s="3">
        <v>19740</v>
      </c>
      <c r="D141" s="3" t="s">
        <v>736</v>
      </c>
      <c r="E141" s="3">
        <v>10027811774</v>
      </c>
      <c r="F141" s="3" t="s">
        <v>737</v>
      </c>
      <c r="G141" s="3" t="s">
        <v>738</v>
      </c>
      <c r="H141" s="3" t="s">
        <v>50</v>
      </c>
      <c r="I141" s="3" t="s">
        <v>50</v>
      </c>
      <c r="J141" s="3" t="s">
        <v>50</v>
      </c>
      <c r="K141" s="3" t="s">
        <v>739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 t="s">
        <v>256</v>
      </c>
      <c r="AL141" s="4">
        <v>36719</v>
      </c>
      <c r="AM141" s="3"/>
      <c r="AN141" s="3"/>
    </row>
    <row r="142" spans="1:40" x14ac:dyDescent="0.3">
      <c r="A142" s="3">
        <v>136</v>
      </c>
      <c r="B142" s="3" t="str">
        <f>"201500110558"</f>
        <v>201500110558</v>
      </c>
      <c r="C142" s="3">
        <v>116184</v>
      </c>
      <c r="D142" s="3" t="s">
        <v>740</v>
      </c>
      <c r="E142" s="3">
        <v>10454600202</v>
      </c>
      <c r="F142" s="3" t="s">
        <v>741</v>
      </c>
      <c r="G142" s="3" t="s">
        <v>742</v>
      </c>
      <c r="H142" s="3" t="s">
        <v>743</v>
      </c>
      <c r="I142" s="3" t="s">
        <v>744</v>
      </c>
      <c r="J142" s="3" t="s">
        <v>743</v>
      </c>
      <c r="K142" s="3" t="s">
        <v>745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 t="s">
        <v>81</v>
      </c>
      <c r="AL142" s="4">
        <v>42258</v>
      </c>
      <c r="AM142" s="3"/>
      <c r="AN142" s="3" t="s">
        <v>741</v>
      </c>
    </row>
    <row r="143" spans="1:40" ht="27.95" x14ac:dyDescent="0.3">
      <c r="A143" s="3">
        <v>137</v>
      </c>
      <c r="B143" s="3" t="str">
        <f>"201000001304"</f>
        <v>201000001304</v>
      </c>
      <c r="C143" s="3">
        <v>19655</v>
      </c>
      <c r="D143" s="3" t="s">
        <v>746</v>
      </c>
      <c r="E143" s="3">
        <v>10036566669</v>
      </c>
      <c r="F143" s="3" t="s">
        <v>747</v>
      </c>
      <c r="G143" s="3" t="s">
        <v>748</v>
      </c>
      <c r="H143" s="3" t="s">
        <v>50</v>
      </c>
      <c r="I143" s="3" t="s">
        <v>749</v>
      </c>
      <c r="J143" s="3" t="s">
        <v>749</v>
      </c>
      <c r="K143" s="3" t="s">
        <v>750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 t="s">
        <v>81</v>
      </c>
      <c r="AL143" s="4">
        <v>36732</v>
      </c>
      <c r="AM143" s="3"/>
      <c r="AN143" s="3"/>
    </row>
    <row r="144" spans="1:40" ht="27.95" x14ac:dyDescent="0.3">
      <c r="A144" s="3">
        <v>138</v>
      </c>
      <c r="B144" s="3" t="str">
        <f>"201000001301"</f>
        <v>201000001301</v>
      </c>
      <c r="C144" s="3">
        <v>19707</v>
      </c>
      <c r="D144" s="3" t="s">
        <v>751</v>
      </c>
      <c r="E144" s="3">
        <v>10166294407</v>
      </c>
      <c r="F144" s="3" t="s">
        <v>752</v>
      </c>
      <c r="G144" s="3" t="s">
        <v>753</v>
      </c>
      <c r="H144" s="3" t="s">
        <v>318</v>
      </c>
      <c r="I144" s="3" t="s">
        <v>319</v>
      </c>
      <c r="J144" s="3" t="s">
        <v>319</v>
      </c>
      <c r="K144" s="3" t="s">
        <v>754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 t="s">
        <v>614</v>
      </c>
      <c r="AL144" s="4">
        <v>36710</v>
      </c>
      <c r="AM144" s="3"/>
      <c r="AN144" s="3"/>
    </row>
    <row r="145" spans="1:40" ht="27.95" x14ac:dyDescent="0.3">
      <c r="A145" s="3">
        <v>139</v>
      </c>
      <c r="B145" s="3" t="str">
        <f>"1873923"</f>
        <v>1873923</v>
      </c>
      <c r="C145" s="3">
        <v>83129</v>
      </c>
      <c r="D145" s="3" t="s">
        <v>755</v>
      </c>
      <c r="E145" s="3">
        <v>20512416226</v>
      </c>
      <c r="F145" s="3" t="s">
        <v>756</v>
      </c>
      <c r="G145" s="3" t="s">
        <v>757</v>
      </c>
      <c r="H145" s="3" t="s">
        <v>56</v>
      </c>
      <c r="I145" s="3" t="s">
        <v>56</v>
      </c>
      <c r="J145" s="3" t="s">
        <v>57</v>
      </c>
      <c r="K145" s="3" t="s">
        <v>758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 t="s">
        <v>759</v>
      </c>
      <c r="AL145" s="4">
        <v>39916</v>
      </c>
      <c r="AM145" s="3"/>
      <c r="AN145" s="3"/>
    </row>
    <row r="146" spans="1:40" x14ac:dyDescent="0.3">
      <c r="A146" s="3">
        <v>140</v>
      </c>
      <c r="B146" s="3" t="str">
        <f>"201000001302"</f>
        <v>201000001302</v>
      </c>
      <c r="C146" s="3">
        <v>19682</v>
      </c>
      <c r="D146" s="3" t="s">
        <v>760</v>
      </c>
      <c r="E146" s="3">
        <v>10174129831</v>
      </c>
      <c r="F146" s="3" t="s">
        <v>761</v>
      </c>
      <c r="G146" s="3" t="s">
        <v>762</v>
      </c>
      <c r="H146" s="3" t="s">
        <v>318</v>
      </c>
      <c r="I146" s="3" t="s">
        <v>763</v>
      </c>
      <c r="J146" s="3" t="s">
        <v>763</v>
      </c>
      <c r="K146" s="3" t="s">
        <v>764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 t="s">
        <v>525</v>
      </c>
      <c r="AL146" s="4">
        <v>36711</v>
      </c>
      <c r="AM146" s="3"/>
      <c r="AN146" s="3"/>
    </row>
    <row r="147" spans="1:40" x14ac:dyDescent="0.3">
      <c r="A147" s="3">
        <v>141</v>
      </c>
      <c r="B147" s="3" t="str">
        <f>"201600038359"</f>
        <v>201600038359</v>
      </c>
      <c r="C147" s="3">
        <v>120422</v>
      </c>
      <c r="D147" s="3" t="s">
        <v>765</v>
      </c>
      <c r="E147" s="3">
        <v>20100366747</v>
      </c>
      <c r="F147" s="3" t="s">
        <v>334</v>
      </c>
      <c r="G147" s="3" t="s">
        <v>766</v>
      </c>
      <c r="H147" s="3" t="s">
        <v>56</v>
      </c>
      <c r="I147" s="3" t="s">
        <v>56</v>
      </c>
      <c r="J147" s="3" t="s">
        <v>185</v>
      </c>
      <c r="K147" s="3" t="s">
        <v>767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 t="s">
        <v>768</v>
      </c>
      <c r="AL147" s="4">
        <v>42471</v>
      </c>
      <c r="AM147" s="3"/>
      <c r="AN147" s="3" t="s">
        <v>262</v>
      </c>
    </row>
    <row r="148" spans="1:40" x14ac:dyDescent="0.3">
      <c r="A148" s="3">
        <v>142</v>
      </c>
      <c r="B148" s="3" t="str">
        <f>"201000001340"</f>
        <v>201000001340</v>
      </c>
      <c r="C148" s="3">
        <v>18066</v>
      </c>
      <c r="D148" s="3">
        <v>987930</v>
      </c>
      <c r="E148" s="3">
        <v>20100176450</v>
      </c>
      <c r="F148" s="3" t="s">
        <v>651</v>
      </c>
      <c r="G148" s="3" t="s">
        <v>769</v>
      </c>
      <c r="H148" s="3" t="s">
        <v>56</v>
      </c>
      <c r="I148" s="3" t="s">
        <v>56</v>
      </c>
      <c r="J148" s="3" t="s">
        <v>653</v>
      </c>
      <c r="K148" s="3" t="s">
        <v>770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 t="s">
        <v>187</v>
      </c>
      <c r="AL148" s="4">
        <v>36546</v>
      </c>
      <c r="AM148" s="3"/>
      <c r="AN148" s="3"/>
    </row>
    <row r="149" spans="1:40" x14ac:dyDescent="0.3">
      <c r="A149" s="3">
        <v>143</v>
      </c>
      <c r="B149" s="3" t="str">
        <f>"201000001342"</f>
        <v>201000001342</v>
      </c>
      <c r="C149" s="3">
        <v>19753</v>
      </c>
      <c r="D149" s="3" t="s">
        <v>771</v>
      </c>
      <c r="E149" s="3">
        <v>10038693196</v>
      </c>
      <c r="F149" s="3" t="s">
        <v>772</v>
      </c>
      <c r="G149" s="3" t="s">
        <v>773</v>
      </c>
      <c r="H149" s="3" t="s">
        <v>50</v>
      </c>
      <c r="I149" s="3" t="s">
        <v>638</v>
      </c>
      <c r="J149" s="3" t="s">
        <v>774</v>
      </c>
      <c r="K149" s="3" t="s">
        <v>775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 t="s">
        <v>187</v>
      </c>
      <c r="AL149" s="4">
        <v>36742</v>
      </c>
      <c r="AM149" s="3"/>
      <c r="AN149" s="3"/>
    </row>
    <row r="150" spans="1:40" x14ac:dyDescent="0.3">
      <c r="A150" s="3">
        <v>144</v>
      </c>
      <c r="B150" s="3" t="str">
        <f>"1504524"</f>
        <v>1504524</v>
      </c>
      <c r="C150" s="3">
        <v>93892</v>
      </c>
      <c r="D150" s="3" t="s">
        <v>776</v>
      </c>
      <c r="E150" s="3">
        <v>10446979863</v>
      </c>
      <c r="F150" s="3" t="s">
        <v>777</v>
      </c>
      <c r="G150" s="3" t="s">
        <v>778</v>
      </c>
      <c r="H150" s="3" t="s">
        <v>97</v>
      </c>
      <c r="I150" s="3" t="s">
        <v>208</v>
      </c>
      <c r="J150" s="3" t="s">
        <v>779</v>
      </c>
      <c r="K150" s="3" t="s">
        <v>780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 t="s">
        <v>218</v>
      </c>
      <c r="AL150" s="4">
        <v>40820</v>
      </c>
      <c r="AM150" s="3"/>
      <c r="AN150" s="3" t="s">
        <v>777</v>
      </c>
    </row>
    <row r="151" spans="1:40" x14ac:dyDescent="0.3">
      <c r="A151" s="3">
        <v>145</v>
      </c>
      <c r="B151" s="3" t="str">
        <f>"201000001341"</f>
        <v>201000001341</v>
      </c>
      <c r="C151" s="3">
        <v>18058</v>
      </c>
      <c r="D151" s="3">
        <v>987933</v>
      </c>
      <c r="E151" s="3">
        <v>20100176450</v>
      </c>
      <c r="F151" s="3" t="s">
        <v>651</v>
      </c>
      <c r="G151" s="3" t="s">
        <v>769</v>
      </c>
      <c r="H151" s="3" t="s">
        <v>56</v>
      </c>
      <c r="I151" s="3" t="s">
        <v>56</v>
      </c>
      <c r="J151" s="3" t="s">
        <v>653</v>
      </c>
      <c r="K151" s="3" t="s">
        <v>781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 t="s">
        <v>118</v>
      </c>
      <c r="AL151" s="4">
        <v>36546</v>
      </c>
      <c r="AM151" s="3"/>
      <c r="AN151" s="3"/>
    </row>
    <row r="152" spans="1:40" x14ac:dyDescent="0.3">
      <c r="A152" s="3">
        <v>146</v>
      </c>
      <c r="B152" s="3" t="str">
        <f>"201000001344"</f>
        <v>201000001344</v>
      </c>
      <c r="C152" s="3">
        <v>19482</v>
      </c>
      <c r="D152" s="3" t="s">
        <v>782</v>
      </c>
      <c r="E152" s="3">
        <v>10026645510</v>
      </c>
      <c r="F152" s="3" t="s">
        <v>783</v>
      </c>
      <c r="G152" s="3" t="s">
        <v>784</v>
      </c>
      <c r="H152" s="3" t="s">
        <v>50</v>
      </c>
      <c r="I152" s="3" t="s">
        <v>50</v>
      </c>
      <c r="J152" s="3" t="s">
        <v>98</v>
      </c>
      <c r="K152" s="3" t="s">
        <v>785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 t="s">
        <v>81</v>
      </c>
      <c r="AL152" s="4">
        <v>36746</v>
      </c>
      <c r="AM152" s="3"/>
      <c r="AN152" s="3"/>
    </row>
    <row r="153" spans="1:40" x14ac:dyDescent="0.3">
      <c r="A153" s="3">
        <v>147</v>
      </c>
      <c r="B153" s="3" t="str">
        <f>"201000001343"</f>
        <v>201000001343</v>
      </c>
      <c r="C153" s="3">
        <v>19618</v>
      </c>
      <c r="D153" s="3" t="s">
        <v>786</v>
      </c>
      <c r="E153" s="3">
        <v>10026230891</v>
      </c>
      <c r="F153" s="3" t="s">
        <v>787</v>
      </c>
      <c r="G153" s="3" t="s">
        <v>788</v>
      </c>
      <c r="H153" s="3" t="s">
        <v>50</v>
      </c>
      <c r="I153" s="3" t="s">
        <v>50</v>
      </c>
      <c r="J153" s="3" t="s">
        <v>50</v>
      </c>
      <c r="K153" s="3" t="s">
        <v>789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 t="s">
        <v>81</v>
      </c>
      <c r="AL153" s="4">
        <v>36746</v>
      </c>
      <c r="AM153" s="3"/>
      <c r="AN153" s="3"/>
    </row>
    <row r="154" spans="1:40" x14ac:dyDescent="0.3">
      <c r="A154" s="3">
        <v>148</v>
      </c>
      <c r="B154" s="3" t="str">
        <f>"201700115066"</f>
        <v>201700115066</v>
      </c>
      <c r="C154" s="3">
        <v>130658</v>
      </c>
      <c r="D154" s="3" t="s">
        <v>790</v>
      </c>
      <c r="E154" s="3">
        <v>10428616516</v>
      </c>
      <c r="F154" s="3" t="s">
        <v>791</v>
      </c>
      <c r="G154" s="3" t="s">
        <v>792</v>
      </c>
      <c r="H154" s="3" t="s">
        <v>44</v>
      </c>
      <c r="I154" s="3" t="s">
        <v>45</v>
      </c>
      <c r="J154" s="3" t="s">
        <v>45</v>
      </c>
      <c r="K154" s="3" t="s">
        <v>793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 t="s">
        <v>794</v>
      </c>
      <c r="AL154" s="4">
        <v>42949</v>
      </c>
      <c r="AM154" s="3"/>
      <c r="AN154" s="3" t="s">
        <v>791</v>
      </c>
    </row>
    <row r="155" spans="1:40" ht="27.95" x14ac:dyDescent="0.3">
      <c r="A155" s="3">
        <v>149</v>
      </c>
      <c r="B155" s="3" t="str">
        <f>"202000070069"</f>
        <v>202000070069</v>
      </c>
      <c r="C155" s="3">
        <v>149794</v>
      </c>
      <c r="D155" s="3" t="s">
        <v>795</v>
      </c>
      <c r="E155" s="3">
        <v>10424289936</v>
      </c>
      <c r="F155" s="3" t="s">
        <v>796</v>
      </c>
      <c r="G155" s="3" t="s">
        <v>797</v>
      </c>
      <c r="H155" s="3" t="s">
        <v>97</v>
      </c>
      <c r="I155" s="3" t="s">
        <v>97</v>
      </c>
      <c r="J155" s="3" t="s">
        <v>144</v>
      </c>
      <c r="K155" s="3" t="s">
        <v>798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 t="s">
        <v>583</v>
      </c>
      <c r="AL155" s="4">
        <v>44012</v>
      </c>
      <c r="AM155" s="3"/>
      <c r="AN155" s="3" t="s">
        <v>799</v>
      </c>
    </row>
    <row r="156" spans="1:40" x14ac:dyDescent="0.3">
      <c r="A156" s="3">
        <v>150</v>
      </c>
      <c r="B156" s="3" t="str">
        <f>"201700115064"</f>
        <v>201700115064</v>
      </c>
      <c r="C156" s="3">
        <v>130665</v>
      </c>
      <c r="D156" s="3" t="s">
        <v>800</v>
      </c>
      <c r="E156" s="3">
        <v>10428616516</v>
      </c>
      <c r="F156" s="3" t="s">
        <v>791</v>
      </c>
      <c r="G156" s="3" t="s">
        <v>792</v>
      </c>
      <c r="H156" s="3" t="s">
        <v>44</v>
      </c>
      <c r="I156" s="3" t="s">
        <v>45</v>
      </c>
      <c r="J156" s="3" t="s">
        <v>45</v>
      </c>
      <c r="K156" s="3" t="s">
        <v>801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 t="s">
        <v>802</v>
      </c>
      <c r="AL156" s="4">
        <v>42947</v>
      </c>
      <c r="AM156" s="3"/>
      <c r="AN156" s="3" t="s">
        <v>791</v>
      </c>
    </row>
    <row r="157" spans="1:40" ht="27.95" x14ac:dyDescent="0.3">
      <c r="A157" s="3">
        <v>151</v>
      </c>
      <c r="B157" s="3" t="str">
        <f>"1980826"</f>
        <v>1980826</v>
      </c>
      <c r="C157" s="3">
        <v>86238</v>
      </c>
      <c r="D157" s="3" t="s">
        <v>803</v>
      </c>
      <c r="E157" s="3">
        <v>10229936498</v>
      </c>
      <c r="F157" s="3" t="s">
        <v>804</v>
      </c>
      <c r="G157" s="3" t="s">
        <v>805</v>
      </c>
      <c r="H157" s="3" t="s">
        <v>56</v>
      </c>
      <c r="I157" s="3" t="s">
        <v>56</v>
      </c>
      <c r="J157" s="3" t="s">
        <v>715</v>
      </c>
      <c r="K157" s="3" t="s">
        <v>806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 t="s">
        <v>157</v>
      </c>
      <c r="AL157" s="4">
        <v>40284</v>
      </c>
      <c r="AM157" s="3"/>
      <c r="AN157" s="3"/>
    </row>
    <row r="158" spans="1:40" x14ac:dyDescent="0.3">
      <c r="A158" s="3">
        <v>152</v>
      </c>
      <c r="B158" s="3" t="str">
        <f>"1132034"</f>
        <v>1132034</v>
      </c>
      <c r="C158" s="3">
        <v>3507</v>
      </c>
      <c r="D158" s="3">
        <v>1132034</v>
      </c>
      <c r="E158" s="3">
        <v>10105530779</v>
      </c>
      <c r="F158" s="3" t="s">
        <v>807</v>
      </c>
      <c r="G158" s="3" t="s">
        <v>808</v>
      </c>
      <c r="H158" s="3" t="s">
        <v>56</v>
      </c>
      <c r="I158" s="3" t="s">
        <v>56</v>
      </c>
      <c r="J158" s="3" t="s">
        <v>185</v>
      </c>
      <c r="K158" s="3" t="s">
        <v>809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 t="s">
        <v>167</v>
      </c>
      <c r="AL158" s="4">
        <v>35605</v>
      </c>
      <c r="AM158" s="3"/>
      <c r="AN158" s="3"/>
    </row>
    <row r="159" spans="1:40" x14ac:dyDescent="0.3">
      <c r="A159" s="3">
        <v>153</v>
      </c>
      <c r="B159" s="3" t="str">
        <f>"201700115059"</f>
        <v>201700115059</v>
      </c>
      <c r="C159" s="3">
        <v>130657</v>
      </c>
      <c r="D159" s="3" t="s">
        <v>810</v>
      </c>
      <c r="E159" s="3">
        <v>10428616516</v>
      </c>
      <c r="F159" s="3" t="s">
        <v>791</v>
      </c>
      <c r="G159" s="3" t="s">
        <v>811</v>
      </c>
      <c r="H159" s="3" t="s">
        <v>44</v>
      </c>
      <c r="I159" s="3" t="s">
        <v>45</v>
      </c>
      <c r="J159" s="3" t="s">
        <v>45</v>
      </c>
      <c r="K159" s="3" t="s">
        <v>812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 t="s">
        <v>813</v>
      </c>
      <c r="AL159" s="4">
        <v>42947</v>
      </c>
      <c r="AM159" s="3"/>
      <c r="AN159" s="3" t="s">
        <v>791</v>
      </c>
    </row>
    <row r="160" spans="1:40" ht="27.95" x14ac:dyDescent="0.3">
      <c r="A160" s="3">
        <v>154</v>
      </c>
      <c r="B160" s="3" t="str">
        <f>"201800146777"</f>
        <v>201800146777</v>
      </c>
      <c r="C160" s="3">
        <v>138393</v>
      </c>
      <c r="D160" s="3" t="s">
        <v>814</v>
      </c>
      <c r="E160" s="3">
        <v>20525521509</v>
      </c>
      <c r="F160" s="3" t="s">
        <v>189</v>
      </c>
      <c r="G160" s="3" t="s">
        <v>815</v>
      </c>
      <c r="H160" s="3" t="s">
        <v>50</v>
      </c>
      <c r="I160" s="3" t="s">
        <v>50</v>
      </c>
      <c r="J160" s="3" t="s">
        <v>50</v>
      </c>
      <c r="K160" s="3" t="s">
        <v>816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 t="s">
        <v>602</v>
      </c>
      <c r="AL160" s="4">
        <v>43350</v>
      </c>
      <c r="AM160" s="3"/>
      <c r="AN160" s="3" t="s">
        <v>817</v>
      </c>
    </row>
    <row r="161" spans="1:40" x14ac:dyDescent="0.3">
      <c r="A161" s="3">
        <v>155</v>
      </c>
      <c r="B161" s="3" t="str">
        <f>"201000001334"</f>
        <v>201000001334</v>
      </c>
      <c r="C161" s="3">
        <v>18062</v>
      </c>
      <c r="D161" s="3">
        <v>1210626</v>
      </c>
      <c r="E161" s="3">
        <v>20100176450</v>
      </c>
      <c r="F161" s="3" t="s">
        <v>651</v>
      </c>
      <c r="G161" s="3" t="s">
        <v>769</v>
      </c>
      <c r="H161" s="3" t="s">
        <v>56</v>
      </c>
      <c r="I161" s="3" t="s">
        <v>56</v>
      </c>
      <c r="J161" s="3" t="s">
        <v>653</v>
      </c>
      <c r="K161" s="3" t="s">
        <v>818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 t="s">
        <v>614</v>
      </c>
      <c r="AL161" s="4">
        <v>36546</v>
      </c>
      <c r="AM161" s="3"/>
      <c r="AN161" s="3"/>
    </row>
    <row r="162" spans="1:40" x14ac:dyDescent="0.3">
      <c r="A162" s="3">
        <v>156</v>
      </c>
      <c r="B162" s="3" t="str">
        <f>"201000001335"</f>
        <v>201000001335</v>
      </c>
      <c r="C162" s="3">
        <v>18061</v>
      </c>
      <c r="D162" s="3">
        <v>1210627</v>
      </c>
      <c r="E162" s="3">
        <v>20100176450</v>
      </c>
      <c r="F162" s="3" t="s">
        <v>651</v>
      </c>
      <c r="G162" s="3" t="s">
        <v>769</v>
      </c>
      <c r="H162" s="3" t="s">
        <v>56</v>
      </c>
      <c r="I162" s="3" t="s">
        <v>56</v>
      </c>
      <c r="J162" s="3" t="s">
        <v>653</v>
      </c>
      <c r="K162" s="3" t="s">
        <v>819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 t="s">
        <v>614</v>
      </c>
      <c r="AL162" s="4">
        <v>36546</v>
      </c>
      <c r="AM162" s="3"/>
      <c r="AN162" s="3"/>
    </row>
    <row r="163" spans="1:40" x14ac:dyDescent="0.3">
      <c r="A163" s="3">
        <v>157</v>
      </c>
      <c r="B163" s="3" t="str">
        <f>"201000001336"</f>
        <v>201000001336</v>
      </c>
      <c r="C163" s="3">
        <v>18063</v>
      </c>
      <c r="D163" s="3">
        <v>1224158</v>
      </c>
      <c r="E163" s="3">
        <v>20100176450</v>
      </c>
      <c r="F163" s="3" t="s">
        <v>651</v>
      </c>
      <c r="G163" s="3" t="s">
        <v>769</v>
      </c>
      <c r="H163" s="3" t="s">
        <v>56</v>
      </c>
      <c r="I163" s="3" t="s">
        <v>56</v>
      </c>
      <c r="J163" s="3" t="s">
        <v>653</v>
      </c>
      <c r="K163" s="3" t="s">
        <v>820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 t="s">
        <v>525</v>
      </c>
      <c r="AL163" s="4">
        <v>36546</v>
      </c>
      <c r="AM163" s="3"/>
      <c r="AN163" s="3"/>
    </row>
    <row r="164" spans="1:40" x14ac:dyDescent="0.3">
      <c r="A164" s="3">
        <v>158</v>
      </c>
      <c r="B164" s="3" t="str">
        <f>"201000001337"</f>
        <v>201000001337</v>
      </c>
      <c r="C164" s="3">
        <v>18056</v>
      </c>
      <c r="D164" s="3">
        <v>1224161</v>
      </c>
      <c r="E164" s="3">
        <v>20100176450</v>
      </c>
      <c r="F164" s="3" t="s">
        <v>651</v>
      </c>
      <c r="G164" s="3" t="s">
        <v>821</v>
      </c>
      <c r="H164" s="3" t="s">
        <v>56</v>
      </c>
      <c r="I164" s="3" t="s">
        <v>56</v>
      </c>
      <c r="J164" s="3" t="s">
        <v>653</v>
      </c>
      <c r="K164" s="3" t="s">
        <v>822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 t="s">
        <v>525</v>
      </c>
      <c r="AL164" s="4">
        <v>36546</v>
      </c>
      <c r="AM164" s="3"/>
      <c r="AN164" s="3"/>
    </row>
    <row r="165" spans="1:40" x14ac:dyDescent="0.3">
      <c r="A165" s="3">
        <v>159</v>
      </c>
      <c r="B165" s="3" t="str">
        <f>"201000001338"</f>
        <v>201000001338</v>
      </c>
      <c r="C165" s="3">
        <v>18080</v>
      </c>
      <c r="D165" s="3">
        <v>1232534</v>
      </c>
      <c r="E165" s="3">
        <v>20100176450</v>
      </c>
      <c r="F165" s="3" t="s">
        <v>651</v>
      </c>
      <c r="G165" s="3" t="s">
        <v>769</v>
      </c>
      <c r="H165" s="3" t="s">
        <v>56</v>
      </c>
      <c r="I165" s="3" t="s">
        <v>56</v>
      </c>
      <c r="J165" s="3" t="s">
        <v>653</v>
      </c>
      <c r="K165" s="3" t="s">
        <v>823</v>
      </c>
      <c r="L165" s="3" t="s">
        <v>824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 t="s">
        <v>470</v>
      </c>
      <c r="AL165" s="4">
        <v>36546</v>
      </c>
      <c r="AM165" s="3"/>
      <c r="AN165" s="3"/>
    </row>
    <row r="166" spans="1:40" x14ac:dyDescent="0.3">
      <c r="A166" s="3">
        <v>160</v>
      </c>
      <c r="B166" s="3" t="str">
        <f>"201000001339"</f>
        <v>201000001339</v>
      </c>
      <c r="C166" s="3">
        <v>16353</v>
      </c>
      <c r="D166" s="3">
        <v>1240245</v>
      </c>
      <c r="E166" s="3">
        <v>10090869081</v>
      </c>
      <c r="F166" s="3" t="s">
        <v>825</v>
      </c>
      <c r="G166" s="3" t="s">
        <v>826</v>
      </c>
      <c r="H166" s="3" t="s">
        <v>56</v>
      </c>
      <c r="I166" s="3" t="s">
        <v>56</v>
      </c>
      <c r="J166" s="3" t="s">
        <v>277</v>
      </c>
      <c r="K166" s="3" t="s">
        <v>827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 t="s">
        <v>525</v>
      </c>
      <c r="AL166" s="4">
        <v>36347</v>
      </c>
      <c r="AM166" s="3"/>
      <c r="AN166" s="3"/>
    </row>
    <row r="167" spans="1:40" x14ac:dyDescent="0.3">
      <c r="A167" s="3">
        <v>161</v>
      </c>
      <c r="B167" s="3" t="str">
        <f>"1179808"</f>
        <v>1179808</v>
      </c>
      <c r="C167" s="3">
        <v>13873</v>
      </c>
      <c r="D167" s="3">
        <v>1179808</v>
      </c>
      <c r="E167" s="3">
        <v>10293751396</v>
      </c>
      <c r="F167" s="3" t="s">
        <v>828</v>
      </c>
      <c r="G167" s="3" t="s">
        <v>829</v>
      </c>
      <c r="H167" s="3" t="s">
        <v>446</v>
      </c>
      <c r="I167" s="3" t="s">
        <v>446</v>
      </c>
      <c r="J167" s="3" t="s">
        <v>830</v>
      </c>
      <c r="K167" s="3" t="s">
        <v>831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 t="s">
        <v>353</v>
      </c>
      <c r="AL167" s="4">
        <v>35905</v>
      </c>
      <c r="AM167" s="3"/>
      <c r="AN167" s="3"/>
    </row>
    <row r="168" spans="1:40" x14ac:dyDescent="0.3">
      <c r="A168" s="3">
        <v>162</v>
      </c>
      <c r="B168" s="3" t="str">
        <f>"1181939"</f>
        <v>1181939</v>
      </c>
      <c r="C168" s="3">
        <v>13894</v>
      </c>
      <c r="D168" s="3">
        <v>1181939</v>
      </c>
      <c r="E168" s="3">
        <v>10159994495</v>
      </c>
      <c r="F168" s="3" t="s">
        <v>832</v>
      </c>
      <c r="G168" s="3" t="s">
        <v>833</v>
      </c>
      <c r="H168" s="3" t="s">
        <v>56</v>
      </c>
      <c r="I168" s="3" t="s">
        <v>56</v>
      </c>
      <c r="J168" s="3" t="s">
        <v>185</v>
      </c>
      <c r="K168" s="3" t="s">
        <v>834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 t="s">
        <v>81</v>
      </c>
      <c r="AL168" s="4">
        <v>35921</v>
      </c>
      <c r="AM168" s="3"/>
      <c r="AN168" s="3"/>
    </row>
    <row r="169" spans="1:40" x14ac:dyDescent="0.3">
      <c r="A169" s="3">
        <v>163</v>
      </c>
      <c r="B169" s="3" t="str">
        <f>"1948943"</f>
        <v>1948943</v>
      </c>
      <c r="C169" s="3">
        <v>84977</v>
      </c>
      <c r="D169" s="3" t="s">
        <v>835</v>
      </c>
      <c r="E169" s="3">
        <v>20517249336</v>
      </c>
      <c r="F169" s="3" t="s">
        <v>836</v>
      </c>
      <c r="G169" s="3" t="s">
        <v>837</v>
      </c>
      <c r="H169" s="3" t="s">
        <v>56</v>
      </c>
      <c r="I169" s="3" t="s">
        <v>56</v>
      </c>
      <c r="J169" s="3" t="s">
        <v>838</v>
      </c>
      <c r="K169" s="3" t="s">
        <v>839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 t="s">
        <v>65</v>
      </c>
      <c r="AL169" s="4">
        <v>40191</v>
      </c>
      <c r="AM169" s="3"/>
      <c r="AN169" s="3"/>
    </row>
    <row r="170" spans="1:40" x14ac:dyDescent="0.3">
      <c r="A170" s="3">
        <v>164</v>
      </c>
      <c r="B170" s="3" t="str">
        <f>"201000001333"</f>
        <v>201000001333</v>
      </c>
      <c r="C170" s="3">
        <v>18057</v>
      </c>
      <c r="D170" s="3">
        <v>1210625</v>
      </c>
      <c r="E170" s="3">
        <v>20100176450</v>
      </c>
      <c r="F170" s="3" t="s">
        <v>651</v>
      </c>
      <c r="G170" s="3" t="s">
        <v>769</v>
      </c>
      <c r="H170" s="3" t="s">
        <v>56</v>
      </c>
      <c r="I170" s="3" t="s">
        <v>56</v>
      </c>
      <c r="J170" s="3" t="s">
        <v>653</v>
      </c>
      <c r="K170" s="3" t="s">
        <v>840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 t="s">
        <v>614</v>
      </c>
      <c r="AL170" s="4">
        <v>36546</v>
      </c>
      <c r="AM170" s="3"/>
      <c r="AN170" s="3"/>
    </row>
    <row r="171" spans="1:40" x14ac:dyDescent="0.3">
      <c r="A171" s="3">
        <v>165</v>
      </c>
      <c r="B171" s="3" t="str">
        <f>"201000001332"</f>
        <v>201000001332</v>
      </c>
      <c r="C171" s="3">
        <v>18059</v>
      </c>
      <c r="D171" s="3">
        <v>1150881</v>
      </c>
      <c r="E171" s="3">
        <v>20100176450</v>
      </c>
      <c r="F171" s="3" t="s">
        <v>651</v>
      </c>
      <c r="G171" s="3" t="s">
        <v>769</v>
      </c>
      <c r="H171" s="3" t="s">
        <v>56</v>
      </c>
      <c r="I171" s="3" t="s">
        <v>56</v>
      </c>
      <c r="J171" s="3" t="s">
        <v>653</v>
      </c>
      <c r="K171" s="3" t="s">
        <v>841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 t="s">
        <v>842</v>
      </c>
      <c r="AL171" s="4">
        <v>36546</v>
      </c>
      <c r="AM171" s="3"/>
      <c r="AN171" s="3"/>
    </row>
    <row r="172" spans="1:40" x14ac:dyDescent="0.3">
      <c r="A172" s="3">
        <v>166</v>
      </c>
      <c r="B172" s="3" t="str">
        <f>"1948941"</f>
        <v>1948941</v>
      </c>
      <c r="C172" s="3">
        <v>84979</v>
      </c>
      <c r="D172" s="3" t="s">
        <v>843</v>
      </c>
      <c r="E172" s="3">
        <v>20517249336</v>
      </c>
      <c r="F172" s="3" t="s">
        <v>844</v>
      </c>
      <c r="G172" s="3" t="s">
        <v>837</v>
      </c>
      <c r="H172" s="3" t="s">
        <v>56</v>
      </c>
      <c r="I172" s="3" t="s">
        <v>56</v>
      </c>
      <c r="J172" s="3" t="s">
        <v>838</v>
      </c>
      <c r="K172" s="3" t="s">
        <v>845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 t="s">
        <v>65</v>
      </c>
      <c r="AL172" s="4">
        <v>40191</v>
      </c>
      <c r="AM172" s="3"/>
      <c r="AN172" s="3"/>
    </row>
    <row r="173" spans="1:40" x14ac:dyDescent="0.3">
      <c r="A173" s="3">
        <v>167</v>
      </c>
      <c r="B173" s="3" t="str">
        <f>"201000001331"</f>
        <v>201000001331</v>
      </c>
      <c r="C173" s="3">
        <v>18071</v>
      </c>
      <c r="D173" s="3">
        <v>1091609</v>
      </c>
      <c r="E173" s="3">
        <v>20100176450</v>
      </c>
      <c r="F173" s="3" t="s">
        <v>651</v>
      </c>
      <c r="G173" s="3" t="s">
        <v>769</v>
      </c>
      <c r="H173" s="3" t="s">
        <v>56</v>
      </c>
      <c r="I173" s="3" t="s">
        <v>56</v>
      </c>
      <c r="J173" s="3" t="s">
        <v>653</v>
      </c>
      <c r="K173" s="3" t="s">
        <v>846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 t="s">
        <v>233</v>
      </c>
      <c r="AL173" s="4">
        <v>36546</v>
      </c>
      <c r="AM173" s="3"/>
      <c r="AN173" s="3"/>
    </row>
    <row r="174" spans="1:40" x14ac:dyDescent="0.3">
      <c r="A174" s="3">
        <v>168</v>
      </c>
      <c r="B174" s="3" t="str">
        <f>"201000001330"</f>
        <v>201000001330</v>
      </c>
      <c r="C174" s="3">
        <v>21123</v>
      </c>
      <c r="D174" s="3" t="s">
        <v>847</v>
      </c>
      <c r="E174" s="3">
        <v>20119204896</v>
      </c>
      <c r="F174" s="3" t="s">
        <v>848</v>
      </c>
      <c r="G174" s="3" t="s">
        <v>849</v>
      </c>
      <c r="H174" s="3" t="s">
        <v>202</v>
      </c>
      <c r="I174" s="3" t="s">
        <v>202</v>
      </c>
      <c r="J174" s="3" t="s">
        <v>202</v>
      </c>
      <c r="K174" s="3" t="s">
        <v>850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 t="s">
        <v>851</v>
      </c>
      <c r="AL174" s="4">
        <v>37034</v>
      </c>
      <c r="AM174" s="3"/>
      <c r="AN174" s="3"/>
    </row>
    <row r="175" spans="1:40" ht="27.95" x14ac:dyDescent="0.3">
      <c r="A175" s="3">
        <v>169</v>
      </c>
      <c r="B175" s="3" t="str">
        <f>"1457103"</f>
        <v>1457103</v>
      </c>
      <c r="C175" s="3">
        <v>87947</v>
      </c>
      <c r="D175" s="3" t="s">
        <v>852</v>
      </c>
      <c r="E175" s="3">
        <v>20480138300</v>
      </c>
      <c r="F175" s="3" t="s">
        <v>853</v>
      </c>
      <c r="G175" s="3" t="s">
        <v>854</v>
      </c>
      <c r="H175" s="3" t="s">
        <v>318</v>
      </c>
      <c r="I175" s="3" t="s">
        <v>319</v>
      </c>
      <c r="J175" s="3" t="s">
        <v>319</v>
      </c>
      <c r="K175" s="3" t="s">
        <v>855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 t="s">
        <v>856</v>
      </c>
      <c r="AL175" s="4">
        <v>40533</v>
      </c>
      <c r="AM175" s="3"/>
      <c r="AN175" s="3" t="s">
        <v>857</v>
      </c>
    </row>
    <row r="176" spans="1:40" x14ac:dyDescent="0.3">
      <c r="A176" s="3">
        <v>170</v>
      </c>
      <c r="B176" s="3" t="str">
        <f>"201400047396"</f>
        <v>201400047396</v>
      </c>
      <c r="C176" s="3">
        <v>15948</v>
      </c>
      <c r="D176" s="3" t="s">
        <v>858</v>
      </c>
      <c r="E176" s="3">
        <v>20262254268</v>
      </c>
      <c r="F176" s="3" t="s">
        <v>103</v>
      </c>
      <c r="G176" s="3" t="s">
        <v>859</v>
      </c>
      <c r="H176" s="3" t="s">
        <v>56</v>
      </c>
      <c r="I176" s="3" t="s">
        <v>56</v>
      </c>
      <c r="J176" s="3" t="s">
        <v>105</v>
      </c>
      <c r="K176" s="3" t="s">
        <v>860</v>
      </c>
      <c r="L176" s="3" t="s">
        <v>861</v>
      </c>
      <c r="M176" s="3" t="s">
        <v>861</v>
      </c>
      <c r="N176" s="3" t="s">
        <v>861</v>
      </c>
      <c r="O176" s="3" t="s">
        <v>862</v>
      </c>
      <c r="P176" s="3" t="s">
        <v>862</v>
      </c>
      <c r="Q176" s="3" t="s">
        <v>862</v>
      </c>
      <c r="R176" s="3" t="s">
        <v>107</v>
      </c>
      <c r="S176" s="3" t="s">
        <v>107</v>
      </c>
      <c r="T176" s="3" t="s">
        <v>107</v>
      </c>
      <c r="U176" s="3" t="s">
        <v>109</v>
      </c>
      <c r="V176" s="3" t="s">
        <v>109</v>
      </c>
      <c r="W176" s="3" t="s">
        <v>109</v>
      </c>
      <c r="X176" s="3" t="s">
        <v>111</v>
      </c>
      <c r="Y176" s="3" t="s">
        <v>111</v>
      </c>
      <c r="Z176" s="3" t="s">
        <v>111</v>
      </c>
      <c r="AA176" s="3" t="s">
        <v>863</v>
      </c>
      <c r="AB176" s="3" t="s">
        <v>863</v>
      </c>
      <c r="AC176" s="3" t="s">
        <v>863</v>
      </c>
      <c r="AD176" s="3"/>
      <c r="AE176" s="3"/>
      <c r="AF176" s="3"/>
      <c r="AG176" s="3"/>
      <c r="AH176" s="3"/>
      <c r="AI176" s="3"/>
      <c r="AJ176" s="3"/>
      <c r="AK176" s="3" t="s">
        <v>864</v>
      </c>
      <c r="AL176" s="4">
        <v>41764</v>
      </c>
      <c r="AM176" s="3"/>
      <c r="AN176" s="3" t="s">
        <v>113</v>
      </c>
    </row>
    <row r="177" spans="1:40" x14ac:dyDescent="0.3">
      <c r="A177" s="3">
        <v>171</v>
      </c>
      <c r="B177" s="3" t="str">
        <f>"1457100"</f>
        <v>1457100</v>
      </c>
      <c r="C177" s="3">
        <v>36667</v>
      </c>
      <c r="D177" s="3" t="s">
        <v>865</v>
      </c>
      <c r="E177" s="3">
        <v>20121837634</v>
      </c>
      <c r="F177" s="3" t="s">
        <v>866</v>
      </c>
      <c r="G177" s="3" t="s">
        <v>867</v>
      </c>
      <c r="H177" s="3" t="s">
        <v>237</v>
      </c>
      <c r="I177" s="3" t="s">
        <v>868</v>
      </c>
      <c r="J177" s="3" t="s">
        <v>869</v>
      </c>
      <c r="K177" s="3" t="s">
        <v>870</v>
      </c>
      <c r="L177" s="3" t="s">
        <v>871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 t="s">
        <v>872</v>
      </c>
      <c r="AL177" s="4">
        <v>38049</v>
      </c>
      <c r="AM177" s="3"/>
      <c r="AN177" s="3"/>
    </row>
    <row r="178" spans="1:40" x14ac:dyDescent="0.3">
      <c r="A178" s="3">
        <v>172</v>
      </c>
      <c r="B178" s="3" t="str">
        <f>"201700036146"</f>
        <v>201700036146</v>
      </c>
      <c r="C178" s="3">
        <v>122401</v>
      </c>
      <c r="D178" s="3" t="s">
        <v>873</v>
      </c>
      <c r="E178" s="3">
        <v>20525521509</v>
      </c>
      <c r="F178" s="3" t="s">
        <v>189</v>
      </c>
      <c r="G178" s="3" t="s">
        <v>874</v>
      </c>
      <c r="H178" s="3" t="s">
        <v>50</v>
      </c>
      <c r="I178" s="3" t="s">
        <v>50</v>
      </c>
      <c r="J178" s="3" t="s">
        <v>50</v>
      </c>
      <c r="K178" s="3" t="s">
        <v>875</v>
      </c>
      <c r="L178" s="3" t="s">
        <v>876</v>
      </c>
      <c r="M178" s="3" t="s">
        <v>877</v>
      </c>
      <c r="N178" s="3" t="s">
        <v>878</v>
      </c>
      <c r="O178" s="3" t="s">
        <v>879</v>
      </c>
      <c r="P178" s="3" t="s">
        <v>880</v>
      </c>
      <c r="Q178" s="3" t="s">
        <v>881</v>
      </c>
      <c r="R178" s="3" t="s">
        <v>882</v>
      </c>
      <c r="S178" s="3" t="s">
        <v>883</v>
      </c>
      <c r="T178" s="3" t="s">
        <v>884</v>
      </c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 t="s">
        <v>470</v>
      </c>
      <c r="AL178" s="4">
        <v>42815</v>
      </c>
      <c r="AM178" s="3"/>
      <c r="AN178" s="3" t="s">
        <v>885</v>
      </c>
    </row>
    <row r="179" spans="1:40" x14ac:dyDescent="0.3">
      <c r="A179" s="3">
        <v>173</v>
      </c>
      <c r="B179" s="3" t="str">
        <f>"1457109"</f>
        <v>1457109</v>
      </c>
      <c r="C179" s="3">
        <v>37576</v>
      </c>
      <c r="D179" s="3" t="s">
        <v>886</v>
      </c>
      <c r="E179" s="3">
        <v>20121837634</v>
      </c>
      <c r="F179" s="3" t="s">
        <v>866</v>
      </c>
      <c r="G179" s="3" t="s">
        <v>867</v>
      </c>
      <c r="H179" s="3" t="s">
        <v>237</v>
      </c>
      <c r="I179" s="3" t="s">
        <v>868</v>
      </c>
      <c r="J179" s="3" t="s">
        <v>869</v>
      </c>
      <c r="K179" s="3" t="s">
        <v>887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 t="s">
        <v>802</v>
      </c>
      <c r="AL179" s="4">
        <v>38049</v>
      </c>
      <c r="AM179" s="3"/>
      <c r="AN179" s="3"/>
    </row>
    <row r="180" spans="1:40" x14ac:dyDescent="0.3">
      <c r="A180" s="3">
        <v>174</v>
      </c>
      <c r="B180" s="3" t="str">
        <f>"201700036152"</f>
        <v>201700036152</v>
      </c>
      <c r="C180" s="3">
        <v>92682</v>
      </c>
      <c r="D180" s="3" t="s">
        <v>888</v>
      </c>
      <c r="E180" s="3">
        <v>20525521509</v>
      </c>
      <c r="F180" s="3" t="s">
        <v>189</v>
      </c>
      <c r="G180" s="3" t="s">
        <v>889</v>
      </c>
      <c r="H180" s="3" t="s">
        <v>50</v>
      </c>
      <c r="I180" s="3" t="s">
        <v>50</v>
      </c>
      <c r="J180" s="3" t="s">
        <v>50</v>
      </c>
      <c r="K180" s="3" t="s">
        <v>890</v>
      </c>
      <c r="L180" s="3" t="s">
        <v>883</v>
      </c>
      <c r="M180" s="3" t="s">
        <v>876</v>
      </c>
      <c r="N180" s="3" t="s">
        <v>891</v>
      </c>
      <c r="O180" s="3" t="s">
        <v>880</v>
      </c>
      <c r="P180" s="3" t="s">
        <v>878</v>
      </c>
      <c r="Q180" s="3" t="s">
        <v>877</v>
      </c>
      <c r="R180" s="3" t="s">
        <v>879</v>
      </c>
      <c r="S180" s="3" t="s">
        <v>881</v>
      </c>
      <c r="T180" s="3" t="s">
        <v>882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 t="s">
        <v>470</v>
      </c>
      <c r="AL180" s="4">
        <v>42815</v>
      </c>
      <c r="AM180" s="3"/>
      <c r="AN180" s="3" t="s">
        <v>885</v>
      </c>
    </row>
    <row r="181" spans="1:40" x14ac:dyDescent="0.3">
      <c r="A181" s="3">
        <v>175</v>
      </c>
      <c r="B181" s="3" t="str">
        <f>"201300131324"</f>
        <v>201300131324</v>
      </c>
      <c r="C181" s="3">
        <v>104577</v>
      </c>
      <c r="D181" s="3" t="s">
        <v>892</v>
      </c>
      <c r="E181" s="3">
        <v>10247034256</v>
      </c>
      <c r="F181" s="3" t="s">
        <v>893</v>
      </c>
      <c r="G181" s="3" t="s">
        <v>894</v>
      </c>
      <c r="H181" s="3" t="s">
        <v>446</v>
      </c>
      <c r="I181" s="3" t="s">
        <v>895</v>
      </c>
      <c r="J181" s="3" t="s">
        <v>896</v>
      </c>
      <c r="K181" s="3" t="s">
        <v>897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 t="s">
        <v>898</v>
      </c>
      <c r="AL181" s="3" t="s">
        <v>290</v>
      </c>
      <c r="AM181" s="3"/>
      <c r="AN181" s="3" t="s">
        <v>893</v>
      </c>
    </row>
    <row r="182" spans="1:40" x14ac:dyDescent="0.3">
      <c r="A182" s="3">
        <v>176</v>
      </c>
      <c r="B182" s="3" t="str">
        <f>"201000001329"</f>
        <v>201000001329</v>
      </c>
      <c r="C182" s="3">
        <v>21122</v>
      </c>
      <c r="D182" s="3" t="s">
        <v>899</v>
      </c>
      <c r="E182" s="3">
        <v>20119204896</v>
      </c>
      <c r="F182" s="3" t="s">
        <v>848</v>
      </c>
      <c r="G182" s="3" t="s">
        <v>849</v>
      </c>
      <c r="H182" s="3" t="s">
        <v>202</v>
      </c>
      <c r="I182" s="3" t="s">
        <v>202</v>
      </c>
      <c r="J182" s="3" t="s">
        <v>202</v>
      </c>
      <c r="K182" s="3" t="s">
        <v>900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 t="s">
        <v>162</v>
      </c>
      <c r="AL182" s="4">
        <v>37034</v>
      </c>
      <c r="AM182" s="3"/>
      <c r="AN182" s="3"/>
    </row>
    <row r="183" spans="1:40" x14ac:dyDescent="0.3">
      <c r="A183" s="3">
        <v>177</v>
      </c>
      <c r="B183" s="3" t="str">
        <f>"1405194"</f>
        <v>1405194</v>
      </c>
      <c r="C183" s="3">
        <v>86474</v>
      </c>
      <c r="D183" s="3" t="s">
        <v>901</v>
      </c>
      <c r="E183" s="3">
        <v>10411913720</v>
      </c>
      <c r="F183" s="3" t="s">
        <v>902</v>
      </c>
      <c r="G183" s="3" t="s">
        <v>903</v>
      </c>
      <c r="H183" s="3" t="s">
        <v>202</v>
      </c>
      <c r="I183" s="3" t="s">
        <v>202</v>
      </c>
      <c r="J183" s="3" t="s">
        <v>904</v>
      </c>
      <c r="K183" s="3" t="s">
        <v>905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 t="s">
        <v>906</v>
      </c>
      <c r="AL183" s="4">
        <v>40423</v>
      </c>
      <c r="AM183" s="3"/>
      <c r="AN183" s="3" t="s">
        <v>902</v>
      </c>
    </row>
    <row r="184" spans="1:40" x14ac:dyDescent="0.3">
      <c r="A184" s="3">
        <v>178</v>
      </c>
      <c r="B184" s="3" t="str">
        <f>"201000001327"</f>
        <v>201000001327</v>
      </c>
      <c r="C184" s="3">
        <v>21120</v>
      </c>
      <c r="D184" s="3" t="s">
        <v>907</v>
      </c>
      <c r="E184" s="3">
        <v>20119204896</v>
      </c>
      <c r="F184" s="3" t="s">
        <v>848</v>
      </c>
      <c r="G184" s="3" t="s">
        <v>849</v>
      </c>
      <c r="H184" s="3" t="s">
        <v>202</v>
      </c>
      <c r="I184" s="3" t="s">
        <v>202</v>
      </c>
      <c r="J184" s="3" t="s">
        <v>202</v>
      </c>
      <c r="K184" s="3" t="s">
        <v>908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 t="s">
        <v>898</v>
      </c>
      <c r="AL184" s="4">
        <v>37034</v>
      </c>
      <c r="AM184" s="3"/>
      <c r="AN184" s="3"/>
    </row>
    <row r="185" spans="1:40" x14ac:dyDescent="0.3">
      <c r="A185" s="3">
        <v>179</v>
      </c>
      <c r="B185" s="3" t="str">
        <f>"201000001328"</f>
        <v>201000001328</v>
      </c>
      <c r="C185" s="3">
        <v>21121</v>
      </c>
      <c r="D185" s="3" t="s">
        <v>909</v>
      </c>
      <c r="E185" s="3">
        <v>20119204896</v>
      </c>
      <c r="F185" s="3" t="s">
        <v>848</v>
      </c>
      <c r="G185" s="3" t="s">
        <v>849</v>
      </c>
      <c r="H185" s="3" t="s">
        <v>202</v>
      </c>
      <c r="I185" s="3" t="s">
        <v>202</v>
      </c>
      <c r="J185" s="3" t="s">
        <v>202</v>
      </c>
      <c r="K185" s="3" t="s">
        <v>910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 t="s">
        <v>898</v>
      </c>
      <c r="AL185" s="4">
        <v>37034</v>
      </c>
      <c r="AM185" s="3"/>
      <c r="AN185" s="3"/>
    </row>
    <row r="186" spans="1:40" x14ac:dyDescent="0.3">
      <c r="A186" s="3">
        <v>180</v>
      </c>
      <c r="B186" s="3" t="str">
        <f>"201600010147"</f>
        <v>201600010147</v>
      </c>
      <c r="C186" s="3">
        <v>119569</v>
      </c>
      <c r="D186" s="3" t="s">
        <v>911</v>
      </c>
      <c r="E186" s="3">
        <v>10207240686</v>
      </c>
      <c r="F186" s="3" t="s">
        <v>912</v>
      </c>
      <c r="G186" s="3" t="s">
        <v>913</v>
      </c>
      <c r="H186" s="3" t="s">
        <v>56</v>
      </c>
      <c r="I186" s="3" t="s">
        <v>56</v>
      </c>
      <c r="J186" s="3" t="s">
        <v>131</v>
      </c>
      <c r="K186" s="3" t="s">
        <v>914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 t="s">
        <v>915</v>
      </c>
      <c r="AL186" s="4">
        <v>42416</v>
      </c>
      <c r="AM186" s="3"/>
      <c r="AN186" s="3" t="s">
        <v>912</v>
      </c>
    </row>
    <row r="187" spans="1:40" x14ac:dyDescent="0.3">
      <c r="A187" s="3">
        <v>181</v>
      </c>
      <c r="B187" s="3" t="str">
        <f>"1316778"</f>
        <v>1316778</v>
      </c>
      <c r="C187" s="3">
        <v>20641</v>
      </c>
      <c r="D187" s="3" t="s">
        <v>916</v>
      </c>
      <c r="E187" s="3">
        <v>10040234310</v>
      </c>
      <c r="F187" s="3" t="s">
        <v>917</v>
      </c>
      <c r="G187" s="3" t="s">
        <v>918</v>
      </c>
      <c r="H187" s="3" t="s">
        <v>56</v>
      </c>
      <c r="I187" s="3" t="s">
        <v>56</v>
      </c>
      <c r="J187" s="3" t="s">
        <v>432</v>
      </c>
      <c r="K187" s="3" t="s">
        <v>919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 t="s">
        <v>306</v>
      </c>
      <c r="AL187" s="4">
        <v>36999</v>
      </c>
      <c r="AM187" s="3"/>
      <c r="AN187" s="3"/>
    </row>
    <row r="188" spans="1:40" x14ac:dyDescent="0.3">
      <c r="A188" s="3">
        <v>182</v>
      </c>
      <c r="B188" s="3" t="str">
        <f>"201900109101"</f>
        <v>201900109101</v>
      </c>
      <c r="C188" s="3">
        <v>145090</v>
      </c>
      <c r="D188" s="3" t="s">
        <v>920</v>
      </c>
      <c r="E188" s="3">
        <v>20535704539</v>
      </c>
      <c r="F188" s="3" t="s">
        <v>921</v>
      </c>
      <c r="G188" s="3" t="s">
        <v>922</v>
      </c>
      <c r="H188" s="3" t="s">
        <v>97</v>
      </c>
      <c r="I188" s="3" t="s">
        <v>97</v>
      </c>
      <c r="J188" s="3" t="s">
        <v>97</v>
      </c>
      <c r="K188" s="3" t="s">
        <v>923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 t="s">
        <v>924</v>
      </c>
      <c r="AL188" s="4">
        <v>43662</v>
      </c>
      <c r="AM188" s="3"/>
      <c r="AN188" s="3" t="s">
        <v>925</v>
      </c>
    </row>
    <row r="189" spans="1:40" x14ac:dyDescent="0.3">
      <c r="A189" s="3">
        <v>183</v>
      </c>
      <c r="B189" s="3" t="str">
        <f>"1261468"</f>
        <v>1261468</v>
      </c>
      <c r="C189" s="3">
        <v>17975</v>
      </c>
      <c r="D189" s="3">
        <v>1047077</v>
      </c>
      <c r="E189" s="3">
        <v>10102924857</v>
      </c>
      <c r="F189" s="3" t="s">
        <v>926</v>
      </c>
      <c r="G189" s="3" t="s">
        <v>927</v>
      </c>
      <c r="H189" s="3" t="s">
        <v>56</v>
      </c>
      <c r="I189" s="3" t="s">
        <v>56</v>
      </c>
      <c r="J189" s="3" t="s">
        <v>57</v>
      </c>
      <c r="K189" s="3" t="s">
        <v>928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 t="s">
        <v>842</v>
      </c>
      <c r="AL189" s="4">
        <v>36489</v>
      </c>
      <c r="AM189" s="3"/>
      <c r="AN189" s="3"/>
    </row>
    <row r="190" spans="1:40" x14ac:dyDescent="0.3">
      <c r="A190" s="3">
        <v>184</v>
      </c>
      <c r="B190" s="3" t="str">
        <f>"1116510"</f>
        <v>1116510</v>
      </c>
      <c r="C190" s="3">
        <v>6621</v>
      </c>
      <c r="D190" s="3">
        <v>1043161</v>
      </c>
      <c r="E190" s="3">
        <v>20100007348</v>
      </c>
      <c r="F190" s="3" t="s">
        <v>929</v>
      </c>
      <c r="G190" s="3" t="s">
        <v>930</v>
      </c>
      <c r="H190" s="3" t="s">
        <v>75</v>
      </c>
      <c r="I190" s="3" t="s">
        <v>75</v>
      </c>
      <c r="J190" s="3" t="s">
        <v>76</v>
      </c>
      <c r="K190" s="3" t="s">
        <v>931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 t="s">
        <v>546</v>
      </c>
      <c r="AL190" s="4">
        <v>35528</v>
      </c>
      <c r="AM190" s="3"/>
      <c r="AN190" s="3"/>
    </row>
    <row r="191" spans="1:40" x14ac:dyDescent="0.3">
      <c r="A191" s="3">
        <v>185</v>
      </c>
      <c r="B191" s="3" t="str">
        <f>"201600159161"</f>
        <v>201600159161</v>
      </c>
      <c r="C191" s="3">
        <v>124746</v>
      </c>
      <c r="D191" s="3" t="s">
        <v>932</v>
      </c>
      <c r="E191" s="3">
        <v>20601508673</v>
      </c>
      <c r="F191" s="3" t="s">
        <v>933</v>
      </c>
      <c r="G191" s="3" t="s">
        <v>934</v>
      </c>
      <c r="H191" s="3" t="s">
        <v>97</v>
      </c>
      <c r="I191" s="3" t="s">
        <v>208</v>
      </c>
      <c r="J191" s="3" t="s">
        <v>779</v>
      </c>
      <c r="K191" s="3" t="s">
        <v>935</v>
      </c>
      <c r="L191" s="3" t="s">
        <v>936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 t="s">
        <v>915</v>
      </c>
      <c r="AL191" s="4">
        <v>42788</v>
      </c>
      <c r="AM191" s="3"/>
      <c r="AN191" s="3" t="s">
        <v>937</v>
      </c>
    </row>
    <row r="192" spans="1:40" x14ac:dyDescent="0.3">
      <c r="A192" s="3">
        <v>186</v>
      </c>
      <c r="B192" s="3" t="str">
        <f>"201700024213"</f>
        <v>201700024213</v>
      </c>
      <c r="C192" s="3">
        <v>124964</v>
      </c>
      <c r="D192" s="3" t="s">
        <v>938</v>
      </c>
      <c r="E192" s="3">
        <v>20278540449</v>
      </c>
      <c r="F192" s="3" t="s">
        <v>939</v>
      </c>
      <c r="G192" s="3" t="s">
        <v>940</v>
      </c>
      <c r="H192" s="3" t="s">
        <v>446</v>
      </c>
      <c r="I192" s="3" t="s">
        <v>446</v>
      </c>
      <c r="J192" s="3" t="s">
        <v>830</v>
      </c>
      <c r="K192" s="3" t="s">
        <v>941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 t="s">
        <v>942</v>
      </c>
      <c r="AL192" s="4">
        <v>42789</v>
      </c>
      <c r="AM192" s="3"/>
      <c r="AN192" s="3" t="s">
        <v>943</v>
      </c>
    </row>
    <row r="193" spans="1:40" x14ac:dyDescent="0.3">
      <c r="A193" s="3">
        <v>187</v>
      </c>
      <c r="B193" s="3" t="str">
        <f>"201400100012"</f>
        <v>201400100012</v>
      </c>
      <c r="C193" s="3">
        <v>35401</v>
      </c>
      <c r="D193" s="3" t="s">
        <v>944</v>
      </c>
      <c r="E193" s="3">
        <v>20507840613</v>
      </c>
      <c r="F193" s="3" t="s">
        <v>298</v>
      </c>
      <c r="G193" s="3" t="s">
        <v>55</v>
      </c>
      <c r="H193" s="3" t="s">
        <v>56</v>
      </c>
      <c r="I193" s="3" t="s">
        <v>56</v>
      </c>
      <c r="J193" s="3" t="s">
        <v>57</v>
      </c>
      <c r="K193" s="3" t="s">
        <v>945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 t="s">
        <v>946</v>
      </c>
      <c r="AL193" s="4">
        <v>41856</v>
      </c>
      <c r="AM193" s="3"/>
      <c r="AN193" s="3" t="s">
        <v>947</v>
      </c>
    </row>
    <row r="194" spans="1:40" x14ac:dyDescent="0.3">
      <c r="A194" s="3">
        <v>188</v>
      </c>
      <c r="B194" s="3" t="str">
        <f>"1451408"</f>
        <v>1451408</v>
      </c>
      <c r="C194" s="3">
        <v>35675</v>
      </c>
      <c r="D194" s="3" t="s">
        <v>948</v>
      </c>
      <c r="E194" s="3">
        <v>10328106626</v>
      </c>
      <c r="F194" s="3" t="s">
        <v>949</v>
      </c>
      <c r="G194" s="3" t="s">
        <v>950</v>
      </c>
      <c r="H194" s="3" t="s">
        <v>44</v>
      </c>
      <c r="I194" s="3" t="s">
        <v>45</v>
      </c>
      <c r="J194" s="3" t="s">
        <v>45</v>
      </c>
      <c r="K194" s="3" t="s">
        <v>951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 t="s">
        <v>614</v>
      </c>
      <c r="AL194" s="4">
        <v>37993</v>
      </c>
      <c r="AM194" s="3"/>
      <c r="AN194" s="3"/>
    </row>
    <row r="195" spans="1:40" x14ac:dyDescent="0.3">
      <c r="A195" s="3">
        <v>189</v>
      </c>
      <c r="B195" s="3" t="str">
        <f>"1116513"</f>
        <v>1116513</v>
      </c>
      <c r="C195" s="3">
        <v>2518</v>
      </c>
      <c r="D195" s="3">
        <v>1032775</v>
      </c>
      <c r="E195" s="3">
        <v>20100007348</v>
      </c>
      <c r="F195" s="3" t="s">
        <v>929</v>
      </c>
      <c r="G195" s="3" t="s">
        <v>930</v>
      </c>
      <c r="H195" s="3" t="s">
        <v>75</v>
      </c>
      <c r="I195" s="3" t="s">
        <v>75</v>
      </c>
      <c r="J195" s="3" t="s">
        <v>76</v>
      </c>
      <c r="K195" s="3" t="s">
        <v>952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 t="s">
        <v>167</v>
      </c>
      <c r="AL195" s="4">
        <v>35528</v>
      </c>
      <c r="AM195" s="3"/>
      <c r="AN195" s="3"/>
    </row>
    <row r="196" spans="1:40" x14ac:dyDescent="0.3">
      <c r="A196" s="3">
        <v>190</v>
      </c>
      <c r="B196" s="3" t="str">
        <f>"1116511"</f>
        <v>1116511</v>
      </c>
      <c r="C196" s="3">
        <v>6435</v>
      </c>
      <c r="D196" s="3">
        <v>1091134</v>
      </c>
      <c r="E196" s="3">
        <v>10084064837</v>
      </c>
      <c r="F196" s="3" t="s">
        <v>953</v>
      </c>
      <c r="G196" s="3" t="s">
        <v>954</v>
      </c>
      <c r="H196" s="3" t="s">
        <v>56</v>
      </c>
      <c r="I196" s="3" t="s">
        <v>56</v>
      </c>
      <c r="J196" s="3" t="s">
        <v>155</v>
      </c>
      <c r="K196" s="3" t="s">
        <v>955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 t="s">
        <v>634</v>
      </c>
      <c r="AL196" s="4">
        <v>35528</v>
      </c>
      <c r="AM196" s="3"/>
      <c r="AN196" s="3"/>
    </row>
    <row r="197" spans="1:40" ht="41.95" x14ac:dyDescent="0.3">
      <c r="A197" s="3">
        <v>191</v>
      </c>
      <c r="B197" s="3" t="str">
        <f>"201900108944"</f>
        <v>201900108944</v>
      </c>
      <c r="C197" s="3">
        <v>124194</v>
      </c>
      <c r="D197" s="3" t="s">
        <v>956</v>
      </c>
      <c r="E197" s="3">
        <v>20478005289</v>
      </c>
      <c r="F197" s="3" t="s">
        <v>957</v>
      </c>
      <c r="G197" s="3" t="s">
        <v>958</v>
      </c>
      <c r="H197" s="3" t="s">
        <v>56</v>
      </c>
      <c r="I197" s="3" t="s">
        <v>56</v>
      </c>
      <c r="J197" s="3" t="s">
        <v>363</v>
      </c>
      <c r="K197" s="3" t="s">
        <v>959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 t="s">
        <v>960</v>
      </c>
      <c r="AL197" s="4">
        <v>43658</v>
      </c>
      <c r="AM197" s="3"/>
      <c r="AN197" s="3" t="s">
        <v>961</v>
      </c>
    </row>
    <row r="198" spans="1:40" ht="27.95" x14ac:dyDescent="0.3">
      <c r="A198" s="3">
        <v>192</v>
      </c>
      <c r="B198" s="3" t="str">
        <f>"201700075202"</f>
        <v>201700075202</v>
      </c>
      <c r="C198" s="3">
        <v>128563</v>
      </c>
      <c r="D198" s="3" t="s">
        <v>962</v>
      </c>
      <c r="E198" s="3">
        <v>10271452361</v>
      </c>
      <c r="F198" s="3" t="s">
        <v>963</v>
      </c>
      <c r="G198" s="3" t="s">
        <v>964</v>
      </c>
      <c r="H198" s="3" t="s">
        <v>56</v>
      </c>
      <c r="I198" s="3" t="s">
        <v>56</v>
      </c>
      <c r="J198" s="3" t="s">
        <v>63</v>
      </c>
      <c r="K198" s="3" t="s">
        <v>965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 t="s">
        <v>966</v>
      </c>
      <c r="AL198" s="4">
        <v>42887</v>
      </c>
      <c r="AM198" s="3"/>
      <c r="AN198" s="3" t="s">
        <v>963</v>
      </c>
    </row>
    <row r="199" spans="1:40" x14ac:dyDescent="0.3">
      <c r="A199" s="3">
        <v>193</v>
      </c>
      <c r="B199" s="3" t="str">
        <f>"1705621"</f>
        <v>1705621</v>
      </c>
      <c r="C199" s="3">
        <v>44607</v>
      </c>
      <c r="D199" s="3" t="s">
        <v>967</v>
      </c>
      <c r="E199" s="3">
        <v>10296104600</v>
      </c>
      <c r="F199" s="3" t="s">
        <v>968</v>
      </c>
      <c r="G199" s="3" t="s">
        <v>969</v>
      </c>
      <c r="H199" s="3" t="s">
        <v>97</v>
      </c>
      <c r="I199" s="3" t="s">
        <v>97</v>
      </c>
      <c r="J199" s="3" t="s">
        <v>970</v>
      </c>
      <c r="K199" s="3" t="s">
        <v>971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 t="s">
        <v>218</v>
      </c>
      <c r="AL199" s="4">
        <v>39259</v>
      </c>
      <c r="AM199" s="3"/>
      <c r="AN199" s="3"/>
    </row>
    <row r="200" spans="1:40" ht="27.95" x14ac:dyDescent="0.3">
      <c r="A200" s="3">
        <v>194</v>
      </c>
      <c r="B200" s="3" t="str">
        <f>"1439161"</f>
        <v>1439161</v>
      </c>
      <c r="C200" s="3">
        <v>36535</v>
      </c>
      <c r="D200" s="3" t="s">
        <v>972</v>
      </c>
      <c r="E200" s="3">
        <v>20205183915</v>
      </c>
      <c r="F200" s="3" t="s">
        <v>973</v>
      </c>
      <c r="G200" s="3" t="s">
        <v>974</v>
      </c>
      <c r="H200" s="3" t="s">
        <v>56</v>
      </c>
      <c r="I200" s="3" t="s">
        <v>56</v>
      </c>
      <c r="J200" s="3" t="s">
        <v>975</v>
      </c>
      <c r="K200" s="3" t="s">
        <v>976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 t="s">
        <v>187</v>
      </c>
      <c r="AL200" s="4">
        <v>37939</v>
      </c>
      <c r="AM200" s="3"/>
      <c r="AN200" s="3"/>
    </row>
    <row r="201" spans="1:40" ht="27.95" x14ac:dyDescent="0.3">
      <c r="A201" s="3">
        <v>195</v>
      </c>
      <c r="B201" s="3" t="str">
        <f>"201400110792"</f>
        <v>201400110792</v>
      </c>
      <c r="C201" s="3">
        <v>83017</v>
      </c>
      <c r="D201" s="3" t="s">
        <v>977</v>
      </c>
      <c r="E201" s="3">
        <v>20393711974</v>
      </c>
      <c r="F201" s="3" t="s">
        <v>978</v>
      </c>
      <c r="G201" s="3" t="s">
        <v>979</v>
      </c>
      <c r="H201" s="3" t="s">
        <v>395</v>
      </c>
      <c r="I201" s="3" t="s">
        <v>396</v>
      </c>
      <c r="J201" s="3" t="s">
        <v>490</v>
      </c>
      <c r="K201" s="3" t="s">
        <v>980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 t="s">
        <v>981</v>
      </c>
      <c r="AL201" s="4">
        <v>41879</v>
      </c>
      <c r="AM201" s="3"/>
      <c r="AN201" s="3" t="s">
        <v>982</v>
      </c>
    </row>
    <row r="202" spans="1:40" ht="27.95" x14ac:dyDescent="0.3">
      <c r="A202" s="3">
        <v>196</v>
      </c>
      <c r="B202" s="3" t="str">
        <f>"201800124089"</f>
        <v>201800124089</v>
      </c>
      <c r="C202" s="3">
        <v>137715</v>
      </c>
      <c r="D202" s="3" t="s">
        <v>983</v>
      </c>
      <c r="E202" s="3">
        <v>20525521509</v>
      </c>
      <c r="F202" s="3" t="s">
        <v>189</v>
      </c>
      <c r="G202" s="3" t="s">
        <v>984</v>
      </c>
      <c r="H202" s="3" t="s">
        <v>50</v>
      </c>
      <c r="I202" s="3" t="s">
        <v>50</v>
      </c>
      <c r="J202" s="3" t="s">
        <v>50</v>
      </c>
      <c r="K202" s="3" t="s">
        <v>985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 t="s">
        <v>986</v>
      </c>
      <c r="AL202" s="4">
        <v>43314</v>
      </c>
      <c r="AM202" s="3"/>
      <c r="AN202" s="3" t="s">
        <v>817</v>
      </c>
    </row>
    <row r="203" spans="1:40" x14ac:dyDescent="0.3">
      <c r="A203" s="3">
        <v>197</v>
      </c>
      <c r="B203" s="3" t="str">
        <f>"201900206187"</f>
        <v>201900206187</v>
      </c>
      <c r="C203" s="3">
        <v>140663</v>
      </c>
      <c r="D203" s="3" t="s">
        <v>987</v>
      </c>
      <c r="E203" s="3">
        <v>10445546530</v>
      </c>
      <c r="F203" s="3" t="s">
        <v>988</v>
      </c>
      <c r="G203" s="3" t="s">
        <v>989</v>
      </c>
      <c r="H203" s="3" t="s">
        <v>237</v>
      </c>
      <c r="I203" s="3" t="s">
        <v>990</v>
      </c>
      <c r="J203" s="3" t="s">
        <v>991</v>
      </c>
      <c r="K203" s="3" t="s">
        <v>992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 t="s">
        <v>504</v>
      </c>
      <c r="AL203" s="4">
        <v>43811</v>
      </c>
      <c r="AM203" s="3"/>
      <c r="AN203" s="3" t="s">
        <v>988</v>
      </c>
    </row>
    <row r="204" spans="1:40" x14ac:dyDescent="0.3">
      <c r="A204" s="3">
        <v>198</v>
      </c>
      <c r="B204" s="3" t="str">
        <f>"201300171544"</f>
        <v>201300171544</v>
      </c>
      <c r="C204" s="3">
        <v>106019</v>
      </c>
      <c r="D204" s="3" t="s">
        <v>993</v>
      </c>
      <c r="E204" s="3">
        <v>20487616401</v>
      </c>
      <c r="F204" s="3" t="s">
        <v>994</v>
      </c>
      <c r="G204" s="3" t="s">
        <v>995</v>
      </c>
      <c r="H204" s="3" t="s">
        <v>318</v>
      </c>
      <c r="I204" s="3" t="s">
        <v>319</v>
      </c>
      <c r="J204" s="3" t="s">
        <v>495</v>
      </c>
      <c r="K204" s="3" t="s">
        <v>996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 t="s">
        <v>997</v>
      </c>
      <c r="AL204" s="3" t="s">
        <v>290</v>
      </c>
      <c r="AM204" s="3"/>
      <c r="AN204" s="3" t="s">
        <v>998</v>
      </c>
    </row>
    <row r="205" spans="1:40" x14ac:dyDescent="0.3">
      <c r="A205" s="3">
        <v>199</v>
      </c>
      <c r="B205" s="3" t="str">
        <f>"201900073567"</f>
        <v>201900073567</v>
      </c>
      <c r="C205" s="3">
        <v>42473</v>
      </c>
      <c r="D205" s="3" t="s">
        <v>999</v>
      </c>
      <c r="E205" s="3">
        <v>10292593398</v>
      </c>
      <c r="F205" s="3" t="s">
        <v>1000</v>
      </c>
      <c r="G205" s="3" t="s">
        <v>1001</v>
      </c>
      <c r="H205" s="3" t="s">
        <v>97</v>
      </c>
      <c r="I205" s="3" t="s">
        <v>97</v>
      </c>
      <c r="J205" s="3" t="s">
        <v>97</v>
      </c>
      <c r="K205" s="3" t="s">
        <v>1002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 t="s">
        <v>1003</v>
      </c>
      <c r="AL205" s="4">
        <v>43600</v>
      </c>
      <c r="AM205" s="3"/>
      <c r="AN205" s="3" t="s">
        <v>1000</v>
      </c>
    </row>
    <row r="206" spans="1:40" x14ac:dyDescent="0.3">
      <c r="A206" s="3">
        <v>200</v>
      </c>
      <c r="B206" s="3" t="str">
        <f>"201600038392"</f>
        <v>201600038392</v>
      </c>
      <c r="C206" s="3">
        <v>120424</v>
      </c>
      <c r="D206" s="3" t="s">
        <v>1004</v>
      </c>
      <c r="E206" s="3">
        <v>20100366747</v>
      </c>
      <c r="F206" s="3" t="s">
        <v>334</v>
      </c>
      <c r="G206" s="3" t="s">
        <v>766</v>
      </c>
      <c r="H206" s="3" t="s">
        <v>56</v>
      </c>
      <c r="I206" s="3" t="s">
        <v>56</v>
      </c>
      <c r="J206" s="3" t="s">
        <v>185</v>
      </c>
      <c r="K206" s="3" t="s">
        <v>1005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 t="s">
        <v>768</v>
      </c>
      <c r="AL206" s="4">
        <v>42471</v>
      </c>
      <c r="AM206" s="3"/>
      <c r="AN206" s="3" t="s">
        <v>262</v>
      </c>
    </row>
    <row r="207" spans="1:40" x14ac:dyDescent="0.3">
      <c r="A207" s="3">
        <v>201</v>
      </c>
      <c r="B207" s="3" t="str">
        <f>"201700004892"</f>
        <v>201700004892</v>
      </c>
      <c r="C207" s="3">
        <v>125569</v>
      </c>
      <c r="D207" s="3" t="s">
        <v>1006</v>
      </c>
      <c r="E207" s="3">
        <v>20449403453</v>
      </c>
      <c r="F207" s="3" t="s">
        <v>1007</v>
      </c>
      <c r="G207" s="3" t="s">
        <v>1008</v>
      </c>
      <c r="H207" s="3" t="s">
        <v>202</v>
      </c>
      <c r="I207" s="3" t="s">
        <v>202</v>
      </c>
      <c r="J207" s="3" t="s">
        <v>612</v>
      </c>
      <c r="K207" s="3" t="s">
        <v>1009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 t="s">
        <v>226</v>
      </c>
      <c r="AL207" s="4">
        <v>42761</v>
      </c>
      <c r="AM207" s="3"/>
      <c r="AN207" s="3" t="s">
        <v>615</v>
      </c>
    </row>
    <row r="208" spans="1:40" x14ac:dyDescent="0.3">
      <c r="A208" s="3">
        <v>202</v>
      </c>
      <c r="B208" s="3" t="str">
        <f>"201900073560"</f>
        <v>201900073560</v>
      </c>
      <c r="C208" s="3">
        <v>109841</v>
      </c>
      <c r="D208" s="3" t="s">
        <v>1010</v>
      </c>
      <c r="E208" s="3">
        <v>20559134806</v>
      </c>
      <c r="F208" s="3" t="s">
        <v>1011</v>
      </c>
      <c r="G208" s="3" t="s">
        <v>1012</v>
      </c>
      <c r="H208" s="3" t="s">
        <v>97</v>
      </c>
      <c r="I208" s="3" t="s">
        <v>97</v>
      </c>
      <c r="J208" s="3" t="s">
        <v>144</v>
      </c>
      <c r="K208" s="3" t="s">
        <v>1013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 t="s">
        <v>1014</v>
      </c>
      <c r="AL208" s="4">
        <v>43600</v>
      </c>
      <c r="AM208" s="3"/>
      <c r="AN208" s="3" t="s">
        <v>1015</v>
      </c>
    </row>
    <row r="209" spans="1:40" x14ac:dyDescent="0.3">
      <c r="A209" s="3">
        <v>203</v>
      </c>
      <c r="B209" s="3" t="str">
        <f>"201900108959"</f>
        <v>201900108959</v>
      </c>
      <c r="C209" s="3">
        <v>145086</v>
      </c>
      <c r="D209" s="3" t="s">
        <v>1016</v>
      </c>
      <c r="E209" s="3">
        <v>10776754965</v>
      </c>
      <c r="F209" s="3" t="s">
        <v>1017</v>
      </c>
      <c r="G209" s="3" t="s">
        <v>1018</v>
      </c>
      <c r="H209" s="3" t="s">
        <v>56</v>
      </c>
      <c r="I209" s="3" t="s">
        <v>56</v>
      </c>
      <c r="J209" s="3" t="s">
        <v>155</v>
      </c>
      <c r="K209" s="3" t="s">
        <v>1019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 t="s">
        <v>1020</v>
      </c>
      <c r="AL209" s="4">
        <v>43658</v>
      </c>
      <c r="AM209" s="3"/>
      <c r="AN209" s="3" t="s">
        <v>1017</v>
      </c>
    </row>
    <row r="210" spans="1:40" x14ac:dyDescent="0.3">
      <c r="A210" s="3">
        <v>204</v>
      </c>
      <c r="B210" s="3" t="str">
        <f>"201600030899"</f>
        <v>201600030899</v>
      </c>
      <c r="C210" s="3">
        <v>120210</v>
      </c>
      <c r="D210" s="3" t="s">
        <v>1021</v>
      </c>
      <c r="E210" s="3">
        <v>10104267349</v>
      </c>
      <c r="F210" s="3" t="s">
        <v>1022</v>
      </c>
      <c r="G210" s="3" t="s">
        <v>1023</v>
      </c>
      <c r="H210" s="3" t="s">
        <v>56</v>
      </c>
      <c r="I210" s="3" t="s">
        <v>56</v>
      </c>
      <c r="J210" s="3" t="s">
        <v>277</v>
      </c>
      <c r="K210" s="3" t="s">
        <v>1024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 t="s">
        <v>1025</v>
      </c>
      <c r="AL210" s="4">
        <v>42444</v>
      </c>
      <c r="AM210" s="3"/>
      <c r="AN210" s="3" t="s">
        <v>1026</v>
      </c>
    </row>
    <row r="211" spans="1:40" x14ac:dyDescent="0.3">
      <c r="A211" s="3">
        <v>205</v>
      </c>
      <c r="B211" s="3" t="str">
        <f>"1116508"</f>
        <v>1116508</v>
      </c>
      <c r="C211" s="3">
        <v>2521</v>
      </c>
      <c r="D211" s="3">
        <v>1034976</v>
      </c>
      <c r="E211" s="3">
        <v>20100007348</v>
      </c>
      <c r="F211" s="3" t="s">
        <v>929</v>
      </c>
      <c r="G211" s="3" t="s">
        <v>930</v>
      </c>
      <c r="H211" s="3" t="s">
        <v>75</v>
      </c>
      <c r="I211" s="3" t="s">
        <v>75</v>
      </c>
      <c r="J211" s="3" t="s">
        <v>76</v>
      </c>
      <c r="K211" s="3" t="s">
        <v>1027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 t="s">
        <v>157</v>
      </c>
      <c r="AL211" s="4">
        <v>35528</v>
      </c>
      <c r="AM211" s="3"/>
      <c r="AN211" s="3"/>
    </row>
    <row r="212" spans="1:40" ht="27.95" x14ac:dyDescent="0.3">
      <c r="A212" s="3">
        <v>206</v>
      </c>
      <c r="B212" s="3" t="str">
        <f>"201200207942"</f>
        <v>201200207942</v>
      </c>
      <c r="C212" s="3">
        <v>99377</v>
      </c>
      <c r="D212" s="3" t="s">
        <v>1028</v>
      </c>
      <c r="E212" s="3">
        <v>20532600805</v>
      </c>
      <c r="F212" s="3" t="s">
        <v>1029</v>
      </c>
      <c r="G212" s="3" t="s">
        <v>1030</v>
      </c>
      <c r="H212" s="3" t="s">
        <v>743</v>
      </c>
      <c r="I212" s="3" t="s">
        <v>1031</v>
      </c>
      <c r="J212" s="3" t="s">
        <v>1031</v>
      </c>
      <c r="K212" s="3" t="s">
        <v>1032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 t="s">
        <v>118</v>
      </c>
      <c r="AL212" s="3" t="s">
        <v>290</v>
      </c>
      <c r="AM212" s="3"/>
      <c r="AN212" s="3" t="s">
        <v>1033</v>
      </c>
    </row>
    <row r="213" spans="1:40" ht="27.95" x14ac:dyDescent="0.3">
      <c r="A213" s="3">
        <v>207</v>
      </c>
      <c r="B213" s="3" t="str">
        <f>"201600105861"</f>
        <v>201600105861</v>
      </c>
      <c r="C213" s="3">
        <v>122407</v>
      </c>
      <c r="D213" s="3" t="s">
        <v>1034</v>
      </c>
      <c r="E213" s="3">
        <v>20547314426</v>
      </c>
      <c r="F213" s="3" t="s">
        <v>1035</v>
      </c>
      <c r="G213" s="3" t="s">
        <v>1036</v>
      </c>
      <c r="H213" s="3" t="s">
        <v>56</v>
      </c>
      <c r="I213" s="3" t="s">
        <v>56</v>
      </c>
      <c r="J213" s="3" t="s">
        <v>273</v>
      </c>
      <c r="K213" s="3" t="s">
        <v>1037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 t="s">
        <v>1038</v>
      </c>
      <c r="AL213" s="4">
        <v>42601</v>
      </c>
      <c r="AM213" s="3"/>
      <c r="AN213" s="3" t="s">
        <v>1039</v>
      </c>
    </row>
    <row r="214" spans="1:40" x14ac:dyDescent="0.3">
      <c r="A214" s="3">
        <v>208</v>
      </c>
      <c r="B214" s="3" t="str">
        <f>"1514764"</f>
        <v>1514764</v>
      </c>
      <c r="C214" s="3">
        <v>40324</v>
      </c>
      <c r="D214" s="3" t="s">
        <v>1040</v>
      </c>
      <c r="E214" s="3">
        <v>10104626713</v>
      </c>
      <c r="F214" s="3" t="s">
        <v>1041</v>
      </c>
      <c r="G214" s="3" t="s">
        <v>1042</v>
      </c>
      <c r="H214" s="3" t="s">
        <v>56</v>
      </c>
      <c r="I214" s="3" t="s">
        <v>56</v>
      </c>
      <c r="J214" s="3" t="s">
        <v>1043</v>
      </c>
      <c r="K214" s="3" t="s">
        <v>1044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 t="s">
        <v>614</v>
      </c>
      <c r="AL214" s="4">
        <v>38390</v>
      </c>
      <c r="AM214" s="3"/>
      <c r="AN214" s="3"/>
    </row>
    <row r="215" spans="1:40" x14ac:dyDescent="0.3">
      <c r="A215" s="3">
        <v>209</v>
      </c>
      <c r="B215" s="3" t="str">
        <f>"1400542"</f>
        <v>1400542</v>
      </c>
      <c r="C215" s="3">
        <v>34018</v>
      </c>
      <c r="D215" s="3" t="s">
        <v>1045</v>
      </c>
      <c r="E215" s="3">
        <v>10105016595</v>
      </c>
      <c r="F215" s="3" t="s">
        <v>1046</v>
      </c>
      <c r="G215" s="3" t="s">
        <v>1047</v>
      </c>
      <c r="H215" s="3" t="s">
        <v>56</v>
      </c>
      <c r="I215" s="3" t="s">
        <v>56</v>
      </c>
      <c r="J215" s="3" t="s">
        <v>715</v>
      </c>
      <c r="K215" s="3" t="s">
        <v>1048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 t="s">
        <v>81</v>
      </c>
      <c r="AL215" s="4">
        <v>37669</v>
      </c>
      <c r="AM215" s="3"/>
      <c r="AN215" s="3"/>
    </row>
    <row r="216" spans="1:40" x14ac:dyDescent="0.3">
      <c r="A216" s="3">
        <v>210</v>
      </c>
      <c r="B216" s="3" t="str">
        <f>"201000001300"</f>
        <v>201000001300</v>
      </c>
      <c r="C216" s="3">
        <v>20650</v>
      </c>
      <c r="D216" s="3" t="s">
        <v>1049</v>
      </c>
      <c r="E216" s="3">
        <v>10305891440</v>
      </c>
      <c r="F216" s="3" t="s">
        <v>1050</v>
      </c>
      <c r="G216" s="3" t="s">
        <v>1051</v>
      </c>
      <c r="H216" s="3" t="s">
        <v>202</v>
      </c>
      <c r="I216" s="3" t="s">
        <v>202</v>
      </c>
      <c r="J216" s="3" t="s">
        <v>202</v>
      </c>
      <c r="K216" s="3" t="s">
        <v>1052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 t="s">
        <v>1053</v>
      </c>
      <c r="AL216" s="4">
        <v>36889</v>
      </c>
      <c r="AM216" s="3"/>
      <c r="AN216" s="3"/>
    </row>
    <row r="217" spans="1:40" x14ac:dyDescent="0.3">
      <c r="A217" s="3">
        <v>211</v>
      </c>
      <c r="B217" s="3" t="str">
        <f>"1426037"</f>
        <v>1426037</v>
      </c>
      <c r="C217" s="3">
        <v>35727</v>
      </c>
      <c r="D217" s="3" t="s">
        <v>1054</v>
      </c>
      <c r="E217" s="3">
        <v>20100366747</v>
      </c>
      <c r="F217" s="3" t="s">
        <v>258</v>
      </c>
      <c r="G217" s="3" t="s">
        <v>1055</v>
      </c>
      <c r="H217" s="3" t="s">
        <v>56</v>
      </c>
      <c r="I217" s="3" t="s">
        <v>56</v>
      </c>
      <c r="J217" s="3" t="s">
        <v>185</v>
      </c>
      <c r="K217" s="3" t="s">
        <v>1056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 t="s">
        <v>230</v>
      </c>
      <c r="AL217" s="4">
        <v>37866</v>
      </c>
      <c r="AM217" s="3"/>
      <c r="AN217" s="3"/>
    </row>
    <row r="218" spans="1:40" x14ac:dyDescent="0.3">
      <c r="A218" s="3">
        <v>212</v>
      </c>
      <c r="B218" s="3" t="str">
        <f>"1506908"</f>
        <v>1506908</v>
      </c>
      <c r="C218" s="3">
        <v>37183</v>
      </c>
      <c r="D218" s="3" t="s">
        <v>1057</v>
      </c>
      <c r="E218" s="3">
        <v>10081204956</v>
      </c>
      <c r="F218" s="3" t="s">
        <v>1058</v>
      </c>
      <c r="G218" s="3" t="s">
        <v>1059</v>
      </c>
      <c r="H218" s="3" t="s">
        <v>56</v>
      </c>
      <c r="I218" s="3" t="s">
        <v>56</v>
      </c>
      <c r="J218" s="3" t="s">
        <v>57</v>
      </c>
      <c r="K218" s="3" t="s">
        <v>1060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 t="s">
        <v>1061</v>
      </c>
      <c r="AL218" s="4">
        <v>38387</v>
      </c>
      <c r="AM218" s="3"/>
      <c r="AN218" s="3"/>
    </row>
    <row r="219" spans="1:40" x14ac:dyDescent="0.3">
      <c r="A219" s="3">
        <v>213</v>
      </c>
      <c r="B219" s="3" t="str">
        <f>"201400100034"</f>
        <v>201400100034</v>
      </c>
      <c r="C219" s="3">
        <v>44828</v>
      </c>
      <c r="D219" s="3" t="s">
        <v>1062</v>
      </c>
      <c r="E219" s="3">
        <v>20507840613</v>
      </c>
      <c r="F219" s="3" t="s">
        <v>298</v>
      </c>
      <c r="G219" s="3" t="s">
        <v>55</v>
      </c>
      <c r="H219" s="3" t="s">
        <v>56</v>
      </c>
      <c r="I219" s="3" t="s">
        <v>56</v>
      </c>
      <c r="J219" s="3" t="s">
        <v>57</v>
      </c>
      <c r="K219" s="3" t="s">
        <v>1063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 t="s">
        <v>1064</v>
      </c>
      <c r="AL219" s="4">
        <v>41856</v>
      </c>
      <c r="AM219" s="3"/>
      <c r="AN219" s="3" t="s">
        <v>60</v>
      </c>
    </row>
    <row r="220" spans="1:40" ht="27.95" x14ac:dyDescent="0.3">
      <c r="A220" s="3">
        <v>214</v>
      </c>
      <c r="B220" s="3" t="str">
        <f>"1371266"</f>
        <v>1371266</v>
      </c>
      <c r="C220" s="3">
        <v>86726</v>
      </c>
      <c r="D220" s="3" t="s">
        <v>1065</v>
      </c>
      <c r="E220" s="3">
        <v>20522002021</v>
      </c>
      <c r="F220" s="3" t="s">
        <v>713</v>
      </c>
      <c r="G220" s="3" t="s">
        <v>1066</v>
      </c>
      <c r="H220" s="3" t="s">
        <v>56</v>
      </c>
      <c r="I220" s="3" t="s">
        <v>56</v>
      </c>
      <c r="J220" s="3" t="s">
        <v>715</v>
      </c>
      <c r="K220" s="3" t="s">
        <v>1067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 t="s">
        <v>717</v>
      </c>
      <c r="AL220" s="4">
        <v>40354</v>
      </c>
      <c r="AM220" s="3"/>
      <c r="AN220" s="3" t="s">
        <v>718</v>
      </c>
    </row>
    <row r="221" spans="1:40" x14ac:dyDescent="0.3">
      <c r="A221" s="3">
        <v>215</v>
      </c>
      <c r="B221" s="3" t="str">
        <f>"201600049086"</f>
        <v>201600049086</v>
      </c>
      <c r="C221" s="3">
        <v>61593</v>
      </c>
      <c r="D221" s="3" t="s">
        <v>1068</v>
      </c>
      <c r="E221" s="3">
        <v>20262254268</v>
      </c>
      <c r="F221" s="3" t="s">
        <v>1069</v>
      </c>
      <c r="G221" s="3" t="s">
        <v>1070</v>
      </c>
      <c r="H221" s="3" t="s">
        <v>56</v>
      </c>
      <c r="I221" s="3" t="s">
        <v>56</v>
      </c>
      <c r="J221" s="3" t="s">
        <v>105</v>
      </c>
      <c r="K221" s="3" t="s">
        <v>1071</v>
      </c>
      <c r="L221" s="3" t="s">
        <v>1072</v>
      </c>
      <c r="M221" s="3" t="s">
        <v>1073</v>
      </c>
      <c r="N221" s="3" t="s">
        <v>861</v>
      </c>
      <c r="O221" s="3" t="s">
        <v>1074</v>
      </c>
      <c r="P221" s="3" t="s">
        <v>863</v>
      </c>
      <c r="Q221" s="3" t="s">
        <v>111</v>
      </c>
      <c r="R221" s="3" t="s">
        <v>1075</v>
      </c>
      <c r="S221" s="3" t="s">
        <v>1076</v>
      </c>
      <c r="T221" s="3" t="s">
        <v>1077</v>
      </c>
      <c r="U221" s="3" t="s">
        <v>109</v>
      </c>
      <c r="V221" s="3" t="s">
        <v>1078</v>
      </c>
      <c r="W221" s="3" t="s">
        <v>1079</v>
      </c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 t="s">
        <v>864</v>
      </c>
      <c r="AL221" s="4">
        <v>42485</v>
      </c>
      <c r="AM221" s="3"/>
      <c r="AN221" s="3" t="s">
        <v>113</v>
      </c>
    </row>
    <row r="222" spans="1:40" x14ac:dyDescent="0.3">
      <c r="A222" s="3">
        <v>216</v>
      </c>
      <c r="B222" s="3" t="str">
        <f>"201200140554"</f>
        <v>201200140554</v>
      </c>
      <c r="C222" s="3">
        <v>97594</v>
      </c>
      <c r="D222" s="3" t="s">
        <v>1080</v>
      </c>
      <c r="E222" s="3">
        <v>10458515111</v>
      </c>
      <c r="F222" s="3" t="s">
        <v>1081</v>
      </c>
      <c r="G222" s="3" t="s">
        <v>1082</v>
      </c>
      <c r="H222" s="3" t="s">
        <v>318</v>
      </c>
      <c r="I222" s="3" t="s">
        <v>319</v>
      </c>
      <c r="J222" s="3" t="s">
        <v>495</v>
      </c>
      <c r="K222" s="3" t="s">
        <v>1083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 t="s">
        <v>425</v>
      </c>
      <c r="AL222" s="4">
        <v>41106</v>
      </c>
      <c r="AM222" s="3"/>
      <c r="AN222" s="3" t="s">
        <v>1081</v>
      </c>
    </row>
    <row r="223" spans="1:40" x14ac:dyDescent="0.3">
      <c r="A223" s="3">
        <v>217</v>
      </c>
      <c r="B223" s="3" t="str">
        <f>"201300135440"</f>
        <v>201300135440</v>
      </c>
      <c r="C223" s="3">
        <v>104782</v>
      </c>
      <c r="D223" s="3" t="s">
        <v>1084</v>
      </c>
      <c r="E223" s="3">
        <v>20487789501</v>
      </c>
      <c r="F223" s="3" t="s">
        <v>316</v>
      </c>
      <c r="G223" s="3" t="s">
        <v>1085</v>
      </c>
      <c r="H223" s="3" t="s">
        <v>318</v>
      </c>
      <c r="I223" s="3" t="s">
        <v>319</v>
      </c>
      <c r="J223" s="3" t="s">
        <v>319</v>
      </c>
      <c r="K223" s="3" t="s">
        <v>1086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 t="s">
        <v>1087</v>
      </c>
      <c r="AL223" s="3" t="s">
        <v>290</v>
      </c>
      <c r="AM223" s="3"/>
      <c r="AN223" s="3" t="s">
        <v>322</v>
      </c>
    </row>
    <row r="224" spans="1:40" x14ac:dyDescent="0.3">
      <c r="A224" s="3">
        <v>218</v>
      </c>
      <c r="B224" s="3" t="str">
        <f>"1504573"</f>
        <v>1504573</v>
      </c>
      <c r="C224" s="3">
        <v>93990</v>
      </c>
      <c r="D224" s="3" t="s">
        <v>1088</v>
      </c>
      <c r="E224" s="3">
        <v>20342701478</v>
      </c>
      <c r="F224" s="3" t="s">
        <v>1089</v>
      </c>
      <c r="G224" s="3" t="s">
        <v>1090</v>
      </c>
      <c r="H224" s="3" t="s">
        <v>56</v>
      </c>
      <c r="I224" s="3" t="s">
        <v>56</v>
      </c>
      <c r="J224" s="3" t="s">
        <v>185</v>
      </c>
      <c r="K224" s="3" t="s">
        <v>1091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 t="s">
        <v>906</v>
      </c>
      <c r="AL224" s="4">
        <v>40828</v>
      </c>
      <c r="AM224" s="3"/>
      <c r="AN224" s="3" t="s">
        <v>1092</v>
      </c>
    </row>
    <row r="225" spans="1:40" x14ac:dyDescent="0.3">
      <c r="A225" s="3">
        <v>219</v>
      </c>
      <c r="B225" s="3" t="str">
        <f>"1439867"</f>
        <v>1439867</v>
      </c>
      <c r="C225" s="3">
        <v>82863</v>
      </c>
      <c r="D225" s="3" t="s">
        <v>1093</v>
      </c>
      <c r="E225" s="3">
        <v>20447998042</v>
      </c>
      <c r="F225" s="3" t="s">
        <v>1094</v>
      </c>
      <c r="G225" s="3" t="s">
        <v>1095</v>
      </c>
      <c r="H225" s="3" t="s">
        <v>222</v>
      </c>
      <c r="I225" s="3" t="s">
        <v>223</v>
      </c>
      <c r="J225" s="3" t="s">
        <v>224</v>
      </c>
      <c r="K225" s="3" t="s">
        <v>1096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 t="s">
        <v>1097</v>
      </c>
      <c r="AL225" s="4">
        <v>40490</v>
      </c>
      <c r="AM225" s="3"/>
      <c r="AN225" s="3" t="s">
        <v>1098</v>
      </c>
    </row>
    <row r="226" spans="1:40" x14ac:dyDescent="0.3">
      <c r="A226" s="3">
        <v>220</v>
      </c>
      <c r="B226" s="3" t="str">
        <f>"201600010152"</f>
        <v>201600010152</v>
      </c>
      <c r="C226" s="3">
        <v>119570</v>
      </c>
      <c r="D226" s="3" t="s">
        <v>1099</v>
      </c>
      <c r="E226" s="3">
        <v>10207214090</v>
      </c>
      <c r="F226" s="3" t="s">
        <v>1100</v>
      </c>
      <c r="G226" s="3" t="s">
        <v>1101</v>
      </c>
      <c r="H226" s="3" t="s">
        <v>56</v>
      </c>
      <c r="I226" s="3" t="s">
        <v>56</v>
      </c>
      <c r="J226" s="3" t="s">
        <v>131</v>
      </c>
      <c r="K226" s="3" t="s">
        <v>1102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 t="s">
        <v>1103</v>
      </c>
      <c r="AL226" s="4">
        <v>42416</v>
      </c>
      <c r="AM226" s="3"/>
      <c r="AN226" s="3" t="s">
        <v>1100</v>
      </c>
    </row>
    <row r="227" spans="1:40" x14ac:dyDescent="0.3">
      <c r="A227" s="3">
        <v>221</v>
      </c>
      <c r="B227" s="3" t="str">
        <f>"1116524"</f>
        <v>1116524</v>
      </c>
      <c r="C227" s="3">
        <v>2235</v>
      </c>
      <c r="D227" s="3">
        <v>1032483</v>
      </c>
      <c r="E227" s="3">
        <v>20100007348</v>
      </c>
      <c r="F227" s="3" t="s">
        <v>929</v>
      </c>
      <c r="G227" s="3" t="s">
        <v>930</v>
      </c>
      <c r="H227" s="3" t="s">
        <v>75</v>
      </c>
      <c r="I227" s="3" t="s">
        <v>75</v>
      </c>
      <c r="J227" s="3" t="s">
        <v>76</v>
      </c>
      <c r="K227" s="3" t="s">
        <v>1104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 t="s">
        <v>118</v>
      </c>
      <c r="AL227" s="4">
        <v>35528</v>
      </c>
      <c r="AM227" s="3"/>
      <c r="AN227" s="3"/>
    </row>
    <row r="228" spans="1:40" x14ac:dyDescent="0.3">
      <c r="A228" s="3">
        <v>222</v>
      </c>
      <c r="B228" s="3" t="str">
        <f>"1108491"</f>
        <v>1108491</v>
      </c>
      <c r="C228" s="3">
        <v>3533</v>
      </c>
      <c r="D228" s="3">
        <v>954983</v>
      </c>
      <c r="E228" s="3">
        <v>20115638646</v>
      </c>
      <c r="F228" s="3" t="s">
        <v>1105</v>
      </c>
      <c r="G228" s="3" t="s">
        <v>1106</v>
      </c>
      <c r="H228" s="3" t="s">
        <v>271</v>
      </c>
      <c r="I228" s="3" t="s">
        <v>272</v>
      </c>
      <c r="J228" s="3" t="s">
        <v>272</v>
      </c>
      <c r="K228" s="3" t="s">
        <v>1107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 t="s">
        <v>634</v>
      </c>
      <c r="AL228" s="4">
        <v>35501</v>
      </c>
      <c r="AM228" s="3"/>
      <c r="AN228" s="3"/>
    </row>
    <row r="229" spans="1:40" x14ac:dyDescent="0.3">
      <c r="A229" s="3">
        <v>223</v>
      </c>
      <c r="B229" s="3" t="str">
        <f>"201900194043"</f>
        <v>201900194043</v>
      </c>
      <c r="C229" s="3">
        <v>95955</v>
      </c>
      <c r="D229" s="3" t="s">
        <v>1108</v>
      </c>
      <c r="E229" s="3">
        <v>20530959334</v>
      </c>
      <c r="F229" s="3" t="s">
        <v>1109</v>
      </c>
      <c r="G229" s="3" t="s">
        <v>1110</v>
      </c>
      <c r="H229" s="3" t="s">
        <v>271</v>
      </c>
      <c r="I229" s="3" t="s">
        <v>272</v>
      </c>
      <c r="J229" s="3" t="s">
        <v>273</v>
      </c>
      <c r="K229" s="3" t="s">
        <v>1111</v>
      </c>
      <c r="L229" s="3" t="s">
        <v>1112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 t="s">
        <v>1113</v>
      </c>
      <c r="AL229" s="4">
        <v>43797</v>
      </c>
      <c r="AM229" s="3"/>
      <c r="AN229" s="3" t="s">
        <v>1114</v>
      </c>
    </row>
    <row r="230" spans="1:40" x14ac:dyDescent="0.3">
      <c r="A230" s="3">
        <v>224</v>
      </c>
      <c r="B230" s="3" t="str">
        <f>"1464413"</f>
        <v>1464413</v>
      </c>
      <c r="C230" s="3">
        <v>36521</v>
      </c>
      <c r="D230" s="3" t="s">
        <v>1115</v>
      </c>
      <c r="E230" s="3">
        <v>20100176450</v>
      </c>
      <c r="F230" s="3" t="s">
        <v>651</v>
      </c>
      <c r="G230" s="3" t="s">
        <v>1116</v>
      </c>
      <c r="H230" s="3" t="s">
        <v>56</v>
      </c>
      <c r="I230" s="3" t="s">
        <v>56</v>
      </c>
      <c r="J230" s="3" t="s">
        <v>653</v>
      </c>
      <c r="K230" s="3" t="s">
        <v>1117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 t="s">
        <v>679</v>
      </c>
      <c r="AL230" s="4">
        <v>38105</v>
      </c>
      <c r="AM230" s="3"/>
      <c r="AN230" s="3"/>
    </row>
    <row r="231" spans="1:40" x14ac:dyDescent="0.3">
      <c r="A231" s="3">
        <v>225</v>
      </c>
      <c r="B231" s="3" t="str">
        <f>"1405154"</f>
        <v>1405154</v>
      </c>
      <c r="C231" s="3">
        <v>34865</v>
      </c>
      <c r="D231" s="3" t="s">
        <v>1118</v>
      </c>
      <c r="E231" s="3">
        <v>20100366747</v>
      </c>
      <c r="F231" s="3" t="s">
        <v>258</v>
      </c>
      <c r="G231" s="3" t="s">
        <v>1055</v>
      </c>
      <c r="H231" s="3" t="s">
        <v>56</v>
      </c>
      <c r="I231" s="3" t="s">
        <v>56</v>
      </c>
      <c r="J231" s="3" t="s">
        <v>185</v>
      </c>
      <c r="K231" s="3" t="s">
        <v>1119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 t="s">
        <v>802</v>
      </c>
      <c r="AL231" s="4">
        <v>37777</v>
      </c>
      <c r="AM231" s="3"/>
      <c r="AN231" s="3"/>
    </row>
    <row r="232" spans="1:40" x14ac:dyDescent="0.3">
      <c r="A232" s="3">
        <v>226</v>
      </c>
      <c r="B232" s="3" t="str">
        <f>"1464412"</f>
        <v>1464412</v>
      </c>
      <c r="C232" s="3">
        <v>36529</v>
      </c>
      <c r="D232" s="3" t="s">
        <v>1120</v>
      </c>
      <c r="E232" s="3">
        <v>20100176450</v>
      </c>
      <c r="F232" s="3" t="s">
        <v>651</v>
      </c>
      <c r="G232" s="3" t="s">
        <v>1121</v>
      </c>
      <c r="H232" s="3" t="s">
        <v>56</v>
      </c>
      <c r="I232" s="3" t="s">
        <v>56</v>
      </c>
      <c r="J232" s="3" t="s">
        <v>653</v>
      </c>
      <c r="K232" s="3" t="s">
        <v>1122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 t="s">
        <v>679</v>
      </c>
      <c r="AL232" s="4">
        <v>38105</v>
      </c>
      <c r="AM232" s="3"/>
      <c r="AN232" s="3"/>
    </row>
    <row r="233" spans="1:40" x14ac:dyDescent="0.3">
      <c r="A233" s="3">
        <v>227</v>
      </c>
      <c r="B233" s="3" t="str">
        <f>"1682721"</f>
        <v>1682721</v>
      </c>
      <c r="C233" s="3">
        <v>44834</v>
      </c>
      <c r="D233" s="3" t="s">
        <v>1123</v>
      </c>
      <c r="E233" s="3">
        <v>10081411625</v>
      </c>
      <c r="F233" s="3" t="s">
        <v>1124</v>
      </c>
      <c r="G233" s="3" t="s">
        <v>1125</v>
      </c>
      <c r="H233" s="3" t="s">
        <v>44</v>
      </c>
      <c r="I233" s="3" t="s">
        <v>45</v>
      </c>
      <c r="J233" s="3" t="s">
        <v>726</v>
      </c>
      <c r="K233" s="3" t="s">
        <v>1126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 t="s">
        <v>1127</v>
      </c>
      <c r="AL233" s="4">
        <v>39167</v>
      </c>
      <c r="AM233" s="3"/>
      <c r="AN233" s="3"/>
    </row>
    <row r="234" spans="1:40" x14ac:dyDescent="0.3">
      <c r="A234" s="3">
        <v>228</v>
      </c>
      <c r="B234" s="3" t="str">
        <f>"1464415"</f>
        <v>1464415</v>
      </c>
      <c r="C234" s="3">
        <v>36520</v>
      </c>
      <c r="D234" s="3" t="s">
        <v>1128</v>
      </c>
      <c r="E234" s="3">
        <v>20100176450</v>
      </c>
      <c r="F234" s="3" t="s">
        <v>651</v>
      </c>
      <c r="G234" s="3" t="s">
        <v>1121</v>
      </c>
      <c r="H234" s="3" t="s">
        <v>56</v>
      </c>
      <c r="I234" s="3" t="s">
        <v>56</v>
      </c>
      <c r="J234" s="3" t="s">
        <v>653</v>
      </c>
      <c r="K234" s="3" t="s">
        <v>1129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 t="s">
        <v>679</v>
      </c>
      <c r="AL234" s="4">
        <v>38105</v>
      </c>
      <c r="AM234" s="3"/>
      <c r="AN234" s="3"/>
    </row>
    <row r="235" spans="1:40" x14ac:dyDescent="0.3">
      <c r="A235" s="3">
        <v>229</v>
      </c>
      <c r="B235" s="3" t="str">
        <f>"201300119404"</f>
        <v>201300119404</v>
      </c>
      <c r="C235" s="3">
        <v>103349</v>
      </c>
      <c r="D235" s="3" t="s">
        <v>1130</v>
      </c>
      <c r="E235" s="3">
        <v>10296954077</v>
      </c>
      <c r="F235" s="3" t="s">
        <v>1131</v>
      </c>
      <c r="G235" s="3" t="s">
        <v>1132</v>
      </c>
      <c r="H235" s="3" t="s">
        <v>97</v>
      </c>
      <c r="I235" s="3" t="s">
        <v>97</v>
      </c>
      <c r="J235" s="3" t="s">
        <v>254</v>
      </c>
      <c r="K235" s="3" t="s">
        <v>1133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 t="s">
        <v>1134</v>
      </c>
      <c r="AL235" s="4">
        <v>41477</v>
      </c>
      <c r="AM235" s="3"/>
      <c r="AN235" s="3" t="s">
        <v>1131</v>
      </c>
    </row>
    <row r="236" spans="1:40" x14ac:dyDescent="0.3">
      <c r="A236" s="3">
        <v>230</v>
      </c>
      <c r="B236" s="3" t="str">
        <f>"1354850"</f>
        <v>1354850</v>
      </c>
      <c r="C236" s="3">
        <v>18164</v>
      </c>
      <c r="D236" s="3" t="s">
        <v>1135</v>
      </c>
      <c r="E236" s="3">
        <v>10096631320</v>
      </c>
      <c r="F236" s="3" t="s">
        <v>1136</v>
      </c>
      <c r="G236" s="3" t="s">
        <v>1137</v>
      </c>
      <c r="H236" s="3" t="s">
        <v>56</v>
      </c>
      <c r="I236" s="3" t="s">
        <v>56</v>
      </c>
      <c r="J236" s="3" t="s">
        <v>277</v>
      </c>
      <c r="K236" s="3" t="s">
        <v>1138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 t="s">
        <v>187</v>
      </c>
      <c r="AL236" s="4">
        <v>37323</v>
      </c>
      <c r="AM236" s="3"/>
      <c r="AN236" s="3"/>
    </row>
    <row r="237" spans="1:40" ht="27.95" x14ac:dyDescent="0.3">
      <c r="A237" s="3">
        <v>231</v>
      </c>
      <c r="B237" s="3" t="str">
        <f>"1464411"</f>
        <v>1464411</v>
      </c>
      <c r="C237" s="3">
        <v>36511</v>
      </c>
      <c r="D237" s="3" t="s">
        <v>1139</v>
      </c>
      <c r="E237" s="3">
        <v>20100176450</v>
      </c>
      <c r="F237" s="3" t="s">
        <v>651</v>
      </c>
      <c r="G237" s="3" t="s">
        <v>677</v>
      </c>
      <c r="H237" s="3" t="s">
        <v>56</v>
      </c>
      <c r="I237" s="3" t="s">
        <v>56</v>
      </c>
      <c r="J237" s="3" t="s">
        <v>653</v>
      </c>
      <c r="K237" s="3" t="s">
        <v>1140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 t="s">
        <v>655</v>
      </c>
      <c r="AL237" s="4">
        <v>38105</v>
      </c>
      <c r="AM237" s="3"/>
      <c r="AN237" s="3"/>
    </row>
    <row r="238" spans="1:40" x14ac:dyDescent="0.3">
      <c r="A238" s="3">
        <v>232</v>
      </c>
      <c r="B238" s="3" t="str">
        <f>"201300117295"</f>
        <v>201300117295</v>
      </c>
      <c r="C238" s="3">
        <v>104031</v>
      </c>
      <c r="D238" s="3" t="s">
        <v>1141</v>
      </c>
      <c r="E238" s="3">
        <v>10239897547</v>
      </c>
      <c r="F238" s="3" t="s">
        <v>1142</v>
      </c>
      <c r="G238" s="3" t="s">
        <v>1143</v>
      </c>
      <c r="H238" s="3" t="s">
        <v>446</v>
      </c>
      <c r="I238" s="3" t="s">
        <v>446</v>
      </c>
      <c r="J238" s="3" t="s">
        <v>1144</v>
      </c>
      <c r="K238" s="3" t="s">
        <v>1145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 t="s">
        <v>187</v>
      </c>
      <c r="AL238" s="3" t="s">
        <v>290</v>
      </c>
      <c r="AM238" s="3"/>
      <c r="AN238" s="3" t="s">
        <v>1146</v>
      </c>
    </row>
    <row r="239" spans="1:40" x14ac:dyDescent="0.3">
      <c r="A239" s="3">
        <v>233</v>
      </c>
      <c r="B239" s="3" t="str">
        <f>"202000102054"</f>
        <v>202000102054</v>
      </c>
      <c r="C239" s="3">
        <v>150583</v>
      </c>
      <c r="D239" s="3" t="s">
        <v>1147</v>
      </c>
      <c r="E239" s="3">
        <v>20393248654</v>
      </c>
      <c r="F239" s="3" t="s">
        <v>1148</v>
      </c>
      <c r="G239" s="3" t="s">
        <v>1149</v>
      </c>
      <c r="H239" s="3" t="s">
        <v>395</v>
      </c>
      <c r="I239" s="3" t="s">
        <v>396</v>
      </c>
      <c r="J239" s="3" t="s">
        <v>490</v>
      </c>
      <c r="K239" s="3" t="s">
        <v>1150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 t="s">
        <v>1151</v>
      </c>
      <c r="AL239" s="4">
        <v>44062</v>
      </c>
      <c r="AM239" s="3"/>
      <c r="AN239" s="3" t="s">
        <v>1152</v>
      </c>
    </row>
    <row r="240" spans="1:40" x14ac:dyDescent="0.3">
      <c r="A240" s="3">
        <v>234</v>
      </c>
      <c r="B240" s="3" t="str">
        <f>"1442167"</f>
        <v>1442167</v>
      </c>
      <c r="C240" s="3">
        <v>37394</v>
      </c>
      <c r="D240" s="3" t="s">
        <v>1153</v>
      </c>
      <c r="E240" s="3">
        <v>20100366747</v>
      </c>
      <c r="F240" s="3" t="s">
        <v>258</v>
      </c>
      <c r="G240" s="3" t="s">
        <v>1055</v>
      </c>
      <c r="H240" s="3" t="s">
        <v>56</v>
      </c>
      <c r="I240" s="3" t="s">
        <v>56</v>
      </c>
      <c r="J240" s="3" t="s">
        <v>185</v>
      </c>
      <c r="K240" s="3" t="s">
        <v>1154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 t="s">
        <v>167</v>
      </c>
      <c r="AL240" s="4">
        <v>37956</v>
      </c>
      <c r="AM240" s="3"/>
      <c r="AN240" s="3"/>
    </row>
    <row r="241" spans="1:40" x14ac:dyDescent="0.3">
      <c r="A241" s="3">
        <v>235</v>
      </c>
      <c r="B241" s="3" t="str">
        <f>"1442166"</f>
        <v>1442166</v>
      </c>
      <c r="C241" s="3">
        <v>37396</v>
      </c>
      <c r="D241" s="3" t="s">
        <v>1155</v>
      </c>
      <c r="E241" s="3">
        <v>20100366747</v>
      </c>
      <c r="F241" s="3" t="s">
        <v>258</v>
      </c>
      <c r="G241" s="3" t="s">
        <v>1055</v>
      </c>
      <c r="H241" s="3" t="s">
        <v>56</v>
      </c>
      <c r="I241" s="3" t="s">
        <v>56</v>
      </c>
      <c r="J241" s="3" t="s">
        <v>185</v>
      </c>
      <c r="K241" s="3" t="s">
        <v>1156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 t="s">
        <v>167</v>
      </c>
      <c r="AL241" s="4">
        <v>38070</v>
      </c>
      <c r="AM241" s="3"/>
      <c r="AN241" s="3"/>
    </row>
    <row r="242" spans="1:40" x14ac:dyDescent="0.3">
      <c r="A242" s="3">
        <v>236</v>
      </c>
      <c r="B242" s="3" t="str">
        <f>"201600172090"</f>
        <v>201600172090</v>
      </c>
      <c r="C242" s="3">
        <v>125145</v>
      </c>
      <c r="D242" s="3" t="s">
        <v>1157</v>
      </c>
      <c r="E242" s="3">
        <v>10306477264</v>
      </c>
      <c r="F242" s="3" t="s">
        <v>1158</v>
      </c>
      <c r="G242" s="3" t="s">
        <v>1159</v>
      </c>
      <c r="H242" s="3" t="s">
        <v>97</v>
      </c>
      <c r="I242" s="3" t="s">
        <v>208</v>
      </c>
      <c r="J242" s="3" t="s">
        <v>1160</v>
      </c>
      <c r="K242" s="3" t="s">
        <v>1161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 t="s">
        <v>1162</v>
      </c>
      <c r="AL242" s="4">
        <v>42731</v>
      </c>
      <c r="AM242" s="3"/>
      <c r="AN242" s="3" t="s">
        <v>1158</v>
      </c>
    </row>
    <row r="243" spans="1:40" x14ac:dyDescent="0.3">
      <c r="A243" s="3">
        <v>237</v>
      </c>
      <c r="B243" s="3" t="str">
        <f>"201200198977"</f>
        <v>201200198977</v>
      </c>
      <c r="C243" s="3">
        <v>99106</v>
      </c>
      <c r="D243" s="3" t="s">
        <v>1163</v>
      </c>
      <c r="E243" s="3">
        <v>10288484941</v>
      </c>
      <c r="F243" s="3" t="s">
        <v>1164</v>
      </c>
      <c r="G243" s="3" t="s">
        <v>1165</v>
      </c>
      <c r="H243" s="3" t="s">
        <v>386</v>
      </c>
      <c r="I243" s="3" t="s">
        <v>1166</v>
      </c>
      <c r="J243" s="3" t="s">
        <v>1167</v>
      </c>
      <c r="K243" s="3" t="s">
        <v>1168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 t="s">
        <v>218</v>
      </c>
      <c r="AL243" s="4">
        <v>41225</v>
      </c>
      <c r="AM243" s="3"/>
      <c r="AN243" s="3" t="s">
        <v>1164</v>
      </c>
    </row>
    <row r="244" spans="1:40" x14ac:dyDescent="0.3">
      <c r="A244" s="3">
        <v>238</v>
      </c>
      <c r="B244" s="3" t="str">
        <f>"1570138"</f>
        <v>1570138</v>
      </c>
      <c r="C244" s="3">
        <v>42070</v>
      </c>
      <c r="D244" s="3" t="s">
        <v>1169</v>
      </c>
      <c r="E244" s="3">
        <v>20100366747</v>
      </c>
      <c r="F244" s="3" t="s">
        <v>258</v>
      </c>
      <c r="G244" s="3" t="s">
        <v>1170</v>
      </c>
      <c r="H244" s="3" t="s">
        <v>56</v>
      </c>
      <c r="I244" s="3" t="s">
        <v>56</v>
      </c>
      <c r="J244" s="3" t="s">
        <v>273</v>
      </c>
      <c r="K244" s="3" t="s">
        <v>1171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 t="s">
        <v>1172</v>
      </c>
      <c r="AL244" s="4">
        <v>38667</v>
      </c>
      <c r="AM244" s="3"/>
      <c r="AN244" s="3"/>
    </row>
    <row r="245" spans="1:40" x14ac:dyDescent="0.3">
      <c r="A245" s="3">
        <v>239</v>
      </c>
      <c r="B245" s="3" t="str">
        <f>"201700119411"</f>
        <v>201700119411</v>
      </c>
      <c r="C245" s="3">
        <v>130808</v>
      </c>
      <c r="D245" s="3" t="s">
        <v>1173</v>
      </c>
      <c r="E245" s="3">
        <v>20502846206</v>
      </c>
      <c r="F245" s="3" t="s">
        <v>1174</v>
      </c>
      <c r="G245" s="3" t="s">
        <v>1175</v>
      </c>
      <c r="H245" s="3" t="s">
        <v>56</v>
      </c>
      <c r="I245" s="3" t="s">
        <v>56</v>
      </c>
      <c r="J245" s="3" t="s">
        <v>715</v>
      </c>
      <c r="K245" s="3" t="s">
        <v>1176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 t="s">
        <v>1014</v>
      </c>
      <c r="AL245" s="4">
        <v>42961</v>
      </c>
      <c r="AM245" s="3"/>
      <c r="AN245" s="3" t="s">
        <v>1177</v>
      </c>
    </row>
    <row r="246" spans="1:40" x14ac:dyDescent="0.3">
      <c r="A246" s="3">
        <v>240</v>
      </c>
      <c r="B246" s="3" t="str">
        <f>"201800171234"</f>
        <v>201800171234</v>
      </c>
      <c r="C246" s="3">
        <v>139135</v>
      </c>
      <c r="D246" s="3" t="s">
        <v>1178</v>
      </c>
      <c r="E246" s="3">
        <v>20153236551</v>
      </c>
      <c r="F246" s="3" t="s">
        <v>1179</v>
      </c>
      <c r="G246" s="3" t="s">
        <v>1180</v>
      </c>
      <c r="H246" s="3" t="s">
        <v>56</v>
      </c>
      <c r="I246" s="3" t="s">
        <v>422</v>
      </c>
      <c r="J246" s="3" t="s">
        <v>869</v>
      </c>
      <c r="K246" s="3" t="s">
        <v>1181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 t="s">
        <v>1182</v>
      </c>
      <c r="AL246" s="4">
        <v>43388</v>
      </c>
      <c r="AM246" s="3"/>
      <c r="AN246" s="3" t="s">
        <v>1183</v>
      </c>
    </row>
    <row r="247" spans="1:40" x14ac:dyDescent="0.3">
      <c r="A247" s="3">
        <v>241</v>
      </c>
      <c r="B247" s="3" t="str">
        <f>"201500024208"</f>
        <v>201500024208</v>
      </c>
      <c r="C247" s="3">
        <v>113644</v>
      </c>
      <c r="D247" s="3" t="s">
        <v>1184</v>
      </c>
      <c r="E247" s="3">
        <v>20102314698</v>
      </c>
      <c r="F247" s="3" t="s">
        <v>1185</v>
      </c>
      <c r="G247" s="3" t="s">
        <v>1186</v>
      </c>
      <c r="H247" s="3" t="s">
        <v>56</v>
      </c>
      <c r="I247" s="3" t="s">
        <v>56</v>
      </c>
      <c r="J247" s="3" t="s">
        <v>331</v>
      </c>
      <c r="K247" s="3" t="s">
        <v>1187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 t="s">
        <v>1188</v>
      </c>
      <c r="AL247" s="4">
        <v>42074</v>
      </c>
      <c r="AM247" s="3"/>
      <c r="AN247" s="3" t="s">
        <v>1189</v>
      </c>
    </row>
    <row r="248" spans="1:40" x14ac:dyDescent="0.3">
      <c r="A248" s="3">
        <v>242</v>
      </c>
      <c r="B248" s="3" t="str">
        <f>"201000001274"</f>
        <v>201000001274</v>
      </c>
      <c r="C248" s="3">
        <v>18157</v>
      </c>
      <c r="D248" s="3" t="s">
        <v>1190</v>
      </c>
      <c r="E248" s="3">
        <v>20115638646</v>
      </c>
      <c r="F248" s="3" t="s">
        <v>1105</v>
      </c>
      <c r="G248" s="3" t="s">
        <v>1106</v>
      </c>
      <c r="H248" s="3" t="s">
        <v>271</v>
      </c>
      <c r="I248" s="3" t="s">
        <v>272</v>
      </c>
      <c r="J248" s="3" t="s">
        <v>272</v>
      </c>
      <c r="K248" s="3" t="s">
        <v>1191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 t="s">
        <v>81</v>
      </c>
      <c r="AL248" s="4">
        <v>36545</v>
      </c>
      <c r="AM248" s="3"/>
      <c r="AN248" s="3"/>
    </row>
    <row r="249" spans="1:40" ht="27.95" x14ac:dyDescent="0.3">
      <c r="A249" s="3">
        <v>243</v>
      </c>
      <c r="B249" s="3" t="str">
        <f>"201600088609"</f>
        <v>201600088609</v>
      </c>
      <c r="C249" s="3">
        <v>122077</v>
      </c>
      <c r="D249" s="3" t="s">
        <v>1192</v>
      </c>
      <c r="E249" s="3">
        <v>20565237315</v>
      </c>
      <c r="F249" s="3" t="s">
        <v>1193</v>
      </c>
      <c r="G249" s="3" t="s">
        <v>1194</v>
      </c>
      <c r="H249" s="3" t="s">
        <v>75</v>
      </c>
      <c r="I249" s="3" t="s">
        <v>75</v>
      </c>
      <c r="J249" s="3" t="s">
        <v>76</v>
      </c>
      <c r="K249" s="3" t="s">
        <v>1195</v>
      </c>
      <c r="L249" s="3" t="s">
        <v>1196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 t="s">
        <v>1197</v>
      </c>
      <c r="AL249" s="4">
        <v>42555</v>
      </c>
      <c r="AM249" s="3"/>
      <c r="AN249" s="3" t="s">
        <v>1198</v>
      </c>
    </row>
    <row r="250" spans="1:40" x14ac:dyDescent="0.3">
      <c r="A250" s="3">
        <v>244</v>
      </c>
      <c r="B250" s="3" t="str">
        <f>"201000001273"</f>
        <v>201000001273</v>
      </c>
      <c r="C250" s="3">
        <v>18156</v>
      </c>
      <c r="D250" s="3" t="s">
        <v>1199</v>
      </c>
      <c r="E250" s="3">
        <v>20115638646</v>
      </c>
      <c r="F250" s="3" t="s">
        <v>1105</v>
      </c>
      <c r="G250" s="3" t="s">
        <v>1106</v>
      </c>
      <c r="H250" s="3" t="s">
        <v>271</v>
      </c>
      <c r="I250" s="3" t="s">
        <v>272</v>
      </c>
      <c r="J250" s="3" t="s">
        <v>272</v>
      </c>
      <c r="K250" s="3" t="s">
        <v>1200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 t="s">
        <v>256</v>
      </c>
      <c r="AL250" s="4">
        <v>36545</v>
      </c>
      <c r="AM250" s="3"/>
      <c r="AN250" s="3"/>
    </row>
    <row r="251" spans="1:40" ht="27.95" x14ac:dyDescent="0.3">
      <c r="A251" s="3">
        <v>245</v>
      </c>
      <c r="B251" s="3" t="str">
        <f>"201800101289"</f>
        <v>201800101289</v>
      </c>
      <c r="C251" s="3">
        <v>107219</v>
      </c>
      <c r="D251" s="3" t="s">
        <v>1201</v>
      </c>
      <c r="E251" s="3">
        <v>20547314426</v>
      </c>
      <c r="F251" s="3" t="s">
        <v>1202</v>
      </c>
      <c r="G251" s="3" t="s">
        <v>1203</v>
      </c>
      <c r="H251" s="3" t="s">
        <v>56</v>
      </c>
      <c r="I251" s="3" t="s">
        <v>56</v>
      </c>
      <c r="J251" s="3" t="s">
        <v>273</v>
      </c>
      <c r="K251" s="3" t="s">
        <v>1204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 t="s">
        <v>47</v>
      </c>
      <c r="AL251" s="4">
        <v>43277</v>
      </c>
      <c r="AM251" s="3"/>
      <c r="AN251" s="3" t="s">
        <v>1039</v>
      </c>
    </row>
    <row r="252" spans="1:40" x14ac:dyDescent="0.3">
      <c r="A252" s="3">
        <v>246</v>
      </c>
      <c r="B252" s="3" t="str">
        <f>"201800117317"</f>
        <v>201800117317</v>
      </c>
      <c r="C252" s="3">
        <v>121833</v>
      </c>
      <c r="D252" s="3" t="s">
        <v>1205</v>
      </c>
      <c r="E252" s="3">
        <v>20601020581</v>
      </c>
      <c r="F252" s="3" t="s">
        <v>1206</v>
      </c>
      <c r="G252" s="3" t="s">
        <v>1207</v>
      </c>
      <c r="H252" s="3" t="s">
        <v>1208</v>
      </c>
      <c r="I252" s="3" t="s">
        <v>1209</v>
      </c>
      <c r="J252" s="3" t="s">
        <v>1209</v>
      </c>
      <c r="K252" s="3" t="s">
        <v>1210</v>
      </c>
      <c r="L252" s="3" t="s">
        <v>1211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 t="s">
        <v>485</v>
      </c>
      <c r="AL252" s="4">
        <v>43453</v>
      </c>
      <c r="AM252" s="3"/>
      <c r="AN252" s="3" t="s">
        <v>1212</v>
      </c>
    </row>
    <row r="253" spans="1:40" x14ac:dyDescent="0.3">
      <c r="A253" s="3">
        <v>247</v>
      </c>
      <c r="B253" s="3" t="str">
        <f>"201000001276"</f>
        <v>201000001276</v>
      </c>
      <c r="C253" s="3">
        <v>18159</v>
      </c>
      <c r="D253" s="3" t="s">
        <v>1213</v>
      </c>
      <c r="E253" s="3">
        <v>20115638646</v>
      </c>
      <c r="F253" s="3" t="s">
        <v>1105</v>
      </c>
      <c r="G253" s="3" t="s">
        <v>1106</v>
      </c>
      <c r="H253" s="3" t="s">
        <v>271</v>
      </c>
      <c r="I253" s="3" t="s">
        <v>272</v>
      </c>
      <c r="J253" s="3" t="s">
        <v>272</v>
      </c>
      <c r="K253" s="3" t="s">
        <v>1214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 t="s">
        <v>81</v>
      </c>
      <c r="AL253" s="4">
        <v>36545</v>
      </c>
      <c r="AM253" s="3"/>
      <c r="AN253" s="3"/>
    </row>
    <row r="254" spans="1:40" x14ac:dyDescent="0.3">
      <c r="A254" s="3">
        <v>248</v>
      </c>
      <c r="B254" s="3" t="str">
        <f>"201000001275"</f>
        <v>201000001275</v>
      </c>
      <c r="C254" s="3">
        <v>18158</v>
      </c>
      <c r="D254" s="3" t="s">
        <v>1215</v>
      </c>
      <c r="E254" s="3">
        <v>20115638646</v>
      </c>
      <c r="F254" s="3" t="s">
        <v>1105</v>
      </c>
      <c r="G254" s="3" t="s">
        <v>1106</v>
      </c>
      <c r="H254" s="3" t="s">
        <v>271</v>
      </c>
      <c r="I254" s="3" t="s">
        <v>272</v>
      </c>
      <c r="J254" s="3" t="s">
        <v>272</v>
      </c>
      <c r="K254" s="3" t="s">
        <v>1216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 t="s">
        <v>946</v>
      </c>
      <c r="AL254" s="4">
        <v>36545</v>
      </c>
      <c r="AM254" s="3"/>
      <c r="AN254" s="3"/>
    </row>
    <row r="255" spans="1:40" x14ac:dyDescent="0.3">
      <c r="A255" s="3">
        <v>249</v>
      </c>
      <c r="B255" s="3" t="str">
        <f>"201000001278"</f>
        <v>201000001278</v>
      </c>
      <c r="C255" s="3">
        <v>3617</v>
      </c>
      <c r="D255" s="3">
        <v>1119798</v>
      </c>
      <c r="E255" s="3">
        <v>20135807665</v>
      </c>
      <c r="F255" s="3" t="s">
        <v>1217</v>
      </c>
      <c r="G255" s="3" t="s">
        <v>1218</v>
      </c>
      <c r="H255" s="3" t="s">
        <v>75</v>
      </c>
      <c r="I255" s="3" t="s">
        <v>75</v>
      </c>
      <c r="J255" s="3" t="s">
        <v>76</v>
      </c>
      <c r="K255" s="3" t="s">
        <v>1219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 t="s">
        <v>52</v>
      </c>
      <c r="AL255" s="4">
        <v>35660</v>
      </c>
      <c r="AM255" s="3"/>
      <c r="AN255" s="3"/>
    </row>
    <row r="256" spans="1:40" x14ac:dyDescent="0.3">
      <c r="A256" s="3">
        <v>250</v>
      </c>
      <c r="B256" s="3" t="str">
        <f>"1243371"</f>
        <v>1243371</v>
      </c>
      <c r="C256" s="3">
        <v>16358</v>
      </c>
      <c r="D256" s="3">
        <v>1219950</v>
      </c>
      <c r="E256" s="3">
        <v>10097082320</v>
      </c>
      <c r="F256" s="3" t="s">
        <v>1220</v>
      </c>
      <c r="G256" s="3" t="s">
        <v>1221</v>
      </c>
      <c r="H256" s="3" t="s">
        <v>56</v>
      </c>
      <c r="I256" s="3" t="s">
        <v>56</v>
      </c>
      <c r="J256" s="3" t="s">
        <v>331</v>
      </c>
      <c r="K256" s="3" t="s">
        <v>1222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 t="s">
        <v>546</v>
      </c>
      <c r="AL256" s="4">
        <v>36357</v>
      </c>
      <c r="AM256" s="3"/>
      <c r="AN256" s="3"/>
    </row>
    <row r="257" spans="1:40" x14ac:dyDescent="0.3">
      <c r="A257" s="3">
        <v>251</v>
      </c>
      <c r="B257" s="3" t="str">
        <f>"201000001277"</f>
        <v>201000001277</v>
      </c>
      <c r="C257" s="3">
        <v>1729</v>
      </c>
      <c r="D257" s="3">
        <v>955616</v>
      </c>
      <c r="E257" s="3">
        <v>20153534901</v>
      </c>
      <c r="F257" s="3" t="s">
        <v>1223</v>
      </c>
      <c r="G257" s="3" t="s">
        <v>1224</v>
      </c>
      <c r="H257" s="3" t="s">
        <v>56</v>
      </c>
      <c r="I257" s="3" t="s">
        <v>56</v>
      </c>
      <c r="J257" s="3" t="s">
        <v>380</v>
      </c>
      <c r="K257" s="3" t="s">
        <v>1225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 t="s">
        <v>187</v>
      </c>
      <c r="AL257" s="4">
        <v>35495</v>
      </c>
      <c r="AM257" s="3"/>
      <c r="AN257" s="3"/>
    </row>
    <row r="258" spans="1:40" ht="27.95" x14ac:dyDescent="0.3">
      <c r="A258" s="3">
        <v>252</v>
      </c>
      <c r="B258" s="3" t="str">
        <f>"201800171231"</f>
        <v>201800171231</v>
      </c>
      <c r="C258" s="3">
        <v>139136</v>
      </c>
      <c r="D258" s="3" t="s">
        <v>1226</v>
      </c>
      <c r="E258" s="3">
        <v>20389099164</v>
      </c>
      <c r="F258" s="3" t="s">
        <v>1227</v>
      </c>
      <c r="G258" s="3" t="s">
        <v>1228</v>
      </c>
      <c r="H258" s="3" t="s">
        <v>56</v>
      </c>
      <c r="I258" s="3" t="s">
        <v>56</v>
      </c>
      <c r="J258" s="3" t="s">
        <v>363</v>
      </c>
      <c r="K258" s="3" t="s">
        <v>1229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 t="s">
        <v>1230</v>
      </c>
      <c r="AL258" s="4">
        <v>43395</v>
      </c>
      <c r="AM258" s="3"/>
      <c r="AN258" s="3" t="s">
        <v>1231</v>
      </c>
    </row>
    <row r="259" spans="1:40" x14ac:dyDescent="0.3">
      <c r="A259" s="3">
        <v>253</v>
      </c>
      <c r="B259" s="3" t="str">
        <f>"1442162"</f>
        <v>1442162</v>
      </c>
      <c r="C259" s="3">
        <v>37389</v>
      </c>
      <c r="D259" s="3" t="s">
        <v>1232</v>
      </c>
      <c r="E259" s="3">
        <v>20100366747</v>
      </c>
      <c r="F259" s="3" t="s">
        <v>258</v>
      </c>
      <c r="G259" s="3" t="s">
        <v>1055</v>
      </c>
      <c r="H259" s="3" t="s">
        <v>56</v>
      </c>
      <c r="I259" s="3" t="s">
        <v>56</v>
      </c>
      <c r="J259" s="3" t="s">
        <v>185</v>
      </c>
      <c r="K259" s="3" t="s">
        <v>1233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 t="s">
        <v>167</v>
      </c>
      <c r="AL259" s="4">
        <v>37956</v>
      </c>
      <c r="AM259" s="3"/>
      <c r="AN259" s="3"/>
    </row>
    <row r="260" spans="1:40" x14ac:dyDescent="0.3">
      <c r="A260" s="3">
        <v>254</v>
      </c>
      <c r="B260" s="3" t="str">
        <f>"201700069988"</f>
        <v>201700069988</v>
      </c>
      <c r="C260" s="3">
        <v>111461</v>
      </c>
      <c r="D260" s="3" t="s">
        <v>1234</v>
      </c>
      <c r="E260" s="3">
        <v>20491005409</v>
      </c>
      <c r="F260" s="3" t="s">
        <v>1235</v>
      </c>
      <c r="G260" s="3" t="s">
        <v>1236</v>
      </c>
      <c r="H260" s="3" t="s">
        <v>446</v>
      </c>
      <c r="I260" s="3" t="s">
        <v>446</v>
      </c>
      <c r="J260" s="3" t="s">
        <v>446</v>
      </c>
      <c r="K260" s="3" t="s">
        <v>1237</v>
      </c>
      <c r="L260" s="3" t="s">
        <v>1238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 t="s">
        <v>150</v>
      </c>
      <c r="AL260" s="4">
        <v>42874</v>
      </c>
      <c r="AM260" s="3"/>
      <c r="AN260" s="3" t="s">
        <v>1239</v>
      </c>
    </row>
    <row r="261" spans="1:40" x14ac:dyDescent="0.3">
      <c r="A261" s="3">
        <v>255</v>
      </c>
      <c r="B261" s="3" t="str">
        <f>"1900485"</f>
        <v>1900485</v>
      </c>
      <c r="C261" s="3">
        <v>44100</v>
      </c>
      <c r="D261" s="3" t="s">
        <v>1240</v>
      </c>
      <c r="E261" s="3">
        <v>20100873681</v>
      </c>
      <c r="F261" s="3" t="s">
        <v>1241</v>
      </c>
      <c r="G261" s="3" t="s">
        <v>1242</v>
      </c>
      <c r="H261" s="3" t="s">
        <v>56</v>
      </c>
      <c r="I261" s="3" t="s">
        <v>56</v>
      </c>
      <c r="J261" s="3" t="s">
        <v>715</v>
      </c>
      <c r="K261" s="3" t="s">
        <v>1243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 t="s">
        <v>707</v>
      </c>
      <c r="AL261" s="4">
        <v>39997</v>
      </c>
      <c r="AM261" s="3"/>
      <c r="AN261" s="3"/>
    </row>
    <row r="262" spans="1:40" x14ac:dyDescent="0.3">
      <c r="A262" s="3">
        <v>256</v>
      </c>
      <c r="B262" s="3" t="str">
        <f>"1442163"</f>
        <v>1442163</v>
      </c>
      <c r="C262" s="3">
        <v>37392</v>
      </c>
      <c r="D262" s="3" t="s">
        <v>1244</v>
      </c>
      <c r="E262" s="3">
        <v>20100366747</v>
      </c>
      <c r="F262" s="3" t="s">
        <v>258</v>
      </c>
      <c r="G262" s="3" t="s">
        <v>1055</v>
      </c>
      <c r="H262" s="3" t="s">
        <v>56</v>
      </c>
      <c r="I262" s="3" t="s">
        <v>56</v>
      </c>
      <c r="J262" s="3" t="s">
        <v>185</v>
      </c>
      <c r="K262" s="3" t="s">
        <v>1245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 t="s">
        <v>167</v>
      </c>
      <c r="AL262" s="4">
        <v>37956</v>
      </c>
      <c r="AM262" s="3"/>
      <c r="AN262" s="3"/>
    </row>
    <row r="263" spans="1:40" x14ac:dyDescent="0.3">
      <c r="A263" s="3">
        <v>257</v>
      </c>
      <c r="B263" s="3" t="str">
        <f>"201700119409"</f>
        <v>201700119409</v>
      </c>
      <c r="C263" s="3">
        <v>130809</v>
      </c>
      <c r="D263" s="3" t="s">
        <v>1246</v>
      </c>
      <c r="E263" s="3">
        <v>20502846206</v>
      </c>
      <c r="F263" s="3" t="s">
        <v>1174</v>
      </c>
      <c r="G263" s="3" t="s">
        <v>1175</v>
      </c>
      <c r="H263" s="3" t="s">
        <v>56</v>
      </c>
      <c r="I263" s="3" t="s">
        <v>56</v>
      </c>
      <c r="J263" s="3" t="s">
        <v>715</v>
      </c>
      <c r="K263" s="3" t="s">
        <v>1247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 t="s">
        <v>1248</v>
      </c>
      <c r="AL263" s="4">
        <v>42961</v>
      </c>
      <c r="AM263" s="3"/>
      <c r="AN263" s="3" t="s">
        <v>1177</v>
      </c>
    </row>
    <row r="264" spans="1:40" x14ac:dyDescent="0.3">
      <c r="A264" s="3">
        <v>258</v>
      </c>
      <c r="B264" s="3" t="str">
        <f>"1442164"</f>
        <v>1442164</v>
      </c>
      <c r="C264" s="3">
        <v>37393</v>
      </c>
      <c r="D264" s="3" t="s">
        <v>1249</v>
      </c>
      <c r="E264" s="3">
        <v>20100366747</v>
      </c>
      <c r="F264" s="3" t="s">
        <v>258</v>
      </c>
      <c r="G264" s="3" t="s">
        <v>1055</v>
      </c>
      <c r="H264" s="3" t="s">
        <v>56</v>
      </c>
      <c r="I264" s="3" t="s">
        <v>56</v>
      </c>
      <c r="J264" s="3" t="s">
        <v>185</v>
      </c>
      <c r="K264" s="3" t="s">
        <v>1250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 t="s">
        <v>167</v>
      </c>
      <c r="AL264" s="4">
        <v>37956</v>
      </c>
      <c r="AM264" s="3"/>
      <c r="AN264" s="3"/>
    </row>
    <row r="265" spans="1:40" x14ac:dyDescent="0.3">
      <c r="A265" s="3">
        <v>259</v>
      </c>
      <c r="B265" s="3" t="str">
        <f>"201500024204"</f>
        <v>201500024204</v>
      </c>
      <c r="C265" s="3">
        <v>113646</v>
      </c>
      <c r="D265" s="3" t="s">
        <v>1251</v>
      </c>
      <c r="E265" s="3">
        <v>20102314698</v>
      </c>
      <c r="F265" s="3" t="s">
        <v>1185</v>
      </c>
      <c r="G265" s="3" t="s">
        <v>1186</v>
      </c>
      <c r="H265" s="3" t="s">
        <v>56</v>
      </c>
      <c r="I265" s="3" t="s">
        <v>56</v>
      </c>
      <c r="J265" s="3" t="s">
        <v>331</v>
      </c>
      <c r="K265" s="3" t="s">
        <v>1252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 t="s">
        <v>1253</v>
      </c>
      <c r="AL265" s="4">
        <v>42074</v>
      </c>
      <c r="AM265" s="3"/>
      <c r="AN265" s="3" t="s">
        <v>1189</v>
      </c>
    </row>
    <row r="266" spans="1:40" x14ac:dyDescent="0.3">
      <c r="A266" s="3">
        <v>260</v>
      </c>
      <c r="B266" s="3" t="str">
        <f>"1442160"</f>
        <v>1442160</v>
      </c>
      <c r="C266" s="3">
        <v>37390</v>
      </c>
      <c r="D266" s="3" t="s">
        <v>1254</v>
      </c>
      <c r="E266" s="3">
        <v>20100366747</v>
      </c>
      <c r="F266" s="3" t="s">
        <v>258</v>
      </c>
      <c r="G266" s="3" t="s">
        <v>1055</v>
      </c>
      <c r="H266" s="3" t="s">
        <v>56</v>
      </c>
      <c r="I266" s="3" t="s">
        <v>56</v>
      </c>
      <c r="J266" s="3" t="s">
        <v>185</v>
      </c>
      <c r="K266" s="3" t="s">
        <v>1255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 t="s">
        <v>167</v>
      </c>
      <c r="AL266" s="4">
        <v>37956</v>
      </c>
      <c r="AM266" s="3"/>
      <c r="AN266" s="3"/>
    </row>
    <row r="267" spans="1:40" x14ac:dyDescent="0.3">
      <c r="A267" s="3">
        <v>261</v>
      </c>
      <c r="B267" s="3" t="str">
        <f>"1442161"</f>
        <v>1442161</v>
      </c>
      <c r="C267" s="3">
        <v>37395</v>
      </c>
      <c r="D267" s="3" t="s">
        <v>1256</v>
      </c>
      <c r="E267" s="3">
        <v>20100366747</v>
      </c>
      <c r="F267" s="3" t="s">
        <v>258</v>
      </c>
      <c r="G267" s="3" t="s">
        <v>1055</v>
      </c>
      <c r="H267" s="3" t="s">
        <v>56</v>
      </c>
      <c r="I267" s="3" t="s">
        <v>56</v>
      </c>
      <c r="J267" s="3" t="s">
        <v>185</v>
      </c>
      <c r="K267" s="3" t="s">
        <v>1257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 t="s">
        <v>167</v>
      </c>
      <c r="AL267" s="4">
        <v>37956</v>
      </c>
      <c r="AM267" s="3"/>
      <c r="AN267" s="3"/>
    </row>
    <row r="268" spans="1:40" ht="27.95" x14ac:dyDescent="0.3">
      <c r="A268" s="3">
        <v>262</v>
      </c>
      <c r="B268" s="3" t="str">
        <f>"201500021739"</f>
        <v>201500021739</v>
      </c>
      <c r="C268" s="3">
        <v>60950</v>
      </c>
      <c r="D268" s="3" t="s">
        <v>1258</v>
      </c>
      <c r="E268" s="3">
        <v>20554545743</v>
      </c>
      <c r="F268" s="3" t="s">
        <v>1259</v>
      </c>
      <c r="G268" s="3" t="s">
        <v>1260</v>
      </c>
      <c r="H268" s="3" t="s">
        <v>56</v>
      </c>
      <c r="I268" s="3" t="s">
        <v>56</v>
      </c>
      <c r="J268" s="3" t="s">
        <v>313</v>
      </c>
      <c r="K268" s="3" t="s">
        <v>1261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 t="s">
        <v>230</v>
      </c>
      <c r="AL268" s="3" t="s">
        <v>290</v>
      </c>
      <c r="AM268" s="3"/>
      <c r="AN268" s="3" t="s">
        <v>1262</v>
      </c>
    </row>
    <row r="269" spans="1:40" x14ac:dyDescent="0.3">
      <c r="A269" s="3">
        <v>263</v>
      </c>
      <c r="B269" s="3" t="str">
        <f>"1442159"</f>
        <v>1442159</v>
      </c>
      <c r="C269" s="3">
        <v>36514</v>
      </c>
      <c r="D269" s="3" t="s">
        <v>1263</v>
      </c>
      <c r="E269" s="3">
        <v>20100366747</v>
      </c>
      <c r="F269" s="3" t="s">
        <v>258</v>
      </c>
      <c r="G269" s="3" t="s">
        <v>1055</v>
      </c>
      <c r="H269" s="3" t="s">
        <v>56</v>
      </c>
      <c r="I269" s="3" t="s">
        <v>56</v>
      </c>
      <c r="J269" s="3" t="s">
        <v>185</v>
      </c>
      <c r="K269" s="3" t="s">
        <v>1264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 t="s">
        <v>546</v>
      </c>
      <c r="AL269" s="4">
        <v>37957</v>
      </c>
      <c r="AM269" s="3"/>
      <c r="AN269" s="3"/>
    </row>
    <row r="270" spans="1:40" x14ac:dyDescent="0.3">
      <c r="A270" s="3">
        <v>264</v>
      </c>
      <c r="B270" s="3" t="str">
        <f>"1689487"</f>
        <v>1689487</v>
      </c>
      <c r="C270" s="3">
        <v>45422</v>
      </c>
      <c r="D270" s="3" t="s">
        <v>1265</v>
      </c>
      <c r="E270" s="3">
        <v>20506727783</v>
      </c>
      <c r="F270" s="3" t="s">
        <v>1266</v>
      </c>
      <c r="G270" s="3" t="s">
        <v>1267</v>
      </c>
      <c r="H270" s="3" t="s">
        <v>56</v>
      </c>
      <c r="I270" s="3" t="s">
        <v>56</v>
      </c>
      <c r="J270" s="3" t="s">
        <v>131</v>
      </c>
      <c r="K270" s="3" t="s">
        <v>1268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 t="s">
        <v>157</v>
      </c>
      <c r="AL270" s="4">
        <v>39219</v>
      </c>
      <c r="AM270" s="3"/>
      <c r="AN270" s="3"/>
    </row>
    <row r="271" spans="1:40" x14ac:dyDescent="0.3">
      <c r="A271" s="3">
        <v>265</v>
      </c>
      <c r="B271" s="3" t="str">
        <f>"201500067666"</f>
        <v>201500067666</v>
      </c>
      <c r="C271" s="3">
        <v>115540</v>
      </c>
      <c r="D271" s="3" t="s">
        <v>1269</v>
      </c>
      <c r="E271" s="3">
        <v>20570518764</v>
      </c>
      <c r="F271" s="3" t="s">
        <v>1270</v>
      </c>
      <c r="G271" s="3" t="s">
        <v>1271</v>
      </c>
      <c r="H271" s="3" t="s">
        <v>357</v>
      </c>
      <c r="I271" s="3" t="s">
        <v>357</v>
      </c>
      <c r="J271" s="3" t="s">
        <v>357</v>
      </c>
      <c r="K271" s="3" t="s">
        <v>1272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 t="s">
        <v>1273</v>
      </c>
      <c r="AL271" s="4">
        <v>42174</v>
      </c>
      <c r="AM271" s="3"/>
      <c r="AN271" s="3" t="s">
        <v>1274</v>
      </c>
    </row>
    <row r="272" spans="1:40" ht="27.95" x14ac:dyDescent="0.3">
      <c r="A272" s="3">
        <v>266</v>
      </c>
      <c r="B272" s="3" t="str">
        <f>"201800101282"</f>
        <v>201800101282</v>
      </c>
      <c r="C272" s="3">
        <v>85656</v>
      </c>
      <c r="D272" s="3" t="s">
        <v>1275</v>
      </c>
      <c r="E272" s="3">
        <v>2054731442</v>
      </c>
      <c r="F272" s="3" t="s">
        <v>1202</v>
      </c>
      <c r="G272" s="3" t="s">
        <v>1203</v>
      </c>
      <c r="H272" s="3" t="s">
        <v>56</v>
      </c>
      <c r="I272" s="3" t="s">
        <v>56</v>
      </c>
      <c r="J272" s="3" t="s">
        <v>273</v>
      </c>
      <c r="K272" s="3" t="s">
        <v>1276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 t="s">
        <v>230</v>
      </c>
      <c r="AL272" s="4">
        <v>43277</v>
      </c>
      <c r="AM272" s="3"/>
      <c r="AN272" s="3" t="s">
        <v>1039</v>
      </c>
    </row>
    <row r="273" spans="1:40" x14ac:dyDescent="0.3">
      <c r="A273" s="3">
        <v>267</v>
      </c>
      <c r="B273" s="3" t="str">
        <f>"201000001279"</f>
        <v>201000001279</v>
      </c>
      <c r="C273" s="3">
        <v>3392</v>
      </c>
      <c r="D273" s="3">
        <v>1076899</v>
      </c>
      <c r="E273" s="3">
        <v>20252539493</v>
      </c>
      <c r="F273" s="3" t="s">
        <v>1277</v>
      </c>
      <c r="G273" s="3" t="s">
        <v>1278</v>
      </c>
      <c r="H273" s="3" t="s">
        <v>75</v>
      </c>
      <c r="I273" s="3" t="s">
        <v>75</v>
      </c>
      <c r="J273" s="3" t="s">
        <v>76</v>
      </c>
      <c r="K273" s="3" t="s">
        <v>1279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 t="s">
        <v>187</v>
      </c>
      <c r="AL273" s="4">
        <v>35629</v>
      </c>
      <c r="AM273" s="3"/>
      <c r="AN273" s="3"/>
    </row>
    <row r="274" spans="1:40" x14ac:dyDescent="0.3">
      <c r="A274" s="3">
        <v>268</v>
      </c>
      <c r="B274" s="3" t="str">
        <f>"1432014"</f>
        <v>1432014</v>
      </c>
      <c r="C274" s="3">
        <v>88779</v>
      </c>
      <c r="D274" s="3" t="s">
        <v>1280</v>
      </c>
      <c r="E274" s="3">
        <v>20406392920</v>
      </c>
      <c r="F274" s="3" t="s">
        <v>1281</v>
      </c>
      <c r="G274" s="3" t="s">
        <v>1282</v>
      </c>
      <c r="H274" s="3" t="s">
        <v>97</v>
      </c>
      <c r="I274" s="3" t="s">
        <v>97</v>
      </c>
      <c r="J274" s="3" t="s">
        <v>105</v>
      </c>
      <c r="K274" s="3" t="s">
        <v>1283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 t="s">
        <v>1284</v>
      </c>
      <c r="AL274" s="4">
        <v>40476</v>
      </c>
      <c r="AM274" s="3"/>
      <c r="AN274" s="3" t="s">
        <v>1285</v>
      </c>
    </row>
    <row r="275" spans="1:40" x14ac:dyDescent="0.3">
      <c r="A275" s="3">
        <v>269</v>
      </c>
      <c r="B275" s="3" t="str">
        <f>"201000001285"</f>
        <v>201000001285</v>
      </c>
      <c r="C275" s="3">
        <v>97223</v>
      </c>
      <c r="D275" s="3" t="s">
        <v>1286</v>
      </c>
      <c r="E275" s="3">
        <v>10180423953</v>
      </c>
      <c r="F275" s="3" t="s">
        <v>1287</v>
      </c>
      <c r="G275" s="3" t="s">
        <v>1288</v>
      </c>
      <c r="H275" s="3" t="s">
        <v>44</v>
      </c>
      <c r="I275" s="3" t="s">
        <v>45</v>
      </c>
      <c r="J275" s="3" t="s">
        <v>45</v>
      </c>
      <c r="K275" s="3" t="s">
        <v>1289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 t="s">
        <v>614</v>
      </c>
      <c r="AL275" s="4">
        <v>36664</v>
      </c>
      <c r="AM275" s="3"/>
      <c r="AN275" s="3"/>
    </row>
    <row r="276" spans="1:40" ht="27.95" x14ac:dyDescent="0.3">
      <c r="A276" s="3">
        <v>270</v>
      </c>
      <c r="B276" s="3" t="str">
        <f>"1900490"</f>
        <v>1900490</v>
      </c>
      <c r="C276" s="3">
        <v>62870</v>
      </c>
      <c r="D276" s="3" t="s">
        <v>1290</v>
      </c>
      <c r="E276" s="3">
        <v>20100873681</v>
      </c>
      <c r="F276" s="3" t="s">
        <v>1241</v>
      </c>
      <c r="G276" s="3" t="s">
        <v>1291</v>
      </c>
      <c r="H276" s="3" t="s">
        <v>56</v>
      </c>
      <c r="I276" s="3" t="s">
        <v>56</v>
      </c>
      <c r="J276" s="3" t="s">
        <v>715</v>
      </c>
      <c r="K276" s="3" t="s">
        <v>1292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 t="s">
        <v>546</v>
      </c>
      <c r="AL276" s="4">
        <v>39997</v>
      </c>
      <c r="AM276" s="3"/>
      <c r="AN276" s="3"/>
    </row>
    <row r="277" spans="1:40" x14ac:dyDescent="0.3">
      <c r="A277" s="3">
        <v>271</v>
      </c>
      <c r="B277" s="3" t="str">
        <f>"201000001284"</f>
        <v>201000001284</v>
      </c>
      <c r="C277" s="3">
        <v>19456</v>
      </c>
      <c r="D277" s="3">
        <v>1251674</v>
      </c>
      <c r="E277" s="3">
        <v>20100366747</v>
      </c>
      <c r="F277" s="3" t="s">
        <v>258</v>
      </c>
      <c r="G277" s="3" t="s">
        <v>1055</v>
      </c>
      <c r="H277" s="3" t="s">
        <v>56</v>
      </c>
      <c r="I277" s="3" t="s">
        <v>56</v>
      </c>
      <c r="J277" s="3" t="s">
        <v>273</v>
      </c>
      <c r="K277" s="3" t="s">
        <v>1293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 t="s">
        <v>118</v>
      </c>
      <c r="AL277" s="4">
        <v>36691</v>
      </c>
      <c r="AM277" s="3"/>
      <c r="AN277" s="3"/>
    </row>
    <row r="278" spans="1:40" x14ac:dyDescent="0.3">
      <c r="A278" s="3">
        <v>272</v>
      </c>
      <c r="B278" s="3" t="str">
        <f>"201000001283"</f>
        <v>201000001283</v>
      </c>
      <c r="C278" s="3">
        <v>18102</v>
      </c>
      <c r="D278" s="3" t="s">
        <v>1294</v>
      </c>
      <c r="E278" s="3">
        <v>20100176450</v>
      </c>
      <c r="F278" s="3" t="s">
        <v>651</v>
      </c>
      <c r="G278" s="3" t="s">
        <v>1295</v>
      </c>
      <c r="H278" s="3" t="s">
        <v>97</v>
      </c>
      <c r="I278" s="3" t="s">
        <v>97</v>
      </c>
      <c r="J278" s="3" t="s">
        <v>97</v>
      </c>
      <c r="K278" s="3" t="s">
        <v>1296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 t="s">
        <v>1297</v>
      </c>
      <c r="AL278" s="4">
        <v>36550</v>
      </c>
      <c r="AM278" s="3"/>
      <c r="AN278" s="3"/>
    </row>
    <row r="279" spans="1:40" x14ac:dyDescent="0.3">
      <c r="A279" s="3">
        <v>273</v>
      </c>
      <c r="B279" s="3" t="str">
        <f>"1301838"</f>
        <v>1301838</v>
      </c>
      <c r="C279" s="3">
        <v>20598</v>
      </c>
      <c r="D279" s="3">
        <v>1301838</v>
      </c>
      <c r="E279" s="3">
        <v>10069452910</v>
      </c>
      <c r="F279" s="3" t="s">
        <v>1298</v>
      </c>
      <c r="G279" s="3" t="s">
        <v>1299</v>
      </c>
      <c r="H279" s="3" t="s">
        <v>56</v>
      </c>
      <c r="I279" s="3" t="s">
        <v>56</v>
      </c>
      <c r="J279" s="3" t="s">
        <v>481</v>
      </c>
      <c r="K279" s="3" t="s">
        <v>1300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 t="s">
        <v>634</v>
      </c>
      <c r="AL279" s="4">
        <v>36857</v>
      </c>
      <c r="AM279" s="3"/>
      <c r="AN279" s="3"/>
    </row>
    <row r="280" spans="1:40" x14ac:dyDescent="0.3">
      <c r="A280" s="3">
        <v>274</v>
      </c>
      <c r="B280" s="3" t="str">
        <f>"201000001282"</f>
        <v>201000001282</v>
      </c>
      <c r="C280" s="3">
        <v>16254</v>
      </c>
      <c r="D280" s="3">
        <v>1179836</v>
      </c>
      <c r="E280" s="3">
        <v>10221851337</v>
      </c>
      <c r="F280" s="3" t="s">
        <v>1301</v>
      </c>
      <c r="G280" s="3" t="s">
        <v>1302</v>
      </c>
      <c r="H280" s="3" t="s">
        <v>216</v>
      </c>
      <c r="I280" s="3" t="s">
        <v>1303</v>
      </c>
      <c r="J280" s="3" t="s">
        <v>1303</v>
      </c>
      <c r="K280" s="3" t="s">
        <v>1304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 t="s">
        <v>634</v>
      </c>
      <c r="AL280" s="4">
        <v>35971</v>
      </c>
      <c r="AM280" s="3"/>
      <c r="AN280" s="3"/>
    </row>
    <row r="281" spans="1:40" x14ac:dyDescent="0.3">
      <c r="A281" s="3">
        <v>275</v>
      </c>
      <c r="B281" s="3" t="str">
        <f>"201000001289"</f>
        <v>201000001289</v>
      </c>
      <c r="C281" s="3">
        <v>2760</v>
      </c>
      <c r="D281" s="3" t="s">
        <v>1305</v>
      </c>
      <c r="E281" s="3">
        <v>20100366747</v>
      </c>
      <c r="F281" s="3" t="s">
        <v>258</v>
      </c>
      <c r="G281" s="3" t="s">
        <v>1055</v>
      </c>
      <c r="H281" s="3" t="s">
        <v>56</v>
      </c>
      <c r="I281" s="3" t="s">
        <v>56</v>
      </c>
      <c r="J281" s="3" t="s">
        <v>185</v>
      </c>
      <c r="K281" s="3" t="s">
        <v>1306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 t="s">
        <v>187</v>
      </c>
      <c r="AL281" s="4">
        <v>37015</v>
      </c>
      <c r="AM281" s="3"/>
      <c r="AN281" s="3"/>
    </row>
    <row r="282" spans="1:40" x14ac:dyDescent="0.3">
      <c r="A282" s="3">
        <v>276</v>
      </c>
      <c r="B282" s="3" t="str">
        <f>"1698458"</f>
        <v>1698458</v>
      </c>
      <c r="C282" s="3">
        <v>44847</v>
      </c>
      <c r="D282" s="3" t="s">
        <v>1307</v>
      </c>
      <c r="E282" s="3">
        <v>10076481941</v>
      </c>
      <c r="F282" s="3" t="s">
        <v>1308</v>
      </c>
      <c r="G282" s="3" t="s">
        <v>1309</v>
      </c>
      <c r="H282" s="3" t="s">
        <v>56</v>
      </c>
      <c r="I282" s="3" t="s">
        <v>56</v>
      </c>
      <c r="J282" s="3" t="s">
        <v>529</v>
      </c>
      <c r="K282" s="3" t="s">
        <v>1310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 t="s">
        <v>226</v>
      </c>
      <c r="AL282" s="4">
        <v>39259</v>
      </c>
      <c r="AM282" s="3"/>
      <c r="AN282" s="3"/>
    </row>
    <row r="283" spans="1:40" ht="27.95" x14ac:dyDescent="0.3">
      <c r="A283" s="3">
        <v>277</v>
      </c>
      <c r="B283" s="3" t="str">
        <f>"201000001288"</f>
        <v>201000001288</v>
      </c>
      <c r="C283" s="3">
        <v>15964</v>
      </c>
      <c r="D283" s="3" t="s">
        <v>1311</v>
      </c>
      <c r="E283" s="3">
        <v>20166717389</v>
      </c>
      <c r="F283" s="3" t="s">
        <v>1312</v>
      </c>
      <c r="G283" s="3" t="s">
        <v>1313</v>
      </c>
      <c r="H283" s="3" t="s">
        <v>357</v>
      </c>
      <c r="I283" s="3" t="s">
        <v>357</v>
      </c>
      <c r="J283" s="3" t="s">
        <v>357</v>
      </c>
      <c r="K283" s="3" t="s">
        <v>1314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 t="s">
        <v>81</v>
      </c>
      <c r="AL283" s="4">
        <v>36978</v>
      </c>
      <c r="AM283" s="3"/>
      <c r="AN283" s="3"/>
    </row>
    <row r="284" spans="1:40" x14ac:dyDescent="0.3">
      <c r="A284" s="3">
        <v>278</v>
      </c>
      <c r="B284" s="3" t="str">
        <f>"201000001287"</f>
        <v>201000001287</v>
      </c>
      <c r="C284" s="3">
        <v>20639</v>
      </c>
      <c r="D284" s="3" t="s">
        <v>1315</v>
      </c>
      <c r="E284" s="3">
        <v>20100572649</v>
      </c>
      <c r="F284" s="3" t="s">
        <v>1316</v>
      </c>
      <c r="G284" s="3" t="s">
        <v>1317</v>
      </c>
      <c r="H284" s="3" t="s">
        <v>56</v>
      </c>
      <c r="I284" s="3" t="s">
        <v>56</v>
      </c>
      <c r="J284" s="3" t="s">
        <v>56</v>
      </c>
      <c r="K284" s="3" t="s">
        <v>1318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 t="s">
        <v>546</v>
      </c>
      <c r="AL284" s="4">
        <v>36985</v>
      </c>
      <c r="AM284" s="3"/>
      <c r="AN284" s="3"/>
    </row>
    <row r="285" spans="1:40" x14ac:dyDescent="0.3">
      <c r="A285" s="3">
        <v>279</v>
      </c>
      <c r="B285" s="3" t="str">
        <f>"201000001286"</f>
        <v>201000001286</v>
      </c>
      <c r="C285" s="3">
        <v>19629</v>
      </c>
      <c r="D285" s="3" t="s">
        <v>1319</v>
      </c>
      <c r="E285" s="3">
        <v>15159930146</v>
      </c>
      <c r="F285" s="3" t="s">
        <v>1320</v>
      </c>
      <c r="G285" s="3" t="s">
        <v>1321</v>
      </c>
      <c r="H285" s="3" t="s">
        <v>50</v>
      </c>
      <c r="I285" s="3" t="s">
        <v>50</v>
      </c>
      <c r="J285" s="3" t="s">
        <v>50</v>
      </c>
      <c r="K285" s="3" t="s">
        <v>1322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 t="s">
        <v>52</v>
      </c>
      <c r="AL285" s="4">
        <v>36720</v>
      </c>
      <c r="AM285" s="3"/>
      <c r="AN285" s="3"/>
    </row>
    <row r="286" spans="1:40" x14ac:dyDescent="0.3">
      <c r="A286" s="3">
        <v>280</v>
      </c>
      <c r="B286" s="3" t="str">
        <f>"1464482"</f>
        <v>1464482</v>
      </c>
      <c r="C286" s="3">
        <v>37995</v>
      </c>
      <c r="D286" s="3" t="s">
        <v>1323</v>
      </c>
      <c r="E286" s="3">
        <v>20467282388</v>
      </c>
      <c r="F286" s="3" t="s">
        <v>1324</v>
      </c>
      <c r="G286" s="3" t="s">
        <v>1218</v>
      </c>
      <c r="H286" s="3" t="s">
        <v>75</v>
      </c>
      <c r="I286" s="3" t="s">
        <v>75</v>
      </c>
      <c r="J286" s="3" t="s">
        <v>76</v>
      </c>
      <c r="K286" s="3" t="s">
        <v>1325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 t="s">
        <v>1326</v>
      </c>
      <c r="AL286" s="4">
        <v>38131</v>
      </c>
      <c r="AM286" s="3"/>
      <c r="AN286" s="3"/>
    </row>
    <row r="287" spans="1:40" x14ac:dyDescent="0.3">
      <c r="A287" s="3">
        <v>281</v>
      </c>
      <c r="B287" s="3" t="str">
        <f>"201700036199"</f>
        <v>201700036199</v>
      </c>
      <c r="C287" s="3">
        <v>122403</v>
      </c>
      <c r="D287" s="3" t="s">
        <v>1327</v>
      </c>
      <c r="E287" s="3">
        <v>20525521509</v>
      </c>
      <c r="F287" s="3" t="s">
        <v>189</v>
      </c>
      <c r="G287" s="3" t="s">
        <v>874</v>
      </c>
      <c r="H287" s="3" t="s">
        <v>50</v>
      </c>
      <c r="I287" s="3" t="s">
        <v>50</v>
      </c>
      <c r="J287" s="3" t="s">
        <v>50</v>
      </c>
      <c r="K287" s="3" t="s">
        <v>1328</v>
      </c>
      <c r="L287" s="3" t="s">
        <v>877</v>
      </c>
      <c r="M287" s="3" t="s">
        <v>880</v>
      </c>
      <c r="N287" s="3" t="s">
        <v>879</v>
      </c>
      <c r="O287" s="3" t="s">
        <v>881</v>
      </c>
      <c r="P287" s="3" t="s">
        <v>882</v>
      </c>
      <c r="Q287" s="3" t="s">
        <v>883</v>
      </c>
      <c r="R287" s="3" t="s">
        <v>884</v>
      </c>
      <c r="S287" s="3" t="s">
        <v>876</v>
      </c>
      <c r="T287" s="3" t="s">
        <v>878</v>
      </c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 t="s">
        <v>470</v>
      </c>
      <c r="AL287" s="4">
        <v>42814</v>
      </c>
      <c r="AM287" s="3"/>
      <c r="AN287" s="3" t="s">
        <v>885</v>
      </c>
    </row>
    <row r="288" spans="1:40" ht="27.95" x14ac:dyDescent="0.3">
      <c r="A288" s="3">
        <v>282</v>
      </c>
      <c r="B288" s="3" t="str">
        <f>"201900052127"</f>
        <v>201900052127</v>
      </c>
      <c r="C288" s="3">
        <v>142382</v>
      </c>
      <c r="D288" s="3" t="s">
        <v>1329</v>
      </c>
      <c r="E288" s="3">
        <v>20455751528</v>
      </c>
      <c r="F288" s="3" t="s">
        <v>142</v>
      </c>
      <c r="G288" s="3" t="s">
        <v>1330</v>
      </c>
      <c r="H288" s="3" t="s">
        <v>97</v>
      </c>
      <c r="I288" s="3" t="s">
        <v>97</v>
      </c>
      <c r="J288" s="3" t="s">
        <v>144</v>
      </c>
      <c r="K288" s="3" t="s">
        <v>1331</v>
      </c>
      <c r="L288" s="3" t="s">
        <v>1332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 t="s">
        <v>150</v>
      </c>
      <c r="AL288" s="4">
        <v>43560</v>
      </c>
      <c r="AM288" s="3"/>
      <c r="AN288" s="3" t="s">
        <v>1333</v>
      </c>
    </row>
    <row r="289" spans="1:40" ht="27.95" x14ac:dyDescent="0.3">
      <c r="A289" s="3">
        <v>283</v>
      </c>
      <c r="B289" s="3" t="str">
        <f>"201000001281"</f>
        <v>201000001281</v>
      </c>
      <c r="C289" s="3">
        <v>6726</v>
      </c>
      <c r="D289" s="3">
        <v>1175858</v>
      </c>
      <c r="E289" s="3">
        <v>10155881203</v>
      </c>
      <c r="F289" s="3" t="s">
        <v>1334</v>
      </c>
      <c r="G289" s="3" t="s">
        <v>1335</v>
      </c>
      <c r="H289" s="3" t="s">
        <v>56</v>
      </c>
      <c r="I289" s="3" t="s">
        <v>663</v>
      </c>
      <c r="J289" s="3" t="s">
        <v>664</v>
      </c>
      <c r="K289" s="3" t="s">
        <v>1336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 t="s">
        <v>81</v>
      </c>
      <c r="AL289" s="4">
        <v>35893</v>
      </c>
      <c r="AM289" s="3"/>
      <c r="AN289" s="3"/>
    </row>
    <row r="290" spans="1:40" x14ac:dyDescent="0.3">
      <c r="A290" s="3">
        <v>284</v>
      </c>
      <c r="B290" s="3" t="str">
        <f>"201000001280"</f>
        <v>201000001280</v>
      </c>
      <c r="C290" s="3">
        <v>3610</v>
      </c>
      <c r="D290" s="3">
        <v>1117419</v>
      </c>
      <c r="E290" s="3">
        <v>20100284694</v>
      </c>
      <c r="F290" s="3" t="s">
        <v>1337</v>
      </c>
      <c r="G290" s="3" t="s">
        <v>1338</v>
      </c>
      <c r="H290" s="3" t="s">
        <v>56</v>
      </c>
      <c r="I290" s="3" t="s">
        <v>56</v>
      </c>
      <c r="J290" s="3" t="s">
        <v>1339</v>
      </c>
      <c r="K290" s="3" t="s">
        <v>1340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 t="s">
        <v>1341</v>
      </c>
      <c r="AL290" s="4">
        <v>35643</v>
      </c>
      <c r="AM290" s="3"/>
      <c r="AN290" s="3"/>
    </row>
    <row r="291" spans="1:40" x14ac:dyDescent="0.3">
      <c r="A291" s="3">
        <v>285</v>
      </c>
      <c r="B291" s="3" t="str">
        <f>"201500039043"</f>
        <v>201500039043</v>
      </c>
      <c r="C291" s="3">
        <v>114319</v>
      </c>
      <c r="D291" s="3" t="s">
        <v>1342</v>
      </c>
      <c r="E291" s="3">
        <v>20515858360</v>
      </c>
      <c r="F291" s="3" t="s">
        <v>1343</v>
      </c>
      <c r="G291" s="3" t="s">
        <v>1344</v>
      </c>
      <c r="H291" s="3" t="s">
        <v>56</v>
      </c>
      <c r="I291" s="3" t="s">
        <v>56</v>
      </c>
      <c r="J291" s="3" t="s">
        <v>529</v>
      </c>
      <c r="K291" s="3" t="s">
        <v>1345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 t="s">
        <v>794</v>
      </c>
      <c r="AL291" s="4">
        <v>42117</v>
      </c>
      <c r="AM291" s="3"/>
      <c r="AN291" s="3" t="s">
        <v>1346</v>
      </c>
    </row>
    <row r="292" spans="1:40" ht="27.95" x14ac:dyDescent="0.3">
      <c r="A292" s="3">
        <v>286</v>
      </c>
      <c r="B292" s="3" t="str">
        <f>"201900052121"</f>
        <v>201900052121</v>
      </c>
      <c r="C292" s="3">
        <v>142384</v>
      </c>
      <c r="D292" s="3" t="s">
        <v>1347</v>
      </c>
      <c r="E292" s="3">
        <v>20455751528</v>
      </c>
      <c r="F292" s="3" t="s">
        <v>142</v>
      </c>
      <c r="G292" s="3" t="s">
        <v>1330</v>
      </c>
      <c r="H292" s="3" t="s">
        <v>97</v>
      </c>
      <c r="I292" s="3" t="s">
        <v>97</v>
      </c>
      <c r="J292" s="3" t="s">
        <v>144</v>
      </c>
      <c r="K292" s="3" t="s">
        <v>1348</v>
      </c>
      <c r="L292" s="3" t="s">
        <v>1349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 t="s">
        <v>150</v>
      </c>
      <c r="AL292" s="4">
        <v>43560</v>
      </c>
      <c r="AM292" s="3"/>
      <c r="AN292" s="3" t="s">
        <v>1333</v>
      </c>
    </row>
    <row r="293" spans="1:40" x14ac:dyDescent="0.3">
      <c r="A293" s="3">
        <v>287</v>
      </c>
      <c r="B293" s="3" t="str">
        <f>"201700133470"</f>
        <v>201700133470</v>
      </c>
      <c r="C293" s="3">
        <v>85085</v>
      </c>
      <c r="D293" s="3" t="s">
        <v>1350</v>
      </c>
      <c r="E293" s="3">
        <v>20250459981</v>
      </c>
      <c r="F293" s="3" t="s">
        <v>1351</v>
      </c>
      <c r="G293" s="3" t="s">
        <v>1352</v>
      </c>
      <c r="H293" s="3" t="s">
        <v>56</v>
      </c>
      <c r="I293" s="3" t="s">
        <v>56</v>
      </c>
      <c r="J293" s="3" t="s">
        <v>273</v>
      </c>
      <c r="K293" s="3" t="s">
        <v>1353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 t="s">
        <v>1354</v>
      </c>
      <c r="AL293" s="4">
        <v>42976</v>
      </c>
      <c r="AM293" s="3"/>
      <c r="AN293" s="3" t="s">
        <v>1355</v>
      </c>
    </row>
    <row r="294" spans="1:40" x14ac:dyDescent="0.3">
      <c r="A294" s="3">
        <v>288</v>
      </c>
      <c r="B294" s="3" t="str">
        <f>"1585960"</f>
        <v>1585960</v>
      </c>
      <c r="C294" s="3">
        <v>42720</v>
      </c>
      <c r="D294" s="3" t="s">
        <v>1356</v>
      </c>
      <c r="E294" s="3">
        <v>20100176450</v>
      </c>
      <c r="F294" s="3" t="s">
        <v>651</v>
      </c>
      <c r="G294" s="3" t="s">
        <v>1357</v>
      </c>
      <c r="H294" s="3" t="s">
        <v>75</v>
      </c>
      <c r="I294" s="3" t="s">
        <v>75</v>
      </c>
      <c r="J294" s="3" t="s">
        <v>1358</v>
      </c>
      <c r="K294" s="3" t="s">
        <v>1359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 t="s">
        <v>634</v>
      </c>
      <c r="AL294" s="4">
        <v>38748</v>
      </c>
      <c r="AM294" s="3"/>
      <c r="AN294" s="3"/>
    </row>
    <row r="295" spans="1:40" x14ac:dyDescent="0.3">
      <c r="A295" s="3">
        <v>289</v>
      </c>
      <c r="B295" s="3" t="str">
        <f>"1378947"</f>
        <v>1378947</v>
      </c>
      <c r="C295" s="3">
        <v>3327</v>
      </c>
      <c r="D295" s="3" t="s">
        <v>1360</v>
      </c>
      <c r="E295" s="3">
        <v>20100005485</v>
      </c>
      <c r="F295" s="3" t="s">
        <v>1361</v>
      </c>
      <c r="G295" s="3" t="s">
        <v>1362</v>
      </c>
      <c r="H295" s="3" t="s">
        <v>75</v>
      </c>
      <c r="I295" s="3" t="s">
        <v>75</v>
      </c>
      <c r="J295" s="3" t="s">
        <v>76</v>
      </c>
      <c r="K295" s="3" t="s">
        <v>1363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 t="s">
        <v>306</v>
      </c>
      <c r="AL295" s="4">
        <v>37491</v>
      </c>
      <c r="AM295" s="3"/>
      <c r="AN295" s="3"/>
    </row>
    <row r="296" spans="1:40" x14ac:dyDescent="0.3">
      <c r="A296" s="3">
        <v>290</v>
      </c>
      <c r="B296" s="3" t="str">
        <f>"201600085862"</f>
        <v>201600085862</v>
      </c>
      <c r="C296" s="3">
        <v>121986</v>
      </c>
      <c r="D296" s="3" t="s">
        <v>1364</v>
      </c>
      <c r="E296" s="3">
        <v>20510976887</v>
      </c>
      <c r="F296" s="3" t="s">
        <v>667</v>
      </c>
      <c r="G296" s="3" t="s">
        <v>1365</v>
      </c>
      <c r="H296" s="3" t="s">
        <v>56</v>
      </c>
      <c r="I296" s="3" t="s">
        <v>56</v>
      </c>
      <c r="J296" s="3" t="s">
        <v>131</v>
      </c>
      <c r="K296" s="3" t="s">
        <v>1366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 t="s">
        <v>1367</v>
      </c>
      <c r="AL296" s="4">
        <v>42549</v>
      </c>
      <c r="AM296" s="3"/>
      <c r="AN296" s="3" t="s">
        <v>671</v>
      </c>
    </row>
    <row r="297" spans="1:40" x14ac:dyDescent="0.3">
      <c r="A297" s="3">
        <v>291</v>
      </c>
      <c r="B297" s="3" t="str">
        <f>"1958980"</f>
        <v>1958980</v>
      </c>
      <c r="C297" s="3">
        <v>84733</v>
      </c>
      <c r="D297" s="3" t="s">
        <v>1368</v>
      </c>
      <c r="E297" s="3">
        <v>20133577735</v>
      </c>
      <c r="F297" s="3" t="s">
        <v>1369</v>
      </c>
      <c r="G297" s="3" t="s">
        <v>1370</v>
      </c>
      <c r="H297" s="3" t="s">
        <v>44</v>
      </c>
      <c r="I297" s="3" t="s">
        <v>45</v>
      </c>
      <c r="J297" s="3" t="s">
        <v>45</v>
      </c>
      <c r="K297" s="3" t="s">
        <v>1371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 t="s">
        <v>1372</v>
      </c>
      <c r="AL297" s="4">
        <v>40149</v>
      </c>
      <c r="AM297" s="3"/>
      <c r="AN297" s="3"/>
    </row>
    <row r="298" spans="1:40" x14ac:dyDescent="0.3">
      <c r="A298" s="3">
        <v>292</v>
      </c>
      <c r="B298" s="3" t="str">
        <f>"201600077457"</f>
        <v>201600077457</v>
      </c>
      <c r="C298" s="3">
        <v>86612</v>
      </c>
      <c r="D298" s="3" t="s">
        <v>1373</v>
      </c>
      <c r="E298" s="3">
        <v>20100366747</v>
      </c>
      <c r="F298" s="3" t="s">
        <v>258</v>
      </c>
      <c r="G298" s="3" t="s">
        <v>259</v>
      </c>
      <c r="H298" s="3" t="s">
        <v>56</v>
      </c>
      <c r="I298" s="3" t="s">
        <v>56</v>
      </c>
      <c r="J298" s="3" t="s">
        <v>185</v>
      </c>
      <c r="K298" s="3" t="s">
        <v>1374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 t="s">
        <v>118</v>
      </c>
      <c r="AL298" s="4">
        <v>42529</v>
      </c>
      <c r="AM298" s="3"/>
      <c r="AN298" s="3" t="s">
        <v>1375</v>
      </c>
    </row>
    <row r="299" spans="1:40" x14ac:dyDescent="0.3">
      <c r="A299" s="3">
        <v>293</v>
      </c>
      <c r="B299" s="3" t="str">
        <f>"1378941"</f>
        <v>1378941</v>
      </c>
      <c r="C299" s="3">
        <v>2226</v>
      </c>
      <c r="D299" s="3" t="s">
        <v>1376</v>
      </c>
      <c r="E299" s="3">
        <v>20104375716</v>
      </c>
      <c r="F299" s="3" t="s">
        <v>1377</v>
      </c>
      <c r="G299" s="3" t="s">
        <v>1378</v>
      </c>
      <c r="H299" s="3" t="s">
        <v>216</v>
      </c>
      <c r="I299" s="3" t="s">
        <v>1379</v>
      </c>
      <c r="J299" s="3" t="s">
        <v>1379</v>
      </c>
      <c r="K299" s="3" t="s">
        <v>1380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 t="s">
        <v>187</v>
      </c>
      <c r="AL299" s="4">
        <v>37483</v>
      </c>
      <c r="AM299" s="3"/>
      <c r="AN299" s="3"/>
    </row>
    <row r="300" spans="1:40" ht="27.95" x14ac:dyDescent="0.3">
      <c r="A300" s="3">
        <v>294</v>
      </c>
      <c r="B300" s="3" t="str">
        <f>"202000145623"</f>
        <v>202000145623</v>
      </c>
      <c r="C300" s="3">
        <v>109264</v>
      </c>
      <c r="D300" s="3" t="s">
        <v>1381</v>
      </c>
      <c r="E300" s="3">
        <v>20455486948</v>
      </c>
      <c r="F300" s="3" t="s">
        <v>1382</v>
      </c>
      <c r="G300" s="3" t="s">
        <v>1383</v>
      </c>
      <c r="H300" s="3" t="s">
        <v>97</v>
      </c>
      <c r="I300" s="3" t="s">
        <v>97</v>
      </c>
      <c r="J300" s="3" t="s">
        <v>144</v>
      </c>
      <c r="K300" s="3" t="s">
        <v>1384</v>
      </c>
      <c r="L300" s="3" t="s">
        <v>1385</v>
      </c>
      <c r="M300" s="3" t="s">
        <v>1386</v>
      </c>
      <c r="N300" s="3" t="s">
        <v>1387</v>
      </c>
      <c r="O300" s="3" t="s">
        <v>1388</v>
      </c>
      <c r="P300" s="3" t="s">
        <v>1389</v>
      </c>
      <c r="Q300" s="3" t="s">
        <v>1390</v>
      </c>
      <c r="R300" s="3" t="s">
        <v>1391</v>
      </c>
      <c r="S300" s="3" t="s">
        <v>1392</v>
      </c>
      <c r="T300" s="3" t="s">
        <v>1393</v>
      </c>
      <c r="U300" s="3" t="s">
        <v>1394</v>
      </c>
      <c r="V300" s="3" t="s">
        <v>1395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 t="s">
        <v>470</v>
      </c>
      <c r="AL300" s="4">
        <v>44131</v>
      </c>
      <c r="AM300" s="3"/>
      <c r="AN300" s="3" t="s">
        <v>1396</v>
      </c>
    </row>
    <row r="301" spans="1:40" x14ac:dyDescent="0.3">
      <c r="A301" s="3">
        <v>295</v>
      </c>
      <c r="B301" s="3" t="str">
        <f>"201000001298"</f>
        <v>201000001298</v>
      </c>
      <c r="C301" s="3">
        <v>18140</v>
      </c>
      <c r="D301" s="3" t="s">
        <v>1397</v>
      </c>
      <c r="E301" s="3">
        <v>10038288046</v>
      </c>
      <c r="F301" s="3" t="s">
        <v>1398</v>
      </c>
      <c r="G301" s="3" t="s">
        <v>1399</v>
      </c>
      <c r="H301" s="3" t="s">
        <v>50</v>
      </c>
      <c r="I301" s="3" t="s">
        <v>638</v>
      </c>
      <c r="J301" s="3" t="s">
        <v>639</v>
      </c>
      <c r="K301" s="3" t="s">
        <v>1400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 t="s">
        <v>614</v>
      </c>
      <c r="AL301" s="4">
        <v>36585</v>
      </c>
      <c r="AM301" s="3"/>
      <c r="AN301" s="3"/>
    </row>
    <row r="302" spans="1:40" x14ac:dyDescent="0.3">
      <c r="A302" s="3">
        <v>296</v>
      </c>
      <c r="B302" s="3" t="str">
        <f>"201000001297"</f>
        <v>201000001297</v>
      </c>
      <c r="C302" s="3">
        <v>18139</v>
      </c>
      <c r="D302" s="3" t="s">
        <v>1401</v>
      </c>
      <c r="E302" s="3">
        <v>10038288046</v>
      </c>
      <c r="F302" s="3" t="s">
        <v>1398</v>
      </c>
      <c r="G302" s="3" t="s">
        <v>1402</v>
      </c>
      <c r="H302" s="3" t="s">
        <v>50</v>
      </c>
      <c r="I302" s="3" t="s">
        <v>638</v>
      </c>
      <c r="J302" s="3" t="s">
        <v>639</v>
      </c>
      <c r="K302" s="3" t="s">
        <v>1403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 t="s">
        <v>614</v>
      </c>
      <c r="AL302" s="4">
        <v>36585</v>
      </c>
      <c r="AM302" s="3"/>
      <c r="AN302" s="3"/>
    </row>
    <row r="303" spans="1:40" x14ac:dyDescent="0.3">
      <c r="A303" s="3">
        <v>297</v>
      </c>
      <c r="B303" s="3" t="str">
        <f>"201000001299"</f>
        <v>201000001299</v>
      </c>
      <c r="C303" s="3">
        <v>20648</v>
      </c>
      <c r="D303" s="3" t="s">
        <v>1404</v>
      </c>
      <c r="E303" s="3">
        <v>10005084194</v>
      </c>
      <c r="F303" s="3" t="s">
        <v>1405</v>
      </c>
      <c r="G303" s="3" t="s">
        <v>1406</v>
      </c>
      <c r="H303" s="3" t="s">
        <v>202</v>
      </c>
      <c r="I303" s="3" t="s">
        <v>202</v>
      </c>
      <c r="J303" s="3" t="s">
        <v>202</v>
      </c>
      <c r="K303" s="3" t="s">
        <v>1407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 t="s">
        <v>256</v>
      </c>
      <c r="AL303" s="4">
        <v>36889</v>
      </c>
      <c r="AM303" s="3"/>
      <c r="AN303" s="3"/>
    </row>
    <row r="304" spans="1:40" ht="27.95" x14ac:dyDescent="0.3">
      <c r="A304" s="3">
        <v>298</v>
      </c>
      <c r="B304" s="3" t="str">
        <f>"201000001294"</f>
        <v>201000001294</v>
      </c>
      <c r="C304" s="3">
        <v>16232</v>
      </c>
      <c r="D304" s="3">
        <v>1182748</v>
      </c>
      <c r="E304" s="3">
        <v>20251896551</v>
      </c>
      <c r="F304" s="3" t="s">
        <v>1408</v>
      </c>
      <c r="G304" s="3" t="s">
        <v>1409</v>
      </c>
      <c r="H304" s="3" t="s">
        <v>56</v>
      </c>
      <c r="I304" s="3" t="s">
        <v>56</v>
      </c>
      <c r="J304" s="3" t="s">
        <v>529</v>
      </c>
      <c r="K304" s="3" t="s">
        <v>1410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 t="s">
        <v>546</v>
      </c>
      <c r="AL304" s="4">
        <v>35951</v>
      </c>
      <c r="AM304" s="3"/>
      <c r="AN304" s="3"/>
    </row>
    <row r="305" spans="1:40" ht="27.95" x14ac:dyDescent="0.3">
      <c r="A305" s="3">
        <v>299</v>
      </c>
      <c r="B305" s="3" t="str">
        <f>"201800101266"</f>
        <v>201800101266</v>
      </c>
      <c r="C305" s="3">
        <v>107214</v>
      </c>
      <c r="D305" s="3" t="s">
        <v>1411</v>
      </c>
      <c r="E305" s="3">
        <v>20547314426</v>
      </c>
      <c r="F305" s="3" t="s">
        <v>1202</v>
      </c>
      <c r="G305" s="3" t="s">
        <v>1203</v>
      </c>
      <c r="H305" s="3" t="s">
        <v>56</v>
      </c>
      <c r="I305" s="3" t="s">
        <v>56</v>
      </c>
      <c r="J305" s="3" t="s">
        <v>273</v>
      </c>
      <c r="K305" s="3" t="s">
        <v>1412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 t="s">
        <v>47</v>
      </c>
      <c r="AL305" s="4">
        <v>43277</v>
      </c>
      <c r="AM305" s="3"/>
      <c r="AN305" s="3" t="s">
        <v>1039</v>
      </c>
    </row>
    <row r="306" spans="1:40" ht="27.95" x14ac:dyDescent="0.3">
      <c r="A306" s="3">
        <v>300</v>
      </c>
      <c r="B306" s="3" t="str">
        <f>"201000001293"</f>
        <v>201000001293</v>
      </c>
      <c r="C306" s="3">
        <v>16233</v>
      </c>
      <c r="D306" s="3">
        <v>1182747</v>
      </c>
      <c r="E306" s="3">
        <v>20251896551</v>
      </c>
      <c r="F306" s="3" t="s">
        <v>1408</v>
      </c>
      <c r="G306" s="3" t="s">
        <v>1409</v>
      </c>
      <c r="H306" s="3" t="s">
        <v>56</v>
      </c>
      <c r="I306" s="3" t="s">
        <v>56</v>
      </c>
      <c r="J306" s="3" t="s">
        <v>529</v>
      </c>
      <c r="K306" s="3" t="s">
        <v>1413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 t="s">
        <v>546</v>
      </c>
      <c r="AL306" s="4">
        <v>35951</v>
      </c>
      <c r="AM306" s="3"/>
      <c r="AN306" s="3"/>
    </row>
    <row r="307" spans="1:40" x14ac:dyDescent="0.3">
      <c r="A307" s="3">
        <v>301</v>
      </c>
      <c r="B307" s="3" t="str">
        <f>"201000001296"</f>
        <v>201000001296</v>
      </c>
      <c r="C307" s="3">
        <v>18106</v>
      </c>
      <c r="D307" s="3" t="s">
        <v>1414</v>
      </c>
      <c r="E307" s="3">
        <v>10165579840</v>
      </c>
      <c r="F307" s="3" t="s">
        <v>1415</v>
      </c>
      <c r="G307" s="3" t="s">
        <v>1416</v>
      </c>
      <c r="H307" s="3" t="s">
        <v>318</v>
      </c>
      <c r="I307" s="3" t="s">
        <v>319</v>
      </c>
      <c r="J307" s="3" t="s">
        <v>319</v>
      </c>
      <c r="K307" s="3" t="s">
        <v>1417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 t="s">
        <v>906</v>
      </c>
      <c r="AL307" s="4">
        <v>36579</v>
      </c>
      <c r="AM307" s="3"/>
      <c r="AN307" s="3"/>
    </row>
    <row r="308" spans="1:40" x14ac:dyDescent="0.3">
      <c r="A308" s="3">
        <v>302</v>
      </c>
      <c r="B308" s="3" t="str">
        <f>"201000001295"</f>
        <v>201000001295</v>
      </c>
      <c r="C308" s="3">
        <v>18109</v>
      </c>
      <c r="D308" s="3" t="s">
        <v>1418</v>
      </c>
      <c r="E308" s="3">
        <v>20103521344</v>
      </c>
      <c r="F308" s="3" t="s">
        <v>1419</v>
      </c>
      <c r="G308" s="3" t="s">
        <v>1416</v>
      </c>
      <c r="H308" s="3" t="s">
        <v>318</v>
      </c>
      <c r="I308" s="3" t="s">
        <v>319</v>
      </c>
      <c r="J308" s="3" t="s">
        <v>319</v>
      </c>
      <c r="K308" s="3" t="s">
        <v>1420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 t="s">
        <v>81</v>
      </c>
      <c r="AL308" s="4">
        <v>36580</v>
      </c>
      <c r="AM308" s="3"/>
      <c r="AN308" s="3"/>
    </row>
    <row r="309" spans="1:40" x14ac:dyDescent="0.3">
      <c r="A309" s="3">
        <v>303</v>
      </c>
      <c r="B309" s="3" t="str">
        <f>"201000001290"</f>
        <v>201000001290</v>
      </c>
      <c r="C309" s="3">
        <v>21103</v>
      </c>
      <c r="D309" s="3" t="s">
        <v>1421</v>
      </c>
      <c r="E309" s="3">
        <v>10296434464</v>
      </c>
      <c r="F309" s="3" t="s">
        <v>1422</v>
      </c>
      <c r="G309" s="3" t="s">
        <v>1423</v>
      </c>
      <c r="H309" s="3" t="s">
        <v>97</v>
      </c>
      <c r="I309" s="3" t="s">
        <v>97</v>
      </c>
      <c r="J309" s="3" t="s">
        <v>970</v>
      </c>
      <c r="K309" s="3" t="s">
        <v>1424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 t="s">
        <v>1425</v>
      </c>
      <c r="AL309" s="4">
        <v>37069</v>
      </c>
      <c r="AM309" s="3"/>
      <c r="AN309" s="3"/>
    </row>
    <row r="310" spans="1:40" x14ac:dyDescent="0.3">
      <c r="A310" s="3">
        <v>304</v>
      </c>
      <c r="B310" s="3" t="str">
        <f>"1129793"</f>
        <v>1129793</v>
      </c>
      <c r="C310" s="3">
        <v>3362</v>
      </c>
      <c r="D310" s="3">
        <v>1129793</v>
      </c>
      <c r="E310" s="3">
        <v>10293899351</v>
      </c>
      <c r="F310" s="3" t="s">
        <v>1426</v>
      </c>
      <c r="G310" s="3" t="s">
        <v>1427</v>
      </c>
      <c r="H310" s="3" t="s">
        <v>97</v>
      </c>
      <c r="I310" s="3" t="s">
        <v>97</v>
      </c>
      <c r="J310" s="3" t="s">
        <v>105</v>
      </c>
      <c r="K310" s="3" t="s">
        <v>1428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 t="s">
        <v>353</v>
      </c>
      <c r="AL310" s="4">
        <v>35593</v>
      </c>
      <c r="AM310" s="3"/>
      <c r="AN310" s="3"/>
    </row>
    <row r="311" spans="1:40" ht="27.95" x14ac:dyDescent="0.3">
      <c r="A311" s="3">
        <v>305</v>
      </c>
      <c r="B311" s="3" t="str">
        <f>"201900005901"</f>
        <v>201900005901</v>
      </c>
      <c r="C311" s="3">
        <v>114753</v>
      </c>
      <c r="D311" s="3" t="s">
        <v>1429</v>
      </c>
      <c r="E311" s="3">
        <v>20262254268</v>
      </c>
      <c r="F311" s="3" t="s">
        <v>103</v>
      </c>
      <c r="G311" s="3" t="s">
        <v>1430</v>
      </c>
      <c r="H311" s="3" t="s">
        <v>75</v>
      </c>
      <c r="I311" s="3" t="s">
        <v>75</v>
      </c>
      <c r="J311" s="3" t="s">
        <v>1358</v>
      </c>
      <c r="K311" s="3" t="s">
        <v>1431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 t="s">
        <v>1432</v>
      </c>
      <c r="AL311" s="4">
        <v>43481</v>
      </c>
      <c r="AM311" s="3"/>
      <c r="AN311" s="3" t="s">
        <v>113</v>
      </c>
    </row>
    <row r="312" spans="1:40" x14ac:dyDescent="0.3">
      <c r="A312" s="3">
        <v>306</v>
      </c>
      <c r="B312" s="3" t="str">
        <f>"201000001292"</f>
        <v>201000001292</v>
      </c>
      <c r="C312" s="3">
        <v>83833</v>
      </c>
      <c r="D312" s="3" t="s">
        <v>1433</v>
      </c>
      <c r="E312" s="3">
        <v>10106438345</v>
      </c>
      <c r="F312" s="3" t="s">
        <v>1434</v>
      </c>
      <c r="G312" s="3" t="s">
        <v>1435</v>
      </c>
      <c r="H312" s="3" t="s">
        <v>97</v>
      </c>
      <c r="I312" s="3" t="s">
        <v>1436</v>
      </c>
      <c r="J312" s="3" t="s">
        <v>1437</v>
      </c>
      <c r="K312" s="3" t="s">
        <v>1438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 t="s">
        <v>47</v>
      </c>
      <c r="AL312" s="4">
        <v>40099</v>
      </c>
      <c r="AM312" s="3"/>
      <c r="AN312" s="3"/>
    </row>
    <row r="313" spans="1:40" x14ac:dyDescent="0.3">
      <c r="A313" s="3">
        <v>307</v>
      </c>
      <c r="B313" s="3" t="str">
        <f>"201000001291"</f>
        <v>201000001291</v>
      </c>
      <c r="C313" s="3">
        <v>40475</v>
      </c>
      <c r="D313" s="3" t="s">
        <v>1439</v>
      </c>
      <c r="E313" s="3">
        <v>20506727783</v>
      </c>
      <c r="F313" s="3" t="s">
        <v>1440</v>
      </c>
      <c r="G313" s="3" t="s">
        <v>1441</v>
      </c>
      <c r="H313" s="3" t="s">
        <v>56</v>
      </c>
      <c r="I313" s="3" t="s">
        <v>56</v>
      </c>
      <c r="J313" s="3" t="s">
        <v>131</v>
      </c>
      <c r="K313" s="3" t="s">
        <v>1442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 t="s">
        <v>942</v>
      </c>
      <c r="AL313" s="4">
        <v>38639</v>
      </c>
      <c r="AM313" s="3"/>
      <c r="AN313" s="3"/>
    </row>
    <row r="314" spans="1:40" ht="27.95" x14ac:dyDescent="0.3">
      <c r="A314" s="3">
        <v>308</v>
      </c>
      <c r="B314" s="3" t="str">
        <f>"201500021702"</f>
        <v>201500021702</v>
      </c>
      <c r="C314" s="3">
        <v>113981</v>
      </c>
      <c r="D314" s="3" t="s">
        <v>1443</v>
      </c>
      <c r="E314" s="3">
        <v>10085174857</v>
      </c>
      <c r="F314" s="3" t="s">
        <v>1444</v>
      </c>
      <c r="G314" s="3" t="s">
        <v>1445</v>
      </c>
      <c r="H314" s="3" t="s">
        <v>56</v>
      </c>
      <c r="I314" s="3" t="s">
        <v>56</v>
      </c>
      <c r="J314" s="3" t="s">
        <v>481</v>
      </c>
      <c r="K314" s="3" t="s">
        <v>1446</v>
      </c>
      <c r="L314" s="3" t="s">
        <v>1447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 t="s">
        <v>512</v>
      </c>
      <c r="AL314" s="4">
        <v>42074</v>
      </c>
      <c r="AM314" s="3"/>
      <c r="AN314" s="3" t="s">
        <v>1444</v>
      </c>
    </row>
    <row r="315" spans="1:40" ht="27.95" x14ac:dyDescent="0.3">
      <c r="A315" s="3">
        <v>309</v>
      </c>
      <c r="B315" s="3" t="str">
        <f>"201900005904"</f>
        <v>201900005904</v>
      </c>
      <c r="C315" s="3">
        <v>62228</v>
      </c>
      <c r="D315" s="3" t="s">
        <v>1448</v>
      </c>
      <c r="E315" s="3">
        <v>20262254268</v>
      </c>
      <c r="F315" s="3" t="s">
        <v>103</v>
      </c>
      <c r="G315" s="3" t="s">
        <v>1449</v>
      </c>
      <c r="H315" s="3" t="s">
        <v>75</v>
      </c>
      <c r="I315" s="3" t="s">
        <v>75</v>
      </c>
      <c r="J315" s="3" t="s">
        <v>1358</v>
      </c>
      <c r="K315" s="3" t="s">
        <v>1450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 t="s">
        <v>1451</v>
      </c>
      <c r="AL315" s="4">
        <v>43481</v>
      </c>
      <c r="AM315" s="3"/>
      <c r="AN315" s="3" t="s">
        <v>113</v>
      </c>
    </row>
    <row r="316" spans="1:40" ht="27.95" x14ac:dyDescent="0.3">
      <c r="A316" s="3">
        <v>310</v>
      </c>
      <c r="B316" s="3" t="str">
        <f>"1585954"</f>
        <v>1585954</v>
      </c>
      <c r="C316" s="3">
        <v>42679</v>
      </c>
      <c r="D316" s="3" t="s">
        <v>1452</v>
      </c>
      <c r="E316" s="3">
        <v>20100176450</v>
      </c>
      <c r="F316" s="3" t="s">
        <v>651</v>
      </c>
      <c r="G316" s="3" t="s">
        <v>1453</v>
      </c>
      <c r="H316" s="3" t="s">
        <v>56</v>
      </c>
      <c r="I316" s="3" t="s">
        <v>56</v>
      </c>
      <c r="J316" s="3" t="s">
        <v>653</v>
      </c>
      <c r="K316" s="3" t="s">
        <v>1454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 t="s">
        <v>1455</v>
      </c>
      <c r="AL316" s="4">
        <v>38748</v>
      </c>
      <c r="AM316" s="3"/>
      <c r="AN316" s="3"/>
    </row>
    <row r="317" spans="1:40" x14ac:dyDescent="0.3">
      <c r="A317" s="3">
        <v>311</v>
      </c>
      <c r="B317" s="3" t="str">
        <f>"1478236"</f>
        <v>1478236</v>
      </c>
      <c r="C317" s="3">
        <v>91317</v>
      </c>
      <c r="D317" s="3" t="s">
        <v>1456</v>
      </c>
      <c r="E317" s="3">
        <v>20467282388</v>
      </c>
      <c r="F317" s="3" t="s">
        <v>1457</v>
      </c>
      <c r="G317" s="3" t="s">
        <v>1458</v>
      </c>
      <c r="H317" s="3" t="s">
        <v>97</v>
      </c>
      <c r="I317" s="3" t="s">
        <v>97</v>
      </c>
      <c r="J317" s="3" t="s">
        <v>1459</v>
      </c>
      <c r="K317" s="3" t="s">
        <v>1460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 t="s">
        <v>1461</v>
      </c>
      <c r="AL317" s="4">
        <v>40646</v>
      </c>
      <c r="AM317" s="3"/>
      <c r="AN317" s="3" t="s">
        <v>1462</v>
      </c>
    </row>
    <row r="318" spans="1:40" x14ac:dyDescent="0.3">
      <c r="A318" s="3">
        <v>312</v>
      </c>
      <c r="B318" s="3" t="str">
        <f>"201500138534"</f>
        <v>201500138534</v>
      </c>
      <c r="C318" s="3">
        <v>118045</v>
      </c>
      <c r="D318" s="3" t="s">
        <v>1463</v>
      </c>
      <c r="E318" s="3">
        <v>10015486860</v>
      </c>
      <c r="F318" s="3" t="s">
        <v>1464</v>
      </c>
      <c r="G318" s="3" t="s">
        <v>1465</v>
      </c>
      <c r="H318" s="3" t="s">
        <v>97</v>
      </c>
      <c r="I318" s="3" t="s">
        <v>97</v>
      </c>
      <c r="J318" s="3" t="s">
        <v>341</v>
      </c>
      <c r="K318" s="3" t="s">
        <v>1466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 t="s">
        <v>1467</v>
      </c>
      <c r="AL318" s="3" t="s">
        <v>290</v>
      </c>
      <c r="AM318" s="3"/>
      <c r="AN318" s="3" t="s">
        <v>1464</v>
      </c>
    </row>
    <row r="319" spans="1:40" x14ac:dyDescent="0.3">
      <c r="A319" s="3">
        <v>313</v>
      </c>
      <c r="B319" s="3" t="str">
        <f>"1111831"</f>
        <v>1111831</v>
      </c>
      <c r="C319" s="3">
        <v>2438</v>
      </c>
      <c r="D319" s="3">
        <v>991230</v>
      </c>
      <c r="E319" s="3">
        <v>10088113387</v>
      </c>
      <c r="F319" s="3" t="s">
        <v>1468</v>
      </c>
      <c r="G319" s="3" t="s">
        <v>1469</v>
      </c>
      <c r="H319" s="3" t="s">
        <v>56</v>
      </c>
      <c r="I319" s="3" t="s">
        <v>56</v>
      </c>
      <c r="J319" s="3" t="s">
        <v>1339</v>
      </c>
      <c r="K319" s="3" t="s">
        <v>1470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 t="s">
        <v>634</v>
      </c>
      <c r="AL319" s="4">
        <v>35506</v>
      </c>
      <c r="AM319" s="3"/>
      <c r="AN319" s="3"/>
    </row>
    <row r="320" spans="1:40" x14ac:dyDescent="0.3">
      <c r="A320" s="3">
        <v>314</v>
      </c>
      <c r="B320" s="3" t="str">
        <f>"201600039891"</f>
        <v>201600039891</v>
      </c>
      <c r="C320" s="3">
        <v>16344</v>
      </c>
      <c r="D320" s="3" t="s">
        <v>1471</v>
      </c>
      <c r="E320" s="3">
        <v>20262254268</v>
      </c>
      <c r="F320" s="3" t="s">
        <v>103</v>
      </c>
      <c r="G320" s="3" t="s">
        <v>104</v>
      </c>
      <c r="H320" s="3" t="s">
        <v>56</v>
      </c>
      <c r="I320" s="3" t="s">
        <v>56</v>
      </c>
      <c r="J320" s="3" t="s">
        <v>105</v>
      </c>
      <c r="K320" s="3" t="s">
        <v>1472</v>
      </c>
      <c r="L320" s="3" t="s">
        <v>111</v>
      </c>
      <c r="M320" s="3" t="s">
        <v>861</v>
      </c>
      <c r="N320" s="3" t="s">
        <v>862</v>
      </c>
      <c r="O320" s="3" t="s">
        <v>863</v>
      </c>
      <c r="P320" s="3" t="s">
        <v>109</v>
      </c>
      <c r="Q320" s="3" t="s">
        <v>107</v>
      </c>
      <c r="R320" s="3" t="s">
        <v>1078</v>
      </c>
      <c r="S320" s="3" t="s">
        <v>1076</v>
      </c>
      <c r="T320" s="3" t="s">
        <v>1073</v>
      </c>
      <c r="U320" s="3" t="s">
        <v>1079</v>
      </c>
      <c r="V320" s="3" t="s">
        <v>1072</v>
      </c>
      <c r="W320" s="3" t="s">
        <v>1074</v>
      </c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 t="s">
        <v>1473</v>
      </c>
      <c r="AL320" s="4">
        <v>42467</v>
      </c>
      <c r="AM320" s="3"/>
      <c r="AN320" s="3" t="s">
        <v>113</v>
      </c>
    </row>
    <row r="321" spans="1:40" x14ac:dyDescent="0.3">
      <c r="A321" s="3">
        <v>315</v>
      </c>
      <c r="B321" s="3" t="str">
        <f>"201600141397"</f>
        <v>201600141397</v>
      </c>
      <c r="C321" s="3">
        <v>83971</v>
      </c>
      <c r="D321" s="3" t="s">
        <v>1474</v>
      </c>
      <c r="E321" s="3">
        <v>20100366747</v>
      </c>
      <c r="F321" s="3" t="s">
        <v>258</v>
      </c>
      <c r="G321" s="3" t="s">
        <v>1475</v>
      </c>
      <c r="H321" s="3" t="s">
        <v>56</v>
      </c>
      <c r="I321" s="3" t="s">
        <v>56</v>
      </c>
      <c r="J321" s="3" t="s">
        <v>185</v>
      </c>
      <c r="K321" s="3" t="s">
        <v>1476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 t="s">
        <v>211</v>
      </c>
      <c r="AL321" s="4">
        <v>42664</v>
      </c>
      <c r="AM321" s="3"/>
      <c r="AN321" s="3" t="s">
        <v>262</v>
      </c>
    </row>
    <row r="322" spans="1:40" x14ac:dyDescent="0.3">
      <c r="A322" s="3">
        <v>316</v>
      </c>
      <c r="B322" s="3" t="str">
        <f>"201300175102"</f>
        <v>201300175102</v>
      </c>
      <c r="C322" s="3">
        <v>106121</v>
      </c>
      <c r="D322" s="3" t="s">
        <v>1477</v>
      </c>
      <c r="E322" s="3">
        <v>10256284281</v>
      </c>
      <c r="F322" s="3" t="s">
        <v>1478</v>
      </c>
      <c r="G322" s="3" t="s">
        <v>1479</v>
      </c>
      <c r="H322" s="3" t="s">
        <v>50</v>
      </c>
      <c r="I322" s="3" t="s">
        <v>50</v>
      </c>
      <c r="J322" s="3" t="s">
        <v>50</v>
      </c>
      <c r="K322" s="3" t="s">
        <v>1480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 t="s">
        <v>1481</v>
      </c>
      <c r="AL322" s="4">
        <v>41591</v>
      </c>
      <c r="AM322" s="3"/>
      <c r="AN322" s="3" t="s">
        <v>1478</v>
      </c>
    </row>
    <row r="323" spans="1:40" ht="27.95" x14ac:dyDescent="0.3">
      <c r="A323" s="3">
        <v>317</v>
      </c>
      <c r="B323" s="3" t="str">
        <f>"1585955"</f>
        <v>1585955</v>
      </c>
      <c r="C323" s="3">
        <v>42677</v>
      </c>
      <c r="D323" s="3" t="s">
        <v>1482</v>
      </c>
      <c r="E323" s="3">
        <v>20100176450</v>
      </c>
      <c r="F323" s="3" t="s">
        <v>651</v>
      </c>
      <c r="G323" s="3" t="s">
        <v>1483</v>
      </c>
      <c r="H323" s="3" t="s">
        <v>56</v>
      </c>
      <c r="I323" s="3" t="s">
        <v>56</v>
      </c>
      <c r="J323" s="3" t="s">
        <v>653</v>
      </c>
      <c r="K323" s="3" t="s">
        <v>1484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 t="s">
        <v>1485</v>
      </c>
      <c r="AL323" s="4">
        <v>38748</v>
      </c>
      <c r="AM323" s="3"/>
      <c r="AN323" s="3"/>
    </row>
    <row r="324" spans="1:40" x14ac:dyDescent="0.3">
      <c r="A324" s="3">
        <v>318</v>
      </c>
      <c r="B324" s="3" t="str">
        <f>"201500107603"</f>
        <v>201500107603</v>
      </c>
      <c r="C324" s="3">
        <v>116973</v>
      </c>
      <c r="D324" s="3" t="s">
        <v>1486</v>
      </c>
      <c r="E324" s="3">
        <v>20393878593</v>
      </c>
      <c r="F324" s="3" t="s">
        <v>1487</v>
      </c>
      <c r="G324" s="3" t="s">
        <v>1488</v>
      </c>
      <c r="H324" s="3" t="s">
        <v>395</v>
      </c>
      <c r="I324" s="3" t="s">
        <v>1489</v>
      </c>
      <c r="J324" s="3" t="s">
        <v>1490</v>
      </c>
      <c r="K324" s="3" t="s">
        <v>1491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 t="s">
        <v>167</v>
      </c>
      <c r="AL324" s="4">
        <v>42419</v>
      </c>
      <c r="AM324" s="3"/>
      <c r="AN324" s="3" t="s">
        <v>1492</v>
      </c>
    </row>
    <row r="325" spans="1:40" x14ac:dyDescent="0.3">
      <c r="A325" s="3">
        <v>319</v>
      </c>
      <c r="B325" s="3" t="str">
        <f>"201400083463"</f>
        <v>201400083463</v>
      </c>
      <c r="C325" s="3">
        <v>39137</v>
      </c>
      <c r="D325" s="3" t="s">
        <v>1493</v>
      </c>
      <c r="E325" s="3">
        <v>20519718252</v>
      </c>
      <c r="F325" s="3" t="s">
        <v>1494</v>
      </c>
      <c r="G325" s="3" t="s">
        <v>1495</v>
      </c>
      <c r="H325" s="3" t="s">
        <v>202</v>
      </c>
      <c r="I325" s="3" t="s">
        <v>202</v>
      </c>
      <c r="J325" s="3" t="s">
        <v>202</v>
      </c>
      <c r="K325" s="3" t="s">
        <v>1496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 t="s">
        <v>1497</v>
      </c>
      <c r="AL325" s="4">
        <v>41880</v>
      </c>
      <c r="AM325" s="3"/>
      <c r="AN325" s="3" t="s">
        <v>615</v>
      </c>
    </row>
    <row r="326" spans="1:40" x14ac:dyDescent="0.3">
      <c r="A326" s="3">
        <v>320</v>
      </c>
      <c r="B326" s="3" t="str">
        <f>"201300160156"</f>
        <v>201300160156</v>
      </c>
      <c r="C326" s="3">
        <v>105501</v>
      </c>
      <c r="D326" s="3" t="s">
        <v>1498</v>
      </c>
      <c r="E326" s="3">
        <v>20349264413</v>
      </c>
      <c r="F326" s="3" t="s">
        <v>287</v>
      </c>
      <c r="G326" s="3" t="s">
        <v>288</v>
      </c>
      <c r="H326" s="3" t="s">
        <v>56</v>
      </c>
      <c r="I326" s="3" t="s">
        <v>56</v>
      </c>
      <c r="J326" s="3" t="s">
        <v>105</v>
      </c>
      <c r="K326" s="3" t="s">
        <v>1499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 t="s">
        <v>504</v>
      </c>
      <c r="AL326" s="3" t="s">
        <v>290</v>
      </c>
      <c r="AM326" s="3"/>
      <c r="AN326" s="3" t="s">
        <v>291</v>
      </c>
    </row>
    <row r="327" spans="1:40" x14ac:dyDescent="0.3">
      <c r="A327" s="3">
        <v>321</v>
      </c>
      <c r="B327" s="3" t="str">
        <f>"201600077436"</f>
        <v>201600077436</v>
      </c>
      <c r="C327" s="3">
        <v>104708</v>
      </c>
      <c r="D327" s="3" t="s">
        <v>1500</v>
      </c>
      <c r="E327" s="3">
        <v>20100366747</v>
      </c>
      <c r="F327" s="3" t="s">
        <v>258</v>
      </c>
      <c r="G327" s="3" t="s">
        <v>259</v>
      </c>
      <c r="H327" s="3" t="s">
        <v>56</v>
      </c>
      <c r="I327" s="3" t="s">
        <v>56</v>
      </c>
      <c r="J327" s="3" t="s">
        <v>185</v>
      </c>
      <c r="K327" s="3" t="s">
        <v>1501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 t="s">
        <v>118</v>
      </c>
      <c r="AL327" s="4">
        <v>42529</v>
      </c>
      <c r="AM327" s="3"/>
      <c r="AN327" s="3" t="s">
        <v>1375</v>
      </c>
    </row>
    <row r="328" spans="1:40" x14ac:dyDescent="0.3">
      <c r="A328" s="3">
        <v>322</v>
      </c>
      <c r="B328" s="3" t="str">
        <f>"201800159322"</f>
        <v>201800159322</v>
      </c>
      <c r="C328" s="3">
        <v>138832</v>
      </c>
      <c r="D328" s="3" t="s">
        <v>1502</v>
      </c>
      <c r="E328" s="3">
        <v>20231266993</v>
      </c>
      <c r="F328" s="3" t="s">
        <v>1503</v>
      </c>
      <c r="G328" s="3" t="s">
        <v>1504</v>
      </c>
      <c r="H328" s="3" t="s">
        <v>172</v>
      </c>
      <c r="I328" s="3" t="s">
        <v>172</v>
      </c>
      <c r="J328" s="3" t="s">
        <v>1505</v>
      </c>
      <c r="K328" s="3" t="s">
        <v>1506</v>
      </c>
      <c r="L328" s="3" t="s">
        <v>1507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 t="s">
        <v>1508</v>
      </c>
      <c r="AL328" s="4">
        <v>43371</v>
      </c>
      <c r="AM328" s="3"/>
      <c r="AN328" s="3" t="s">
        <v>1509</v>
      </c>
    </row>
    <row r="329" spans="1:40" ht="27.95" x14ac:dyDescent="0.3">
      <c r="A329" s="3">
        <v>323</v>
      </c>
      <c r="B329" s="3" t="str">
        <f>"201500052090"</f>
        <v>201500052090</v>
      </c>
      <c r="C329" s="3">
        <v>114706</v>
      </c>
      <c r="D329" s="3" t="s">
        <v>1510</v>
      </c>
      <c r="E329" s="3">
        <v>20389099164</v>
      </c>
      <c r="F329" s="3" t="s">
        <v>1511</v>
      </c>
      <c r="G329" s="3" t="s">
        <v>1512</v>
      </c>
      <c r="H329" s="3" t="s">
        <v>56</v>
      </c>
      <c r="I329" s="3" t="s">
        <v>56</v>
      </c>
      <c r="J329" s="3" t="s">
        <v>363</v>
      </c>
      <c r="K329" s="3" t="s">
        <v>1513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 t="s">
        <v>1514</v>
      </c>
      <c r="AL329" s="4">
        <v>42131</v>
      </c>
      <c r="AM329" s="3"/>
      <c r="AN329" s="3" t="s">
        <v>1231</v>
      </c>
    </row>
    <row r="330" spans="1:40" x14ac:dyDescent="0.3">
      <c r="A330" s="3">
        <v>324</v>
      </c>
      <c r="B330" s="3" t="str">
        <f>"201400083469"</f>
        <v>201400083469</v>
      </c>
      <c r="C330" s="3">
        <v>37012</v>
      </c>
      <c r="D330" s="3" t="s">
        <v>1515</v>
      </c>
      <c r="E330" s="3">
        <v>20519718252</v>
      </c>
      <c r="F330" s="3" t="s">
        <v>1494</v>
      </c>
      <c r="G330" s="3" t="s">
        <v>1516</v>
      </c>
      <c r="H330" s="3" t="s">
        <v>202</v>
      </c>
      <c r="I330" s="3" t="s">
        <v>202</v>
      </c>
      <c r="J330" s="3" t="s">
        <v>202</v>
      </c>
      <c r="K330" s="3" t="s">
        <v>1517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 t="s">
        <v>1497</v>
      </c>
      <c r="AL330" s="4">
        <v>41880</v>
      </c>
      <c r="AM330" s="3"/>
      <c r="AN330" s="3" t="s">
        <v>615</v>
      </c>
    </row>
    <row r="331" spans="1:40" x14ac:dyDescent="0.3">
      <c r="A331" s="3">
        <v>325</v>
      </c>
      <c r="B331" s="3" t="str">
        <f>"201600049131"</f>
        <v>201600049131</v>
      </c>
      <c r="C331" s="3">
        <v>117367</v>
      </c>
      <c r="D331" s="3" t="s">
        <v>1518</v>
      </c>
      <c r="E331" s="3">
        <v>20450509125</v>
      </c>
      <c r="F331" s="3" t="s">
        <v>1519</v>
      </c>
      <c r="G331" s="3" t="s">
        <v>1520</v>
      </c>
      <c r="H331" s="3" t="s">
        <v>446</v>
      </c>
      <c r="I331" s="3" t="s">
        <v>895</v>
      </c>
      <c r="J331" s="3" t="s">
        <v>896</v>
      </c>
      <c r="K331" s="3" t="s">
        <v>1521</v>
      </c>
      <c r="L331" s="3" t="s">
        <v>1522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 t="s">
        <v>150</v>
      </c>
      <c r="AL331" s="4">
        <v>42662</v>
      </c>
      <c r="AM331" s="3"/>
      <c r="AN331" s="3" t="s">
        <v>1523</v>
      </c>
    </row>
    <row r="332" spans="1:40" x14ac:dyDescent="0.3">
      <c r="A332" s="3">
        <v>326</v>
      </c>
      <c r="B332" s="3" t="str">
        <f>"201800169976"</f>
        <v>201800169976</v>
      </c>
      <c r="C332" s="3">
        <v>44205</v>
      </c>
      <c r="D332" s="3" t="s">
        <v>1524</v>
      </c>
      <c r="E332" s="3">
        <v>10414592231</v>
      </c>
      <c r="F332" s="3" t="s">
        <v>1525</v>
      </c>
      <c r="G332" s="3" t="s">
        <v>1526</v>
      </c>
      <c r="H332" s="3" t="s">
        <v>743</v>
      </c>
      <c r="I332" s="3" t="s">
        <v>744</v>
      </c>
      <c r="J332" s="3" t="s">
        <v>743</v>
      </c>
      <c r="K332" s="3" t="s">
        <v>1527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 t="s">
        <v>574</v>
      </c>
      <c r="AL332" s="4">
        <v>43389</v>
      </c>
      <c r="AM332" s="3"/>
      <c r="AN332" s="3" t="s">
        <v>1525</v>
      </c>
    </row>
    <row r="333" spans="1:40" x14ac:dyDescent="0.3">
      <c r="A333" s="3">
        <v>327</v>
      </c>
      <c r="B333" s="3" t="str">
        <f>"1111077"</f>
        <v>1111077</v>
      </c>
      <c r="C333" s="3">
        <v>2344</v>
      </c>
      <c r="D333" s="3">
        <v>970447</v>
      </c>
      <c r="E333" s="3">
        <v>20100572649</v>
      </c>
      <c r="F333" s="3" t="s">
        <v>1316</v>
      </c>
      <c r="G333" s="3" t="s">
        <v>1528</v>
      </c>
      <c r="H333" s="3" t="s">
        <v>56</v>
      </c>
      <c r="I333" s="3" t="s">
        <v>56</v>
      </c>
      <c r="J333" s="3" t="s">
        <v>56</v>
      </c>
      <c r="K333" s="3" t="s">
        <v>1529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 t="s">
        <v>634</v>
      </c>
      <c r="AL333" s="4">
        <v>35495</v>
      </c>
      <c r="AM333" s="3"/>
      <c r="AN333" s="3"/>
    </row>
    <row r="334" spans="1:40" x14ac:dyDescent="0.3">
      <c r="A334" s="3">
        <v>328</v>
      </c>
      <c r="B334" s="3" t="str">
        <f>"201400083467"</f>
        <v>201400083467</v>
      </c>
      <c r="C334" s="3">
        <v>37007</v>
      </c>
      <c r="D334" s="3" t="s">
        <v>1530</v>
      </c>
      <c r="E334" s="3">
        <v>20519833434</v>
      </c>
      <c r="F334" s="3" t="s">
        <v>1531</v>
      </c>
      <c r="G334" s="3" t="s">
        <v>1516</v>
      </c>
      <c r="H334" s="3" t="s">
        <v>202</v>
      </c>
      <c r="I334" s="3" t="s">
        <v>202</v>
      </c>
      <c r="J334" s="3" t="s">
        <v>202</v>
      </c>
      <c r="K334" s="3" t="s">
        <v>1532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 t="s">
        <v>1497</v>
      </c>
      <c r="AL334" s="4">
        <v>41880</v>
      </c>
      <c r="AM334" s="3"/>
      <c r="AN334" s="3" t="s">
        <v>1533</v>
      </c>
    </row>
    <row r="335" spans="1:40" x14ac:dyDescent="0.3">
      <c r="A335" s="3">
        <v>329</v>
      </c>
      <c r="B335" s="3" t="str">
        <f>"201300160159"</f>
        <v>201300160159</v>
      </c>
      <c r="C335" s="3">
        <v>105498</v>
      </c>
      <c r="D335" s="3" t="s">
        <v>1534</v>
      </c>
      <c r="E335" s="3">
        <v>20349264413</v>
      </c>
      <c r="F335" s="3" t="s">
        <v>1535</v>
      </c>
      <c r="G335" s="3" t="s">
        <v>1536</v>
      </c>
      <c r="H335" s="3" t="s">
        <v>56</v>
      </c>
      <c r="I335" s="3" t="s">
        <v>56</v>
      </c>
      <c r="J335" s="3" t="s">
        <v>105</v>
      </c>
      <c r="K335" s="3" t="s">
        <v>1537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 t="s">
        <v>1538</v>
      </c>
      <c r="AL335" s="3" t="s">
        <v>290</v>
      </c>
      <c r="AM335" s="3"/>
      <c r="AN335" s="3" t="s">
        <v>291</v>
      </c>
    </row>
    <row r="336" spans="1:40" x14ac:dyDescent="0.3">
      <c r="A336" s="3">
        <v>330</v>
      </c>
      <c r="B336" s="3" t="str">
        <f>"1111075"</f>
        <v>1111075</v>
      </c>
      <c r="C336" s="3">
        <v>2651</v>
      </c>
      <c r="D336" s="3">
        <v>1064303</v>
      </c>
      <c r="E336" s="3">
        <v>20100572649</v>
      </c>
      <c r="F336" s="3" t="s">
        <v>1316</v>
      </c>
      <c r="G336" s="3" t="s">
        <v>1528</v>
      </c>
      <c r="H336" s="3" t="s">
        <v>56</v>
      </c>
      <c r="I336" s="3" t="s">
        <v>56</v>
      </c>
      <c r="J336" s="3" t="s">
        <v>56</v>
      </c>
      <c r="K336" s="3" t="s">
        <v>1539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 t="s">
        <v>157</v>
      </c>
      <c r="AL336" s="4">
        <v>35495</v>
      </c>
      <c r="AM336" s="3"/>
      <c r="AN336" s="3"/>
    </row>
    <row r="337" spans="1:40" x14ac:dyDescent="0.3">
      <c r="A337" s="3">
        <v>331</v>
      </c>
      <c r="B337" s="3" t="str">
        <f>"201200173060"</f>
        <v>201200173060</v>
      </c>
      <c r="C337" s="3">
        <v>98343</v>
      </c>
      <c r="D337" s="3" t="s">
        <v>1540</v>
      </c>
      <c r="E337" s="3">
        <v>20134424100</v>
      </c>
      <c r="F337" s="3" t="s">
        <v>1541</v>
      </c>
      <c r="G337" s="3" t="s">
        <v>1542</v>
      </c>
      <c r="H337" s="3" t="s">
        <v>44</v>
      </c>
      <c r="I337" s="3" t="s">
        <v>1543</v>
      </c>
      <c r="J337" s="3" t="s">
        <v>1543</v>
      </c>
      <c r="K337" s="3" t="s">
        <v>1544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 t="s">
        <v>187</v>
      </c>
      <c r="AL337" s="4">
        <v>41177</v>
      </c>
      <c r="AM337" s="3"/>
      <c r="AN337" s="3" t="s">
        <v>1545</v>
      </c>
    </row>
    <row r="338" spans="1:40" x14ac:dyDescent="0.3">
      <c r="A338" s="3">
        <v>332</v>
      </c>
      <c r="B338" s="3" t="str">
        <f>"1111071"</f>
        <v>1111071</v>
      </c>
      <c r="C338" s="3">
        <v>2342</v>
      </c>
      <c r="D338" s="3">
        <v>970445</v>
      </c>
      <c r="E338" s="3">
        <v>20100572649</v>
      </c>
      <c r="F338" s="3" t="s">
        <v>1316</v>
      </c>
      <c r="G338" s="3" t="s">
        <v>1528</v>
      </c>
      <c r="H338" s="3" t="s">
        <v>56</v>
      </c>
      <c r="I338" s="3" t="s">
        <v>56</v>
      </c>
      <c r="J338" s="3" t="s">
        <v>56</v>
      </c>
      <c r="K338" s="3" t="s">
        <v>1546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 t="s">
        <v>1547</v>
      </c>
      <c r="AL338" s="4">
        <v>35495</v>
      </c>
      <c r="AM338" s="3"/>
      <c r="AN338" s="3"/>
    </row>
    <row r="339" spans="1:40" x14ac:dyDescent="0.3">
      <c r="A339" s="3">
        <v>333</v>
      </c>
      <c r="B339" s="3" t="str">
        <f>"201300125059"</f>
        <v>201300125059</v>
      </c>
      <c r="C339" s="3">
        <v>104346</v>
      </c>
      <c r="D339" s="3" t="s">
        <v>1548</v>
      </c>
      <c r="E339" s="3">
        <v>20543992942</v>
      </c>
      <c r="F339" s="3" t="s">
        <v>540</v>
      </c>
      <c r="G339" s="3" t="s">
        <v>541</v>
      </c>
      <c r="H339" s="3" t="s">
        <v>56</v>
      </c>
      <c r="I339" s="3" t="s">
        <v>56</v>
      </c>
      <c r="J339" s="3" t="s">
        <v>380</v>
      </c>
      <c r="K339" s="3" t="s">
        <v>1549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 t="s">
        <v>1341</v>
      </c>
      <c r="AL339" s="4">
        <v>41488</v>
      </c>
      <c r="AM339" s="3"/>
      <c r="AN339" s="3" t="s">
        <v>543</v>
      </c>
    </row>
    <row r="340" spans="1:40" x14ac:dyDescent="0.3">
      <c r="A340" s="3">
        <v>334</v>
      </c>
      <c r="B340" s="3" t="str">
        <f>"201500060254"</f>
        <v>201500060254</v>
      </c>
      <c r="C340" s="3">
        <v>115341</v>
      </c>
      <c r="D340" s="3" t="s">
        <v>1550</v>
      </c>
      <c r="E340" s="3">
        <v>20565976461</v>
      </c>
      <c r="F340" s="3" t="s">
        <v>1551</v>
      </c>
      <c r="G340" s="3" t="s">
        <v>1552</v>
      </c>
      <c r="H340" s="3" t="s">
        <v>50</v>
      </c>
      <c r="I340" s="3" t="s">
        <v>50</v>
      </c>
      <c r="J340" s="3" t="s">
        <v>50</v>
      </c>
      <c r="K340" s="3" t="s">
        <v>1553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 t="s">
        <v>267</v>
      </c>
      <c r="AL340" s="4">
        <v>42150</v>
      </c>
      <c r="AM340" s="3"/>
      <c r="AN340" s="3" t="s">
        <v>1554</v>
      </c>
    </row>
    <row r="341" spans="1:40" x14ac:dyDescent="0.3">
      <c r="A341" s="3">
        <v>335</v>
      </c>
      <c r="B341" s="3" t="str">
        <f>"201600085848"</f>
        <v>201600085848</v>
      </c>
      <c r="C341" s="3">
        <v>121982</v>
      </c>
      <c r="D341" s="3" t="s">
        <v>1555</v>
      </c>
      <c r="E341" s="3">
        <v>20510976887</v>
      </c>
      <c r="F341" s="3" t="s">
        <v>667</v>
      </c>
      <c r="G341" s="3" t="s">
        <v>668</v>
      </c>
      <c r="H341" s="3" t="s">
        <v>56</v>
      </c>
      <c r="I341" s="3" t="s">
        <v>56</v>
      </c>
      <c r="J341" s="3" t="s">
        <v>131</v>
      </c>
      <c r="K341" s="3" t="s">
        <v>1556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 t="s">
        <v>670</v>
      </c>
      <c r="AL341" s="4">
        <v>42542</v>
      </c>
      <c r="AM341" s="3"/>
      <c r="AN341" s="3" t="s">
        <v>671</v>
      </c>
    </row>
    <row r="342" spans="1:40" x14ac:dyDescent="0.3">
      <c r="A342" s="3">
        <v>336</v>
      </c>
      <c r="B342" s="3" t="str">
        <f>"201700087716"</f>
        <v>201700087716</v>
      </c>
      <c r="C342" s="3">
        <v>129072</v>
      </c>
      <c r="D342" s="3" t="s">
        <v>1557</v>
      </c>
      <c r="E342" s="3">
        <v>10212598840</v>
      </c>
      <c r="F342" s="3" t="s">
        <v>1558</v>
      </c>
      <c r="G342" s="3" t="s">
        <v>1559</v>
      </c>
      <c r="H342" s="3" t="s">
        <v>56</v>
      </c>
      <c r="I342" s="3" t="s">
        <v>56</v>
      </c>
      <c r="J342" s="3" t="s">
        <v>363</v>
      </c>
      <c r="K342" s="3" t="s">
        <v>1560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 t="s">
        <v>230</v>
      </c>
      <c r="AL342" s="4">
        <v>42899</v>
      </c>
      <c r="AM342" s="3"/>
      <c r="AN342" s="3" t="s">
        <v>1561</v>
      </c>
    </row>
    <row r="343" spans="1:40" x14ac:dyDescent="0.3">
      <c r="A343" s="3">
        <v>337</v>
      </c>
      <c r="B343" s="3" t="str">
        <f>"201600085854"</f>
        <v>201600085854</v>
      </c>
      <c r="C343" s="3">
        <v>121984</v>
      </c>
      <c r="D343" s="3" t="s">
        <v>1562</v>
      </c>
      <c r="E343" s="3">
        <v>20510976887</v>
      </c>
      <c r="F343" s="3" t="s">
        <v>667</v>
      </c>
      <c r="G343" s="3" t="s">
        <v>1365</v>
      </c>
      <c r="H343" s="3" t="s">
        <v>56</v>
      </c>
      <c r="I343" s="3" t="s">
        <v>56</v>
      </c>
      <c r="J343" s="3" t="s">
        <v>131</v>
      </c>
      <c r="K343" s="3" t="s">
        <v>1563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 t="s">
        <v>670</v>
      </c>
      <c r="AL343" s="4">
        <v>42549</v>
      </c>
      <c r="AM343" s="3"/>
      <c r="AN343" s="3" t="s">
        <v>671</v>
      </c>
    </row>
    <row r="344" spans="1:40" x14ac:dyDescent="0.3">
      <c r="A344" s="3">
        <v>338</v>
      </c>
      <c r="B344" s="3" t="str">
        <f>"1278721"</f>
        <v>1278721</v>
      </c>
      <c r="C344" s="3">
        <v>19493</v>
      </c>
      <c r="D344" s="3" t="s">
        <v>1564</v>
      </c>
      <c r="E344" s="3">
        <v>10156922868</v>
      </c>
      <c r="F344" s="3" t="s">
        <v>1565</v>
      </c>
      <c r="G344" s="3" t="s">
        <v>1566</v>
      </c>
      <c r="H344" s="3" t="s">
        <v>172</v>
      </c>
      <c r="I344" s="3" t="s">
        <v>1567</v>
      </c>
      <c r="J344" s="3" t="s">
        <v>1567</v>
      </c>
      <c r="K344" s="3" t="s">
        <v>1568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 t="s">
        <v>1127</v>
      </c>
      <c r="AL344" s="4">
        <v>36629</v>
      </c>
      <c r="AM344" s="3"/>
      <c r="AN344" s="3"/>
    </row>
    <row r="345" spans="1:40" ht="27.95" x14ac:dyDescent="0.3">
      <c r="A345" s="3">
        <v>339</v>
      </c>
      <c r="B345" s="3" t="str">
        <f>"201600150589"</f>
        <v>201600150589</v>
      </c>
      <c r="C345" s="3">
        <v>124449</v>
      </c>
      <c r="D345" s="3" t="s">
        <v>1569</v>
      </c>
      <c r="E345" s="3">
        <v>20478005289</v>
      </c>
      <c r="F345" s="3" t="s">
        <v>1570</v>
      </c>
      <c r="G345" s="3" t="s">
        <v>1571</v>
      </c>
      <c r="H345" s="3" t="s">
        <v>56</v>
      </c>
      <c r="I345" s="3" t="s">
        <v>56</v>
      </c>
      <c r="J345" s="3" t="s">
        <v>363</v>
      </c>
      <c r="K345" s="3" t="s">
        <v>1572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 t="s">
        <v>1573</v>
      </c>
      <c r="AL345" s="4">
        <v>42657</v>
      </c>
      <c r="AM345" s="3"/>
      <c r="AN345" s="3" t="s">
        <v>372</v>
      </c>
    </row>
    <row r="346" spans="1:40" ht="27.95" x14ac:dyDescent="0.3">
      <c r="A346" s="3">
        <v>340</v>
      </c>
      <c r="B346" s="3" t="str">
        <f>"201600150588"</f>
        <v>201600150588</v>
      </c>
      <c r="C346" s="3">
        <v>124450</v>
      </c>
      <c r="D346" s="3" t="s">
        <v>1574</v>
      </c>
      <c r="E346" s="3">
        <v>20478005289</v>
      </c>
      <c r="F346" s="3" t="s">
        <v>1570</v>
      </c>
      <c r="G346" s="3" t="s">
        <v>1571</v>
      </c>
      <c r="H346" s="3" t="s">
        <v>56</v>
      </c>
      <c r="I346" s="3" t="s">
        <v>56</v>
      </c>
      <c r="J346" s="3" t="s">
        <v>363</v>
      </c>
      <c r="K346" s="3" t="s">
        <v>1575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 t="s">
        <v>1573</v>
      </c>
      <c r="AL346" s="4">
        <v>42657</v>
      </c>
      <c r="AM346" s="3"/>
      <c r="AN346" s="3" t="s">
        <v>372</v>
      </c>
    </row>
    <row r="347" spans="1:40" x14ac:dyDescent="0.3">
      <c r="A347" s="3">
        <v>341</v>
      </c>
      <c r="B347" s="3" t="str">
        <f>"201600150587"</f>
        <v>201600150587</v>
      </c>
      <c r="C347" s="3">
        <v>124452</v>
      </c>
      <c r="D347" s="3" t="s">
        <v>1576</v>
      </c>
      <c r="E347" s="3">
        <v>20478005289</v>
      </c>
      <c r="F347" s="3" t="s">
        <v>1577</v>
      </c>
      <c r="G347" s="3" t="s">
        <v>1578</v>
      </c>
      <c r="H347" s="3" t="s">
        <v>216</v>
      </c>
      <c r="I347" s="3" t="s">
        <v>216</v>
      </c>
      <c r="J347" s="3" t="s">
        <v>216</v>
      </c>
      <c r="K347" s="3" t="s">
        <v>1579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 t="s">
        <v>1573</v>
      </c>
      <c r="AL347" s="4">
        <v>42657</v>
      </c>
      <c r="AM347" s="3"/>
      <c r="AN347" s="3" t="s">
        <v>372</v>
      </c>
    </row>
    <row r="348" spans="1:40" x14ac:dyDescent="0.3">
      <c r="A348" s="3">
        <v>342</v>
      </c>
      <c r="B348" s="3" t="str">
        <f>"201600150586"</f>
        <v>201600150586</v>
      </c>
      <c r="C348" s="3">
        <v>124451</v>
      </c>
      <c r="D348" s="3" t="s">
        <v>1580</v>
      </c>
      <c r="E348" s="3">
        <v>20478005289</v>
      </c>
      <c r="F348" s="3" t="s">
        <v>1577</v>
      </c>
      <c r="G348" s="3" t="s">
        <v>1578</v>
      </c>
      <c r="H348" s="3" t="s">
        <v>216</v>
      </c>
      <c r="I348" s="3" t="s">
        <v>216</v>
      </c>
      <c r="J348" s="3" t="s">
        <v>216</v>
      </c>
      <c r="K348" s="3" t="s">
        <v>1581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 t="s">
        <v>1573</v>
      </c>
      <c r="AL348" s="4">
        <v>42657</v>
      </c>
      <c r="AM348" s="3"/>
      <c r="AN348" s="3" t="s">
        <v>372</v>
      </c>
    </row>
    <row r="349" spans="1:40" ht="27.95" x14ac:dyDescent="0.3">
      <c r="A349" s="3">
        <v>343</v>
      </c>
      <c r="B349" s="3" t="str">
        <f>"201200043613"</f>
        <v>201200043613</v>
      </c>
      <c r="C349" s="3">
        <v>95971</v>
      </c>
      <c r="D349" s="3" t="s">
        <v>1582</v>
      </c>
      <c r="E349" s="3">
        <v>20449426313</v>
      </c>
      <c r="F349" s="3" t="s">
        <v>1583</v>
      </c>
      <c r="G349" s="3" t="s">
        <v>1584</v>
      </c>
      <c r="H349" s="3" t="s">
        <v>743</v>
      </c>
      <c r="I349" s="3" t="s">
        <v>1031</v>
      </c>
      <c r="J349" s="3" t="s">
        <v>1031</v>
      </c>
      <c r="K349" s="3" t="s">
        <v>1585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 t="s">
        <v>1586</v>
      </c>
      <c r="AL349" s="4">
        <v>41001</v>
      </c>
      <c r="AM349" s="3"/>
      <c r="AN349" s="3" t="s">
        <v>1587</v>
      </c>
    </row>
    <row r="350" spans="1:40" x14ac:dyDescent="0.3">
      <c r="A350" s="3">
        <v>344</v>
      </c>
      <c r="B350" s="3" t="str">
        <f>"201600150585"</f>
        <v>201600150585</v>
      </c>
      <c r="C350" s="3">
        <v>124453</v>
      </c>
      <c r="D350" s="3" t="s">
        <v>1588</v>
      </c>
      <c r="E350" s="3">
        <v>20478005289</v>
      </c>
      <c r="F350" s="3" t="s">
        <v>1577</v>
      </c>
      <c r="G350" s="3" t="s">
        <v>1578</v>
      </c>
      <c r="H350" s="3" t="s">
        <v>216</v>
      </c>
      <c r="I350" s="3" t="s">
        <v>216</v>
      </c>
      <c r="J350" s="3" t="s">
        <v>216</v>
      </c>
      <c r="K350" s="3" t="s">
        <v>1589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 t="s">
        <v>1162</v>
      </c>
      <c r="AL350" s="4">
        <v>42657</v>
      </c>
      <c r="AM350" s="3"/>
      <c r="AN350" s="3" t="s">
        <v>372</v>
      </c>
    </row>
    <row r="351" spans="1:40" ht="27.95" x14ac:dyDescent="0.3">
      <c r="A351" s="3">
        <v>345</v>
      </c>
      <c r="B351" s="3" t="str">
        <f>"201600150582"</f>
        <v>201600150582</v>
      </c>
      <c r="C351" s="3">
        <v>124454</v>
      </c>
      <c r="D351" s="3" t="s">
        <v>1590</v>
      </c>
      <c r="E351" s="3">
        <v>20478005289</v>
      </c>
      <c r="F351" s="3" t="s">
        <v>1570</v>
      </c>
      <c r="G351" s="3" t="s">
        <v>1571</v>
      </c>
      <c r="H351" s="3" t="s">
        <v>56</v>
      </c>
      <c r="I351" s="3" t="s">
        <v>56</v>
      </c>
      <c r="J351" s="3" t="s">
        <v>363</v>
      </c>
      <c r="K351" s="3" t="s">
        <v>1591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 t="s">
        <v>1573</v>
      </c>
      <c r="AL351" s="4">
        <v>42657</v>
      </c>
      <c r="AM351" s="3"/>
      <c r="AN351" s="3" t="s">
        <v>372</v>
      </c>
    </row>
    <row r="352" spans="1:40" x14ac:dyDescent="0.3">
      <c r="A352" s="3">
        <v>346</v>
      </c>
      <c r="B352" s="3" t="str">
        <f>"1178241"</f>
        <v>1178241</v>
      </c>
      <c r="C352" s="3">
        <v>6725</v>
      </c>
      <c r="D352" s="3">
        <v>1175856</v>
      </c>
      <c r="E352" s="3">
        <v>10088525103</v>
      </c>
      <c r="F352" s="3" t="s">
        <v>1592</v>
      </c>
      <c r="G352" s="3" t="s">
        <v>1593</v>
      </c>
      <c r="H352" s="3" t="s">
        <v>56</v>
      </c>
      <c r="I352" s="3" t="s">
        <v>56</v>
      </c>
      <c r="J352" s="3" t="s">
        <v>572</v>
      </c>
      <c r="K352" s="3" t="s">
        <v>1594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 t="s">
        <v>634</v>
      </c>
      <c r="AL352" s="4">
        <v>35893</v>
      </c>
      <c r="AM352" s="3"/>
      <c r="AN352" s="3"/>
    </row>
    <row r="353" spans="1:40" x14ac:dyDescent="0.3">
      <c r="A353" s="3">
        <v>347</v>
      </c>
      <c r="B353" s="3" t="str">
        <f>"1552340"</f>
        <v>1552340</v>
      </c>
      <c r="C353" s="3">
        <v>41412</v>
      </c>
      <c r="D353" s="3" t="s">
        <v>1595</v>
      </c>
      <c r="E353" s="3">
        <v>10239819376</v>
      </c>
      <c r="F353" s="3" t="s">
        <v>1596</v>
      </c>
      <c r="G353" s="3" t="s">
        <v>1597</v>
      </c>
      <c r="H353" s="3" t="s">
        <v>446</v>
      </c>
      <c r="I353" s="3" t="s">
        <v>446</v>
      </c>
      <c r="J353" s="3" t="s">
        <v>830</v>
      </c>
      <c r="K353" s="3" t="s">
        <v>1598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 t="s">
        <v>157</v>
      </c>
      <c r="AL353" s="4">
        <v>38553</v>
      </c>
      <c r="AM353" s="3"/>
      <c r="AN353" s="3"/>
    </row>
    <row r="354" spans="1:40" x14ac:dyDescent="0.3">
      <c r="A354" s="3">
        <v>348</v>
      </c>
      <c r="B354" s="3" t="str">
        <f>"201300160148"</f>
        <v>201300160148</v>
      </c>
      <c r="C354" s="3">
        <v>105500</v>
      </c>
      <c r="D354" s="3" t="s">
        <v>1599</v>
      </c>
      <c r="E354" s="3">
        <v>20349264413</v>
      </c>
      <c r="F354" s="3" t="s">
        <v>1535</v>
      </c>
      <c r="G354" s="3" t="s">
        <v>1536</v>
      </c>
      <c r="H354" s="3" t="s">
        <v>56</v>
      </c>
      <c r="I354" s="3" t="s">
        <v>56</v>
      </c>
      <c r="J354" s="3" t="s">
        <v>105</v>
      </c>
      <c r="K354" s="3" t="s">
        <v>1600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 t="s">
        <v>1601</v>
      </c>
      <c r="AL354" s="3" t="s">
        <v>290</v>
      </c>
      <c r="AM354" s="3"/>
      <c r="AN354" s="3" t="s">
        <v>291</v>
      </c>
    </row>
    <row r="355" spans="1:40" x14ac:dyDescent="0.3">
      <c r="A355" s="3">
        <v>349</v>
      </c>
      <c r="B355" s="3" t="str">
        <f>"1111087"</f>
        <v>1111087</v>
      </c>
      <c r="C355" s="3">
        <v>2369</v>
      </c>
      <c r="D355" s="3">
        <v>987621</v>
      </c>
      <c r="E355" s="3">
        <v>20211263734</v>
      </c>
      <c r="F355" s="3" t="s">
        <v>1602</v>
      </c>
      <c r="G355" s="3" t="s">
        <v>1603</v>
      </c>
      <c r="H355" s="3" t="s">
        <v>56</v>
      </c>
      <c r="I355" s="3" t="s">
        <v>56</v>
      </c>
      <c r="J355" s="3" t="s">
        <v>1604</v>
      </c>
      <c r="K355" s="3" t="s">
        <v>1605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 t="s">
        <v>65</v>
      </c>
      <c r="AL355" s="4">
        <v>35495</v>
      </c>
      <c r="AM355" s="3"/>
      <c r="AN355" s="3"/>
    </row>
    <row r="356" spans="1:40" x14ac:dyDescent="0.3">
      <c r="A356" s="3">
        <v>350</v>
      </c>
      <c r="B356" s="3" t="str">
        <f>"1325267"</f>
        <v>1325267</v>
      </c>
      <c r="C356" s="3">
        <v>21118</v>
      </c>
      <c r="D356" s="3" t="s">
        <v>1606</v>
      </c>
      <c r="E356" s="3">
        <v>10414350271</v>
      </c>
      <c r="F356" s="3" t="s">
        <v>1607</v>
      </c>
      <c r="G356" s="3" t="s">
        <v>1608</v>
      </c>
      <c r="H356" s="3" t="s">
        <v>50</v>
      </c>
      <c r="I356" s="3" t="s">
        <v>50</v>
      </c>
      <c r="J356" s="3" t="s">
        <v>98</v>
      </c>
      <c r="K356" s="3" t="s">
        <v>1609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 t="s">
        <v>353</v>
      </c>
      <c r="AL356" s="4">
        <v>37032</v>
      </c>
      <c r="AM356" s="3"/>
      <c r="AN356" s="3"/>
    </row>
    <row r="357" spans="1:40" x14ac:dyDescent="0.3">
      <c r="A357" s="3">
        <v>351</v>
      </c>
      <c r="B357" s="3" t="str">
        <f>"1111086"</f>
        <v>1111086</v>
      </c>
      <c r="C357" s="3">
        <v>6511</v>
      </c>
      <c r="D357" s="3" t="s">
        <v>1610</v>
      </c>
      <c r="E357" s="3">
        <v>10062512844</v>
      </c>
      <c r="F357" s="3" t="s">
        <v>1611</v>
      </c>
      <c r="G357" s="3" t="s">
        <v>1612</v>
      </c>
      <c r="H357" s="3" t="s">
        <v>56</v>
      </c>
      <c r="I357" s="3" t="s">
        <v>56</v>
      </c>
      <c r="J357" s="3" t="s">
        <v>56</v>
      </c>
      <c r="K357" s="3" t="s">
        <v>1613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 t="s">
        <v>65</v>
      </c>
      <c r="AL357" s="4">
        <v>36875</v>
      </c>
      <c r="AM357" s="3"/>
      <c r="AN357" s="3"/>
    </row>
    <row r="358" spans="1:40" x14ac:dyDescent="0.3">
      <c r="A358" s="3">
        <v>352</v>
      </c>
      <c r="B358" s="3" t="str">
        <f>"201600049136"</f>
        <v>201600049136</v>
      </c>
      <c r="C358" s="3">
        <v>117279</v>
      </c>
      <c r="D358" s="3" t="s">
        <v>1614</v>
      </c>
      <c r="E358" s="3">
        <v>20450509125</v>
      </c>
      <c r="F358" s="3" t="s">
        <v>1615</v>
      </c>
      <c r="G358" s="3" t="s">
        <v>1616</v>
      </c>
      <c r="H358" s="3" t="s">
        <v>446</v>
      </c>
      <c r="I358" s="3" t="s">
        <v>895</v>
      </c>
      <c r="J358" s="3" t="s">
        <v>896</v>
      </c>
      <c r="K358" s="3" t="s">
        <v>1617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 t="s">
        <v>1618</v>
      </c>
      <c r="AL358" s="4">
        <v>42484</v>
      </c>
      <c r="AM358" s="3"/>
      <c r="AN358" s="3" t="s">
        <v>1523</v>
      </c>
    </row>
    <row r="359" spans="1:40" x14ac:dyDescent="0.3">
      <c r="A359" s="3">
        <v>353</v>
      </c>
      <c r="B359" s="3" t="str">
        <f>"1146650"</f>
        <v>1146650</v>
      </c>
      <c r="C359" s="3">
        <v>3383</v>
      </c>
      <c r="D359" s="3" t="s">
        <v>1619</v>
      </c>
      <c r="E359" s="3">
        <v>10254975112</v>
      </c>
      <c r="F359" s="3" t="s">
        <v>1620</v>
      </c>
      <c r="G359" s="3" t="s">
        <v>1621</v>
      </c>
      <c r="H359" s="3" t="s">
        <v>75</v>
      </c>
      <c r="I359" s="3" t="s">
        <v>75</v>
      </c>
      <c r="J359" s="3" t="s">
        <v>76</v>
      </c>
      <c r="K359" s="3" t="s">
        <v>1622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 t="s">
        <v>226</v>
      </c>
      <c r="AL359" s="4">
        <v>36903</v>
      </c>
      <c r="AM359" s="3"/>
      <c r="AN359" s="3"/>
    </row>
    <row r="360" spans="1:40" x14ac:dyDescent="0.3">
      <c r="A360" s="3">
        <v>354</v>
      </c>
      <c r="B360" s="3" t="str">
        <f>"1527484"</f>
        <v>1527484</v>
      </c>
      <c r="C360" s="3">
        <v>40797</v>
      </c>
      <c r="D360" s="3" t="s">
        <v>1623</v>
      </c>
      <c r="E360" s="3">
        <v>20121837634</v>
      </c>
      <c r="F360" s="3" t="s">
        <v>866</v>
      </c>
      <c r="G360" s="3" t="s">
        <v>1624</v>
      </c>
      <c r="H360" s="3" t="s">
        <v>237</v>
      </c>
      <c r="I360" s="3" t="s">
        <v>868</v>
      </c>
      <c r="J360" s="3" t="s">
        <v>869</v>
      </c>
      <c r="K360" s="3" t="s">
        <v>1625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 t="s">
        <v>1626</v>
      </c>
      <c r="AL360" s="4">
        <v>38483</v>
      </c>
      <c r="AM360" s="3"/>
      <c r="AN360" s="3"/>
    </row>
    <row r="361" spans="1:40" x14ac:dyDescent="0.3">
      <c r="A361" s="3">
        <v>355</v>
      </c>
      <c r="B361" s="3" t="str">
        <f>"1527483"</f>
        <v>1527483</v>
      </c>
      <c r="C361" s="3">
        <v>40560</v>
      </c>
      <c r="D361" s="3" t="s">
        <v>1627</v>
      </c>
      <c r="E361" s="3">
        <v>20121837634</v>
      </c>
      <c r="F361" s="3" t="s">
        <v>866</v>
      </c>
      <c r="G361" s="3" t="s">
        <v>1624</v>
      </c>
      <c r="H361" s="3" t="s">
        <v>237</v>
      </c>
      <c r="I361" s="3" t="s">
        <v>868</v>
      </c>
      <c r="J361" s="3" t="s">
        <v>869</v>
      </c>
      <c r="K361" s="3" t="s">
        <v>1628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 t="s">
        <v>1629</v>
      </c>
      <c r="AL361" s="4">
        <v>38483</v>
      </c>
      <c r="AM361" s="3"/>
      <c r="AN361" s="3"/>
    </row>
    <row r="362" spans="1:40" ht="27.95" x14ac:dyDescent="0.3">
      <c r="A362" s="3">
        <v>356</v>
      </c>
      <c r="B362" s="3" t="str">
        <f>"201800196414"</f>
        <v>201800196414</v>
      </c>
      <c r="C362" s="3">
        <v>139949</v>
      </c>
      <c r="D362" s="3" t="s">
        <v>1630</v>
      </c>
      <c r="E362" s="3">
        <v>10417691851</v>
      </c>
      <c r="F362" s="3" t="s">
        <v>1631</v>
      </c>
      <c r="G362" s="3" t="s">
        <v>1632</v>
      </c>
      <c r="H362" s="3" t="s">
        <v>44</v>
      </c>
      <c r="I362" s="3" t="s">
        <v>45</v>
      </c>
      <c r="J362" s="3" t="s">
        <v>304</v>
      </c>
      <c r="K362" s="3" t="s">
        <v>1633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 t="s">
        <v>187</v>
      </c>
      <c r="AL362" s="4">
        <v>43448</v>
      </c>
      <c r="AM362" s="3"/>
      <c r="AN362" s="3" t="s">
        <v>1631</v>
      </c>
    </row>
    <row r="363" spans="1:40" x14ac:dyDescent="0.3">
      <c r="A363" s="3">
        <v>357</v>
      </c>
      <c r="B363" s="3" t="str">
        <f>"1497627"</f>
        <v>1497627</v>
      </c>
      <c r="C363" s="3">
        <v>2608</v>
      </c>
      <c r="D363" s="3" t="s">
        <v>1634</v>
      </c>
      <c r="E363" s="3">
        <v>20467282388</v>
      </c>
      <c r="F363" s="3" t="s">
        <v>1324</v>
      </c>
      <c r="G363" s="3" t="s">
        <v>1635</v>
      </c>
      <c r="H363" s="3" t="s">
        <v>75</v>
      </c>
      <c r="I363" s="3" t="s">
        <v>75</v>
      </c>
      <c r="J363" s="3" t="s">
        <v>76</v>
      </c>
      <c r="K363" s="3" t="s">
        <v>1636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 t="s">
        <v>118</v>
      </c>
      <c r="AL363" s="4">
        <v>38286</v>
      </c>
      <c r="AM363" s="3"/>
      <c r="AN363" s="3"/>
    </row>
    <row r="364" spans="1:40" x14ac:dyDescent="0.3">
      <c r="A364" s="3">
        <v>358</v>
      </c>
      <c r="B364" s="3" t="str">
        <f>"201800107871"</f>
        <v>201800107871</v>
      </c>
      <c r="C364" s="3">
        <v>121168</v>
      </c>
      <c r="D364" s="3" t="s">
        <v>1637</v>
      </c>
      <c r="E364" s="3">
        <v>20490350714</v>
      </c>
      <c r="F364" s="3" t="s">
        <v>1638</v>
      </c>
      <c r="G364" s="3" t="s">
        <v>1639</v>
      </c>
      <c r="H364" s="3" t="s">
        <v>446</v>
      </c>
      <c r="I364" s="3" t="s">
        <v>446</v>
      </c>
      <c r="J364" s="3" t="s">
        <v>1144</v>
      </c>
      <c r="K364" s="3" t="s">
        <v>1640</v>
      </c>
      <c r="L364" s="3" t="s">
        <v>1641</v>
      </c>
      <c r="M364" s="3" t="s">
        <v>1642</v>
      </c>
      <c r="N364" s="3" t="s">
        <v>1643</v>
      </c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 t="s">
        <v>1644</v>
      </c>
      <c r="AL364" s="4">
        <v>43286</v>
      </c>
      <c r="AM364" s="3"/>
      <c r="AN364" s="3" t="s">
        <v>1645</v>
      </c>
    </row>
    <row r="365" spans="1:40" x14ac:dyDescent="0.3">
      <c r="A365" s="3">
        <v>359</v>
      </c>
      <c r="B365" s="3" t="str">
        <f>"1497625"</f>
        <v>1497625</v>
      </c>
      <c r="C365" s="3">
        <v>34942</v>
      </c>
      <c r="D365" s="3" t="s">
        <v>1646</v>
      </c>
      <c r="E365" s="3">
        <v>20467282388</v>
      </c>
      <c r="F365" s="3" t="s">
        <v>1324</v>
      </c>
      <c r="G365" s="3" t="s">
        <v>1647</v>
      </c>
      <c r="H365" s="3" t="s">
        <v>75</v>
      </c>
      <c r="I365" s="3" t="s">
        <v>75</v>
      </c>
      <c r="J365" s="3" t="s">
        <v>76</v>
      </c>
      <c r="K365" s="3" t="s">
        <v>1648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 t="s">
        <v>924</v>
      </c>
      <c r="AL365" s="4">
        <v>38286</v>
      </c>
      <c r="AM365" s="3"/>
      <c r="AN365" s="3"/>
    </row>
    <row r="366" spans="1:40" x14ac:dyDescent="0.3">
      <c r="A366" s="3">
        <v>360</v>
      </c>
      <c r="B366" s="3" t="str">
        <f>"201200137937"</f>
        <v>201200137937</v>
      </c>
      <c r="C366" s="3">
        <v>97553</v>
      </c>
      <c r="D366" s="3" t="s">
        <v>1649</v>
      </c>
      <c r="E366" s="3">
        <v>10403084323</v>
      </c>
      <c r="F366" s="3" t="s">
        <v>628</v>
      </c>
      <c r="G366" s="3" t="s">
        <v>1650</v>
      </c>
      <c r="H366" s="3" t="s">
        <v>222</v>
      </c>
      <c r="I366" s="3" t="s">
        <v>223</v>
      </c>
      <c r="J366" s="3" t="s">
        <v>224</v>
      </c>
      <c r="K366" s="3" t="s">
        <v>1651</v>
      </c>
      <c r="L366" s="3" t="s">
        <v>1652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 t="s">
        <v>470</v>
      </c>
      <c r="AL366" s="4">
        <v>41114</v>
      </c>
      <c r="AM366" s="3"/>
      <c r="AN366" s="3" t="s">
        <v>628</v>
      </c>
    </row>
    <row r="367" spans="1:40" x14ac:dyDescent="0.3">
      <c r="A367" s="3">
        <v>361</v>
      </c>
      <c r="B367" s="3" t="str">
        <f>"201600085821"</f>
        <v>201600085821</v>
      </c>
      <c r="C367" s="3">
        <v>121977</v>
      </c>
      <c r="D367" s="3" t="s">
        <v>1653</v>
      </c>
      <c r="E367" s="3">
        <v>20510976887</v>
      </c>
      <c r="F367" s="3" t="s">
        <v>667</v>
      </c>
      <c r="G367" s="3" t="s">
        <v>668</v>
      </c>
      <c r="H367" s="3" t="s">
        <v>56</v>
      </c>
      <c r="I367" s="3" t="s">
        <v>56</v>
      </c>
      <c r="J367" s="3" t="s">
        <v>131</v>
      </c>
      <c r="K367" s="3" t="s">
        <v>1654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 t="s">
        <v>670</v>
      </c>
      <c r="AL367" s="4">
        <v>42538</v>
      </c>
      <c r="AM367" s="3"/>
      <c r="AN367" s="3" t="s">
        <v>671</v>
      </c>
    </row>
    <row r="368" spans="1:40" x14ac:dyDescent="0.3">
      <c r="A368" s="3">
        <v>362</v>
      </c>
      <c r="B368" s="3" t="str">
        <f>"202000133844"</f>
        <v>202000133844</v>
      </c>
      <c r="C368" s="3">
        <v>151642</v>
      </c>
      <c r="D368" s="3" t="s">
        <v>1655</v>
      </c>
      <c r="E368" s="3">
        <v>20603948875</v>
      </c>
      <c r="F368" s="3" t="s">
        <v>1656</v>
      </c>
      <c r="G368" s="3" t="s">
        <v>1657</v>
      </c>
      <c r="H368" s="3" t="s">
        <v>318</v>
      </c>
      <c r="I368" s="3" t="s">
        <v>319</v>
      </c>
      <c r="J368" s="3" t="s">
        <v>495</v>
      </c>
      <c r="K368" s="3" t="s">
        <v>1658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 t="s">
        <v>1659</v>
      </c>
      <c r="AL368" s="4">
        <v>44125</v>
      </c>
      <c r="AM368" s="3"/>
      <c r="AN368" s="3" t="s">
        <v>1660</v>
      </c>
    </row>
    <row r="369" spans="1:40" x14ac:dyDescent="0.3">
      <c r="A369" s="3">
        <v>363</v>
      </c>
      <c r="B369" s="3" t="str">
        <f>"201600150579"</f>
        <v>201600150579</v>
      </c>
      <c r="C369" s="3">
        <v>124448</v>
      </c>
      <c r="D369" s="3" t="s">
        <v>1661</v>
      </c>
      <c r="E369" s="3">
        <v>20478005289</v>
      </c>
      <c r="F369" s="3" t="s">
        <v>1577</v>
      </c>
      <c r="G369" s="3" t="s">
        <v>1662</v>
      </c>
      <c r="H369" s="3" t="s">
        <v>216</v>
      </c>
      <c r="I369" s="3" t="s">
        <v>216</v>
      </c>
      <c r="J369" s="3" t="s">
        <v>216</v>
      </c>
      <c r="K369" s="3" t="s">
        <v>1663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 t="s">
        <v>1162</v>
      </c>
      <c r="AL369" s="4">
        <v>42657</v>
      </c>
      <c r="AM369" s="3"/>
      <c r="AN369" s="3" t="s">
        <v>372</v>
      </c>
    </row>
    <row r="370" spans="1:40" x14ac:dyDescent="0.3">
      <c r="A370" s="3">
        <v>364</v>
      </c>
      <c r="B370" s="3" t="str">
        <f>"1599710"</f>
        <v>1599710</v>
      </c>
      <c r="C370" s="3">
        <v>36268</v>
      </c>
      <c r="D370" s="3" t="s">
        <v>1664</v>
      </c>
      <c r="E370" s="3">
        <v>10076797507</v>
      </c>
      <c r="F370" s="3" t="s">
        <v>1665</v>
      </c>
      <c r="G370" s="3" t="s">
        <v>1666</v>
      </c>
      <c r="H370" s="3" t="s">
        <v>56</v>
      </c>
      <c r="I370" s="3" t="s">
        <v>56</v>
      </c>
      <c r="J370" s="3" t="s">
        <v>715</v>
      </c>
      <c r="K370" s="3" t="s">
        <v>1667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 t="s">
        <v>1668</v>
      </c>
      <c r="AL370" s="4">
        <v>38817</v>
      </c>
      <c r="AM370" s="3"/>
      <c r="AN370" s="3"/>
    </row>
    <row r="371" spans="1:40" x14ac:dyDescent="0.3">
      <c r="A371" s="3">
        <v>365</v>
      </c>
      <c r="B371" s="3" t="str">
        <f>"201300160137"</f>
        <v>201300160137</v>
      </c>
      <c r="C371" s="3">
        <v>105499</v>
      </c>
      <c r="D371" s="3" t="s">
        <v>1669</v>
      </c>
      <c r="E371" s="3">
        <v>20549264413</v>
      </c>
      <c r="F371" s="3" t="s">
        <v>287</v>
      </c>
      <c r="G371" s="3" t="s">
        <v>288</v>
      </c>
      <c r="H371" s="3" t="s">
        <v>56</v>
      </c>
      <c r="I371" s="3" t="s">
        <v>56</v>
      </c>
      <c r="J371" s="3" t="s">
        <v>105</v>
      </c>
      <c r="K371" s="3" t="s">
        <v>1670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 t="s">
        <v>1601</v>
      </c>
      <c r="AL371" s="3" t="s">
        <v>290</v>
      </c>
      <c r="AM371" s="3"/>
      <c r="AN371" s="3" t="s">
        <v>291</v>
      </c>
    </row>
    <row r="372" spans="1:40" x14ac:dyDescent="0.3">
      <c r="A372" s="3">
        <v>366</v>
      </c>
      <c r="B372" s="3" t="str">
        <f>"1479787"</f>
        <v>1479787</v>
      </c>
      <c r="C372" s="3">
        <v>39647</v>
      </c>
      <c r="D372" s="3" t="s">
        <v>1671</v>
      </c>
      <c r="E372" s="3">
        <v>20100007348</v>
      </c>
      <c r="F372" s="3" t="s">
        <v>929</v>
      </c>
      <c r="G372" s="3" t="s">
        <v>1672</v>
      </c>
      <c r="H372" s="3" t="s">
        <v>56</v>
      </c>
      <c r="I372" s="3" t="s">
        <v>56</v>
      </c>
      <c r="J372" s="3" t="s">
        <v>432</v>
      </c>
      <c r="K372" s="3" t="s">
        <v>1673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 t="s">
        <v>419</v>
      </c>
      <c r="AL372" s="4">
        <v>38215</v>
      </c>
      <c r="AM372" s="3"/>
      <c r="AN372" s="3"/>
    </row>
    <row r="373" spans="1:40" x14ac:dyDescent="0.3">
      <c r="A373" s="3">
        <v>367</v>
      </c>
      <c r="B373" s="3" t="str">
        <f>"201800065848"</f>
        <v>201800065848</v>
      </c>
      <c r="C373" s="3">
        <v>135771</v>
      </c>
      <c r="D373" s="3" t="s">
        <v>1674</v>
      </c>
      <c r="E373" s="3">
        <v>10078946461</v>
      </c>
      <c r="F373" s="3" t="s">
        <v>1675</v>
      </c>
      <c r="G373" s="3" t="s">
        <v>1676</v>
      </c>
      <c r="H373" s="3" t="s">
        <v>56</v>
      </c>
      <c r="I373" s="3" t="s">
        <v>56</v>
      </c>
      <c r="J373" s="3" t="s">
        <v>1677</v>
      </c>
      <c r="K373" s="3" t="s">
        <v>1678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 t="s">
        <v>1679</v>
      </c>
      <c r="AL373" s="4">
        <v>43215</v>
      </c>
      <c r="AM373" s="3"/>
      <c r="AN373" s="3" t="s">
        <v>1675</v>
      </c>
    </row>
    <row r="374" spans="1:40" x14ac:dyDescent="0.3">
      <c r="A374" s="3">
        <v>368</v>
      </c>
      <c r="B374" s="3" t="str">
        <f>"201900026104"</f>
        <v>201900026104</v>
      </c>
      <c r="C374" s="3">
        <v>141414</v>
      </c>
      <c r="D374" s="3" t="s">
        <v>1680</v>
      </c>
      <c r="E374" s="3">
        <v>20602829937</v>
      </c>
      <c r="F374" s="3" t="s">
        <v>1681</v>
      </c>
      <c r="G374" s="3" t="s">
        <v>1682</v>
      </c>
      <c r="H374" s="3" t="s">
        <v>97</v>
      </c>
      <c r="I374" s="3" t="s">
        <v>97</v>
      </c>
      <c r="J374" s="3" t="s">
        <v>1459</v>
      </c>
      <c r="K374" s="3" t="s">
        <v>1683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 t="s">
        <v>1684</v>
      </c>
      <c r="AL374" s="4">
        <v>43518</v>
      </c>
      <c r="AM374" s="3"/>
      <c r="AN374" s="3" t="s">
        <v>1685</v>
      </c>
    </row>
    <row r="375" spans="1:40" x14ac:dyDescent="0.3">
      <c r="A375" s="3">
        <v>369</v>
      </c>
      <c r="B375" s="3" t="str">
        <f>"201700036192"</f>
        <v>201700036192</v>
      </c>
      <c r="C375" s="3">
        <v>98151</v>
      </c>
      <c r="D375" s="3" t="s">
        <v>1686</v>
      </c>
      <c r="E375" s="3">
        <v>20525521509</v>
      </c>
      <c r="F375" s="3" t="s">
        <v>1687</v>
      </c>
      <c r="G375" s="3" t="s">
        <v>889</v>
      </c>
      <c r="H375" s="3" t="s">
        <v>50</v>
      </c>
      <c r="I375" s="3" t="s">
        <v>50</v>
      </c>
      <c r="J375" s="3" t="s">
        <v>50</v>
      </c>
      <c r="K375" s="3" t="s">
        <v>1688</v>
      </c>
      <c r="L375" s="3" t="s">
        <v>891</v>
      </c>
      <c r="M375" s="3" t="s">
        <v>880</v>
      </c>
      <c r="N375" s="3" t="s">
        <v>879</v>
      </c>
      <c r="O375" s="3" t="s">
        <v>881</v>
      </c>
      <c r="P375" s="3" t="s">
        <v>882</v>
      </c>
      <c r="Q375" s="3" t="s">
        <v>883</v>
      </c>
      <c r="R375" s="3" t="s">
        <v>876</v>
      </c>
      <c r="S375" s="3" t="s">
        <v>878</v>
      </c>
      <c r="T375" s="3" t="s">
        <v>877</v>
      </c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 t="s">
        <v>470</v>
      </c>
      <c r="AL375" s="4">
        <v>42811</v>
      </c>
      <c r="AM375" s="3"/>
      <c r="AN375" s="3" t="s">
        <v>885</v>
      </c>
    </row>
    <row r="376" spans="1:40" ht="27.95" x14ac:dyDescent="0.3">
      <c r="A376" s="3">
        <v>370</v>
      </c>
      <c r="B376" s="3" t="str">
        <f>"201600150571"</f>
        <v>201600150571</v>
      </c>
      <c r="C376" s="3">
        <v>124457</v>
      </c>
      <c r="D376" s="3" t="s">
        <v>1689</v>
      </c>
      <c r="E376" s="3">
        <v>20478005289</v>
      </c>
      <c r="F376" s="3" t="s">
        <v>1570</v>
      </c>
      <c r="G376" s="3" t="s">
        <v>1571</v>
      </c>
      <c r="H376" s="3" t="s">
        <v>56</v>
      </c>
      <c r="I376" s="3" t="s">
        <v>56</v>
      </c>
      <c r="J376" s="3" t="s">
        <v>363</v>
      </c>
      <c r="K376" s="3" t="s">
        <v>1690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 t="s">
        <v>1573</v>
      </c>
      <c r="AL376" s="4">
        <v>42657</v>
      </c>
      <c r="AM376" s="3"/>
      <c r="AN376" s="3" t="s">
        <v>372</v>
      </c>
    </row>
    <row r="377" spans="1:40" ht="27.95" x14ac:dyDescent="0.3">
      <c r="A377" s="3">
        <v>371</v>
      </c>
      <c r="B377" s="3" t="str">
        <f>"1457020"</f>
        <v>1457020</v>
      </c>
      <c r="C377" s="3">
        <v>35139</v>
      </c>
      <c r="D377" s="3" t="s">
        <v>1691</v>
      </c>
      <c r="E377" s="3">
        <v>10258065439</v>
      </c>
      <c r="F377" s="3" t="s">
        <v>1692</v>
      </c>
      <c r="G377" s="3" t="s">
        <v>1693</v>
      </c>
      <c r="H377" s="3" t="s">
        <v>75</v>
      </c>
      <c r="I377" s="3" t="s">
        <v>75</v>
      </c>
      <c r="J377" s="3" t="s">
        <v>76</v>
      </c>
      <c r="K377" s="3" t="s">
        <v>1694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 t="s">
        <v>81</v>
      </c>
      <c r="AL377" s="4">
        <v>38061</v>
      </c>
      <c r="AM377" s="3"/>
      <c r="AN377" s="3"/>
    </row>
    <row r="378" spans="1:40" ht="27.95" x14ac:dyDescent="0.3">
      <c r="A378" s="3">
        <v>372</v>
      </c>
      <c r="B378" s="3" t="str">
        <f>"201700081619"</f>
        <v>201700081619</v>
      </c>
      <c r="C378" s="3">
        <v>91302</v>
      </c>
      <c r="D378" s="3" t="s">
        <v>1695</v>
      </c>
      <c r="E378" s="3">
        <v>20160364719</v>
      </c>
      <c r="F378" s="3" t="s">
        <v>129</v>
      </c>
      <c r="G378" s="3" t="s">
        <v>1696</v>
      </c>
      <c r="H378" s="3" t="s">
        <v>56</v>
      </c>
      <c r="I378" s="3" t="s">
        <v>56</v>
      </c>
      <c r="J378" s="3" t="s">
        <v>131</v>
      </c>
      <c r="K378" s="3" t="s">
        <v>1697</v>
      </c>
      <c r="L378" s="3" t="s">
        <v>135</v>
      </c>
      <c r="M378" s="3" t="s">
        <v>136</v>
      </c>
      <c r="N378" s="3" t="s">
        <v>137</v>
      </c>
      <c r="O378" s="3" t="s">
        <v>138</v>
      </c>
      <c r="P378" s="3" t="s">
        <v>133</v>
      </c>
      <c r="Q378" s="3" t="s">
        <v>134</v>
      </c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 t="s">
        <v>139</v>
      </c>
      <c r="AL378" s="4">
        <v>42895</v>
      </c>
      <c r="AM378" s="3"/>
      <c r="AN378" s="3" t="s">
        <v>140</v>
      </c>
    </row>
    <row r="379" spans="1:40" x14ac:dyDescent="0.3">
      <c r="A379" s="3">
        <v>373</v>
      </c>
      <c r="B379" s="3" t="str">
        <f>"201700036187"</f>
        <v>201700036187</v>
      </c>
      <c r="C379" s="3">
        <v>122399</v>
      </c>
      <c r="D379" s="3" t="s">
        <v>1698</v>
      </c>
      <c r="E379" s="3">
        <v>20525521509</v>
      </c>
      <c r="F379" s="3" t="s">
        <v>189</v>
      </c>
      <c r="G379" s="3" t="s">
        <v>874</v>
      </c>
      <c r="H379" s="3" t="s">
        <v>50</v>
      </c>
      <c r="I379" s="3" t="s">
        <v>50</v>
      </c>
      <c r="J379" s="3" t="s">
        <v>50</v>
      </c>
      <c r="K379" s="3" t="s">
        <v>1699</v>
      </c>
      <c r="L379" s="3" t="s">
        <v>878</v>
      </c>
      <c r="M379" s="3" t="s">
        <v>879</v>
      </c>
      <c r="N379" s="3" t="s">
        <v>876</v>
      </c>
      <c r="O379" s="3" t="s">
        <v>880</v>
      </c>
      <c r="P379" s="3" t="s">
        <v>881</v>
      </c>
      <c r="Q379" s="3" t="s">
        <v>882</v>
      </c>
      <c r="R379" s="3" t="s">
        <v>883</v>
      </c>
      <c r="S379" s="3" t="s">
        <v>884</v>
      </c>
      <c r="T379" s="3" t="s">
        <v>877</v>
      </c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 t="s">
        <v>470</v>
      </c>
      <c r="AL379" s="4">
        <v>42814</v>
      </c>
      <c r="AM379" s="3"/>
      <c r="AN379" s="3" t="s">
        <v>193</v>
      </c>
    </row>
    <row r="380" spans="1:40" x14ac:dyDescent="0.3">
      <c r="A380" s="3">
        <v>374</v>
      </c>
      <c r="B380" s="3" t="str">
        <f>"202000072297"</f>
        <v>202000072297</v>
      </c>
      <c r="C380" s="3">
        <v>149770</v>
      </c>
      <c r="D380" s="3" t="s">
        <v>1700</v>
      </c>
      <c r="E380" s="3">
        <v>20404723392</v>
      </c>
      <c r="F380" s="3" t="s">
        <v>1701</v>
      </c>
      <c r="G380" s="3" t="s">
        <v>1702</v>
      </c>
      <c r="H380" s="3" t="s">
        <v>89</v>
      </c>
      <c r="I380" s="3" t="s">
        <v>89</v>
      </c>
      <c r="J380" s="3" t="s">
        <v>89</v>
      </c>
      <c r="K380" s="3" t="s">
        <v>1703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 t="s">
        <v>1704</v>
      </c>
      <c r="AL380" s="4">
        <v>44012</v>
      </c>
      <c r="AM380" s="3"/>
      <c r="AN380" s="3" t="s">
        <v>1705</v>
      </c>
    </row>
    <row r="381" spans="1:40" x14ac:dyDescent="0.3">
      <c r="A381" s="3">
        <v>375</v>
      </c>
      <c r="B381" s="3" t="str">
        <f>"1111051"</f>
        <v>1111051</v>
      </c>
      <c r="C381" s="3">
        <v>3553</v>
      </c>
      <c r="D381" s="3">
        <v>1111051</v>
      </c>
      <c r="E381" s="3">
        <v>10067282324</v>
      </c>
      <c r="F381" s="3" t="s">
        <v>1706</v>
      </c>
      <c r="G381" s="3" t="s">
        <v>1707</v>
      </c>
      <c r="H381" s="3" t="s">
        <v>56</v>
      </c>
      <c r="I381" s="3" t="s">
        <v>56</v>
      </c>
      <c r="J381" s="3" t="s">
        <v>1339</v>
      </c>
      <c r="K381" s="3" t="s">
        <v>1708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 t="s">
        <v>65</v>
      </c>
      <c r="AL381" s="4">
        <v>35520</v>
      </c>
      <c r="AM381" s="3"/>
      <c r="AN381" s="3"/>
    </row>
    <row r="382" spans="1:40" x14ac:dyDescent="0.3">
      <c r="A382" s="3">
        <v>376</v>
      </c>
      <c r="B382" s="3" t="str">
        <f>"1676800"</f>
        <v>1676800</v>
      </c>
      <c r="C382" s="3">
        <v>43293</v>
      </c>
      <c r="D382" s="3" t="s">
        <v>1709</v>
      </c>
      <c r="E382" s="3">
        <v>20454210230</v>
      </c>
      <c r="F382" s="3" t="s">
        <v>1710</v>
      </c>
      <c r="G382" s="3" t="s">
        <v>1711</v>
      </c>
      <c r="H382" s="3" t="s">
        <v>97</v>
      </c>
      <c r="I382" s="3" t="s">
        <v>97</v>
      </c>
      <c r="J382" s="3" t="s">
        <v>341</v>
      </c>
      <c r="K382" s="3" t="s">
        <v>1712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 t="s">
        <v>1713</v>
      </c>
      <c r="AL382" s="4">
        <v>39143</v>
      </c>
      <c r="AM382" s="3"/>
      <c r="AN382" s="3"/>
    </row>
    <row r="383" spans="1:40" x14ac:dyDescent="0.3">
      <c r="A383" s="3">
        <v>377</v>
      </c>
      <c r="B383" s="3" t="str">
        <f>"201600085825"</f>
        <v>201600085825</v>
      </c>
      <c r="C383" s="3">
        <v>121978</v>
      </c>
      <c r="D383" s="3" t="s">
        <v>1714</v>
      </c>
      <c r="E383" s="3">
        <v>20510976887</v>
      </c>
      <c r="F383" s="3" t="s">
        <v>667</v>
      </c>
      <c r="G383" s="3" t="s">
        <v>668</v>
      </c>
      <c r="H383" s="3" t="s">
        <v>56</v>
      </c>
      <c r="I383" s="3" t="s">
        <v>56</v>
      </c>
      <c r="J383" s="3" t="s">
        <v>131</v>
      </c>
      <c r="K383" s="3" t="s">
        <v>1715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 t="s">
        <v>670</v>
      </c>
      <c r="AL383" s="4">
        <v>42538</v>
      </c>
      <c r="AM383" s="3"/>
      <c r="AN383" s="3" t="s">
        <v>671</v>
      </c>
    </row>
    <row r="384" spans="1:40" x14ac:dyDescent="0.3">
      <c r="A384" s="3">
        <v>378</v>
      </c>
      <c r="B384" s="3" t="str">
        <f>"201400010549"</f>
        <v>201400010549</v>
      </c>
      <c r="C384" s="3">
        <v>84269</v>
      </c>
      <c r="D384" s="3" t="s">
        <v>1716</v>
      </c>
      <c r="E384" s="3">
        <v>20542206188</v>
      </c>
      <c r="F384" s="3" t="s">
        <v>1717</v>
      </c>
      <c r="G384" s="3" t="s">
        <v>1718</v>
      </c>
      <c r="H384" s="3" t="s">
        <v>172</v>
      </c>
      <c r="I384" s="3" t="s">
        <v>172</v>
      </c>
      <c r="J384" s="3" t="s">
        <v>1719</v>
      </c>
      <c r="K384" s="3" t="s">
        <v>1720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 t="s">
        <v>1721</v>
      </c>
      <c r="AL384" s="4">
        <v>41677</v>
      </c>
      <c r="AM384" s="3"/>
      <c r="AN384" s="3" t="s">
        <v>1722</v>
      </c>
    </row>
    <row r="385" spans="1:40" ht="27.95" x14ac:dyDescent="0.3">
      <c r="A385" s="3">
        <v>379</v>
      </c>
      <c r="B385" s="3" t="str">
        <f>"1761264"</f>
        <v>1761264</v>
      </c>
      <c r="C385" s="3">
        <v>60729</v>
      </c>
      <c r="D385" s="3" t="s">
        <v>1723</v>
      </c>
      <c r="E385" s="3">
        <v>20453883524</v>
      </c>
      <c r="F385" s="3" t="s">
        <v>1724</v>
      </c>
      <c r="G385" s="3" t="s">
        <v>1725</v>
      </c>
      <c r="H385" s="3" t="s">
        <v>97</v>
      </c>
      <c r="I385" s="3" t="s">
        <v>97</v>
      </c>
      <c r="J385" s="3" t="s">
        <v>144</v>
      </c>
      <c r="K385" s="3" t="s">
        <v>1726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 t="s">
        <v>1727</v>
      </c>
      <c r="AL385" s="4">
        <v>39486</v>
      </c>
      <c r="AM385" s="3"/>
      <c r="AN385" s="3"/>
    </row>
    <row r="386" spans="1:40" x14ac:dyDescent="0.3">
      <c r="A386" s="3">
        <v>380</v>
      </c>
      <c r="B386" s="3" t="str">
        <f>"1432037"</f>
        <v>1432037</v>
      </c>
      <c r="C386" s="3">
        <v>33314</v>
      </c>
      <c r="D386" s="3" t="s">
        <v>1728</v>
      </c>
      <c r="E386" s="3">
        <v>10296682018</v>
      </c>
      <c r="F386" s="3" t="s">
        <v>1729</v>
      </c>
      <c r="G386" s="3" t="s">
        <v>1730</v>
      </c>
      <c r="H386" s="3" t="s">
        <v>97</v>
      </c>
      <c r="I386" s="3" t="s">
        <v>97</v>
      </c>
      <c r="J386" s="3" t="s">
        <v>341</v>
      </c>
      <c r="K386" s="3" t="s">
        <v>1731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 t="s">
        <v>81</v>
      </c>
      <c r="AL386" s="4">
        <v>37889</v>
      </c>
      <c r="AM386" s="3"/>
      <c r="AN386" s="3"/>
    </row>
    <row r="387" spans="1:40" x14ac:dyDescent="0.3">
      <c r="A387" s="3">
        <v>381</v>
      </c>
      <c r="B387" s="3" t="str">
        <f>"201700076275"</f>
        <v>201700076275</v>
      </c>
      <c r="C387" s="3">
        <v>128612</v>
      </c>
      <c r="D387" s="3" t="s">
        <v>1732</v>
      </c>
      <c r="E387" s="3">
        <v>20449403453</v>
      </c>
      <c r="F387" s="3" t="s">
        <v>1007</v>
      </c>
      <c r="G387" s="3" t="s">
        <v>1733</v>
      </c>
      <c r="H387" s="3" t="s">
        <v>56</v>
      </c>
      <c r="I387" s="3" t="s">
        <v>56</v>
      </c>
      <c r="J387" s="3" t="s">
        <v>313</v>
      </c>
      <c r="K387" s="3" t="s">
        <v>1734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 t="s">
        <v>986</v>
      </c>
      <c r="AL387" s="4">
        <v>42880</v>
      </c>
      <c r="AM387" s="3"/>
      <c r="AN387" s="3" t="s">
        <v>615</v>
      </c>
    </row>
    <row r="388" spans="1:40" x14ac:dyDescent="0.3">
      <c r="A388" s="3">
        <v>382</v>
      </c>
      <c r="B388" s="3" t="str">
        <f>"201600077406"</f>
        <v>201600077406</v>
      </c>
      <c r="C388" s="3">
        <v>96347</v>
      </c>
      <c r="D388" s="3" t="s">
        <v>1735</v>
      </c>
      <c r="E388" s="3">
        <v>20100366747</v>
      </c>
      <c r="F388" s="3" t="s">
        <v>258</v>
      </c>
      <c r="G388" s="3" t="s">
        <v>259</v>
      </c>
      <c r="H388" s="3" t="s">
        <v>56</v>
      </c>
      <c r="I388" s="3" t="s">
        <v>56</v>
      </c>
      <c r="J388" s="3" t="s">
        <v>185</v>
      </c>
      <c r="K388" s="3" t="s">
        <v>1736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 t="s">
        <v>261</v>
      </c>
      <c r="AL388" s="4">
        <v>42529</v>
      </c>
      <c r="AM388" s="3"/>
      <c r="AN388" s="3" t="s">
        <v>1375</v>
      </c>
    </row>
    <row r="389" spans="1:40" x14ac:dyDescent="0.3">
      <c r="A389" s="3">
        <v>383</v>
      </c>
      <c r="B389" s="3" t="str">
        <f>"1111067"</f>
        <v>1111067</v>
      </c>
      <c r="C389" s="3">
        <v>2679</v>
      </c>
      <c r="D389" s="3">
        <v>1070208</v>
      </c>
      <c r="E389" s="3">
        <v>20100572649</v>
      </c>
      <c r="F389" s="3" t="s">
        <v>1316</v>
      </c>
      <c r="G389" s="3" t="s">
        <v>1528</v>
      </c>
      <c r="H389" s="3" t="s">
        <v>56</v>
      </c>
      <c r="I389" s="3" t="s">
        <v>56</v>
      </c>
      <c r="J389" s="3" t="s">
        <v>56</v>
      </c>
      <c r="K389" s="3" t="s">
        <v>1737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 t="s">
        <v>851</v>
      </c>
      <c r="AL389" s="4">
        <v>35495</v>
      </c>
      <c r="AM389" s="3"/>
      <c r="AN389" s="3"/>
    </row>
    <row r="390" spans="1:40" x14ac:dyDescent="0.3">
      <c r="A390" s="3">
        <v>384</v>
      </c>
      <c r="B390" s="3" t="str">
        <f>"201300160129"</f>
        <v>201300160129</v>
      </c>
      <c r="C390" s="3">
        <v>105497</v>
      </c>
      <c r="D390" s="3" t="s">
        <v>1738</v>
      </c>
      <c r="E390" s="3">
        <v>20349264413</v>
      </c>
      <c r="F390" s="3" t="s">
        <v>287</v>
      </c>
      <c r="G390" s="3" t="s">
        <v>288</v>
      </c>
      <c r="H390" s="3" t="s">
        <v>56</v>
      </c>
      <c r="I390" s="3" t="s">
        <v>56</v>
      </c>
      <c r="J390" s="3" t="s">
        <v>105</v>
      </c>
      <c r="K390" s="3" t="s">
        <v>1739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 t="s">
        <v>504</v>
      </c>
      <c r="AL390" s="3" t="s">
        <v>290</v>
      </c>
      <c r="AM390" s="3"/>
      <c r="AN390" s="3" t="s">
        <v>291</v>
      </c>
    </row>
    <row r="391" spans="1:40" x14ac:dyDescent="0.3">
      <c r="A391" s="3">
        <v>385</v>
      </c>
      <c r="B391" s="3" t="str">
        <f>"201100153433"</f>
        <v>201100153433</v>
      </c>
      <c r="C391" s="3">
        <v>18110</v>
      </c>
      <c r="D391" s="3" t="s">
        <v>1740</v>
      </c>
      <c r="E391" s="3">
        <v>20507312277</v>
      </c>
      <c r="F391" s="3" t="s">
        <v>1741</v>
      </c>
      <c r="G391" s="3" t="s">
        <v>1416</v>
      </c>
      <c r="H391" s="3" t="s">
        <v>318</v>
      </c>
      <c r="I391" s="3" t="s">
        <v>319</v>
      </c>
      <c r="J391" s="3" t="s">
        <v>319</v>
      </c>
      <c r="K391" s="3" t="s">
        <v>1742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 t="s">
        <v>81</v>
      </c>
      <c r="AL391" s="4">
        <v>40884</v>
      </c>
      <c r="AM391" s="3"/>
      <c r="AN391" s="3" t="s">
        <v>1743</v>
      </c>
    </row>
    <row r="392" spans="1:40" x14ac:dyDescent="0.3">
      <c r="A392" s="3">
        <v>386</v>
      </c>
      <c r="B392" s="3" t="str">
        <f>"201600085835"</f>
        <v>201600085835</v>
      </c>
      <c r="C392" s="3">
        <v>121979</v>
      </c>
      <c r="D392" s="3" t="s">
        <v>1744</v>
      </c>
      <c r="E392" s="3">
        <v>20510976887</v>
      </c>
      <c r="F392" s="3" t="s">
        <v>667</v>
      </c>
      <c r="G392" s="3" t="s">
        <v>668</v>
      </c>
      <c r="H392" s="3" t="s">
        <v>56</v>
      </c>
      <c r="I392" s="3" t="s">
        <v>56</v>
      </c>
      <c r="J392" s="3" t="s">
        <v>131</v>
      </c>
      <c r="K392" s="3" t="s">
        <v>1745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 t="s">
        <v>670</v>
      </c>
      <c r="AL392" s="4">
        <v>42538</v>
      </c>
      <c r="AM392" s="3"/>
      <c r="AN392" s="3" t="s">
        <v>671</v>
      </c>
    </row>
    <row r="393" spans="1:40" x14ac:dyDescent="0.3">
      <c r="A393" s="3">
        <v>387</v>
      </c>
      <c r="B393" s="3" t="str">
        <f>"1887664"</f>
        <v>1887664</v>
      </c>
      <c r="C393" s="3">
        <v>83225</v>
      </c>
      <c r="D393" s="3" t="s">
        <v>1746</v>
      </c>
      <c r="E393" s="3">
        <v>10061827183</v>
      </c>
      <c r="F393" s="3" t="s">
        <v>1747</v>
      </c>
      <c r="G393" s="3" t="s">
        <v>1748</v>
      </c>
      <c r="H393" s="3" t="s">
        <v>386</v>
      </c>
      <c r="I393" s="3" t="s">
        <v>387</v>
      </c>
      <c r="J393" s="3" t="s">
        <v>388</v>
      </c>
      <c r="K393" s="3" t="s">
        <v>1749</v>
      </c>
      <c r="L393" s="3" t="s">
        <v>1750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 t="s">
        <v>1751</v>
      </c>
      <c r="AL393" s="4">
        <v>39955</v>
      </c>
      <c r="AM393" s="3"/>
      <c r="AN393" s="3"/>
    </row>
    <row r="394" spans="1:40" ht="27.95" x14ac:dyDescent="0.3">
      <c r="A394" s="3">
        <v>388</v>
      </c>
      <c r="B394" s="3" t="str">
        <f>"201500052098"</f>
        <v>201500052098</v>
      </c>
      <c r="C394" s="3">
        <v>114695</v>
      </c>
      <c r="D394" s="3" t="s">
        <v>1752</v>
      </c>
      <c r="E394" s="3">
        <v>20389099164</v>
      </c>
      <c r="F394" s="3" t="s">
        <v>1511</v>
      </c>
      <c r="G394" s="3" t="s">
        <v>1512</v>
      </c>
      <c r="H394" s="3" t="s">
        <v>56</v>
      </c>
      <c r="I394" s="3" t="s">
        <v>56</v>
      </c>
      <c r="J394" s="3" t="s">
        <v>363</v>
      </c>
      <c r="K394" s="3" t="s">
        <v>1753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 t="s">
        <v>1514</v>
      </c>
      <c r="AL394" s="4">
        <v>42131</v>
      </c>
      <c r="AM394" s="3"/>
      <c r="AN394" s="3" t="s">
        <v>1231</v>
      </c>
    </row>
    <row r="395" spans="1:40" x14ac:dyDescent="0.3">
      <c r="A395" s="3">
        <v>389</v>
      </c>
      <c r="B395" s="3" t="str">
        <f>"201800187384"</f>
        <v>201800187384</v>
      </c>
      <c r="C395" s="3">
        <v>139600</v>
      </c>
      <c r="D395" s="3" t="s">
        <v>1754</v>
      </c>
      <c r="E395" s="3">
        <v>20480024711</v>
      </c>
      <c r="F395" s="3" t="s">
        <v>1755</v>
      </c>
      <c r="G395" s="3" t="s">
        <v>1756</v>
      </c>
      <c r="H395" s="3" t="s">
        <v>587</v>
      </c>
      <c r="I395" s="3" t="s">
        <v>588</v>
      </c>
      <c r="J395" s="3" t="s">
        <v>588</v>
      </c>
      <c r="K395" s="3" t="s">
        <v>1757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 t="s">
        <v>1758</v>
      </c>
      <c r="AL395" s="4">
        <v>43432</v>
      </c>
      <c r="AM395" s="3"/>
      <c r="AN395" s="3" t="s">
        <v>1759</v>
      </c>
    </row>
    <row r="396" spans="1:40" ht="27.95" x14ac:dyDescent="0.3">
      <c r="A396" s="3">
        <v>390</v>
      </c>
      <c r="B396" s="3" t="str">
        <f>"201500052094"</f>
        <v>201500052094</v>
      </c>
      <c r="C396" s="3">
        <v>114698</v>
      </c>
      <c r="D396" s="3" t="s">
        <v>1760</v>
      </c>
      <c r="E396" s="3">
        <v>20389099164</v>
      </c>
      <c r="F396" s="3" t="s">
        <v>1227</v>
      </c>
      <c r="G396" s="3" t="s">
        <v>1512</v>
      </c>
      <c r="H396" s="3" t="s">
        <v>56</v>
      </c>
      <c r="I396" s="3" t="s">
        <v>56</v>
      </c>
      <c r="J396" s="3" t="s">
        <v>363</v>
      </c>
      <c r="K396" s="3" t="s">
        <v>1761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 t="s">
        <v>1514</v>
      </c>
      <c r="AL396" s="4">
        <v>42131</v>
      </c>
      <c r="AM396" s="3"/>
      <c r="AN396" s="3" t="s">
        <v>1231</v>
      </c>
    </row>
    <row r="397" spans="1:40" x14ac:dyDescent="0.3">
      <c r="A397" s="3">
        <v>391</v>
      </c>
      <c r="B397" s="3" t="str">
        <f>"201700119412"</f>
        <v>201700119412</v>
      </c>
      <c r="C397" s="3">
        <v>130805</v>
      </c>
      <c r="D397" s="3" t="s">
        <v>1762</v>
      </c>
      <c r="E397" s="3">
        <v>20502846206</v>
      </c>
      <c r="F397" s="3" t="s">
        <v>1174</v>
      </c>
      <c r="G397" s="3" t="s">
        <v>1175</v>
      </c>
      <c r="H397" s="3" t="s">
        <v>56</v>
      </c>
      <c r="I397" s="3" t="s">
        <v>56</v>
      </c>
      <c r="J397" s="3" t="s">
        <v>715</v>
      </c>
      <c r="K397" s="3" t="s">
        <v>1763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 t="s">
        <v>473</v>
      </c>
      <c r="AL397" s="4">
        <v>42961</v>
      </c>
      <c r="AM397" s="3"/>
      <c r="AN397" s="3" t="s">
        <v>1177</v>
      </c>
    </row>
    <row r="398" spans="1:40" x14ac:dyDescent="0.3">
      <c r="A398" s="3">
        <v>392</v>
      </c>
      <c r="B398" s="3" t="str">
        <f>"201700155541"</f>
        <v>201700155541</v>
      </c>
      <c r="C398" s="3">
        <v>130818</v>
      </c>
      <c r="D398" s="3" t="s">
        <v>1764</v>
      </c>
      <c r="E398" s="3">
        <v>20602420176</v>
      </c>
      <c r="F398" s="3" t="s">
        <v>1765</v>
      </c>
      <c r="G398" s="3" t="s">
        <v>1766</v>
      </c>
      <c r="H398" s="3" t="s">
        <v>318</v>
      </c>
      <c r="I398" s="3" t="s">
        <v>319</v>
      </c>
      <c r="J398" s="3" t="s">
        <v>495</v>
      </c>
      <c r="K398" s="3" t="s">
        <v>1767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 t="s">
        <v>1768</v>
      </c>
      <c r="AL398" s="4">
        <v>43013</v>
      </c>
      <c r="AM398" s="3"/>
      <c r="AN398" s="3" t="s">
        <v>1081</v>
      </c>
    </row>
    <row r="399" spans="1:40" x14ac:dyDescent="0.3">
      <c r="A399" s="3">
        <v>393</v>
      </c>
      <c r="B399" s="3" t="str">
        <f>"201300125015"</f>
        <v>201300125015</v>
      </c>
      <c r="C399" s="3">
        <v>104336</v>
      </c>
      <c r="D399" s="3" t="s">
        <v>1769</v>
      </c>
      <c r="E399" s="3">
        <v>20543992942</v>
      </c>
      <c r="F399" s="3" t="s">
        <v>540</v>
      </c>
      <c r="G399" s="3" t="s">
        <v>541</v>
      </c>
      <c r="H399" s="3" t="s">
        <v>56</v>
      </c>
      <c r="I399" s="3" t="s">
        <v>56</v>
      </c>
      <c r="J399" s="3" t="s">
        <v>380</v>
      </c>
      <c r="K399" s="3" t="s">
        <v>1770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 t="s">
        <v>813</v>
      </c>
      <c r="AL399" s="4">
        <v>41488</v>
      </c>
      <c r="AM399" s="3"/>
      <c r="AN399" s="3" t="s">
        <v>543</v>
      </c>
    </row>
    <row r="400" spans="1:40" x14ac:dyDescent="0.3">
      <c r="A400" s="3">
        <v>394</v>
      </c>
      <c r="B400" s="3" t="str">
        <f>"1713406"</f>
        <v>1713406</v>
      </c>
      <c r="C400" s="3">
        <v>61016</v>
      </c>
      <c r="D400" s="3" t="s">
        <v>1771</v>
      </c>
      <c r="E400" s="3">
        <v>20350428225</v>
      </c>
      <c r="F400" s="3" t="s">
        <v>1772</v>
      </c>
      <c r="G400" s="3" t="s">
        <v>1773</v>
      </c>
      <c r="H400" s="3" t="s">
        <v>446</v>
      </c>
      <c r="I400" s="3" t="s">
        <v>446</v>
      </c>
      <c r="J400" s="3" t="s">
        <v>447</v>
      </c>
      <c r="K400" s="3" t="s">
        <v>1774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 t="s">
        <v>1297</v>
      </c>
      <c r="AL400" s="4">
        <v>39303</v>
      </c>
      <c r="AM400" s="3"/>
      <c r="AN400" s="3"/>
    </row>
    <row r="401" spans="1:40" x14ac:dyDescent="0.3">
      <c r="A401" s="3">
        <v>395</v>
      </c>
      <c r="B401" s="3" t="str">
        <f>"201700093868"</f>
        <v>201700093868</v>
      </c>
      <c r="C401" s="3">
        <v>62496</v>
      </c>
      <c r="D401" s="3" t="s">
        <v>1775</v>
      </c>
      <c r="E401" s="3">
        <v>20565208561</v>
      </c>
      <c r="F401" s="3" t="s">
        <v>1776</v>
      </c>
      <c r="G401" s="3" t="s">
        <v>1777</v>
      </c>
      <c r="H401" s="3" t="s">
        <v>56</v>
      </c>
      <c r="I401" s="3" t="s">
        <v>56</v>
      </c>
      <c r="J401" s="3" t="s">
        <v>1778</v>
      </c>
      <c r="K401" s="3" t="s">
        <v>1779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 t="s">
        <v>1780</v>
      </c>
      <c r="AL401" s="4">
        <v>42912</v>
      </c>
      <c r="AM401" s="3"/>
      <c r="AN401" s="3" t="s">
        <v>1781</v>
      </c>
    </row>
    <row r="402" spans="1:40" x14ac:dyDescent="0.3">
      <c r="A402" s="3">
        <v>396</v>
      </c>
      <c r="B402" s="3" t="str">
        <f>"1319739"</f>
        <v>1319739</v>
      </c>
      <c r="C402" s="3">
        <v>20836</v>
      </c>
      <c r="D402" s="3" t="s">
        <v>1782</v>
      </c>
      <c r="E402" s="3">
        <v>20100366747</v>
      </c>
      <c r="F402" s="3" t="s">
        <v>258</v>
      </c>
      <c r="G402" s="3" t="s">
        <v>1055</v>
      </c>
      <c r="H402" s="3" t="s">
        <v>56</v>
      </c>
      <c r="I402" s="3" t="s">
        <v>56</v>
      </c>
      <c r="J402" s="3" t="s">
        <v>185</v>
      </c>
      <c r="K402" s="3" t="s">
        <v>1783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 t="s">
        <v>226</v>
      </c>
      <c r="AL402" s="4">
        <v>37025</v>
      </c>
      <c r="AM402" s="3"/>
      <c r="AN402" s="3"/>
    </row>
    <row r="403" spans="1:40" x14ac:dyDescent="0.3">
      <c r="A403" s="3">
        <v>397</v>
      </c>
      <c r="B403" s="3" t="str">
        <f>"1319737"</f>
        <v>1319737</v>
      </c>
      <c r="C403" s="3">
        <v>20837</v>
      </c>
      <c r="D403" s="3" t="s">
        <v>1784</v>
      </c>
      <c r="E403" s="3">
        <v>20100366747</v>
      </c>
      <c r="F403" s="3" t="s">
        <v>258</v>
      </c>
      <c r="G403" s="3" t="s">
        <v>1055</v>
      </c>
      <c r="H403" s="3" t="s">
        <v>56</v>
      </c>
      <c r="I403" s="3" t="s">
        <v>56</v>
      </c>
      <c r="J403" s="3" t="s">
        <v>185</v>
      </c>
      <c r="K403" s="3" t="s">
        <v>1785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 t="s">
        <v>1786</v>
      </c>
      <c r="AL403" s="4">
        <v>37025</v>
      </c>
      <c r="AM403" s="3"/>
      <c r="AN403" s="3"/>
    </row>
    <row r="404" spans="1:40" x14ac:dyDescent="0.3">
      <c r="A404" s="3">
        <v>398</v>
      </c>
      <c r="B404" s="3" t="str">
        <f>"1319734"</f>
        <v>1319734</v>
      </c>
      <c r="C404" s="3">
        <v>20839</v>
      </c>
      <c r="D404" s="3" t="s">
        <v>1787</v>
      </c>
      <c r="E404" s="3">
        <v>20100366747</v>
      </c>
      <c r="F404" s="3" t="s">
        <v>258</v>
      </c>
      <c r="G404" s="3" t="s">
        <v>1055</v>
      </c>
      <c r="H404" s="3" t="s">
        <v>56</v>
      </c>
      <c r="I404" s="3" t="s">
        <v>56</v>
      </c>
      <c r="J404" s="3" t="s">
        <v>185</v>
      </c>
      <c r="K404" s="3" t="s">
        <v>1788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 t="s">
        <v>1586</v>
      </c>
      <c r="AL404" s="4">
        <v>37025</v>
      </c>
      <c r="AM404" s="3"/>
      <c r="AN404" s="3"/>
    </row>
    <row r="405" spans="1:40" x14ac:dyDescent="0.3">
      <c r="A405" s="3">
        <v>399</v>
      </c>
      <c r="B405" s="3" t="str">
        <f>"1319732"</f>
        <v>1319732</v>
      </c>
      <c r="C405" s="3">
        <v>20838</v>
      </c>
      <c r="D405" s="3" t="s">
        <v>1789</v>
      </c>
      <c r="E405" s="3">
        <v>20100366747</v>
      </c>
      <c r="F405" s="3" t="s">
        <v>258</v>
      </c>
      <c r="G405" s="3" t="s">
        <v>1055</v>
      </c>
      <c r="H405" s="3" t="s">
        <v>56</v>
      </c>
      <c r="I405" s="3" t="s">
        <v>56</v>
      </c>
      <c r="J405" s="3" t="s">
        <v>185</v>
      </c>
      <c r="K405" s="3" t="s">
        <v>1790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 t="s">
        <v>226</v>
      </c>
      <c r="AL405" s="4">
        <v>37025</v>
      </c>
      <c r="AM405" s="3"/>
      <c r="AN405" s="3"/>
    </row>
    <row r="406" spans="1:40" x14ac:dyDescent="0.3">
      <c r="A406" s="3">
        <v>400</v>
      </c>
      <c r="B406" s="3" t="str">
        <f>"1319730"</f>
        <v>1319730</v>
      </c>
      <c r="C406" s="3">
        <v>20840</v>
      </c>
      <c r="D406" s="3" t="s">
        <v>1791</v>
      </c>
      <c r="E406" s="3">
        <v>20100366747</v>
      </c>
      <c r="F406" s="3" t="s">
        <v>258</v>
      </c>
      <c r="G406" s="3" t="s">
        <v>1055</v>
      </c>
      <c r="H406" s="3" t="s">
        <v>56</v>
      </c>
      <c r="I406" s="3" t="s">
        <v>56</v>
      </c>
      <c r="J406" s="3" t="s">
        <v>185</v>
      </c>
      <c r="K406" s="3" t="s">
        <v>1792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 t="s">
        <v>226</v>
      </c>
      <c r="AL406" s="4">
        <v>37025</v>
      </c>
      <c r="AM406" s="3"/>
      <c r="AN406" s="3"/>
    </row>
    <row r="407" spans="1:40" x14ac:dyDescent="0.3">
      <c r="A407" s="3">
        <v>401</v>
      </c>
      <c r="B407" s="3" t="str">
        <f>"201200052461"</f>
        <v>201200052461</v>
      </c>
      <c r="C407" s="3">
        <v>96437</v>
      </c>
      <c r="D407" s="3" t="s">
        <v>1793</v>
      </c>
      <c r="E407" s="3">
        <v>10026894099</v>
      </c>
      <c r="F407" s="3" t="s">
        <v>532</v>
      </c>
      <c r="G407" s="3" t="s">
        <v>533</v>
      </c>
      <c r="H407" s="3" t="s">
        <v>50</v>
      </c>
      <c r="I407" s="3" t="s">
        <v>50</v>
      </c>
      <c r="J407" s="3" t="s">
        <v>98</v>
      </c>
      <c r="K407" s="3" t="s">
        <v>1794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 t="s">
        <v>986</v>
      </c>
      <c r="AL407" s="4">
        <v>41011</v>
      </c>
      <c r="AM407" s="3"/>
      <c r="AN407" s="3" t="s">
        <v>532</v>
      </c>
    </row>
    <row r="408" spans="1:40" ht="27.95" x14ac:dyDescent="0.3">
      <c r="A408" s="3">
        <v>402</v>
      </c>
      <c r="B408" s="3" t="str">
        <f>"201300044737"</f>
        <v>201300044737</v>
      </c>
      <c r="C408" s="3">
        <v>101093</v>
      </c>
      <c r="D408" s="3" t="s">
        <v>1795</v>
      </c>
      <c r="E408" s="3">
        <v>20480297441</v>
      </c>
      <c r="F408" s="3" t="s">
        <v>1796</v>
      </c>
      <c r="G408" s="3" t="s">
        <v>1797</v>
      </c>
      <c r="H408" s="3" t="s">
        <v>318</v>
      </c>
      <c r="I408" s="3" t="s">
        <v>319</v>
      </c>
      <c r="J408" s="3" t="s">
        <v>495</v>
      </c>
      <c r="K408" s="3" t="s">
        <v>1798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 t="s">
        <v>546</v>
      </c>
      <c r="AL408" s="4">
        <v>41345</v>
      </c>
      <c r="AM408" s="3"/>
      <c r="AN408" s="3" t="s">
        <v>1799</v>
      </c>
    </row>
    <row r="409" spans="1:40" ht="27.95" x14ac:dyDescent="0.3">
      <c r="A409" s="3">
        <v>403</v>
      </c>
      <c r="B409" s="3" t="str">
        <f>"1406263"</f>
        <v>1406263</v>
      </c>
      <c r="C409" s="3">
        <v>88529</v>
      </c>
      <c r="D409" s="3" t="s">
        <v>1800</v>
      </c>
      <c r="E409" s="3">
        <v>20508790202</v>
      </c>
      <c r="F409" s="3" t="s">
        <v>1801</v>
      </c>
      <c r="G409" s="3" t="s">
        <v>1802</v>
      </c>
      <c r="H409" s="3" t="s">
        <v>56</v>
      </c>
      <c r="I409" s="3" t="s">
        <v>56</v>
      </c>
      <c r="J409" s="3" t="s">
        <v>313</v>
      </c>
      <c r="K409" s="3" t="s">
        <v>1803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 t="s">
        <v>1804</v>
      </c>
      <c r="AL409" s="4">
        <v>40427</v>
      </c>
      <c r="AM409" s="3"/>
      <c r="AN409" s="3" t="s">
        <v>1805</v>
      </c>
    </row>
    <row r="410" spans="1:40" x14ac:dyDescent="0.3">
      <c r="A410" s="3">
        <v>404</v>
      </c>
      <c r="B410" s="3" t="str">
        <f>"201700048481"</f>
        <v>201700048481</v>
      </c>
      <c r="C410" s="3">
        <v>127664</v>
      </c>
      <c r="D410" s="3" t="s">
        <v>1806</v>
      </c>
      <c r="E410" s="3">
        <v>20533666192</v>
      </c>
      <c r="F410" s="3" t="s">
        <v>1807</v>
      </c>
      <c r="G410" s="3" t="s">
        <v>1808</v>
      </c>
      <c r="H410" s="3" t="s">
        <v>271</v>
      </c>
      <c r="I410" s="3" t="s">
        <v>1809</v>
      </c>
      <c r="J410" s="3" t="s">
        <v>1810</v>
      </c>
      <c r="K410" s="3" t="s">
        <v>1811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 t="s">
        <v>1812</v>
      </c>
      <c r="AL410" s="4">
        <v>42872</v>
      </c>
      <c r="AM410" s="3"/>
      <c r="AN410" s="3" t="s">
        <v>1813</v>
      </c>
    </row>
    <row r="411" spans="1:40" x14ac:dyDescent="0.3">
      <c r="A411" s="3">
        <v>405</v>
      </c>
      <c r="B411" s="3" t="str">
        <f>"201300125028"</f>
        <v>201300125028</v>
      </c>
      <c r="C411" s="3">
        <v>104341</v>
      </c>
      <c r="D411" s="3" t="s">
        <v>1814</v>
      </c>
      <c r="E411" s="3">
        <v>20543992942</v>
      </c>
      <c r="F411" s="3" t="s">
        <v>540</v>
      </c>
      <c r="G411" s="3" t="s">
        <v>541</v>
      </c>
      <c r="H411" s="3" t="s">
        <v>56</v>
      </c>
      <c r="I411" s="3" t="s">
        <v>56</v>
      </c>
      <c r="J411" s="3" t="s">
        <v>380</v>
      </c>
      <c r="K411" s="3" t="s">
        <v>1815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 t="s">
        <v>477</v>
      </c>
      <c r="AL411" s="4">
        <v>41488</v>
      </c>
      <c r="AM411" s="3"/>
      <c r="AN411" s="3" t="s">
        <v>543</v>
      </c>
    </row>
    <row r="412" spans="1:40" x14ac:dyDescent="0.3">
      <c r="A412" s="3">
        <v>406</v>
      </c>
      <c r="B412" s="3" t="str">
        <f>"201300001565"</f>
        <v>201300001565</v>
      </c>
      <c r="C412" s="3">
        <v>100149</v>
      </c>
      <c r="D412" s="3" t="s">
        <v>1816</v>
      </c>
      <c r="E412" s="3">
        <v>20494195110</v>
      </c>
      <c r="F412" s="3" t="s">
        <v>1817</v>
      </c>
      <c r="G412" s="3" t="s">
        <v>1818</v>
      </c>
      <c r="H412" s="3" t="s">
        <v>245</v>
      </c>
      <c r="I412" s="3" t="s">
        <v>1819</v>
      </c>
      <c r="J412" s="3" t="s">
        <v>1820</v>
      </c>
      <c r="K412" s="3" t="s">
        <v>1821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 t="s">
        <v>157</v>
      </c>
      <c r="AL412" s="3" t="s">
        <v>290</v>
      </c>
      <c r="AM412" s="3"/>
      <c r="AN412" s="3" t="s">
        <v>1822</v>
      </c>
    </row>
    <row r="413" spans="1:40" x14ac:dyDescent="0.3">
      <c r="A413" s="3">
        <v>407</v>
      </c>
      <c r="B413" s="3" t="str">
        <f>"1479771"</f>
        <v>1479771</v>
      </c>
      <c r="C413" s="3">
        <v>38929</v>
      </c>
      <c r="D413" s="3" t="s">
        <v>1823</v>
      </c>
      <c r="E413" s="3">
        <v>20100007348</v>
      </c>
      <c r="F413" s="3" t="s">
        <v>929</v>
      </c>
      <c r="G413" s="3" t="s">
        <v>1672</v>
      </c>
      <c r="H413" s="3" t="s">
        <v>56</v>
      </c>
      <c r="I413" s="3" t="s">
        <v>56</v>
      </c>
      <c r="J413" s="3" t="s">
        <v>432</v>
      </c>
      <c r="K413" s="3" t="s">
        <v>1824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 t="s">
        <v>419</v>
      </c>
      <c r="AL413" s="4">
        <v>38216</v>
      </c>
      <c r="AM413" s="3"/>
      <c r="AN413" s="3"/>
    </row>
    <row r="414" spans="1:40" ht="27.95" x14ac:dyDescent="0.3">
      <c r="A414" s="3">
        <v>408</v>
      </c>
      <c r="B414" s="3" t="str">
        <f>"201600188953"</f>
        <v>201600188953</v>
      </c>
      <c r="C414" s="3">
        <v>125638</v>
      </c>
      <c r="D414" s="3" t="s">
        <v>1825</v>
      </c>
      <c r="E414" s="3">
        <v>20536236202</v>
      </c>
      <c r="F414" s="3" t="s">
        <v>1826</v>
      </c>
      <c r="G414" s="3" t="s">
        <v>1827</v>
      </c>
      <c r="H414" s="3" t="s">
        <v>216</v>
      </c>
      <c r="I414" s="3" t="s">
        <v>216</v>
      </c>
      <c r="J414" s="3" t="s">
        <v>216</v>
      </c>
      <c r="K414" s="3" t="s">
        <v>1828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 t="s">
        <v>1829</v>
      </c>
      <c r="AL414" s="4">
        <v>42731</v>
      </c>
      <c r="AM414" s="3"/>
      <c r="AN414" s="3" t="s">
        <v>1830</v>
      </c>
    </row>
    <row r="415" spans="1:40" x14ac:dyDescent="0.3">
      <c r="A415" s="3">
        <v>409</v>
      </c>
      <c r="B415" s="3" t="str">
        <f>"1479778"</f>
        <v>1479778</v>
      </c>
      <c r="C415" s="3">
        <v>39646</v>
      </c>
      <c r="D415" s="3" t="s">
        <v>1831</v>
      </c>
      <c r="E415" s="3">
        <v>20100007348</v>
      </c>
      <c r="F415" s="3" t="s">
        <v>929</v>
      </c>
      <c r="G415" s="3" t="s">
        <v>1672</v>
      </c>
      <c r="H415" s="3" t="s">
        <v>56</v>
      </c>
      <c r="I415" s="3" t="s">
        <v>56</v>
      </c>
      <c r="J415" s="3" t="s">
        <v>432</v>
      </c>
      <c r="K415" s="3" t="s">
        <v>1832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 t="s">
        <v>419</v>
      </c>
      <c r="AL415" s="4">
        <v>38215</v>
      </c>
      <c r="AM415" s="3"/>
      <c r="AN415" s="3"/>
    </row>
    <row r="416" spans="1:40" x14ac:dyDescent="0.3">
      <c r="A416" s="3">
        <v>410</v>
      </c>
      <c r="B416" s="3" t="str">
        <f>"1111897"</f>
        <v>1111897</v>
      </c>
      <c r="C416" s="3">
        <v>2385</v>
      </c>
      <c r="D416" s="3">
        <v>989561</v>
      </c>
      <c r="E416" s="3">
        <v>20100007348</v>
      </c>
      <c r="F416" s="3" t="s">
        <v>929</v>
      </c>
      <c r="G416" s="3" t="s">
        <v>930</v>
      </c>
      <c r="H416" s="3" t="s">
        <v>75</v>
      </c>
      <c r="I416" s="3" t="s">
        <v>75</v>
      </c>
      <c r="J416" s="3" t="s">
        <v>76</v>
      </c>
      <c r="K416" s="3" t="s">
        <v>1833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 t="s">
        <v>634</v>
      </c>
      <c r="AL416" s="4">
        <v>35506</v>
      </c>
      <c r="AM416" s="3"/>
      <c r="AN416" s="3"/>
    </row>
    <row r="417" spans="1:40" ht="27.95" x14ac:dyDescent="0.3">
      <c r="A417" s="3">
        <v>411</v>
      </c>
      <c r="B417" s="3" t="str">
        <f>"1406256"</f>
        <v>1406256</v>
      </c>
      <c r="C417" s="3">
        <v>88514</v>
      </c>
      <c r="D417" s="3" t="s">
        <v>1834</v>
      </c>
      <c r="E417" s="3">
        <v>20508790202</v>
      </c>
      <c r="F417" s="3" t="s">
        <v>1835</v>
      </c>
      <c r="G417" s="3" t="s">
        <v>1802</v>
      </c>
      <c r="H417" s="3" t="s">
        <v>56</v>
      </c>
      <c r="I417" s="3" t="s">
        <v>56</v>
      </c>
      <c r="J417" s="3" t="s">
        <v>313</v>
      </c>
      <c r="K417" s="3" t="s">
        <v>1836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 t="s">
        <v>1837</v>
      </c>
      <c r="AL417" s="4">
        <v>40427</v>
      </c>
      <c r="AM417" s="3"/>
      <c r="AN417" s="3" t="s">
        <v>1805</v>
      </c>
    </row>
    <row r="418" spans="1:40" x14ac:dyDescent="0.3">
      <c r="A418" s="3">
        <v>412</v>
      </c>
      <c r="B418" s="3" t="str">
        <f>"1319741"</f>
        <v>1319741</v>
      </c>
      <c r="C418" s="3">
        <v>20845</v>
      </c>
      <c r="D418" s="3" t="s">
        <v>1838</v>
      </c>
      <c r="E418" s="3">
        <v>20100366747</v>
      </c>
      <c r="F418" s="3" t="s">
        <v>258</v>
      </c>
      <c r="G418" s="3" t="s">
        <v>1055</v>
      </c>
      <c r="H418" s="3" t="s">
        <v>56</v>
      </c>
      <c r="I418" s="3" t="s">
        <v>56</v>
      </c>
      <c r="J418" s="3" t="s">
        <v>185</v>
      </c>
      <c r="K418" s="3" t="s">
        <v>1839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 t="s">
        <v>546</v>
      </c>
      <c r="AL418" s="4">
        <v>37027</v>
      </c>
      <c r="AM418" s="3"/>
      <c r="AN418" s="3"/>
    </row>
    <row r="419" spans="1:40" x14ac:dyDescent="0.3">
      <c r="A419" s="3">
        <v>413</v>
      </c>
      <c r="B419" s="3" t="str">
        <f>"201400164344"</f>
        <v>201400164344</v>
      </c>
      <c r="C419" s="3">
        <v>112911</v>
      </c>
      <c r="D419" s="3" t="s">
        <v>1840</v>
      </c>
      <c r="E419" s="3">
        <v>10293130511</v>
      </c>
      <c r="F419" s="3" t="s">
        <v>1841</v>
      </c>
      <c r="G419" s="3" t="s">
        <v>1842</v>
      </c>
      <c r="H419" s="3" t="s">
        <v>97</v>
      </c>
      <c r="I419" s="3" t="s">
        <v>97</v>
      </c>
      <c r="J419" s="3" t="s">
        <v>705</v>
      </c>
      <c r="K419" s="3" t="s">
        <v>1843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 t="s">
        <v>1586</v>
      </c>
      <c r="AL419" s="4">
        <v>42040</v>
      </c>
      <c r="AM419" s="3"/>
      <c r="AN419" s="3" t="s">
        <v>1841</v>
      </c>
    </row>
    <row r="420" spans="1:40" x14ac:dyDescent="0.3">
      <c r="A420" s="3">
        <v>414</v>
      </c>
      <c r="B420" s="3" t="str">
        <f>"201200048458"</f>
        <v>201200048458</v>
      </c>
      <c r="C420" s="3">
        <v>96429</v>
      </c>
      <c r="D420" s="3" t="s">
        <v>1844</v>
      </c>
      <c r="E420" s="3">
        <v>10209765484</v>
      </c>
      <c r="F420" s="3" t="s">
        <v>235</v>
      </c>
      <c r="G420" s="3" t="s">
        <v>1845</v>
      </c>
      <c r="H420" s="3" t="s">
        <v>237</v>
      </c>
      <c r="I420" s="3" t="s">
        <v>238</v>
      </c>
      <c r="J420" s="3" t="s">
        <v>238</v>
      </c>
      <c r="K420" s="3" t="s">
        <v>1846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 t="s">
        <v>473</v>
      </c>
      <c r="AL420" s="4">
        <v>41037</v>
      </c>
      <c r="AM420" s="3"/>
      <c r="AN420" s="3" t="s">
        <v>235</v>
      </c>
    </row>
    <row r="421" spans="1:40" x14ac:dyDescent="0.3">
      <c r="A421" s="3">
        <v>415</v>
      </c>
      <c r="B421" s="3" t="str">
        <f>"1357167"</f>
        <v>1357167</v>
      </c>
      <c r="C421" s="3">
        <v>15425</v>
      </c>
      <c r="D421" s="3" t="s">
        <v>1847</v>
      </c>
      <c r="E421" s="3">
        <v>20100005485</v>
      </c>
      <c r="F421" s="3" t="s">
        <v>1361</v>
      </c>
      <c r="G421" s="3" t="s">
        <v>1362</v>
      </c>
      <c r="H421" s="3" t="s">
        <v>75</v>
      </c>
      <c r="I421" s="3" t="s">
        <v>75</v>
      </c>
      <c r="J421" s="3" t="s">
        <v>76</v>
      </c>
      <c r="K421" s="3" t="s">
        <v>1848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 t="s">
        <v>187</v>
      </c>
      <c r="AL421" s="4">
        <v>37341</v>
      </c>
      <c r="AM421" s="3"/>
      <c r="AN421" s="3"/>
    </row>
    <row r="422" spans="1:40" x14ac:dyDescent="0.3">
      <c r="A422" s="3">
        <v>416</v>
      </c>
      <c r="B422" s="3" t="str">
        <f>"1419760"</f>
        <v>1419760</v>
      </c>
      <c r="C422" s="3">
        <v>88897</v>
      </c>
      <c r="D422" s="3" t="s">
        <v>1849</v>
      </c>
      <c r="E422" s="3">
        <v>20516822202</v>
      </c>
      <c r="F422" s="3" t="s">
        <v>1850</v>
      </c>
      <c r="G422" s="3" t="s">
        <v>1851</v>
      </c>
      <c r="H422" s="3" t="s">
        <v>75</v>
      </c>
      <c r="I422" s="3" t="s">
        <v>75</v>
      </c>
      <c r="J422" s="3" t="s">
        <v>76</v>
      </c>
      <c r="K422" s="3" t="s">
        <v>1852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 t="s">
        <v>655</v>
      </c>
      <c r="AL422" s="4">
        <v>40451</v>
      </c>
      <c r="AM422" s="3"/>
      <c r="AN422" s="3" t="s">
        <v>1853</v>
      </c>
    </row>
    <row r="423" spans="1:40" x14ac:dyDescent="0.3">
      <c r="A423" s="3">
        <v>417</v>
      </c>
      <c r="B423" s="3" t="str">
        <f>"1357168"</f>
        <v>1357168</v>
      </c>
      <c r="C423" s="3">
        <v>6594</v>
      </c>
      <c r="D423" s="3" t="s">
        <v>1854</v>
      </c>
      <c r="E423" s="3">
        <v>20100005485</v>
      </c>
      <c r="F423" s="3" t="s">
        <v>1361</v>
      </c>
      <c r="G423" s="3" t="s">
        <v>1855</v>
      </c>
      <c r="H423" s="3" t="s">
        <v>75</v>
      </c>
      <c r="I423" s="3" t="s">
        <v>75</v>
      </c>
      <c r="J423" s="3" t="s">
        <v>76</v>
      </c>
      <c r="K423" s="3" t="s">
        <v>1856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 t="s">
        <v>187</v>
      </c>
      <c r="AL423" s="4">
        <v>37341</v>
      </c>
      <c r="AM423" s="3"/>
      <c r="AN423" s="3"/>
    </row>
    <row r="424" spans="1:40" x14ac:dyDescent="0.3">
      <c r="A424" s="3">
        <v>418</v>
      </c>
      <c r="B424" s="3" t="str">
        <f>"1413720"</f>
        <v>1413720</v>
      </c>
      <c r="C424" s="3">
        <v>34633</v>
      </c>
      <c r="D424" s="3" t="s">
        <v>1857</v>
      </c>
      <c r="E424" s="3">
        <v>10077744741</v>
      </c>
      <c r="F424" s="3" t="s">
        <v>1858</v>
      </c>
      <c r="G424" s="3" t="s">
        <v>1859</v>
      </c>
      <c r="H424" s="3" t="s">
        <v>56</v>
      </c>
      <c r="I424" s="3" t="s">
        <v>56</v>
      </c>
      <c r="J424" s="3" t="s">
        <v>105</v>
      </c>
      <c r="K424" s="3" t="s">
        <v>1860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 t="s">
        <v>233</v>
      </c>
      <c r="AL424" s="4">
        <v>37789</v>
      </c>
      <c r="AM424" s="3"/>
      <c r="AN424" s="3"/>
    </row>
    <row r="425" spans="1:40" x14ac:dyDescent="0.3">
      <c r="A425" s="3">
        <v>419</v>
      </c>
      <c r="B425" s="3" t="str">
        <f>"201500166373"</f>
        <v>201500166373</v>
      </c>
      <c r="C425" s="3">
        <v>118978</v>
      </c>
      <c r="D425" s="3" t="s">
        <v>1861</v>
      </c>
      <c r="E425" s="3">
        <v>20450509125</v>
      </c>
      <c r="F425" s="3" t="s">
        <v>1862</v>
      </c>
      <c r="G425" s="3" t="s">
        <v>1863</v>
      </c>
      <c r="H425" s="3" t="s">
        <v>446</v>
      </c>
      <c r="I425" s="3" t="s">
        <v>895</v>
      </c>
      <c r="J425" s="3" t="s">
        <v>896</v>
      </c>
      <c r="K425" s="3" t="s">
        <v>1864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 t="s">
        <v>1865</v>
      </c>
      <c r="AL425" s="4">
        <v>42375</v>
      </c>
      <c r="AM425" s="3"/>
      <c r="AN425" s="3" t="s">
        <v>1866</v>
      </c>
    </row>
    <row r="426" spans="1:40" x14ac:dyDescent="0.3">
      <c r="A426" s="3">
        <v>420</v>
      </c>
      <c r="B426" s="3" t="str">
        <f>"1143398"</f>
        <v>1143398</v>
      </c>
      <c r="C426" s="3">
        <v>3603</v>
      </c>
      <c r="D426" s="3">
        <v>1143398</v>
      </c>
      <c r="E426" s="3">
        <v>10159530022</v>
      </c>
      <c r="F426" s="3" t="s">
        <v>1867</v>
      </c>
      <c r="G426" s="3" t="s">
        <v>1868</v>
      </c>
      <c r="H426" s="3" t="s">
        <v>56</v>
      </c>
      <c r="I426" s="3" t="s">
        <v>1869</v>
      </c>
      <c r="J426" s="3" t="s">
        <v>1869</v>
      </c>
      <c r="K426" s="3" t="s">
        <v>1870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 t="s">
        <v>65</v>
      </c>
      <c r="AL426" s="4">
        <v>35643</v>
      </c>
      <c r="AM426" s="3"/>
      <c r="AN426" s="3"/>
    </row>
    <row r="427" spans="1:40" x14ac:dyDescent="0.3">
      <c r="A427" s="3">
        <v>421</v>
      </c>
      <c r="B427" s="3" t="str">
        <f>"1143397"</f>
        <v>1143397</v>
      </c>
      <c r="C427" s="3">
        <v>3616</v>
      </c>
      <c r="D427" s="3">
        <v>1143397</v>
      </c>
      <c r="E427" s="3">
        <v>10159814641</v>
      </c>
      <c r="F427" s="3" t="s">
        <v>1871</v>
      </c>
      <c r="G427" s="3" t="s">
        <v>1872</v>
      </c>
      <c r="H427" s="3" t="s">
        <v>56</v>
      </c>
      <c r="I427" s="3" t="s">
        <v>1869</v>
      </c>
      <c r="J427" s="3" t="s">
        <v>1873</v>
      </c>
      <c r="K427" s="3" t="s">
        <v>1874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 t="s">
        <v>65</v>
      </c>
      <c r="AL427" s="4">
        <v>35643</v>
      </c>
      <c r="AM427" s="3"/>
      <c r="AN427" s="3"/>
    </row>
    <row r="428" spans="1:40" ht="27.95" x14ac:dyDescent="0.3">
      <c r="A428" s="3">
        <v>422</v>
      </c>
      <c r="B428" s="3" t="str">
        <f>"201900112077"</f>
        <v>201900112077</v>
      </c>
      <c r="C428" s="3">
        <v>145192</v>
      </c>
      <c r="D428" s="3" t="s">
        <v>1875</v>
      </c>
      <c r="E428" s="3">
        <v>20547314426</v>
      </c>
      <c r="F428" s="3" t="s">
        <v>1202</v>
      </c>
      <c r="G428" s="3" t="s">
        <v>1876</v>
      </c>
      <c r="H428" s="3" t="s">
        <v>56</v>
      </c>
      <c r="I428" s="3" t="s">
        <v>56</v>
      </c>
      <c r="J428" s="3" t="s">
        <v>273</v>
      </c>
      <c r="K428" s="3" t="s">
        <v>1877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 t="s">
        <v>1341</v>
      </c>
      <c r="AL428" s="4">
        <v>43662</v>
      </c>
      <c r="AM428" s="3"/>
      <c r="AN428" s="3" t="s">
        <v>1039</v>
      </c>
    </row>
    <row r="429" spans="1:40" x14ac:dyDescent="0.3">
      <c r="A429" s="3">
        <v>423</v>
      </c>
      <c r="B429" s="3" t="str">
        <f>"201500076110"</f>
        <v>201500076110</v>
      </c>
      <c r="C429" s="3">
        <v>115413</v>
      </c>
      <c r="D429" s="3" t="s">
        <v>1878</v>
      </c>
      <c r="E429" s="3">
        <v>10238970003</v>
      </c>
      <c r="F429" s="3" t="s">
        <v>1879</v>
      </c>
      <c r="G429" s="3" t="s">
        <v>1880</v>
      </c>
      <c r="H429" s="3" t="s">
        <v>446</v>
      </c>
      <c r="I429" s="3" t="s">
        <v>446</v>
      </c>
      <c r="J429" s="3" t="s">
        <v>1144</v>
      </c>
      <c r="K429" s="3" t="s">
        <v>1881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 t="s">
        <v>1354</v>
      </c>
      <c r="AL429" s="4">
        <v>42189</v>
      </c>
      <c r="AM429" s="3"/>
      <c r="AN429" s="3" t="s">
        <v>1879</v>
      </c>
    </row>
    <row r="430" spans="1:40" x14ac:dyDescent="0.3">
      <c r="A430" s="3">
        <v>424</v>
      </c>
      <c r="B430" s="3" t="str">
        <f>"1479749"</f>
        <v>1479749</v>
      </c>
      <c r="C430" s="3">
        <v>39652</v>
      </c>
      <c r="D430" s="3" t="s">
        <v>1882</v>
      </c>
      <c r="E430" s="3">
        <v>20100007348</v>
      </c>
      <c r="F430" s="3" t="s">
        <v>929</v>
      </c>
      <c r="G430" s="3" t="s">
        <v>1672</v>
      </c>
      <c r="H430" s="3" t="s">
        <v>56</v>
      </c>
      <c r="I430" s="3" t="s">
        <v>56</v>
      </c>
      <c r="J430" s="3" t="s">
        <v>432</v>
      </c>
      <c r="K430" s="3" t="s">
        <v>1883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 t="s">
        <v>419</v>
      </c>
      <c r="AL430" s="4">
        <v>38215</v>
      </c>
      <c r="AM430" s="3"/>
      <c r="AN430" s="3"/>
    </row>
    <row r="431" spans="1:40" x14ac:dyDescent="0.3">
      <c r="A431" s="3">
        <v>425</v>
      </c>
      <c r="B431" s="3" t="str">
        <f>"1501348"</f>
        <v>1501348</v>
      </c>
      <c r="C431" s="3">
        <v>93082</v>
      </c>
      <c r="D431" s="3" t="s">
        <v>1884</v>
      </c>
      <c r="E431" s="3">
        <v>20494844703</v>
      </c>
      <c r="F431" s="3" t="s">
        <v>1885</v>
      </c>
      <c r="G431" s="3" t="s">
        <v>1886</v>
      </c>
      <c r="H431" s="3" t="s">
        <v>56</v>
      </c>
      <c r="I431" s="3" t="s">
        <v>56</v>
      </c>
      <c r="J431" s="3" t="s">
        <v>838</v>
      </c>
      <c r="K431" s="3" t="s">
        <v>1887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 t="s">
        <v>1888</v>
      </c>
      <c r="AL431" s="4">
        <v>40813</v>
      </c>
      <c r="AM431" s="3"/>
      <c r="AN431" s="3" t="s">
        <v>1889</v>
      </c>
    </row>
    <row r="432" spans="1:40" x14ac:dyDescent="0.3">
      <c r="A432" s="3">
        <v>426</v>
      </c>
      <c r="B432" s="3" t="str">
        <f>"201300056299"</f>
        <v>201300056299</v>
      </c>
      <c r="C432" s="3">
        <v>101910</v>
      </c>
      <c r="D432" s="3" t="s">
        <v>1890</v>
      </c>
      <c r="E432" s="3">
        <v>10015486860</v>
      </c>
      <c r="F432" s="3" t="s">
        <v>1464</v>
      </c>
      <c r="G432" s="3" t="s">
        <v>1891</v>
      </c>
      <c r="H432" s="3" t="s">
        <v>222</v>
      </c>
      <c r="I432" s="3" t="s">
        <v>1892</v>
      </c>
      <c r="J432" s="3" t="s">
        <v>1893</v>
      </c>
      <c r="K432" s="3" t="s">
        <v>1894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 t="s">
        <v>1895</v>
      </c>
      <c r="AL432" s="4">
        <v>41394</v>
      </c>
      <c r="AM432" s="3"/>
      <c r="AN432" s="3" t="s">
        <v>1464</v>
      </c>
    </row>
    <row r="433" spans="1:40" ht="27.95" x14ac:dyDescent="0.3">
      <c r="A433" s="3">
        <v>427</v>
      </c>
      <c r="B433" s="3" t="str">
        <f>"201900112082"</f>
        <v>201900112082</v>
      </c>
      <c r="C433" s="3">
        <v>145191</v>
      </c>
      <c r="D433" s="3" t="s">
        <v>1896</v>
      </c>
      <c r="E433" s="3">
        <v>20547314426</v>
      </c>
      <c r="F433" s="3" t="s">
        <v>1202</v>
      </c>
      <c r="G433" s="3" t="s">
        <v>1876</v>
      </c>
      <c r="H433" s="3" t="s">
        <v>56</v>
      </c>
      <c r="I433" s="3" t="s">
        <v>56</v>
      </c>
      <c r="J433" s="3" t="s">
        <v>273</v>
      </c>
      <c r="K433" s="3" t="s">
        <v>1897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 t="s">
        <v>1341</v>
      </c>
      <c r="AL433" s="4">
        <v>43669</v>
      </c>
      <c r="AM433" s="3"/>
      <c r="AN433" s="3" t="s">
        <v>1039</v>
      </c>
    </row>
    <row r="434" spans="1:40" x14ac:dyDescent="0.3">
      <c r="A434" s="3">
        <v>428</v>
      </c>
      <c r="B434" s="3" t="str">
        <f>"201300125043"</f>
        <v>201300125043</v>
      </c>
      <c r="C434" s="3">
        <v>104344</v>
      </c>
      <c r="D434" s="3" t="s">
        <v>1898</v>
      </c>
      <c r="E434" s="3">
        <v>20543992942</v>
      </c>
      <c r="F434" s="3" t="s">
        <v>540</v>
      </c>
      <c r="G434" s="3" t="s">
        <v>541</v>
      </c>
      <c r="H434" s="3" t="s">
        <v>56</v>
      </c>
      <c r="I434" s="3" t="s">
        <v>56</v>
      </c>
      <c r="J434" s="3" t="s">
        <v>380</v>
      </c>
      <c r="K434" s="3" t="s">
        <v>1899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 t="s">
        <v>1900</v>
      </c>
      <c r="AL434" s="4">
        <v>41488</v>
      </c>
      <c r="AM434" s="3"/>
      <c r="AN434" s="3" t="s">
        <v>543</v>
      </c>
    </row>
    <row r="435" spans="1:40" x14ac:dyDescent="0.3">
      <c r="A435" s="3">
        <v>429</v>
      </c>
      <c r="B435" s="3" t="str">
        <f>"1645580"</f>
        <v>1645580</v>
      </c>
      <c r="C435" s="3">
        <v>42216</v>
      </c>
      <c r="D435" s="3" t="s">
        <v>1901</v>
      </c>
      <c r="E435" s="3">
        <v>20100366747</v>
      </c>
      <c r="F435" s="3" t="s">
        <v>258</v>
      </c>
      <c r="G435" s="3" t="s">
        <v>1902</v>
      </c>
      <c r="H435" s="3" t="s">
        <v>97</v>
      </c>
      <c r="I435" s="3" t="s">
        <v>97</v>
      </c>
      <c r="J435" s="3" t="s">
        <v>144</v>
      </c>
      <c r="K435" s="3" t="s">
        <v>1903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 t="s">
        <v>1904</v>
      </c>
      <c r="AL435" s="4">
        <v>39024</v>
      </c>
      <c r="AM435" s="3"/>
      <c r="AN435" s="3"/>
    </row>
    <row r="436" spans="1:40" x14ac:dyDescent="0.3">
      <c r="A436" s="3">
        <v>430</v>
      </c>
      <c r="B436" s="3" t="str">
        <f>"1645582"</f>
        <v>1645582</v>
      </c>
      <c r="C436" s="3">
        <v>42213</v>
      </c>
      <c r="D436" s="3" t="s">
        <v>1905</v>
      </c>
      <c r="E436" s="3">
        <v>20100366747</v>
      </c>
      <c r="F436" s="3" t="s">
        <v>258</v>
      </c>
      <c r="G436" s="3" t="s">
        <v>1906</v>
      </c>
      <c r="H436" s="3" t="s">
        <v>97</v>
      </c>
      <c r="I436" s="3" t="s">
        <v>97</v>
      </c>
      <c r="J436" s="3" t="s">
        <v>144</v>
      </c>
      <c r="K436" s="3" t="s">
        <v>1907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 t="s">
        <v>1908</v>
      </c>
      <c r="AL436" s="4">
        <v>39010</v>
      </c>
      <c r="AM436" s="3"/>
      <c r="AN436" s="3"/>
    </row>
    <row r="437" spans="1:40" x14ac:dyDescent="0.3">
      <c r="A437" s="3">
        <v>431</v>
      </c>
      <c r="B437" s="3" t="str">
        <f>"201700161373"</f>
        <v>201700161373</v>
      </c>
      <c r="C437" s="3">
        <v>128048</v>
      </c>
      <c r="D437" s="3" t="s">
        <v>1909</v>
      </c>
      <c r="E437" s="3">
        <v>20406493289</v>
      </c>
      <c r="F437" s="3" t="s">
        <v>1910</v>
      </c>
      <c r="G437" s="3" t="s">
        <v>1911</v>
      </c>
      <c r="H437" s="3" t="s">
        <v>222</v>
      </c>
      <c r="I437" s="3" t="s">
        <v>222</v>
      </c>
      <c r="J437" s="3" t="s">
        <v>222</v>
      </c>
      <c r="K437" s="3" t="s">
        <v>1912</v>
      </c>
      <c r="L437" s="3" t="s">
        <v>1913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 t="s">
        <v>150</v>
      </c>
      <c r="AL437" s="4">
        <v>43024</v>
      </c>
      <c r="AM437" s="3"/>
      <c r="AN437" s="3" t="s">
        <v>1914</v>
      </c>
    </row>
    <row r="438" spans="1:40" x14ac:dyDescent="0.3">
      <c r="A438" s="3">
        <v>432</v>
      </c>
      <c r="B438" s="3" t="str">
        <f>"1645581"</f>
        <v>1645581</v>
      </c>
      <c r="C438" s="3">
        <v>42252</v>
      </c>
      <c r="D438" s="3" t="s">
        <v>1915</v>
      </c>
      <c r="E438" s="3">
        <v>20100366747</v>
      </c>
      <c r="F438" s="3" t="s">
        <v>258</v>
      </c>
      <c r="G438" s="3" t="s">
        <v>1902</v>
      </c>
      <c r="H438" s="3" t="s">
        <v>97</v>
      </c>
      <c r="I438" s="3" t="s">
        <v>97</v>
      </c>
      <c r="J438" s="3" t="s">
        <v>144</v>
      </c>
      <c r="K438" s="3" t="s">
        <v>1916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 t="s">
        <v>353</v>
      </c>
      <c r="AL438" s="4">
        <v>39010</v>
      </c>
      <c r="AM438" s="3"/>
      <c r="AN438" s="3"/>
    </row>
    <row r="439" spans="1:40" x14ac:dyDescent="0.3">
      <c r="A439" s="3">
        <v>433</v>
      </c>
      <c r="B439" s="3" t="str">
        <f>"1449244"</f>
        <v>1449244</v>
      </c>
      <c r="C439" s="3">
        <v>37508</v>
      </c>
      <c r="D439" s="3" t="s">
        <v>1917</v>
      </c>
      <c r="E439" s="3">
        <v>10070932364</v>
      </c>
      <c r="F439" s="3" t="s">
        <v>1918</v>
      </c>
      <c r="G439" s="3" t="s">
        <v>308</v>
      </c>
      <c r="H439" s="3" t="s">
        <v>56</v>
      </c>
      <c r="I439" s="3" t="s">
        <v>56</v>
      </c>
      <c r="J439" s="3" t="s">
        <v>309</v>
      </c>
      <c r="K439" s="3" t="s">
        <v>1919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 t="s">
        <v>614</v>
      </c>
      <c r="AL439" s="4">
        <v>38023</v>
      </c>
      <c r="AM439" s="3"/>
      <c r="AN439" s="3"/>
    </row>
    <row r="440" spans="1:40" x14ac:dyDescent="0.3">
      <c r="A440" s="3">
        <v>434</v>
      </c>
      <c r="B440" s="3" t="str">
        <f>"1449245"</f>
        <v>1449245</v>
      </c>
      <c r="C440" s="3">
        <v>37552</v>
      </c>
      <c r="D440" s="3" t="s">
        <v>1920</v>
      </c>
      <c r="E440" s="3">
        <v>10070895523</v>
      </c>
      <c r="F440" s="3" t="s">
        <v>307</v>
      </c>
      <c r="G440" s="3" t="s">
        <v>1921</v>
      </c>
      <c r="H440" s="3" t="s">
        <v>56</v>
      </c>
      <c r="I440" s="3" t="s">
        <v>56</v>
      </c>
      <c r="J440" s="3" t="s">
        <v>309</v>
      </c>
      <c r="K440" s="3" t="s">
        <v>1922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 t="s">
        <v>81</v>
      </c>
      <c r="AL440" s="4">
        <v>38025</v>
      </c>
      <c r="AM440" s="3"/>
      <c r="AN440" s="3"/>
    </row>
    <row r="441" spans="1:40" ht="27.95" x14ac:dyDescent="0.3">
      <c r="A441" s="3">
        <v>435</v>
      </c>
      <c r="B441" s="3" t="str">
        <f>"201200210523"</f>
        <v>201200210523</v>
      </c>
      <c r="C441" s="3">
        <v>99454</v>
      </c>
      <c r="D441" s="3" t="s">
        <v>1923</v>
      </c>
      <c r="E441" s="3">
        <v>20548010765</v>
      </c>
      <c r="F441" s="3" t="s">
        <v>1924</v>
      </c>
      <c r="G441" s="3" t="s">
        <v>1925</v>
      </c>
      <c r="H441" s="3" t="s">
        <v>56</v>
      </c>
      <c r="I441" s="3" t="s">
        <v>56</v>
      </c>
      <c r="J441" s="3" t="s">
        <v>185</v>
      </c>
      <c r="K441" s="3" t="s">
        <v>1926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 t="s">
        <v>230</v>
      </c>
      <c r="AL441" s="4">
        <v>41248</v>
      </c>
      <c r="AM441" s="3"/>
      <c r="AN441" s="3" t="s">
        <v>1927</v>
      </c>
    </row>
    <row r="442" spans="1:40" x14ac:dyDescent="0.3">
      <c r="A442" s="3">
        <v>436</v>
      </c>
      <c r="B442" s="3" t="str">
        <f>"1573668"</f>
        <v>1573668</v>
      </c>
      <c r="C442" s="3">
        <v>34842</v>
      </c>
      <c r="D442" s="3" t="s">
        <v>1928</v>
      </c>
      <c r="E442" s="3">
        <v>10412591564</v>
      </c>
      <c r="F442" s="3" t="s">
        <v>1929</v>
      </c>
      <c r="G442" s="3" t="s">
        <v>1930</v>
      </c>
      <c r="H442" s="3" t="s">
        <v>56</v>
      </c>
      <c r="I442" s="3" t="s">
        <v>56</v>
      </c>
      <c r="J442" s="3" t="s">
        <v>313</v>
      </c>
      <c r="K442" s="3" t="s">
        <v>1931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 t="s">
        <v>65</v>
      </c>
      <c r="AL442" s="4">
        <v>38679</v>
      </c>
      <c r="AM442" s="3"/>
      <c r="AN442" s="3"/>
    </row>
    <row r="443" spans="1:40" ht="27.95" x14ac:dyDescent="0.3">
      <c r="A443" s="3">
        <v>437</v>
      </c>
      <c r="B443" s="3" t="str">
        <f>"201800168394"</f>
        <v>201800168394</v>
      </c>
      <c r="C443" s="3">
        <v>139050</v>
      </c>
      <c r="D443" s="3" t="s">
        <v>1932</v>
      </c>
      <c r="E443" s="3">
        <v>20478005289</v>
      </c>
      <c r="F443" s="3" t="s">
        <v>366</v>
      </c>
      <c r="G443" s="3" t="s">
        <v>1933</v>
      </c>
      <c r="H443" s="3" t="s">
        <v>56</v>
      </c>
      <c r="I443" s="3" t="s">
        <v>56</v>
      </c>
      <c r="J443" s="3" t="s">
        <v>363</v>
      </c>
      <c r="K443" s="3" t="s">
        <v>1934</v>
      </c>
      <c r="L443" s="3" t="s">
        <v>370</v>
      </c>
      <c r="M443" s="3" t="s">
        <v>369</v>
      </c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 t="s">
        <v>1935</v>
      </c>
      <c r="AL443" s="4">
        <v>43385</v>
      </c>
      <c r="AM443" s="3"/>
      <c r="AN443" s="3" t="s">
        <v>372</v>
      </c>
    </row>
    <row r="444" spans="1:40" x14ac:dyDescent="0.3">
      <c r="A444" s="3">
        <v>438</v>
      </c>
      <c r="B444" s="3" t="str">
        <f>"201600093779"</f>
        <v>201600093779</v>
      </c>
      <c r="C444" s="3">
        <v>106043</v>
      </c>
      <c r="D444" s="3" t="s">
        <v>1936</v>
      </c>
      <c r="E444" s="3">
        <v>20100366747</v>
      </c>
      <c r="F444" s="3" t="s">
        <v>258</v>
      </c>
      <c r="G444" s="3" t="s">
        <v>335</v>
      </c>
      <c r="H444" s="3" t="s">
        <v>56</v>
      </c>
      <c r="I444" s="3" t="s">
        <v>56</v>
      </c>
      <c r="J444" s="3" t="s">
        <v>185</v>
      </c>
      <c r="K444" s="3" t="s">
        <v>1937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 t="s">
        <v>579</v>
      </c>
      <c r="AL444" s="4">
        <v>42555</v>
      </c>
      <c r="AM444" s="3"/>
      <c r="AN444" s="3" t="s">
        <v>262</v>
      </c>
    </row>
    <row r="445" spans="1:40" x14ac:dyDescent="0.3">
      <c r="A445" s="3">
        <v>439</v>
      </c>
      <c r="B445" s="3" t="str">
        <f>"1508254"</f>
        <v>1508254</v>
      </c>
      <c r="C445" s="3">
        <v>14652</v>
      </c>
      <c r="D445" s="3" t="s">
        <v>1938</v>
      </c>
      <c r="E445" s="3">
        <v>20332711157</v>
      </c>
      <c r="F445" s="3" t="s">
        <v>1939</v>
      </c>
      <c r="G445" s="3" t="s">
        <v>1940</v>
      </c>
      <c r="H445" s="3" t="s">
        <v>75</v>
      </c>
      <c r="I445" s="3" t="s">
        <v>75</v>
      </c>
      <c r="J445" s="3" t="s">
        <v>76</v>
      </c>
      <c r="K445" s="3" t="s">
        <v>1941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 t="s">
        <v>1942</v>
      </c>
      <c r="AL445" s="4">
        <v>38358</v>
      </c>
      <c r="AM445" s="3"/>
      <c r="AN445" s="3"/>
    </row>
    <row r="446" spans="1:40" x14ac:dyDescent="0.3">
      <c r="A446" s="3">
        <v>440</v>
      </c>
      <c r="B446" s="3" t="str">
        <f>"201600069690"</f>
        <v>201600069690</v>
      </c>
      <c r="C446" s="3">
        <v>121423</v>
      </c>
      <c r="D446" s="3" t="s">
        <v>1943</v>
      </c>
      <c r="E446" s="3">
        <v>10040845572</v>
      </c>
      <c r="F446" s="3" t="s">
        <v>1944</v>
      </c>
      <c r="G446" s="3" t="s">
        <v>1945</v>
      </c>
      <c r="H446" s="3" t="s">
        <v>1946</v>
      </c>
      <c r="I446" s="3" t="s">
        <v>1946</v>
      </c>
      <c r="J446" s="3" t="s">
        <v>1947</v>
      </c>
      <c r="K446" s="3" t="s">
        <v>1948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 t="s">
        <v>802</v>
      </c>
      <c r="AL446" s="4">
        <v>42702</v>
      </c>
      <c r="AM446" s="3"/>
      <c r="AN446" s="3" t="s">
        <v>1944</v>
      </c>
    </row>
    <row r="447" spans="1:40" x14ac:dyDescent="0.3">
      <c r="A447" s="3">
        <v>441</v>
      </c>
      <c r="B447" s="3" t="str">
        <f>"1508252"</f>
        <v>1508252</v>
      </c>
      <c r="C447" s="3">
        <v>6491</v>
      </c>
      <c r="D447" s="3" t="s">
        <v>1949</v>
      </c>
      <c r="E447" s="3">
        <v>20332711157</v>
      </c>
      <c r="F447" s="3" t="s">
        <v>1939</v>
      </c>
      <c r="G447" s="3" t="s">
        <v>1950</v>
      </c>
      <c r="H447" s="3" t="s">
        <v>75</v>
      </c>
      <c r="I447" s="3" t="s">
        <v>75</v>
      </c>
      <c r="J447" s="3" t="s">
        <v>76</v>
      </c>
      <c r="K447" s="3" t="s">
        <v>1951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 t="s">
        <v>65</v>
      </c>
      <c r="AL447" s="4">
        <v>38358</v>
      </c>
      <c r="AM447" s="3"/>
      <c r="AN447" s="3"/>
    </row>
    <row r="448" spans="1:40" x14ac:dyDescent="0.3">
      <c r="A448" s="3">
        <v>442</v>
      </c>
      <c r="B448" s="3" t="str">
        <f>"1508251"</f>
        <v>1508251</v>
      </c>
      <c r="C448" s="3">
        <v>2488</v>
      </c>
      <c r="D448" s="3" t="s">
        <v>1952</v>
      </c>
      <c r="E448" s="3">
        <v>20332711157</v>
      </c>
      <c r="F448" s="3" t="s">
        <v>1939</v>
      </c>
      <c r="G448" s="3" t="s">
        <v>1940</v>
      </c>
      <c r="H448" s="3" t="s">
        <v>56</v>
      </c>
      <c r="I448" s="3" t="s">
        <v>56</v>
      </c>
      <c r="J448" s="3" t="s">
        <v>313</v>
      </c>
      <c r="K448" s="3" t="s">
        <v>1953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 t="s">
        <v>230</v>
      </c>
      <c r="AL448" s="4">
        <v>38358</v>
      </c>
      <c r="AM448" s="3"/>
      <c r="AN448" s="3"/>
    </row>
    <row r="449" spans="1:40" x14ac:dyDescent="0.3">
      <c r="A449" s="3">
        <v>443</v>
      </c>
      <c r="B449" s="3" t="str">
        <f>"1337611"</f>
        <v>1337611</v>
      </c>
      <c r="C449" s="3">
        <v>21544</v>
      </c>
      <c r="D449" s="3" t="s">
        <v>1954</v>
      </c>
      <c r="E449" s="3">
        <v>20103521344</v>
      </c>
      <c r="F449" s="3" t="s">
        <v>1419</v>
      </c>
      <c r="G449" s="3" t="s">
        <v>1416</v>
      </c>
      <c r="H449" s="3" t="s">
        <v>318</v>
      </c>
      <c r="I449" s="3" t="s">
        <v>319</v>
      </c>
      <c r="J449" s="3" t="s">
        <v>319</v>
      </c>
      <c r="K449" s="3" t="s">
        <v>1955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 t="s">
        <v>218</v>
      </c>
      <c r="AL449" s="4">
        <v>37138</v>
      </c>
      <c r="AM449" s="3"/>
      <c r="AN449" s="3"/>
    </row>
    <row r="450" spans="1:40" x14ac:dyDescent="0.3">
      <c r="A450" s="3">
        <v>444</v>
      </c>
      <c r="B450" s="3" t="str">
        <f>"201700068605"</f>
        <v>201700068605</v>
      </c>
      <c r="C450" s="3">
        <v>122249</v>
      </c>
      <c r="D450" s="3" t="s">
        <v>1956</v>
      </c>
      <c r="E450" s="3">
        <v>20600358899</v>
      </c>
      <c r="F450" s="3" t="s">
        <v>1957</v>
      </c>
      <c r="G450" s="3" t="s">
        <v>1958</v>
      </c>
      <c r="H450" s="3" t="s">
        <v>97</v>
      </c>
      <c r="I450" s="3" t="s">
        <v>97</v>
      </c>
      <c r="J450" s="3" t="s">
        <v>144</v>
      </c>
      <c r="K450" s="3" t="s">
        <v>1959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 t="s">
        <v>1960</v>
      </c>
      <c r="AL450" s="4">
        <v>42871</v>
      </c>
      <c r="AM450" s="3"/>
      <c r="AN450" s="3" t="s">
        <v>1961</v>
      </c>
    </row>
    <row r="451" spans="1:40" x14ac:dyDescent="0.3">
      <c r="A451" s="3">
        <v>445</v>
      </c>
      <c r="B451" s="3" t="str">
        <f>"1930719"</f>
        <v>1930719</v>
      </c>
      <c r="C451" s="3">
        <v>84271</v>
      </c>
      <c r="D451" s="3" t="s">
        <v>1962</v>
      </c>
      <c r="E451" s="3">
        <v>20362013802</v>
      </c>
      <c r="F451" s="3" t="s">
        <v>1963</v>
      </c>
      <c r="G451" s="3" t="s">
        <v>1964</v>
      </c>
      <c r="H451" s="3" t="s">
        <v>172</v>
      </c>
      <c r="I451" s="3" t="s">
        <v>172</v>
      </c>
      <c r="J451" s="3" t="s">
        <v>1719</v>
      </c>
      <c r="K451" s="3" t="s">
        <v>1965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 t="s">
        <v>1966</v>
      </c>
      <c r="AL451" s="4">
        <v>40093</v>
      </c>
      <c r="AM451" s="3"/>
      <c r="AN451" s="3"/>
    </row>
    <row r="452" spans="1:40" ht="27.95" x14ac:dyDescent="0.3">
      <c r="A452" s="3">
        <v>446</v>
      </c>
      <c r="B452" s="3" t="str">
        <f>"201800151159"</f>
        <v>201800151159</v>
      </c>
      <c r="C452" s="3">
        <v>138557</v>
      </c>
      <c r="D452" s="3" t="s">
        <v>1967</v>
      </c>
      <c r="E452" s="3">
        <v>20455507295</v>
      </c>
      <c r="F452" s="3" t="s">
        <v>1968</v>
      </c>
      <c r="G452" s="3" t="s">
        <v>1969</v>
      </c>
      <c r="H452" s="3" t="s">
        <v>97</v>
      </c>
      <c r="I452" s="3" t="s">
        <v>97</v>
      </c>
      <c r="J452" s="3" t="s">
        <v>705</v>
      </c>
      <c r="K452" s="3" t="s">
        <v>1970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 t="s">
        <v>602</v>
      </c>
      <c r="AL452" s="4">
        <v>43355</v>
      </c>
      <c r="AM452" s="3"/>
      <c r="AN452" s="3" t="s">
        <v>1971</v>
      </c>
    </row>
    <row r="453" spans="1:40" x14ac:dyDescent="0.3">
      <c r="A453" s="3">
        <v>447</v>
      </c>
      <c r="B453" s="3" t="str">
        <f>"201700133456"</f>
        <v>201700133456</v>
      </c>
      <c r="C453" s="3">
        <v>43067</v>
      </c>
      <c r="D453" s="3" t="s">
        <v>1972</v>
      </c>
      <c r="E453" s="3">
        <v>20250459981</v>
      </c>
      <c r="F453" s="3" t="s">
        <v>1351</v>
      </c>
      <c r="G453" s="3" t="s">
        <v>1973</v>
      </c>
      <c r="H453" s="3" t="s">
        <v>56</v>
      </c>
      <c r="I453" s="3" t="s">
        <v>56</v>
      </c>
      <c r="J453" s="3" t="s">
        <v>273</v>
      </c>
      <c r="K453" s="3" t="s">
        <v>1974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 t="s">
        <v>1514</v>
      </c>
      <c r="AL453" s="4">
        <v>42979</v>
      </c>
      <c r="AM453" s="3"/>
      <c r="AN453" s="3" t="s">
        <v>1355</v>
      </c>
    </row>
    <row r="454" spans="1:40" x14ac:dyDescent="0.3">
      <c r="A454" s="3">
        <v>448</v>
      </c>
      <c r="B454" s="3" t="str">
        <f>"1910319"</f>
        <v>1910319</v>
      </c>
      <c r="C454" s="3">
        <v>83501</v>
      </c>
      <c r="D454" s="3" t="s">
        <v>1975</v>
      </c>
      <c r="E454" s="3">
        <v>10090998809</v>
      </c>
      <c r="F454" s="3" t="s">
        <v>1976</v>
      </c>
      <c r="G454" s="3" t="s">
        <v>1977</v>
      </c>
      <c r="H454" s="3" t="s">
        <v>395</v>
      </c>
      <c r="I454" s="3" t="s">
        <v>396</v>
      </c>
      <c r="J454" s="3" t="s">
        <v>490</v>
      </c>
      <c r="K454" s="3" t="s">
        <v>1978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 t="s">
        <v>1979</v>
      </c>
      <c r="AL454" s="4">
        <v>40018</v>
      </c>
      <c r="AM454" s="3"/>
      <c r="AN454" s="3"/>
    </row>
    <row r="455" spans="1:40" x14ac:dyDescent="0.3">
      <c r="A455" s="3">
        <v>449</v>
      </c>
      <c r="B455" s="3" t="str">
        <f>"201600072624"</f>
        <v>201600072624</v>
      </c>
      <c r="C455" s="3">
        <v>119276</v>
      </c>
      <c r="D455" s="3" t="s">
        <v>1980</v>
      </c>
      <c r="E455" s="3">
        <v>10416819632</v>
      </c>
      <c r="F455" s="3" t="s">
        <v>1981</v>
      </c>
      <c r="G455" s="3" t="s">
        <v>1982</v>
      </c>
      <c r="H455" s="3" t="s">
        <v>222</v>
      </c>
      <c r="I455" s="3" t="s">
        <v>1983</v>
      </c>
      <c r="J455" s="3" t="s">
        <v>1984</v>
      </c>
      <c r="K455" s="3" t="s">
        <v>1985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 t="s">
        <v>157</v>
      </c>
      <c r="AL455" s="4">
        <v>42522</v>
      </c>
      <c r="AM455" s="3"/>
      <c r="AN455" s="3" t="s">
        <v>1981</v>
      </c>
    </row>
    <row r="456" spans="1:40" x14ac:dyDescent="0.3">
      <c r="A456" s="3">
        <v>450</v>
      </c>
      <c r="B456" s="3" t="str">
        <f>"1457098"</f>
        <v>1457098</v>
      </c>
      <c r="C456" s="3">
        <v>36630</v>
      </c>
      <c r="D456" s="3" t="s">
        <v>1986</v>
      </c>
      <c r="E456" s="3">
        <v>20121837634</v>
      </c>
      <c r="F456" s="3" t="s">
        <v>866</v>
      </c>
      <c r="G456" s="3" t="s">
        <v>867</v>
      </c>
      <c r="H456" s="3" t="s">
        <v>237</v>
      </c>
      <c r="I456" s="3" t="s">
        <v>868</v>
      </c>
      <c r="J456" s="3" t="s">
        <v>869</v>
      </c>
      <c r="K456" s="3" t="s">
        <v>1987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 t="s">
        <v>1988</v>
      </c>
      <c r="AL456" s="4">
        <v>38049</v>
      </c>
      <c r="AM456" s="3"/>
      <c r="AN456" s="3"/>
    </row>
    <row r="457" spans="1:40" x14ac:dyDescent="0.3">
      <c r="A457" s="3">
        <v>451</v>
      </c>
      <c r="B457" s="3" t="str">
        <f>"1126163"</f>
        <v>1126163</v>
      </c>
      <c r="C457" s="3">
        <v>3285</v>
      </c>
      <c r="D457" s="3">
        <v>1126163</v>
      </c>
      <c r="E457" s="3">
        <v>10083259987</v>
      </c>
      <c r="F457" s="3" t="s">
        <v>1989</v>
      </c>
      <c r="G457" s="3" t="s">
        <v>1990</v>
      </c>
      <c r="H457" s="3" t="s">
        <v>56</v>
      </c>
      <c r="I457" s="3" t="s">
        <v>56</v>
      </c>
      <c r="J457" s="3" t="s">
        <v>277</v>
      </c>
      <c r="K457" s="3" t="s">
        <v>1991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 t="s">
        <v>65</v>
      </c>
      <c r="AL457" s="4">
        <v>35573</v>
      </c>
      <c r="AM457" s="3"/>
      <c r="AN457" s="3"/>
    </row>
    <row r="458" spans="1:40" x14ac:dyDescent="0.3">
      <c r="A458" s="3">
        <v>452</v>
      </c>
      <c r="B458" s="3" t="str">
        <f>"1508248"</f>
        <v>1508248</v>
      </c>
      <c r="C458" s="3">
        <v>3425</v>
      </c>
      <c r="D458" s="3" t="s">
        <v>1992</v>
      </c>
      <c r="E458" s="3">
        <v>20332711157</v>
      </c>
      <c r="F458" s="3" t="s">
        <v>1939</v>
      </c>
      <c r="G458" s="3" t="s">
        <v>1940</v>
      </c>
      <c r="H458" s="3" t="s">
        <v>75</v>
      </c>
      <c r="I458" s="3" t="s">
        <v>75</v>
      </c>
      <c r="J458" s="3" t="s">
        <v>76</v>
      </c>
      <c r="K458" s="3" t="s">
        <v>1993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 t="s">
        <v>1994</v>
      </c>
      <c r="AL458" s="4">
        <v>38358</v>
      </c>
      <c r="AM458" s="3"/>
      <c r="AN458" s="3"/>
    </row>
    <row r="459" spans="1:40" x14ac:dyDescent="0.3">
      <c r="A459" s="3">
        <v>453</v>
      </c>
      <c r="B459" s="3" t="str">
        <f>"201700143539"</f>
        <v>201700143539</v>
      </c>
      <c r="C459" s="3">
        <v>86374</v>
      </c>
      <c r="D459" s="3" t="s">
        <v>1995</v>
      </c>
      <c r="E459" s="3">
        <v>10229985235</v>
      </c>
      <c r="F459" s="3" t="s">
        <v>1996</v>
      </c>
      <c r="G459" s="3" t="s">
        <v>1997</v>
      </c>
      <c r="H459" s="3" t="s">
        <v>395</v>
      </c>
      <c r="I459" s="3" t="s">
        <v>396</v>
      </c>
      <c r="J459" s="3" t="s">
        <v>1998</v>
      </c>
      <c r="K459" s="3" t="s">
        <v>1999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 t="s">
        <v>1812</v>
      </c>
      <c r="AL459" s="4">
        <v>43012</v>
      </c>
      <c r="AM459" s="3"/>
      <c r="AN459" s="3" t="s">
        <v>1996</v>
      </c>
    </row>
    <row r="460" spans="1:40" x14ac:dyDescent="0.3">
      <c r="A460" s="3">
        <v>454</v>
      </c>
      <c r="B460" s="3" t="str">
        <f>"1503459"</f>
        <v>1503459</v>
      </c>
      <c r="C460" s="3">
        <v>39140</v>
      </c>
      <c r="D460" s="3" t="s">
        <v>2000</v>
      </c>
      <c r="E460" s="3">
        <v>20121837634</v>
      </c>
      <c r="F460" s="3" t="s">
        <v>866</v>
      </c>
      <c r="G460" s="3" t="s">
        <v>867</v>
      </c>
      <c r="H460" s="3" t="s">
        <v>237</v>
      </c>
      <c r="I460" s="3" t="s">
        <v>868</v>
      </c>
      <c r="J460" s="3" t="s">
        <v>869</v>
      </c>
      <c r="K460" s="3" t="s">
        <v>2001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 t="s">
        <v>241</v>
      </c>
      <c r="AL460" s="4">
        <v>38308</v>
      </c>
      <c r="AM460" s="3"/>
      <c r="AN460" s="3"/>
    </row>
    <row r="461" spans="1:40" ht="27.95" x14ac:dyDescent="0.3">
      <c r="A461" s="3">
        <v>455</v>
      </c>
      <c r="B461" s="3" t="str">
        <f>"201200056399"</f>
        <v>201200056399</v>
      </c>
      <c r="C461" s="3">
        <v>96607</v>
      </c>
      <c r="D461" s="3" t="s">
        <v>2002</v>
      </c>
      <c r="E461" s="3">
        <v>20532515018</v>
      </c>
      <c r="F461" s="3" t="s">
        <v>2003</v>
      </c>
      <c r="G461" s="3" t="s">
        <v>2004</v>
      </c>
      <c r="H461" s="3" t="s">
        <v>202</v>
      </c>
      <c r="I461" s="3" t="s">
        <v>202</v>
      </c>
      <c r="J461" s="3" t="s">
        <v>202</v>
      </c>
      <c r="K461" s="3" t="s">
        <v>2005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 t="s">
        <v>546</v>
      </c>
      <c r="AL461" s="4">
        <v>41403</v>
      </c>
      <c r="AM461" s="3"/>
      <c r="AN461" s="3" t="s">
        <v>2006</v>
      </c>
    </row>
    <row r="462" spans="1:40" x14ac:dyDescent="0.3">
      <c r="A462" s="3">
        <v>456</v>
      </c>
      <c r="B462" s="3" t="str">
        <f>"201300164321"</f>
        <v>201300164321</v>
      </c>
      <c r="C462" s="3">
        <v>105916</v>
      </c>
      <c r="D462" s="3" t="s">
        <v>2007</v>
      </c>
      <c r="E462" s="3">
        <v>10431599592</v>
      </c>
      <c r="F462" s="3" t="s">
        <v>2008</v>
      </c>
      <c r="G462" s="3" t="s">
        <v>2009</v>
      </c>
      <c r="H462" s="3" t="s">
        <v>357</v>
      </c>
      <c r="I462" s="3" t="s">
        <v>357</v>
      </c>
      <c r="J462" s="3" t="s">
        <v>357</v>
      </c>
      <c r="K462" s="3" t="s">
        <v>2010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 t="s">
        <v>546</v>
      </c>
      <c r="AL462" s="3" t="s">
        <v>290</v>
      </c>
      <c r="AM462" s="3"/>
      <c r="AN462" s="3" t="s">
        <v>2008</v>
      </c>
    </row>
    <row r="463" spans="1:40" x14ac:dyDescent="0.3">
      <c r="A463" s="3">
        <v>457</v>
      </c>
      <c r="B463" s="3" t="str">
        <f>"1583278"</f>
        <v>1583278</v>
      </c>
      <c r="C463" s="3">
        <v>39474</v>
      </c>
      <c r="D463" s="3" t="s">
        <v>2011</v>
      </c>
      <c r="E463" s="3">
        <v>10295549993</v>
      </c>
      <c r="F463" s="3" t="s">
        <v>2012</v>
      </c>
      <c r="G463" s="3" t="s">
        <v>2013</v>
      </c>
      <c r="H463" s="3" t="s">
        <v>97</v>
      </c>
      <c r="I463" s="3" t="s">
        <v>97</v>
      </c>
      <c r="J463" s="3" t="s">
        <v>341</v>
      </c>
      <c r="K463" s="3" t="s">
        <v>2014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 t="s">
        <v>81</v>
      </c>
      <c r="AL463" s="4">
        <v>38726</v>
      </c>
      <c r="AM463" s="3"/>
      <c r="AN463" s="3"/>
    </row>
    <row r="464" spans="1:40" x14ac:dyDescent="0.3">
      <c r="A464" s="3">
        <v>458</v>
      </c>
      <c r="B464" s="3" t="str">
        <f>"1337634"</f>
        <v>1337634</v>
      </c>
      <c r="C464" s="3">
        <v>21368</v>
      </c>
      <c r="D464" s="3" t="s">
        <v>2015</v>
      </c>
      <c r="E464" s="3">
        <v>20101205780</v>
      </c>
      <c r="F464" s="3" t="s">
        <v>2016</v>
      </c>
      <c r="G464" s="3" t="s">
        <v>2017</v>
      </c>
      <c r="H464" s="3" t="s">
        <v>56</v>
      </c>
      <c r="I464" s="3" t="s">
        <v>56</v>
      </c>
      <c r="J464" s="3" t="s">
        <v>273</v>
      </c>
      <c r="K464" s="3" t="s">
        <v>2018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 t="s">
        <v>187</v>
      </c>
      <c r="AL464" s="4">
        <v>37180</v>
      </c>
      <c r="AM464" s="3"/>
      <c r="AN464" s="3"/>
    </row>
    <row r="465" spans="1:40" x14ac:dyDescent="0.3">
      <c r="A465" s="3">
        <v>459</v>
      </c>
      <c r="B465" s="3" t="str">
        <f>"201500021746"</f>
        <v>201500021746</v>
      </c>
      <c r="C465" s="3">
        <v>85643</v>
      </c>
      <c r="D465" s="3" t="s">
        <v>2019</v>
      </c>
      <c r="E465" s="3">
        <v>20554545743</v>
      </c>
      <c r="F465" s="3" t="s">
        <v>2020</v>
      </c>
      <c r="G465" s="3" t="s">
        <v>2021</v>
      </c>
      <c r="H465" s="3" t="s">
        <v>56</v>
      </c>
      <c r="I465" s="3" t="s">
        <v>56</v>
      </c>
      <c r="J465" s="3" t="s">
        <v>313</v>
      </c>
      <c r="K465" s="3" t="s">
        <v>2022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 t="s">
        <v>230</v>
      </c>
      <c r="AL465" s="3" t="s">
        <v>290</v>
      </c>
      <c r="AM465" s="3"/>
      <c r="AN465" s="3" t="s">
        <v>1262</v>
      </c>
    </row>
    <row r="466" spans="1:40" ht="27.95" x14ac:dyDescent="0.3">
      <c r="A466" s="3">
        <v>460</v>
      </c>
      <c r="B466" s="3" t="str">
        <f>"201400003354"</f>
        <v>201400003354</v>
      </c>
      <c r="C466" s="3">
        <v>98867</v>
      </c>
      <c r="D466" s="3" t="s">
        <v>2023</v>
      </c>
      <c r="E466" s="3">
        <v>20506151547</v>
      </c>
      <c r="F466" s="3" t="s">
        <v>2024</v>
      </c>
      <c r="G466" s="3" t="s">
        <v>2025</v>
      </c>
      <c r="H466" s="3" t="s">
        <v>56</v>
      </c>
      <c r="I466" s="3" t="s">
        <v>56</v>
      </c>
      <c r="J466" s="3" t="s">
        <v>653</v>
      </c>
      <c r="K466" s="3" t="s">
        <v>2026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 t="s">
        <v>81</v>
      </c>
      <c r="AL466" s="4">
        <v>41666</v>
      </c>
      <c r="AM466" s="3"/>
      <c r="AN466" s="3" t="s">
        <v>2027</v>
      </c>
    </row>
    <row r="467" spans="1:40" x14ac:dyDescent="0.3">
      <c r="A467" s="3">
        <v>461</v>
      </c>
      <c r="B467" s="3" t="str">
        <f>"201500021747"</f>
        <v>201500021747</v>
      </c>
      <c r="C467" s="3">
        <v>85646</v>
      </c>
      <c r="D467" s="3" t="s">
        <v>2028</v>
      </c>
      <c r="E467" s="3">
        <v>20554545743</v>
      </c>
      <c r="F467" s="3" t="s">
        <v>2029</v>
      </c>
      <c r="G467" s="3" t="s">
        <v>2030</v>
      </c>
      <c r="H467" s="3" t="s">
        <v>56</v>
      </c>
      <c r="I467" s="3" t="s">
        <v>56</v>
      </c>
      <c r="J467" s="3" t="s">
        <v>313</v>
      </c>
      <c r="K467" s="3" t="s">
        <v>2031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 t="s">
        <v>230</v>
      </c>
      <c r="AL467" s="3" t="s">
        <v>290</v>
      </c>
      <c r="AM467" s="3"/>
      <c r="AN467" s="3" t="s">
        <v>1262</v>
      </c>
    </row>
    <row r="468" spans="1:40" x14ac:dyDescent="0.3">
      <c r="A468" s="3">
        <v>462</v>
      </c>
      <c r="B468" s="3" t="str">
        <f>"1411539"</f>
        <v>1411539</v>
      </c>
      <c r="C468" s="3">
        <v>15958</v>
      </c>
      <c r="D468" s="3" t="s">
        <v>2032</v>
      </c>
      <c r="E468" s="3">
        <v>10292713113</v>
      </c>
      <c r="F468" s="3" t="s">
        <v>2033</v>
      </c>
      <c r="G468" s="3" t="s">
        <v>2034</v>
      </c>
      <c r="H468" s="3" t="s">
        <v>97</v>
      </c>
      <c r="I468" s="3" t="s">
        <v>97</v>
      </c>
      <c r="J468" s="3" t="s">
        <v>105</v>
      </c>
      <c r="K468" s="3" t="s">
        <v>2035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 t="s">
        <v>226</v>
      </c>
      <c r="AL468" s="4">
        <v>37739</v>
      </c>
      <c r="AM468" s="3"/>
      <c r="AN468" s="3"/>
    </row>
    <row r="469" spans="1:40" ht="27.95" x14ac:dyDescent="0.3">
      <c r="A469" s="3">
        <v>463</v>
      </c>
      <c r="B469" s="3" t="str">
        <f>"201900031680"</f>
        <v>201900031680</v>
      </c>
      <c r="C469" s="3">
        <v>140537</v>
      </c>
      <c r="D469" s="3" t="s">
        <v>2036</v>
      </c>
      <c r="E469" s="3">
        <v>10248849105</v>
      </c>
      <c r="F469" s="3" t="s">
        <v>2037</v>
      </c>
      <c r="G469" s="3" t="s">
        <v>2038</v>
      </c>
      <c r="H469" s="3" t="s">
        <v>97</v>
      </c>
      <c r="I469" s="3" t="s">
        <v>97</v>
      </c>
      <c r="J469" s="3" t="s">
        <v>2039</v>
      </c>
      <c r="K469" s="3" t="s">
        <v>2040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 t="s">
        <v>2041</v>
      </c>
      <c r="AL469" s="4">
        <v>43526</v>
      </c>
      <c r="AM469" s="3"/>
      <c r="AN469" s="3" t="s">
        <v>2037</v>
      </c>
    </row>
    <row r="470" spans="1:40" ht="27.95" x14ac:dyDescent="0.3">
      <c r="A470" s="3">
        <v>464</v>
      </c>
      <c r="B470" s="3" t="str">
        <f>"201500021745"</f>
        <v>201500021745</v>
      </c>
      <c r="C470" s="3">
        <v>43101</v>
      </c>
      <c r="D470" s="3" t="s">
        <v>2042</v>
      </c>
      <c r="E470" s="3">
        <v>20554545743</v>
      </c>
      <c r="F470" s="3" t="s">
        <v>2029</v>
      </c>
      <c r="G470" s="3" t="s">
        <v>2043</v>
      </c>
      <c r="H470" s="3" t="s">
        <v>56</v>
      </c>
      <c r="I470" s="3" t="s">
        <v>56</v>
      </c>
      <c r="J470" s="3" t="s">
        <v>313</v>
      </c>
      <c r="K470" s="3" t="s">
        <v>2044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 t="s">
        <v>2045</v>
      </c>
      <c r="AL470" s="3" t="s">
        <v>290</v>
      </c>
      <c r="AM470" s="3"/>
      <c r="AN470" s="3" t="s">
        <v>2046</v>
      </c>
    </row>
    <row r="471" spans="1:40" ht="27.95" x14ac:dyDescent="0.3">
      <c r="A471" s="3">
        <v>465</v>
      </c>
      <c r="B471" s="3" t="str">
        <f>"201500023904"</f>
        <v>201500023904</v>
      </c>
      <c r="C471" s="3">
        <v>114049</v>
      </c>
      <c r="D471" s="3" t="s">
        <v>2047</v>
      </c>
      <c r="E471" s="3">
        <v>20525800050</v>
      </c>
      <c r="F471" s="3" t="s">
        <v>2048</v>
      </c>
      <c r="G471" s="3" t="s">
        <v>2049</v>
      </c>
      <c r="H471" s="3" t="s">
        <v>50</v>
      </c>
      <c r="I471" s="3" t="s">
        <v>2050</v>
      </c>
      <c r="J471" s="3" t="s">
        <v>2050</v>
      </c>
      <c r="K471" s="3" t="s">
        <v>2051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 t="s">
        <v>2052</v>
      </c>
      <c r="AL471" s="4">
        <v>42075</v>
      </c>
      <c r="AM471" s="3"/>
      <c r="AN471" s="3" t="s">
        <v>2053</v>
      </c>
    </row>
    <row r="472" spans="1:40" ht="27.95" x14ac:dyDescent="0.3">
      <c r="A472" s="3">
        <v>466</v>
      </c>
      <c r="B472" s="3" t="str">
        <f>"1458302"</f>
        <v>1458302</v>
      </c>
      <c r="C472" s="3">
        <v>90095</v>
      </c>
      <c r="D472" s="3" t="s">
        <v>2054</v>
      </c>
      <c r="E472" s="3">
        <v>20516511975</v>
      </c>
      <c r="F472" s="3" t="s">
        <v>2055</v>
      </c>
      <c r="G472" s="3" t="s">
        <v>2056</v>
      </c>
      <c r="H472" s="3" t="s">
        <v>56</v>
      </c>
      <c r="I472" s="3" t="s">
        <v>56</v>
      </c>
      <c r="J472" s="3" t="s">
        <v>155</v>
      </c>
      <c r="K472" s="3" t="s">
        <v>2057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 t="s">
        <v>538</v>
      </c>
      <c r="AL472" s="4">
        <v>40539</v>
      </c>
      <c r="AM472" s="3"/>
      <c r="AN472" s="3" t="s">
        <v>2058</v>
      </c>
    </row>
    <row r="473" spans="1:40" x14ac:dyDescent="0.3">
      <c r="A473" s="3">
        <v>467</v>
      </c>
      <c r="B473" s="3" t="str">
        <f>"201300125000"</f>
        <v>201300125000</v>
      </c>
      <c r="C473" s="3">
        <v>104334</v>
      </c>
      <c r="D473" s="3" t="s">
        <v>2059</v>
      </c>
      <c r="E473" s="3">
        <v>20543992942</v>
      </c>
      <c r="F473" s="3" t="s">
        <v>540</v>
      </c>
      <c r="G473" s="3" t="s">
        <v>541</v>
      </c>
      <c r="H473" s="3" t="s">
        <v>56</v>
      </c>
      <c r="I473" s="3" t="s">
        <v>56</v>
      </c>
      <c r="J473" s="3" t="s">
        <v>380</v>
      </c>
      <c r="K473" s="3" t="s">
        <v>2060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 t="s">
        <v>645</v>
      </c>
      <c r="AL473" s="4">
        <v>41486</v>
      </c>
      <c r="AM473" s="3"/>
      <c r="AN473" s="3" t="s">
        <v>543</v>
      </c>
    </row>
    <row r="474" spans="1:40" x14ac:dyDescent="0.3">
      <c r="A474" s="3">
        <v>468</v>
      </c>
      <c r="B474" s="3" t="str">
        <f>"201400105479"</f>
        <v>201400105479</v>
      </c>
      <c r="C474" s="3">
        <v>111070</v>
      </c>
      <c r="D474" s="3" t="s">
        <v>2061</v>
      </c>
      <c r="E474" s="3">
        <v>20456139923</v>
      </c>
      <c r="F474" s="3" t="s">
        <v>2062</v>
      </c>
      <c r="G474" s="3" t="s">
        <v>2063</v>
      </c>
      <c r="H474" s="3" t="s">
        <v>97</v>
      </c>
      <c r="I474" s="3" t="s">
        <v>97</v>
      </c>
      <c r="J474" s="3" t="s">
        <v>2064</v>
      </c>
      <c r="K474" s="3" t="s">
        <v>2065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 t="s">
        <v>2066</v>
      </c>
      <c r="AL474" s="4">
        <v>41907</v>
      </c>
      <c r="AM474" s="3"/>
      <c r="AN474" s="3" t="s">
        <v>2067</v>
      </c>
    </row>
    <row r="475" spans="1:40" x14ac:dyDescent="0.3">
      <c r="A475" s="3">
        <v>469</v>
      </c>
      <c r="B475" s="3" t="str">
        <f>"1479701"</f>
        <v>1479701</v>
      </c>
      <c r="C475" s="3">
        <v>92080</v>
      </c>
      <c r="D475" s="3" t="s">
        <v>2068</v>
      </c>
      <c r="E475" s="3">
        <v>20153236551</v>
      </c>
      <c r="F475" s="3" t="s">
        <v>1179</v>
      </c>
      <c r="G475" s="3" t="s">
        <v>2069</v>
      </c>
      <c r="H475" s="3" t="s">
        <v>56</v>
      </c>
      <c r="I475" s="3" t="s">
        <v>422</v>
      </c>
      <c r="J475" s="3" t="s">
        <v>869</v>
      </c>
      <c r="K475" s="3" t="s">
        <v>2070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 t="s">
        <v>864</v>
      </c>
      <c r="AL475" s="4">
        <v>40683</v>
      </c>
      <c r="AM475" s="3"/>
      <c r="AN475" s="3" t="s">
        <v>1183</v>
      </c>
    </row>
    <row r="476" spans="1:40" x14ac:dyDescent="0.3">
      <c r="A476" s="3">
        <v>470</v>
      </c>
      <c r="B476" s="3" t="str">
        <f>"201500093212"</f>
        <v>201500093212</v>
      </c>
      <c r="C476" s="3">
        <v>116426</v>
      </c>
      <c r="D476" s="3" t="s">
        <v>2071</v>
      </c>
      <c r="E476" s="3">
        <v>20543992942</v>
      </c>
      <c r="F476" s="3" t="s">
        <v>540</v>
      </c>
      <c r="G476" s="3" t="s">
        <v>2072</v>
      </c>
      <c r="H476" s="3" t="s">
        <v>56</v>
      </c>
      <c r="I476" s="3" t="s">
        <v>56</v>
      </c>
      <c r="J476" s="3" t="s">
        <v>529</v>
      </c>
      <c r="K476" s="3" t="s">
        <v>2073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 t="s">
        <v>614</v>
      </c>
      <c r="AL476" s="4">
        <v>42219</v>
      </c>
      <c r="AM476" s="3"/>
      <c r="AN476" s="3" t="s">
        <v>2074</v>
      </c>
    </row>
    <row r="477" spans="1:40" x14ac:dyDescent="0.3">
      <c r="A477" s="3">
        <v>471</v>
      </c>
      <c r="B477" s="3" t="str">
        <f>"201900123851"</f>
        <v>201900123851</v>
      </c>
      <c r="C477" s="3">
        <v>145562</v>
      </c>
      <c r="D477" s="3" t="s">
        <v>2075</v>
      </c>
      <c r="E477" s="3">
        <v>10313020440</v>
      </c>
      <c r="F477" s="3" t="s">
        <v>2076</v>
      </c>
      <c r="G477" s="3" t="s">
        <v>2077</v>
      </c>
      <c r="H477" s="3" t="s">
        <v>56</v>
      </c>
      <c r="I477" s="3" t="s">
        <v>56</v>
      </c>
      <c r="J477" s="3" t="s">
        <v>277</v>
      </c>
      <c r="K477" s="3" t="s">
        <v>2078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 t="s">
        <v>2079</v>
      </c>
      <c r="AL477" s="4">
        <v>43684</v>
      </c>
      <c r="AM477" s="3"/>
      <c r="AN477" s="3" t="s">
        <v>2076</v>
      </c>
    </row>
    <row r="478" spans="1:40" x14ac:dyDescent="0.3">
      <c r="A478" s="3">
        <v>472</v>
      </c>
      <c r="B478" s="3" t="str">
        <f>"201900008625"</f>
        <v>201900008625</v>
      </c>
      <c r="C478" s="3">
        <v>93256</v>
      </c>
      <c r="D478" s="3" t="s">
        <v>2080</v>
      </c>
      <c r="E478" s="3">
        <v>20600657241</v>
      </c>
      <c r="F478" s="3" t="s">
        <v>2081</v>
      </c>
      <c r="G478" s="3" t="s">
        <v>2082</v>
      </c>
      <c r="H478" s="3" t="s">
        <v>395</v>
      </c>
      <c r="I478" s="3" t="s">
        <v>396</v>
      </c>
      <c r="J478" s="3" t="s">
        <v>490</v>
      </c>
      <c r="K478" s="3" t="s">
        <v>2083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 t="s">
        <v>1679</v>
      </c>
      <c r="AL478" s="4">
        <v>43487</v>
      </c>
      <c r="AM478" s="3"/>
      <c r="AN478" s="3" t="s">
        <v>2084</v>
      </c>
    </row>
    <row r="479" spans="1:40" x14ac:dyDescent="0.3">
      <c r="A479" s="3">
        <v>473</v>
      </c>
      <c r="B479" s="3" t="str">
        <f>"1177881"</f>
        <v>1177881</v>
      </c>
      <c r="C479" s="3">
        <v>6724</v>
      </c>
      <c r="D479" s="3">
        <v>1177881</v>
      </c>
      <c r="E479" s="3">
        <v>20132950181</v>
      </c>
      <c r="F479" s="3" t="s">
        <v>2085</v>
      </c>
      <c r="G479" s="3" t="s">
        <v>2086</v>
      </c>
      <c r="H479" s="3" t="s">
        <v>89</v>
      </c>
      <c r="I479" s="3" t="s">
        <v>89</v>
      </c>
      <c r="J479" s="3" t="s">
        <v>89</v>
      </c>
      <c r="K479" s="3" t="s">
        <v>2087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 t="s">
        <v>81</v>
      </c>
      <c r="AL479" s="4">
        <v>35892</v>
      </c>
      <c r="AM479" s="3"/>
      <c r="AN479" s="3"/>
    </row>
    <row r="480" spans="1:40" ht="27.95" x14ac:dyDescent="0.3">
      <c r="A480" s="3">
        <v>474</v>
      </c>
      <c r="B480" s="3" t="str">
        <f>"201400003344"</f>
        <v>201400003344</v>
      </c>
      <c r="C480" s="3">
        <v>97637</v>
      </c>
      <c r="D480" s="3" t="s">
        <v>2088</v>
      </c>
      <c r="E480" s="3">
        <v>20506151547</v>
      </c>
      <c r="F480" s="3" t="s">
        <v>2024</v>
      </c>
      <c r="G480" s="3" t="s">
        <v>2025</v>
      </c>
      <c r="H480" s="3" t="s">
        <v>56</v>
      </c>
      <c r="I480" s="3" t="s">
        <v>56</v>
      </c>
      <c r="J480" s="3" t="s">
        <v>653</v>
      </c>
      <c r="K480" s="3" t="s">
        <v>2089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 t="s">
        <v>187</v>
      </c>
      <c r="AL480" s="4">
        <v>41666</v>
      </c>
      <c r="AM480" s="3"/>
      <c r="AN480" s="3" t="s">
        <v>2090</v>
      </c>
    </row>
    <row r="481" spans="1:40" ht="27.95" x14ac:dyDescent="0.3">
      <c r="A481" s="3">
        <v>475</v>
      </c>
      <c r="B481" s="3" t="str">
        <f>"201900070950"</f>
        <v>201900070950</v>
      </c>
      <c r="C481" s="3">
        <v>132805</v>
      </c>
      <c r="D481" s="3" t="s">
        <v>2091</v>
      </c>
      <c r="E481" s="3">
        <v>10254801289</v>
      </c>
      <c r="F481" s="3" t="s">
        <v>1355</v>
      </c>
      <c r="G481" s="3" t="s">
        <v>2092</v>
      </c>
      <c r="H481" s="3" t="s">
        <v>75</v>
      </c>
      <c r="I481" s="3" t="s">
        <v>75</v>
      </c>
      <c r="J481" s="3" t="s">
        <v>76</v>
      </c>
      <c r="K481" s="3" t="s">
        <v>2093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 t="s">
        <v>118</v>
      </c>
      <c r="AL481" s="4">
        <v>43599</v>
      </c>
      <c r="AM481" s="3"/>
      <c r="AN481" s="3" t="s">
        <v>1355</v>
      </c>
    </row>
    <row r="482" spans="1:40" x14ac:dyDescent="0.3">
      <c r="A482" s="3">
        <v>476</v>
      </c>
      <c r="B482" s="3" t="str">
        <f>"1483651"</f>
        <v>1483651</v>
      </c>
      <c r="C482" s="3">
        <v>15493</v>
      </c>
      <c r="D482" s="3" t="s">
        <v>2094</v>
      </c>
      <c r="E482" s="3">
        <v>20264870721</v>
      </c>
      <c r="F482" s="3" t="s">
        <v>2095</v>
      </c>
      <c r="G482" s="3" t="s">
        <v>2096</v>
      </c>
      <c r="H482" s="3" t="s">
        <v>56</v>
      </c>
      <c r="I482" s="3" t="s">
        <v>56</v>
      </c>
      <c r="J482" s="3" t="s">
        <v>529</v>
      </c>
      <c r="K482" s="3" t="s">
        <v>2097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 t="s">
        <v>2098</v>
      </c>
      <c r="AL482" s="4">
        <v>40689</v>
      </c>
      <c r="AM482" s="3"/>
      <c r="AN482" s="3" t="s">
        <v>2099</v>
      </c>
    </row>
    <row r="483" spans="1:40" x14ac:dyDescent="0.3">
      <c r="A483" s="3">
        <v>477</v>
      </c>
      <c r="B483" s="3" t="str">
        <f>"201500021754"</f>
        <v>201500021754</v>
      </c>
      <c r="C483" s="3">
        <v>84126</v>
      </c>
      <c r="D483" s="3" t="s">
        <v>2100</v>
      </c>
      <c r="E483" s="3">
        <v>20554545743</v>
      </c>
      <c r="F483" s="3" t="s">
        <v>2020</v>
      </c>
      <c r="G483" s="3" t="s">
        <v>2101</v>
      </c>
      <c r="H483" s="3" t="s">
        <v>56</v>
      </c>
      <c r="I483" s="3" t="s">
        <v>56</v>
      </c>
      <c r="J483" s="3" t="s">
        <v>313</v>
      </c>
      <c r="K483" s="3" t="s">
        <v>2102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 t="s">
        <v>607</v>
      </c>
      <c r="AL483" s="3" t="s">
        <v>290</v>
      </c>
      <c r="AM483" s="3"/>
      <c r="AN483" s="3" t="s">
        <v>1262</v>
      </c>
    </row>
    <row r="484" spans="1:40" x14ac:dyDescent="0.3">
      <c r="A484" s="3">
        <v>478</v>
      </c>
      <c r="B484" s="3" t="str">
        <f>"201900049122"</f>
        <v>201900049122</v>
      </c>
      <c r="C484" s="3">
        <v>142276</v>
      </c>
      <c r="D484" s="3" t="s">
        <v>2103</v>
      </c>
      <c r="E484" s="3">
        <v>10441078728</v>
      </c>
      <c r="F484" s="3" t="s">
        <v>2104</v>
      </c>
      <c r="G484" s="3" t="s">
        <v>2105</v>
      </c>
      <c r="H484" s="3" t="s">
        <v>56</v>
      </c>
      <c r="I484" s="3" t="s">
        <v>56</v>
      </c>
      <c r="J484" s="3" t="s">
        <v>363</v>
      </c>
      <c r="K484" s="3" t="s">
        <v>2106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 t="s">
        <v>187</v>
      </c>
      <c r="AL484" s="4">
        <v>43553</v>
      </c>
      <c r="AM484" s="3"/>
      <c r="AN484" s="3" t="s">
        <v>2104</v>
      </c>
    </row>
    <row r="485" spans="1:40" x14ac:dyDescent="0.3">
      <c r="A485" s="3">
        <v>479</v>
      </c>
      <c r="B485" s="3" t="str">
        <f>"201300073588"</f>
        <v>201300073588</v>
      </c>
      <c r="C485" s="3">
        <v>102240</v>
      </c>
      <c r="D485" s="3" t="s">
        <v>2107</v>
      </c>
      <c r="E485" s="3">
        <v>10236790351</v>
      </c>
      <c r="F485" s="3" t="s">
        <v>2108</v>
      </c>
      <c r="G485" s="3" t="s">
        <v>2109</v>
      </c>
      <c r="H485" s="3" t="s">
        <v>2110</v>
      </c>
      <c r="I485" s="3" t="s">
        <v>2111</v>
      </c>
      <c r="J485" s="3" t="s">
        <v>2111</v>
      </c>
      <c r="K485" s="3" t="s">
        <v>2112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 t="s">
        <v>2113</v>
      </c>
      <c r="AL485" s="4">
        <v>41376</v>
      </c>
      <c r="AM485" s="3"/>
      <c r="AN485" s="3" t="s">
        <v>2108</v>
      </c>
    </row>
    <row r="486" spans="1:40" ht="27.95" x14ac:dyDescent="0.3">
      <c r="A486" s="3">
        <v>480</v>
      </c>
      <c r="B486" s="3" t="str">
        <f>"201600063714"</f>
        <v>201600063714</v>
      </c>
      <c r="C486" s="3">
        <v>121189</v>
      </c>
      <c r="D486" s="3" t="s">
        <v>2114</v>
      </c>
      <c r="E486" s="3">
        <v>20600853806</v>
      </c>
      <c r="F486" s="3" t="s">
        <v>2115</v>
      </c>
      <c r="G486" s="3" t="s">
        <v>2116</v>
      </c>
      <c r="H486" s="3" t="s">
        <v>75</v>
      </c>
      <c r="I486" s="3" t="s">
        <v>75</v>
      </c>
      <c r="J486" s="3" t="s">
        <v>76</v>
      </c>
      <c r="K486" s="3" t="s">
        <v>2117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 t="s">
        <v>1481</v>
      </c>
      <c r="AL486" s="4">
        <v>42528</v>
      </c>
      <c r="AM486" s="3"/>
      <c r="AN486" s="3" t="s">
        <v>2118</v>
      </c>
    </row>
    <row r="487" spans="1:40" x14ac:dyDescent="0.3">
      <c r="A487" s="3">
        <v>481</v>
      </c>
      <c r="B487" s="3" t="str">
        <f>"201500021750"</f>
        <v>201500021750</v>
      </c>
      <c r="C487" s="3">
        <v>60953</v>
      </c>
      <c r="D487" s="3" t="s">
        <v>2119</v>
      </c>
      <c r="E487" s="3">
        <v>20554545743</v>
      </c>
      <c r="F487" s="3" t="s">
        <v>2029</v>
      </c>
      <c r="G487" s="3" t="s">
        <v>2120</v>
      </c>
      <c r="H487" s="3" t="s">
        <v>56</v>
      </c>
      <c r="I487" s="3" t="s">
        <v>56</v>
      </c>
      <c r="J487" s="3" t="s">
        <v>313</v>
      </c>
      <c r="K487" s="3" t="s">
        <v>2121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 t="s">
        <v>230</v>
      </c>
      <c r="AL487" s="3" t="s">
        <v>290</v>
      </c>
      <c r="AM487" s="3"/>
      <c r="AN487" s="3" t="s">
        <v>1262</v>
      </c>
    </row>
    <row r="488" spans="1:40" x14ac:dyDescent="0.3">
      <c r="A488" s="3">
        <v>482</v>
      </c>
      <c r="B488" s="3" t="str">
        <f>"1126146"</f>
        <v>1126146</v>
      </c>
      <c r="C488" s="3">
        <v>3497</v>
      </c>
      <c r="D488" s="3">
        <v>1063213</v>
      </c>
      <c r="E488" s="3">
        <v>10066423145</v>
      </c>
      <c r="F488" s="3" t="s">
        <v>2122</v>
      </c>
      <c r="G488" s="3" t="s">
        <v>2123</v>
      </c>
      <c r="H488" s="3" t="s">
        <v>56</v>
      </c>
      <c r="I488" s="3" t="s">
        <v>56</v>
      </c>
      <c r="J488" s="3" t="s">
        <v>838</v>
      </c>
      <c r="K488" s="3" t="s">
        <v>2124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 t="s">
        <v>1127</v>
      </c>
      <c r="AL488" s="4">
        <v>35573</v>
      </c>
      <c r="AM488" s="3"/>
      <c r="AN488" s="3"/>
    </row>
    <row r="489" spans="1:40" x14ac:dyDescent="0.3">
      <c r="A489" s="3">
        <v>483</v>
      </c>
      <c r="B489" s="3" t="str">
        <f>"1489243"</f>
        <v>1489243</v>
      </c>
      <c r="C489" s="3">
        <v>31625</v>
      </c>
      <c r="D489" s="3" t="s">
        <v>2125</v>
      </c>
      <c r="E489" s="3">
        <v>10266749649</v>
      </c>
      <c r="F489" s="3" t="s">
        <v>2126</v>
      </c>
      <c r="G489" s="3" t="s">
        <v>2127</v>
      </c>
      <c r="H489" s="3" t="s">
        <v>357</v>
      </c>
      <c r="I489" s="3" t="s">
        <v>357</v>
      </c>
      <c r="J489" s="3" t="s">
        <v>357</v>
      </c>
      <c r="K489" s="3" t="s">
        <v>2128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 t="s">
        <v>218</v>
      </c>
      <c r="AL489" s="4">
        <v>38202</v>
      </c>
      <c r="AM489" s="3"/>
      <c r="AN489" s="3"/>
    </row>
    <row r="490" spans="1:40" ht="27.95" x14ac:dyDescent="0.3">
      <c r="A490" s="3">
        <v>484</v>
      </c>
      <c r="B490" s="3" t="str">
        <f>"1942229"</f>
        <v>1942229</v>
      </c>
      <c r="C490" s="3">
        <v>83932</v>
      </c>
      <c r="D490" s="3" t="s">
        <v>2129</v>
      </c>
      <c r="E490" s="3">
        <v>10205376211</v>
      </c>
      <c r="F490" s="3" t="s">
        <v>2130</v>
      </c>
      <c r="G490" s="3" t="s">
        <v>2131</v>
      </c>
      <c r="H490" s="3" t="s">
        <v>56</v>
      </c>
      <c r="I490" s="3" t="s">
        <v>56</v>
      </c>
      <c r="J490" s="3" t="s">
        <v>715</v>
      </c>
      <c r="K490" s="3" t="s">
        <v>2132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 t="s">
        <v>2133</v>
      </c>
      <c r="AL490" s="4">
        <v>40151</v>
      </c>
      <c r="AM490" s="3"/>
      <c r="AN490" s="3"/>
    </row>
    <row r="491" spans="1:40" x14ac:dyDescent="0.3">
      <c r="A491" s="3">
        <v>485</v>
      </c>
      <c r="B491" s="3" t="str">
        <f>"201700031372"</f>
        <v>201700031372</v>
      </c>
      <c r="C491" s="3">
        <v>121042</v>
      </c>
      <c r="D491" s="3" t="s">
        <v>2134</v>
      </c>
      <c r="E491" s="3">
        <v>20351516560</v>
      </c>
      <c r="F491" s="3" t="s">
        <v>515</v>
      </c>
      <c r="G491" s="3" t="s">
        <v>516</v>
      </c>
      <c r="H491" s="3" t="s">
        <v>395</v>
      </c>
      <c r="I491" s="3" t="s">
        <v>396</v>
      </c>
      <c r="J491" s="3" t="s">
        <v>397</v>
      </c>
      <c r="K491" s="3" t="s">
        <v>2135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 t="s">
        <v>518</v>
      </c>
      <c r="AL491" s="4">
        <v>42920</v>
      </c>
      <c r="AM491" s="3"/>
      <c r="AN491" s="3" t="s">
        <v>519</v>
      </c>
    </row>
    <row r="492" spans="1:40" x14ac:dyDescent="0.3">
      <c r="A492" s="3">
        <v>486</v>
      </c>
      <c r="B492" s="3" t="str">
        <f>"1489242"</f>
        <v>1489242</v>
      </c>
      <c r="C492" s="3">
        <v>39126</v>
      </c>
      <c r="D492" s="3" t="s">
        <v>2136</v>
      </c>
      <c r="E492" s="3">
        <v>20166717389</v>
      </c>
      <c r="F492" s="3" t="s">
        <v>2137</v>
      </c>
      <c r="G492" s="3" t="s">
        <v>2138</v>
      </c>
      <c r="H492" s="3" t="s">
        <v>357</v>
      </c>
      <c r="I492" s="3" t="s">
        <v>357</v>
      </c>
      <c r="J492" s="3" t="s">
        <v>357</v>
      </c>
      <c r="K492" s="3" t="s">
        <v>2139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 t="s">
        <v>2140</v>
      </c>
      <c r="AL492" s="4">
        <v>38203</v>
      </c>
      <c r="AM492" s="3"/>
      <c r="AN492" s="3"/>
    </row>
    <row r="493" spans="1:40" x14ac:dyDescent="0.3">
      <c r="A493" s="3">
        <v>487</v>
      </c>
      <c r="B493" s="3" t="str">
        <f>"1416358"</f>
        <v>1416358</v>
      </c>
      <c r="C493" s="3">
        <v>34156</v>
      </c>
      <c r="D493" s="3" t="s">
        <v>2141</v>
      </c>
      <c r="E493" s="3">
        <v>10085148881</v>
      </c>
      <c r="F493" s="3" t="s">
        <v>2142</v>
      </c>
      <c r="G493" s="3" t="s">
        <v>2143</v>
      </c>
      <c r="H493" s="3" t="s">
        <v>56</v>
      </c>
      <c r="I493" s="3" t="s">
        <v>56</v>
      </c>
      <c r="J493" s="3" t="s">
        <v>63</v>
      </c>
      <c r="K493" s="3" t="s">
        <v>2144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 t="s">
        <v>157</v>
      </c>
      <c r="AL493" s="4">
        <v>37813</v>
      </c>
      <c r="AM493" s="3"/>
      <c r="AN493" s="3"/>
    </row>
    <row r="494" spans="1:40" x14ac:dyDescent="0.3">
      <c r="A494" s="3">
        <v>488</v>
      </c>
      <c r="B494" s="3" t="str">
        <f>"1416359"</f>
        <v>1416359</v>
      </c>
      <c r="C494" s="3">
        <v>34166</v>
      </c>
      <c r="D494" s="3" t="s">
        <v>2145</v>
      </c>
      <c r="E494" s="3">
        <v>10085148881</v>
      </c>
      <c r="F494" s="3" t="s">
        <v>2142</v>
      </c>
      <c r="G494" s="3" t="s">
        <v>2143</v>
      </c>
      <c r="H494" s="3" t="s">
        <v>56</v>
      </c>
      <c r="I494" s="3" t="s">
        <v>56</v>
      </c>
      <c r="J494" s="3" t="s">
        <v>63</v>
      </c>
      <c r="K494" s="3" t="s">
        <v>2146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 t="s">
        <v>81</v>
      </c>
      <c r="AL494" s="4">
        <v>37813</v>
      </c>
      <c r="AM494" s="3"/>
      <c r="AN494" s="3"/>
    </row>
    <row r="495" spans="1:40" x14ac:dyDescent="0.3">
      <c r="A495" s="3">
        <v>489</v>
      </c>
      <c r="B495" s="3" t="str">
        <f>"1416356"</f>
        <v>1416356</v>
      </c>
      <c r="C495" s="3">
        <v>34139</v>
      </c>
      <c r="D495" s="3" t="s">
        <v>2147</v>
      </c>
      <c r="E495" s="3">
        <v>10085148881</v>
      </c>
      <c r="F495" s="3" t="s">
        <v>2142</v>
      </c>
      <c r="G495" s="3" t="s">
        <v>2143</v>
      </c>
      <c r="H495" s="3" t="s">
        <v>56</v>
      </c>
      <c r="I495" s="3" t="s">
        <v>56</v>
      </c>
      <c r="J495" s="3" t="s">
        <v>63</v>
      </c>
      <c r="K495" s="3" t="s">
        <v>2148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 t="s">
        <v>81</v>
      </c>
      <c r="AL495" s="4">
        <v>37816</v>
      </c>
      <c r="AM495" s="3"/>
      <c r="AN495" s="3"/>
    </row>
    <row r="496" spans="1:40" ht="27.95" x14ac:dyDescent="0.3">
      <c r="A496" s="3">
        <v>490</v>
      </c>
      <c r="B496" s="3" t="str">
        <f>"201600027185"</f>
        <v>201600027185</v>
      </c>
      <c r="C496" s="3">
        <v>120128</v>
      </c>
      <c r="D496" s="3" t="s">
        <v>2149</v>
      </c>
      <c r="E496" s="3">
        <v>10418799205</v>
      </c>
      <c r="F496" s="3" t="s">
        <v>2150</v>
      </c>
      <c r="G496" s="3" t="s">
        <v>2151</v>
      </c>
      <c r="H496" s="3" t="s">
        <v>446</v>
      </c>
      <c r="I496" s="3" t="s">
        <v>895</v>
      </c>
      <c r="J496" s="3" t="s">
        <v>896</v>
      </c>
      <c r="K496" s="3" t="s">
        <v>2152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 t="s">
        <v>157</v>
      </c>
      <c r="AL496" s="4">
        <v>42426</v>
      </c>
      <c r="AM496" s="3"/>
      <c r="AN496" s="3" t="s">
        <v>2150</v>
      </c>
    </row>
    <row r="497" spans="1:40" ht="27.95" x14ac:dyDescent="0.3">
      <c r="A497" s="3">
        <v>491</v>
      </c>
      <c r="B497" s="3" t="str">
        <f>"1603461"</f>
        <v>1603461</v>
      </c>
      <c r="C497" s="3">
        <v>43252</v>
      </c>
      <c r="D497" s="3" t="s">
        <v>2153</v>
      </c>
      <c r="E497" s="3">
        <v>10258247634</v>
      </c>
      <c r="F497" s="3" t="s">
        <v>2154</v>
      </c>
      <c r="G497" s="3" t="s">
        <v>2155</v>
      </c>
      <c r="H497" s="3" t="s">
        <v>75</v>
      </c>
      <c r="I497" s="3" t="s">
        <v>75</v>
      </c>
      <c r="J497" s="3" t="s">
        <v>1358</v>
      </c>
      <c r="K497" s="3" t="s">
        <v>2156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 t="s">
        <v>226</v>
      </c>
      <c r="AL497" s="4">
        <v>38957</v>
      </c>
      <c r="AM497" s="3"/>
      <c r="AN497" s="3"/>
    </row>
    <row r="498" spans="1:40" x14ac:dyDescent="0.3">
      <c r="A498" s="3">
        <v>492</v>
      </c>
      <c r="B498" s="3" t="str">
        <f>"1442928"</f>
        <v>1442928</v>
      </c>
      <c r="C498" s="3">
        <v>34364</v>
      </c>
      <c r="D498" s="3" t="s">
        <v>2157</v>
      </c>
      <c r="E498" s="3">
        <v>20262254268</v>
      </c>
      <c r="F498" s="3" t="s">
        <v>103</v>
      </c>
      <c r="G498" s="3" t="s">
        <v>104</v>
      </c>
      <c r="H498" s="3" t="s">
        <v>56</v>
      </c>
      <c r="I498" s="3" t="s">
        <v>56</v>
      </c>
      <c r="J498" s="3" t="s">
        <v>105</v>
      </c>
      <c r="K498" s="3" t="s">
        <v>2158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 t="s">
        <v>574</v>
      </c>
      <c r="AL498" s="4">
        <v>37967</v>
      </c>
      <c r="AM498" s="3"/>
      <c r="AN498" s="3"/>
    </row>
    <row r="499" spans="1:40" x14ac:dyDescent="0.3">
      <c r="A499" s="3">
        <v>493</v>
      </c>
      <c r="B499" s="3" t="str">
        <f>"1416352"</f>
        <v>1416352</v>
      </c>
      <c r="C499" s="3">
        <v>34328</v>
      </c>
      <c r="D499" s="3" t="s">
        <v>2159</v>
      </c>
      <c r="E499" s="3">
        <v>10085148881</v>
      </c>
      <c r="F499" s="3" t="s">
        <v>2142</v>
      </c>
      <c r="G499" s="3" t="s">
        <v>2143</v>
      </c>
      <c r="H499" s="3" t="s">
        <v>56</v>
      </c>
      <c r="I499" s="3" t="s">
        <v>56</v>
      </c>
      <c r="J499" s="3" t="s">
        <v>63</v>
      </c>
      <c r="K499" s="3" t="s">
        <v>2160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 t="s">
        <v>233</v>
      </c>
      <c r="AL499" s="4">
        <v>37816</v>
      </c>
      <c r="AM499" s="3"/>
      <c r="AN499" s="3"/>
    </row>
    <row r="500" spans="1:40" x14ac:dyDescent="0.3">
      <c r="A500" s="3">
        <v>494</v>
      </c>
      <c r="B500" s="3" t="str">
        <f>"201500093218"</f>
        <v>201500093218</v>
      </c>
      <c r="C500" s="3">
        <v>116430</v>
      </c>
      <c r="D500" s="3" t="s">
        <v>2161</v>
      </c>
      <c r="E500" s="3">
        <v>20543992942</v>
      </c>
      <c r="F500" s="3" t="s">
        <v>540</v>
      </c>
      <c r="G500" s="3" t="s">
        <v>2162</v>
      </c>
      <c r="H500" s="3" t="s">
        <v>56</v>
      </c>
      <c r="I500" s="3" t="s">
        <v>56</v>
      </c>
      <c r="J500" s="3" t="s">
        <v>529</v>
      </c>
      <c r="K500" s="3" t="s">
        <v>2163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 t="s">
        <v>192</v>
      </c>
      <c r="AL500" s="4">
        <v>42219</v>
      </c>
      <c r="AM500" s="3"/>
      <c r="AN500" s="3" t="s">
        <v>543</v>
      </c>
    </row>
    <row r="501" spans="1:40" ht="27.95" x14ac:dyDescent="0.3">
      <c r="A501" s="3">
        <v>495</v>
      </c>
      <c r="B501" s="3" t="str">
        <f>"1548951"</f>
        <v>1548951</v>
      </c>
      <c r="C501" s="3">
        <v>37682</v>
      </c>
      <c r="D501" s="3" t="s">
        <v>2164</v>
      </c>
      <c r="E501" s="3">
        <v>20100076749</v>
      </c>
      <c r="F501" s="3" t="s">
        <v>159</v>
      </c>
      <c r="G501" s="3" t="s">
        <v>160</v>
      </c>
      <c r="H501" s="3" t="s">
        <v>56</v>
      </c>
      <c r="I501" s="3" t="s">
        <v>56</v>
      </c>
      <c r="J501" s="3" t="s">
        <v>121</v>
      </c>
      <c r="K501" s="3" t="s">
        <v>2165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 t="s">
        <v>81</v>
      </c>
      <c r="AL501" s="4">
        <v>38567</v>
      </c>
      <c r="AM501" s="3"/>
      <c r="AN501" s="3"/>
    </row>
    <row r="502" spans="1:40" ht="27.95" x14ac:dyDescent="0.3">
      <c r="A502" s="3">
        <v>496</v>
      </c>
      <c r="B502" s="3" t="str">
        <f>"201900052109"</f>
        <v>201900052109</v>
      </c>
      <c r="C502" s="3">
        <v>140600</v>
      </c>
      <c r="D502" s="3" t="s">
        <v>2166</v>
      </c>
      <c r="E502" s="3">
        <v>20455751528</v>
      </c>
      <c r="F502" s="3" t="s">
        <v>142</v>
      </c>
      <c r="G502" s="3" t="s">
        <v>2167</v>
      </c>
      <c r="H502" s="3" t="s">
        <v>97</v>
      </c>
      <c r="I502" s="3" t="s">
        <v>97</v>
      </c>
      <c r="J502" s="3" t="s">
        <v>144</v>
      </c>
      <c r="K502" s="3" t="s">
        <v>2168</v>
      </c>
      <c r="L502" s="3" t="s">
        <v>1332</v>
      </c>
      <c r="M502" s="3" t="s">
        <v>2169</v>
      </c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 t="s">
        <v>150</v>
      </c>
      <c r="AL502" s="4">
        <v>43560</v>
      </c>
      <c r="AM502" s="3"/>
      <c r="AN502" s="3" t="s">
        <v>1333</v>
      </c>
    </row>
    <row r="503" spans="1:40" ht="27.95" x14ac:dyDescent="0.3">
      <c r="A503" s="3">
        <v>497</v>
      </c>
      <c r="B503" s="3" t="str">
        <f>"201800051219"</f>
        <v>201800051219</v>
      </c>
      <c r="C503" s="3">
        <v>135299</v>
      </c>
      <c r="D503" s="3" t="s">
        <v>2170</v>
      </c>
      <c r="E503" s="3">
        <v>20456141740</v>
      </c>
      <c r="F503" s="3" t="s">
        <v>2171</v>
      </c>
      <c r="G503" s="3" t="s">
        <v>2172</v>
      </c>
      <c r="H503" s="3" t="s">
        <v>97</v>
      </c>
      <c r="I503" s="3" t="s">
        <v>97</v>
      </c>
      <c r="J503" s="3" t="s">
        <v>105</v>
      </c>
      <c r="K503" s="3" t="s">
        <v>2173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 t="s">
        <v>2174</v>
      </c>
      <c r="AL503" s="4">
        <v>43200</v>
      </c>
      <c r="AM503" s="3"/>
      <c r="AN503" s="3" t="s">
        <v>2175</v>
      </c>
    </row>
    <row r="504" spans="1:40" x14ac:dyDescent="0.3">
      <c r="A504" s="3">
        <v>498</v>
      </c>
      <c r="B504" s="3" t="str">
        <f>"1310349"</f>
        <v>1310349</v>
      </c>
      <c r="C504" s="3">
        <v>2489</v>
      </c>
      <c r="D504" s="3" t="s">
        <v>2176</v>
      </c>
      <c r="E504" s="3">
        <v>20100809088</v>
      </c>
      <c r="F504" s="3" t="s">
        <v>2177</v>
      </c>
      <c r="G504" s="3" t="s">
        <v>2178</v>
      </c>
      <c r="H504" s="3" t="s">
        <v>56</v>
      </c>
      <c r="I504" s="3" t="s">
        <v>56</v>
      </c>
      <c r="J504" s="3" t="s">
        <v>313</v>
      </c>
      <c r="K504" s="3" t="s">
        <v>2179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 t="s">
        <v>634</v>
      </c>
      <c r="AL504" s="4">
        <v>36935</v>
      </c>
      <c r="AM504" s="3"/>
      <c r="AN504" s="3"/>
    </row>
    <row r="505" spans="1:40" x14ac:dyDescent="0.3">
      <c r="A505" s="3">
        <v>499</v>
      </c>
      <c r="B505" s="3" t="str">
        <f>"1494984"</f>
        <v>1494984</v>
      </c>
      <c r="C505" s="3">
        <v>45506</v>
      </c>
      <c r="D505" s="3" t="s">
        <v>2180</v>
      </c>
      <c r="E505" s="3">
        <v>20490611887</v>
      </c>
      <c r="F505" s="3" t="s">
        <v>2181</v>
      </c>
      <c r="G505" s="3" t="s">
        <v>2182</v>
      </c>
      <c r="H505" s="3" t="s">
        <v>446</v>
      </c>
      <c r="I505" s="3" t="s">
        <v>446</v>
      </c>
      <c r="J505" s="3" t="s">
        <v>446</v>
      </c>
      <c r="K505" s="3" t="s">
        <v>2183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 t="s">
        <v>157</v>
      </c>
      <c r="AL505" s="4">
        <v>40758</v>
      </c>
      <c r="AM505" s="3"/>
      <c r="AN505" s="3" t="s">
        <v>2184</v>
      </c>
    </row>
    <row r="506" spans="1:40" x14ac:dyDescent="0.3">
      <c r="A506" s="3">
        <v>500</v>
      </c>
      <c r="B506" s="3" t="str">
        <f>"1494981"</f>
        <v>1494981</v>
      </c>
      <c r="C506" s="3">
        <v>83372</v>
      </c>
      <c r="D506" s="3" t="s">
        <v>2185</v>
      </c>
      <c r="E506" s="3">
        <v>20490611887</v>
      </c>
      <c r="F506" s="3" t="s">
        <v>2181</v>
      </c>
      <c r="G506" s="3" t="s">
        <v>2186</v>
      </c>
      <c r="H506" s="3" t="s">
        <v>446</v>
      </c>
      <c r="I506" s="3" t="s">
        <v>446</v>
      </c>
      <c r="J506" s="3" t="s">
        <v>446</v>
      </c>
      <c r="K506" s="3" t="s">
        <v>2187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 t="s">
        <v>1341</v>
      </c>
      <c r="AL506" s="4">
        <v>40758</v>
      </c>
      <c r="AM506" s="3"/>
      <c r="AN506" s="3" t="s">
        <v>2188</v>
      </c>
    </row>
    <row r="507" spans="1:40" x14ac:dyDescent="0.3">
      <c r="A507" s="3">
        <v>501</v>
      </c>
      <c r="B507" s="3" t="str">
        <f>"1238871"</f>
        <v>1238871</v>
      </c>
      <c r="C507" s="3">
        <v>16347</v>
      </c>
      <c r="D507" s="3">
        <v>955259</v>
      </c>
      <c r="E507" s="3">
        <v>10067961400</v>
      </c>
      <c r="F507" s="3" t="s">
        <v>2189</v>
      </c>
      <c r="G507" s="3" t="s">
        <v>2190</v>
      </c>
      <c r="H507" s="3" t="s">
        <v>56</v>
      </c>
      <c r="I507" s="3" t="s">
        <v>56</v>
      </c>
      <c r="J507" s="3" t="s">
        <v>1339</v>
      </c>
      <c r="K507" s="3" t="s">
        <v>2191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 t="s">
        <v>65</v>
      </c>
      <c r="AL507" s="4">
        <v>36343</v>
      </c>
      <c r="AM507" s="3"/>
      <c r="AN507" s="3"/>
    </row>
    <row r="508" spans="1:40" x14ac:dyDescent="0.3">
      <c r="A508" s="3">
        <v>502</v>
      </c>
      <c r="B508" s="3" t="str">
        <f>"201400076511"</f>
        <v>201400076511</v>
      </c>
      <c r="C508" s="3">
        <v>110018</v>
      </c>
      <c r="D508" s="3" t="s">
        <v>2192</v>
      </c>
      <c r="E508" s="3">
        <v>20506151547</v>
      </c>
      <c r="F508" s="3" t="s">
        <v>2024</v>
      </c>
      <c r="G508" s="3" t="s">
        <v>2193</v>
      </c>
      <c r="H508" s="3" t="s">
        <v>56</v>
      </c>
      <c r="I508" s="3" t="s">
        <v>56</v>
      </c>
      <c r="J508" s="3" t="s">
        <v>653</v>
      </c>
      <c r="K508" s="3" t="s">
        <v>2194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 t="s">
        <v>1162</v>
      </c>
      <c r="AL508" s="4">
        <v>41809</v>
      </c>
      <c r="AM508" s="3"/>
      <c r="AN508" s="3" t="s">
        <v>2027</v>
      </c>
    </row>
    <row r="509" spans="1:40" x14ac:dyDescent="0.3">
      <c r="A509" s="3">
        <v>503</v>
      </c>
      <c r="B509" s="3" t="str">
        <f>"201700138253"</f>
        <v>201700138253</v>
      </c>
      <c r="C509" s="3">
        <v>131516</v>
      </c>
      <c r="D509" s="3" t="s">
        <v>2195</v>
      </c>
      <c r="E509" s="3">
        <v>20404723392</v>
      </c>
      <c r="F509" s="3" t="s">
        <v>87</v>
      </c>
      <c r="G509" s="3" t="s">
        <v>2196</v>
      </c>
      <c r="H509" s="3" t="s">
        <v>89</v>
      </c>
      <c r="I509" s="3" t="s">
        <v>89</v>
      </c>
      <c r="J509" s="3" t="s">
        <v>89</v>
      </c>
      <c r="K509" s="3" t="s">
        <v>2197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 t="s">
        <v>2198</v>
      </c>
      <c r="AL509" s="4">
        <v>42978</v>
      </c>
      <c r="AM509" s="3"/>
      <c r="AN509" s="3" t="s">
        <v>93</v>
      </c>
    </row>
    <row r="510" spans="1:40" x14ac:dyDescent="0.3">
      <c r="A510" s="3">
        <v>504</v>
      </c>
      <c r="B510" s="3" t="str">
        <f>"1620484"</f>
        <v>1620484</v>
      </c>
      <c r="C510" s="3">
        <v>36677</v>
      </c>
      <c r="D510" s="3" t="s">
        <v>2199</v>
      </c>
      <c r="E510" s="3">
        <v>20121837634</v>
      </c>
      <c r="F510" s="3" t="s">
        <v>2200</v>
      </c>
      <c r="G510" s="3" t="s">
        <v>2201</v>
      </c>
      <c r="H510" s="3" t="s">
        <v>237</v>
      </c>
      <c r="I510" s="3" t="s">
        <v>868</v>
      </c>
      <c r="J510" s="3" t="s">
        <v>869</v>
      </c>
      <c r="K510" s="3" t="s">
        <v>2202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 t="s">
        <v>602</v>
      </c>
      <c r="AL510" s="4">
        <v>38910</v>
      </c>
      <c r="AM510" s="3"/>
      <c r="AN510" s="3"/>
    </row>
    <row r="511" spans="1:40" x14ac:dyDescent="0.3">
      <c r="A511" s="3">
        <v>505</v>
      </c>
      <c r="B511" s="3" t="str">
        <f>"201900035551"</f>
        <v>201900035551</v>
      </c>
      <c r="C511" s="3">
        <v>125471</v>
      </c>
      <c r="D511" s="3" t="s">
        <v>2203</v>
      </c>
      <c r="E511" s="3">
        <v>10196724279</v>
      </c>
      <c r="F511" s="3" t="s">
        <v>2204</v>
      </c>
      <c r="G511" s="3" t="s">
        <v>2205</v>
      </c>
      <c r="H511" s="3" t="s">
        <v>44</v>
      </c>
      <c r="I511" s="3" t="s">
        <v>45</v>
      </c>
      <c r="J511" s="3" t="s">
        <v>726</v>
      </c>
      <c r="K511" s="3" t="s">
        <v>2206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 t="s">
        <v>2207</v>
      </c>
      <c r="AL511" s="4">
        <v>43535</v>
      </c>
      <c r="AM511" s="3"/>
      <c r="AN511" s="3" t="s">
        <v>2204</v>
      </c>
    </row>
    <row r="512" spans="1:40" x14ac:dyDescent="0.3">
      <c r="A512" s="3">
        <v>506</v>
      </c>
      <c r="B512" s="3" t="str">
        <f>"1505028"</f>
        <v>1505028</v>
      </c>
      <c r="C512" s="3">
        <v>94054</v>
      </c>
      <c r="D512" s="3" t="s">
        <v>2208</v>
      </c>
      <c r="E512" s="3">
        <v>20455226521</v>
      </c>
      <c r="F512" s="3" t="s">
        <v>2209</v>
      </c>
      <c r="G512" s="3" t="s">
        <v>2210</v>
      </c>
      <c r="H512" s="3" t="s">
        <v>97</v>
      </c>
      <c r="I512" s="3" t="s">
        <v>97</v>
      </c>
      <c r="J512" s="3" t="s">
        <v>1459</v>
      </c>
      <c r="K512" s="3" t="s">
        <v>2211</v>
      </c>
      <c r="L512" s="3" t="s">
        <v>2212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 t="s">
        <v>2213</v>
      </c>
      <c r="AL512" s="4">
        <v>40821</v>
      </c>
      <c r="AM512" s="3"/>
      <c r="AN512" s="3" t="s">
        <v>2214</v>
      </c>
    </row>
    <row r="513" spans="1:40" x14ac:dyDescent="0.3">
      <c r="A513" s="3">
        <v>507</v>
      </c>
      <c r="B513" s="3" t="str">
        <f>"1297695"</f>
        <v>1297695</v>
      </c>
      <c r="C513" s="3">
        <v>19626</v>
      </c>
      <c r="D513" s="3">
        <v>1297695</v>
      </c>
      <c r="E513" s="3">
        <v>10102285188</v>
      </c>
      <c r="F513" s="3" t="s">
        <v>631</v>
      </c>
      <c r="G513" s="3" t="s">
        <v>632</v>
      </c>
      <c r="H513" s="3" t="s">
        <v>56</v>
      </c>
      <c r="I513" s="3" t="s">
        <v>56</v>
      </c>
      <c r="J513" s="3" t="s">
        <v>331</v>
      </c>
      <c r="K513" s="3" t="s">
        <v>2215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 t="s">
        <v>546</v>
      </c>
      <c r="AL513" s="4">
        <v>36818</v>
      </c>
      <c r="AM513" s="3"/>
      <c r="AN513" s="3"/>
    </row>
    <row r="514" spans="1:40" x14ac:dyDescent="0.3">
      <c r="A514" s="3">
        <v>508</v>
      </c>
      <c r="B514" s="3" t="str">
        <f>"1620477"</f>
        <v>1620477</v>
      </c>
      <c r="C514" s="3">
        <v>43696</v>
      </c>
      <c r="D514" s="3" t="s">
        <v>2216</v>
      </c>
      <c r="E514" s="3">
        <v>20121837634</v>
      </c>
      <c r="F514" s="3" t="s">
        <v>866</v>
      </c>
      <c r="G514" s="3" t="s">
        <v>2217</v>
      </c>
      <c r="H514" s="3" t="s">
        <v>237</v>
      </c>
      <c r="I514" s="3" t="s">
        <v>868</v>
      </c>
      <c r="J514" s="3" t="s">
        <v>869</v>
      </c>
      <c r="K514" s="3" t="s">
        <v>2218</v>
      </c>
      <c r="L514" s="3" t="s">
        <v>2219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 t="s">
        <v>2220</v>
      </c>
      <c r="AL514" s="4">
        <v>38910</v>
      </c>
      <c r="AM514" s="3"/>
      <c r="AN514" s="3"/>
    </row>
    <row r="515" spans="1:40" x14ac:dyDescent="0.3">
      <c r="A515" s="3">
        <v>509</v>
      </c>
      <c r="B515" s="3" t="str">
        <f>"1843742"</f>
        <v>1843742</v>
      </c>
      <c r="C515" s="3">
        <v>82347</v>
      </c>
      <c r="D515" s="3" t="s">
        <v>2221</v>
      </c>
      <c r="E515" s="3">
        <v>20517249336</v>
      </c>
      <c r="F515" s="3" t="s">
        <v>844</v>
      </c>
      <c r="G515" s="3" t="s">
        <v>2222</v>
      </c>
      <c r="H515" s="3" t="s">
        <v>56</v>
      </c>
      <c r="I515" s="3" t="s">
        <v>56</v>
      </c>
      <c r="J515" s="3" t="s">
        <v>432</v>
      </c>
      <c r="K515" s="3" t="s">
        <v>2223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 t="s">
        <v>65</v>
      </c>
      <c r="AL515" s="4">
        <v>39798</v>
      </c>
      <c r="AM515" s="3"/>
      <c r="AN515" s="3"/>
    </row>
    <row r="516" spans="1:40" x14ac:dyDescent="0.3">
      <c r="A516" s="3">
        <v>510</v>
      </c>
      <c r="B516" s="3" t="str">
        <f>"201600165337"</f>
        <v>201600165337</v>
      </c>
      <c r="C516" s="3">
        <v>124932</v>
      </c>
      <c r="D516" s="3" t="s">
        <v>2224</v>
      </c>
      <c r="E516" s="3">
        <v>10458515111</v>
      </c>
      <c r="F516" s="3" t="s">
        <v>1081</v>
      </c>
      <c r="G516" s="3" t="s">
        <v>2225</v>
      </c>
      <c r="H516" s="3" t="s">
        <v>318</v>
      </c>
      <c r="I516" s="3" t="s">
        <v>319</v>
      </c>
      <c r="J516" s="3" t="s">
        <v>495</v>
      </c>
      <c r="K516" s="3" t="s">
        <v>2226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 t="s">
        <v>701</v>
      </c>
      <c r="AL516" s="4">
        <v>42706</v>
      </c>
      <c r="AM516" s="3"/>
      <c r="AN516" s="3" t="s">
        <v>1081</v>
      </c>
    </row>
    <row r="517" spans="1:40" x14ac:dyDescent="0.3">
      <c r="A517" s="3">
        <v>511</v>
      </c>
      <c r="B517" s="3" t="str">
        <f>"1384847"</f>
        <v>1384847</v>
      </c>
      <c r="C517" s="3">
        <v>85752</v>
      </c>
      <c r="D517" s="3" t="s">
        <v>2227</v>
      </c>
      <c r="E517" s="3">
        <v>10409487267</v>
      </c>
      <c r="F517" s="3" t="s">
        <v>2228</v>
      </c>
      <c r="G517" s="3" t="s">
        <v>2229</v>
      </c>
      <c r="H517" s="3" t="s">
        <v>97</v>
      </c>
      <c r="I517" s="3" t="s">
        <v>97</v>
      </c>
      <c r="J517" s="3" t="s">
        <v>2039</v>
      </c>
      <c r="K517" s="3" t="s">
        <v>2230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 t="s">
        <v>226</v>
      </c>
      <c r="AL517" s="4">
        <v>40382</v>
      </c>
      <c r="AM517" s="3"/>
      <c r="AN517" s="3" t="s">
        <v>2228</v>
      </c>
    </row>
    <row r="518" spans="1:40" x14ac:dyDescent="0.3">
      <c r="A518" s="3">
        <v>512</v>
      </c>
      <c r="B518" s="3" t="str">
        <f>"201800073090"</f>
        <v>201800073090</v>
      </c>
      <c r="C518" s="3">
        <v>107790</v>
      </c>
      <c r="D518" s="3" t="s">
        <v>2231</v>
      </c>
      <c r="E518" s="3">
        <v>20513878649</v>
      </c>
      <c r="F518" s="3" t="s">
        <v>2232</v>
      </c>
      <c r="G518" s="3" t="s">
        <v>2233</v>
      </c>
      <c r="H518" s="3" t="s">
        <v>56</v>
      </c>
      <c r="I518" s="3" t="s">
        <v>56</v>
      </c>
      <c r="J518" s="3" t="s">
        <v>653</v>
      </c>
      <c r="K518" s="3" t="s">
        <v>2234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 t="s">
        <v>2235</v>
      </c>
      <c r="AL518" s="4">
        <v>43231</v>
      </c>
      <c r="AM518" s="3"/>
      <c r="AN518" s="3" t="s">
        <v>2236</v>
      </c>
    </row>
    <row r="519" spans="1:40" x14ac:dyDescent="0.3">
      <c r="A519" s="3">
        <v>513</v>
      </c>
      <c r="B519" s="3" t="str">
        <f>"1910458"</f>
        <v>1910458</v>
      </c>
      <c r="C519" s="3">
        <v>83816</v>
      </c>
      <c r="D519" s="3" t="s">
        <v>2237</v>
      </c>
      <c r="E519" s="3">
        <v>20512439196</v>
      </c>
      <c r="F519" s="3" t="s">
        <v>2238</v>
      </c>
      <c r="G519" s="3" t="s">
        <v>2239</v>
      </c>
      <c r="H519" s="3" t="s">
        <v>75</v>
      </c>
      <c r="I519" s="3" t="s">
        <v>75</v>
      </c>
      <c r="J519" s="3" t="s">
        <v>1358</v>
      </c>
      <c r="K519" s="3" t="s">
        <v>2240</v>
      </c>
      <c r="L519" s="3" t="s">
        <v>2241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 t="s">
        <v>2242</v>
      </c>
      <c r="AL519" s="4">
        <v>40037</v>
      </c>
      <c r="AM519" s="3"/>
      <c r="AN519" s="3"/>
    </row>
    <row r="520" spans="1:40" ht="27.95" x14ac:dyDescent="0.3">
      <c r="A520" s="3">
        <v>514</v>
      </c>
      <c r="B520" s="3" t="str">
        <f>"1526449"</f>
        <v>1526449</v>
      </c>
      <c r="C520" s="3">
        <v>37407</v>
      </c>
      <c r="D520" s="3" t="s">
        <v>2243</v>
      </c>
      <c r="E520" s="3">
        <v>10100433881</v>
      </c>
      <c r="F520" s="3" t="s">
        <v>2244</v>
      </c>
      <c r="G520" s="3" t="s">
        <v>2245</v>
      </c>
      <c r="H520" s="3" t="s">
        <v>56</v>
      </c>
      <c r="I520" s="3" t="s">
        <v>56</v>
      </c>
      <c r="J520" s="3" t="s">
        <v>131</v>
      </c>
      <c r="K520" s="3" t="s">
        <v>2246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 t="s">
        <v>634</v>
      </c>
      <c r="AL520" s="4">
        <v>38460</v>
      </c>
      <c r="AM520" s="3"/>
      <c r="AN520" s="3"/>
    </row>
    <row r="521" spans="1:40" x14ac:dyDescent="0.3">
      <c r="A521" s="3">
        <v>515</v>
      </c>
      <c r="B521" s="3" t="str">
        <f>"201500037042"</f>
        <v>201500037042</v>
      </c>
      <c r="C521" s="3">
        <v>114543</v>
      </c>
      <c r="D521" s="3" t="s">
        <v>2247</v>
      </c>
      <c r="E521" s="3">
        <v>20455090874</v>
      </c>
      <c r="F521" s="3" t="s">
        <v>2248</v>
      </c>
      <c r="G521" s="3" t="s">
        <v>2249</v>
      </c>
      <c r="H521" s="3" t="s">
        <v>97</v>
      </c>
      <c r="I521" s="3" t="s">
        <v>97</v>
      </c>
      <c r="J521" s="3" t="s">
        <v>417</v>
      </c>
      <c r="K521" s="3" t="s">
        <v>2250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 t="s">
        <v>2251</v>
      </c>
      <c r="AL521" s="4">
        <v>42104</v>
      </c>
      <c r="AM521" s="3"/>
      <c r="AN521" s="3" t="s">
        <v>2252</v>
      </c>
    </row>
    <row r="522" spans="1:40" ht="27.95" x14ac:dyDescent="0.3">
      <c r="A522" s="3">
        <v>516</v>
      </c>
      <c r="B522" s="3" t="str">
        <f>"1201339"</f>
        <v>1201339</v>
      </c>
      <c r="C522" s="3">
        <v>14512</v>
      </c>
      <c r="D522" s="3">
        <v>1201339</v>
      </c>
      <c r="E522" s="3">
        <v>20100076749</v>
      </c>
      <c r="F522" s="3" t="s">
        <v>159</v>
      </c>
      <c r="G522" s="3" t="s">
        <v>2253</v>
      </c>
      <c r="H522" s="3" t="s">
        <v>216</v>
      </c>
      <c r="I522" s="3" t="s">
        <v>216</v>
      </c>
      <c r="J522" s="3" t="s">
        <v>216</v>
      </c>
      <c r="K522" s="3" t="s">
        <v>2254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 t="s">
        <v>233</v>
      </c>
      <c r="AL522" s="4">
        <v>36032</v>
      </c>
      <c r="AM522" s="3"/>
      <c r="AN522" s="3"/>
    </row>
    <row r="523" spans="1:40" x14ac:dyDescent="0.3">
      <c r="A523" s="3">
        <v>517</v>
      </c>
      <c r="B523" s="3" t="str">
        <f>"201900035543"</f>
        <v>201900035543</v>
      </c>
      <c r="C523" s="3">
        <v>84178</v>
      </c>
      <c r="D523" s="3" t="s">
        <v>2255</v>
      </c>
      <c r="E523" s="3">
        <v>10196724279</v>
      </c>
      <c r="F523" s="3" t="s">
        <v>2204</v>
      </c>
      <c r="G523" s="3" t="s">
        <v>2256</v>
      </c>
      <c r="H523" s="3" t="s">
        <v>44</v>
      </c>
      <c r="I523" s="3" t="s">
        <v>45</v>
      </c>
      <c r="J523" s="3" t="s">
        <v>726</v>
      </c>
      <c r="K523" s="3" t="s">
        <v>2257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 t="s">
        <v>2258</v>
      </c>
      <c r="AL523" s="4">
        <v>43535</v>
      </c>
      <c r="AM523" s="3"/>
      <c r="AN523" s="3" t="s">
        <v>2204</v>
      </c>
    </row>
    <row r="524" spans="1:40" x14ac:dyDescent="0.3">
      <c r="A524" s="3">
        <v>518</v>
      </c>
      <c r="B524" s="3" t="str">
        <f>"1620473"</f>
        <v>1620473</v>
      </c>
      <c r="C524" s="3">
        <v>40375</v>
      </c>
      <c r="D524" s="3" t="s">
        <v>2259</v>
      </c>
      <c r="E524" s="3">
        <v>20121837634</v>
      </c>
      <c r="F524" s="3" t="s">
        <v>866</v>
      </c>
      <c r="G524" s="3" t="s">
        <v>1624</v>
      </c>
      <c r="H524" s="3" t="s">
        <v>237</v>
      </c>
      <c r="I524" s="3" t="s">
        <v>868</v>
      </c>
      <c r="J524" s="3" t="s">
        <v>869</v>
      </c>
      <c r="K524" s="3" t="s">
        <v>2260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 t="s">
        <v>2261</v>
      </c>
      <c r="AL524" s="4">
        <v>38910</v>
      </c>
      <c r="AM524" s="3"/>
      <c r="AN524" s="3"/>
    </row>
    <row r="525" spans="1:40" x14ac:dyDescent="0.3">
      <c r="A525" s="3">
        <v>519</v>
      </c>
      <c r="B525" s="3" t="str">
        <f>"1637575"</f>
        <v>1637575</v>
      </c>
      <c r="C525" s="3">
        <v>43762</v>
      </c>
      <c r="D525" s="3" t="s">
        <v>2262</v>
      </c>
      <c r="E525" s="3">
        <v>20510822499</v>
      </c>
      <c r="F525" s="3" t="s">
        <v>2263</v>
      </c>
      <c r="G525" s="3" t="s">
        <v>2264</v>
      </c>
      <c r="H525" s="3" t="s">
        <v>75</v>
      </c>
      <c r="I525" s="3" t="s">
        <v>75</v>
      </c>
      <c r="J525" s="3" t="s">
        <v>76</v>
      </c>
      <c r="K525" s="3" t="s">
        <v>2265</v>
      </c>
      <c r="L525" s="3" t="s">
        <v>2266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 t="s">
        <v>470</v>
      </c>
      <c r="AL525" s="4">
        <v>39038</v>
      </c>
      <c r="AM525" s="3"/>
      <c r="AN525" s="3"/>
    </row>
    <row r="526" spans="1:40" x14ac:dyDescent="0.3">
      <c r="A526" s="3">
        <v>520</v>
      </c>
      <c r="B526" s="3" t="str">
        <f>"1356085"</f>
        <v>1356085</v>
      </c>
      <c r="C526" s="3">
        <v>3575</v>
      </c>
      <c r="D526" s="3" t="s">
        <v>2267</v>
      </c>
      <c r="E526" s="3">
        <v>10066083581</v>
      </c>
      <c r="F526" s="3" t="s">
        <v>2268</v>
      </c>
      <c r="G526" s="3" t="s">
        <v>2269</v>
      </c>
      <c r="H526" s="3" t="s">
        <v>56</v>
      </c>
      <c r="I526" s="3" t="s">
        <v>56</v>
      </c>
      <c r="J526" s="3" t="s">
        <v>363</v>
      </c>
      <c r="K526" s="3" t="s">
        <v>2270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 t="s">
        <v>1087</v>
      </c>
      <c r="AL526" s="4">
        <v>37334</v>
      </c>
      <c r="AM526" s="3"/>
      <c r="AN526" s="3"/>
    </row>
    <row r="527" spans="1:40" x14ac:dyDescent="0.3">
      <c r="A527" s="3">
        <v>521</v>
      </c>
      <c r="B527" s="3" t="str">
        <f>"201900126808"</f>
        <v>201900126808</v>
      </c>
      <c r="C527" s="3">
        <v>145688</v>
      </c>
      <c r="D527" s="3" t="s">
        <v>2271</v>
      </c>
      <c r="E527" s="3">
        <v>20102314698</v>
      </c>
      <c r="F527" s="3" t="s">
        <v>2272</v>
      </c>
      <c r="G527" s="3" t="s">
        <v>2273</v>
      </c>
      <c r="H527" s="3" t="s">
        <v>50</v>
      </c>
      <c r="I527" s="3" t="s">
        <v>50</v>
      </c>
      <c r="J527" s="3" t="s">
        <v>2274</v>
      </c>
      <c r="K527" s="3" t="s">
        <v>2275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 t="s">
        <v>2276</v>
      </c>
      <c r="AL527" s="4">
        <v>43691</v>
      </c>
      <c r="AM527" s="3"/>
      <c r="AN527" s="3" t="s">
        <v>2277</v>
      </c>
    </row>
    <row r="528" spans="1:40" x14ac:dyDescent="0.3">
      <c r="A528" s="3">
        <v>522</v>
      </c>
      <c r="B528" s="3" t="str">
        <f>"201600154152"</f>
        <v>201600154152</v>
      </c>
      <c r="C528" s="3">
        <v>121626</v>
      </c>
      <c r="D528" s="3" t="s">
        <v>2278</v>
      </c>
      <c r="E528" s="3">
        <v>20601020581</v>
      </c>
      <c r="F528" s="3" t="s">
        <v>1206</v>
      </c>
      <c r="G528" s="3" t="s">
        <v>1207</v>
      </c>
      <c r="H528" s="3" t="s">
        <v>1208</v>
      </c>
      <c r="I528" s="3" t="s">
        <v>1209</v>
      </c>
      <c r="J528" s="3" t="s">
        <v>1209</v>
      </c>
      <c r="K528" s="3" t="s">
        <v>2279</v>
      </c>
      <c r="L528" s="3" t="s">
        <v>2280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 t="s">
        <v>2281</v>
      </c>
      <c r="AL528" s="4">
        <v>42789</v>
      </c>
      <c r="AM528" s="3"/>
      <c r="AN528" s="3" t="s">
        <v>1212</v>
      </c>
    </row>
    <row r="529" spans="1:40" x14ac:dyDescent="0.3">
      <c r="A529" s="3">
        <v>523</v>
      </c>
      <c r="B529" s="3" t="str">
        <f>"1851020"</f>
        <v>1851020</v>
      </c>
      <c r="C529" s="3">
        <v>82469</v>
      </c>
      <c r="D529" s="3" t="s">
        <v>2282</v>
      </c>
      <c r="E529" s="3">
        <v>10192055992</v>
      </c>
      <c r="F529" s="3" t="s">
        <v>2283</v>
      </c>
      <c r="G529" s="3" t="s">
        <v>2284</v>
      </c>
      <c r="H529" s="3" t="s">
        <v>318</v>
      </c>
      <c r="I529" s="3" t="s">
        <v>319</v>
      </c>
      <c r="J529" s="3" t="s">
        <v>319</v>
      </c>
      <c r="K529" s="3" t="s">
        <v>2285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 t="s">
        <v>241</v>
      </c>
      <c r="AL529" s="4">
        <v>39813</v>
      </c>
      <c r="AM529" s="3"/>
      <c r="AN529" s="3"/>
    </row>
    <row r="530" spans="1:40" x14ac:dyDescent="0.3">
      <c r="A530" s="3">
        <v>524</v>
      </c>
      <c r="B530" s="3" t="str">
        <f>"1266141"</f>
        <v>1266141</v>
      </c>
      <c r="C530" s="3">
        <v>18015</v>
      </c>
      <c r="D530" s="3">
        <v>1266141</v>
      </c>
      <c r="E530" s="3">
        <v>20100007348</v>
      </c>
      <c r="F530" s="3" t="s">
        <v>929</v>
      </c>
      <c r="G530" s="3" t="s">
        <v>930</v>
      </c>
      <c r="H530" s="3" t="s">
        <v>75</v>
      </c>
      <c r="I530" s="3" t="s">
        <v>75</v>
      </c>
      <c r="J530" s="3" t="s">
        <v>76</v>
      </c>
      <c r="K530" s="3" t="s">
        <v>2286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 t="s">
        <v>52</v>
      </c>
      <c r="AL530" s="4">
        <v>36536</v>
      </c>
      <c r="AM530" s="3"/>
      <c r="AN530" s="3"/>
    </row>
    <row r="531" spans="1:40" x14ac:dyDescent="0.3">
      <c r="A531" s="3">
        <v>525</v>
      </c>
      <c r="B531" s="3" t="str">
        <f>"1116430"</f>
        <v>1116430</v>
      </c>
      <c r="C531" s="3">
        <v>2757</v>
      </c>
      <c r="D531" s="3">
        <v>1100175</v>
      </c>
      <c r="E531" s="3">
        <v>20154657194</v>
      </c>
      <c r="F531" s="3" t="s">
        <v>2287</v>
      </c>
      <c r="G531" s="3" t="s">
        <v>2288</v>
      </c>
      <c r="H531" s="3" t="s">
        <v>56</v>
      </c>
      <c r="I531" s="3" t="s">
        <v>56</v>
      </c>
      <c r="J531" s="3" t="s">
        <v>331</v>
      </c>
      <c r="K531" s="3" t="s">
        <v>2289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 t="s">
        <v>1053</v>
      </c>
      <c r="AL531" s="4">
        <v>35528</v>
      </c>
      <c r="AM531" s="3"/>
      <c r="AN531" s="3"/>
    </row>
    <row r="532" spans="1:40" x14ac:dyDescent="0.3">
      <c r="A532" s="3">
        <v>526</v>
      </c>
      <c r="B532" s="3" t="str">
        <f>"1117570"</f>
        <v>1117570</v>
      </c>
      <c r="C532" s="3">
        <v>2677</v>
      </c>
      <c r="D532" s="3">
        <v>1069702</v>
      </c>
      <c r="E532" s="3">
        <v>10010728202</v>
      </c>
      <c r="F532" s="3" t="s">
        <v>2290</v>
      </c>
      <c r="G532" s="3" t="s">
        <v>2291</v>
      </c>
      <c r="H532" s="3" t="s">
        <v>172</v>
      </c>
      <c r="I532" s="3" t="s">
        <v>172</v>
      </c>
      <c r="J532" s="3" t="s">
        <v>1719</v>
      </c>
      <c r="K532" s="3" t="s">
        <v>2292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 t="s">
        <v>574</v>
      </c>
      <c r="AL532" s="4">
        <v>35550</v>
      </c>
      <c r="AM532" s="3"/>
      <c r="AN532" s="3"/>
    </row>
    <row r="533" spans="1:40" x14ac:dyDescent="0.3">
      <c r="A533" s="3">
        <v>527</v>
      </c>
      <c r="B533" s="3" t="str">
        <f>"201900000590"</f>
        <v>201900000590</v>
      </c>
      <c r="C533" s="3">
        <v>140612</v>
      </c>
      <c r="D533" s="3" t="s">
        <v>2293</v>
      </c>
      <c r="E533" s="3">
        <v>20250459981</v>
      </c>
      <c r="F533" s="3" t="s">
        <v>2294</v>
      </c>
      <c r="G533" s="3" t="s">
        <v>1352</v>
      </c>
      <c r="H533" s="3" t="s">
        <v>56</v>
      </c>
      <c r="I533" s="3" t="s">
        <v>56</v>
      </c>
      <c r="J533" s="3" t="s">
        <v>273</v>
      </c>
      <c r="K533" s="3" t="s">
        <v>2295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 t="s">
        <v>2296</v>
      </c>
      <c r="AL533" s="4">
        <v>43479</v>
      </c>
      <c r="AM533" s="3"/>
      <c r="AN533" s="3" t="s">
        <v>1355</v>
      </c>
    </row>
    <row r="534" spans="1:40" ht="27.95" x14ac:dyDescent="0.3">
      <c r="A534" s="3">
        <v>528</v>
      </c>
      <c r="B534" s="3" t="str">
        <f>"201300137632"</f>
        <v>201300137632</v>
      </c>
      <c r="C534" s="3">
        <v>104860</v>
      </c>
      <c r="D534" s="3" t="s">
        <v>2297</v>
      </c>
      <c r="E534" s="3">
        <v>20543992942</v>
      </c>
      <c r="F534" s="3" t="s">
        <v>2298</v>
      </c>
      <c r="G534" s="3" t="s">
        <v>2299</v>
      </c>
      <c r="H534" s="3" t="s">
        <v>56</v>
      </c>
      <c r="I534" s="3" t="s">
        <v>56</v>
      </c>
      <c r="J534" s="3" t="s">
        <v>57</v>
      </c>
      <c r="K534" s="3" t="s">
        <v>2300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 t="s">
        <v>504</v>
      </c>
      <c r="AL534" s="3" t="s">
        <v>290</v>
      </c>
      <c r="AM534" s="3"/>
      <c r="AN534" s="3" t="s">
        <v>543</v>
      </c>
    </row>
    <row r="535" spans="1:40" x14ac:dyDescent="0.3">
      <c r="A535" s="3">
        <v>529</v>
      </c>
      <c r="B535" s="3" t="str">
        <f>"201600040200"</f>
        <v>201600040200</v>
      </c>
      <c r="C535" s="3">
        <v>120473</v>
      </c>
      <c r="D535" s="3" t="s">
        <v>2301</v>
      </c>
      <c r="E535" s="3">
        <v>20100366747</v>
      </c>
      <c r="F535" s="3" t="s">
        <v>334</v>
      </c>
      <c r="G535" s="3" t="s">
        <v>2302</v>
      </c>
      <c r="H535" s="3" t="s">
        <v>56</v>
      </c>
      <c r="I535" s="3" t="s">
        <v>56</v>
      </c>
      <c r="J535" s="3" t="s">
        <v>185</v>
      </c>
      <c r="K535" s="3"/>
      <c r="L535" s="3" t="s">
        <v>2303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 t="s">
        <v>768</v>
      </c>
      <c r="AL535" s="4">
        <v>42471</v>
      </c>
      <c r="AM535" s="3"/>
      <c r="AN535" s="3" t="s">
        <v>262</v>
      </c>
    </row>
    <row r="536" spans="1:40" ht="27.95" x14ac:dyDescent="0.3">
      <c r="A536" s="3">
        <v>530</v>
      </c>
      <c r="B536" s="3" t="str">
        <f>"201300137652"</f>
        <v>201300137652</v>
      </c>
      <c r="C536" s="3">
        <v>41402</v>
      </c>
      <c r="D536" s="3" t="s">
        <v>2304</v>
      </c>
      <c r="E536" s="3">
        <v>20543992942</v>
      </c>
      <c r="F536" s="3" t="s">
        <v>2298</v>
      </c>
      <c r="G536" s="3" t="s">
        <v>2305</v>
      </c>
      <c r="H536" s="3" t="s">
        <v>56</v>
      </c>
      <c r="I536" s="3" t="s">
        <v>56</v>
      </c>
      <c r="J536" s="3" t="s">
        <v>57</v>
      </c>
      <c r="K536" s="3" t="s">
        <v>2306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 t="s">
        <v>1341</v>
      </c>
      <c r="AL536" s="4">
        <v>41522</v>
      </c>
      <c r="AM536" s="3"/>
      <c r="AN536" s="3" t="s">
        <v>543</v>
      </c>
    </row>
    <row r="537" spans="1:40" x14ac:dyDescent="0.3">
      <c r="A537" s="3">
        <v>531</v>
      </c>
      <c r="B537" s="3" t="str">
        <f>"1116426"</f>
        <v>1116426</v>
      </c>
      <c r="C537" s="3">
        <v>3592</v>
      </c>
      <c r="D537" s="3">
        <v>1100173</v>
      </c>
      <c r="E537" s="3">
        <v>20154657194</v>
      </c>
      <c r="F537" s="3" t="s">
        <v>2287</v>
      </c>
      <c r="G537" s="3" t="s">
        <v>2288</v>
      </c>
      <c r="H537" s="3" t="s">
        <v>56</v>
      </c>
      <c r="I537" s="3" t="s">
        <v>56</v>
      </c>
      <c r="J537" s="3" t="s">
        <v>331</v>
      </c>
      <c r="K537" s="3" t="s">
        <v>2307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 t="s">
        <v>1053</v>
      </c>
      <c r="AL537" s="4">
        <v>35528</v>
      </c>
      <c r="AM537" s="3"/>
      <c r="AN537" s="3"/>
    </row>
    <row r="538" spans="1:40" x14ac:dyDescent="0.3">
      <c r="A538" s="3">
        <v>532</v>
      </c>
      <c r="B538" s="3" t="str">
        <f>"1116424"</f>
        <v>1116424</v>
      </c>
      <c r="C538" s="3">
        <v>3489</v>
      </c>
      <c r="D538" s="3">
        <v>1100176</v>
      </c>
      <c r="E538" s="3">
        <v>20154657194</v>
      </c>
      <c r="F538" s="3" t="s">
        <v>2287</v>
      </c>
      <c r="G538" s="3" t="s">
        <v>2288</v>
      </c>
      <c r="H538" s="3" t="s">
        <v>56</v>
      </c>
      <c r="I538" s="3" t="s">
        <v>56</v>
      </c>
      <c r="J538" s="3" t="s">
        <v>331</v>
      </c>
      <c r="K538" s="3" t="s">
        <v>2308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 t="s">
        <v>1053</v>
      </c>
      <c r="AL538" s="4">
        <v>35528</v>
      </c>
      <c r="AM538" s="3"/>
      <c r="AN538" s="3"/>
    </row>
    <row r="539" spans="1:40" ht="27.95" x14ac:dyDescent="0.3">
      <c r="A539" s="3">
        <v>533</v>
      </c>
      <c r="B539" s="3" t="str">
        <f>"201600070988"</f>
        <v>201600070988</v>
      </c>
      <c r="C539" s="3">
        <v>119728</v>
      </c>
      <c r="D539" s="3" t="s">
        <v>2309</v>
      </c>
      <c r="E539" s="3">
        <v>20568337736</v>
      </c>
      <c r="F539" s="3" t="s">
        <v>2310</v>
      </c>
      <c r="G539" s="3" t="s">
        <v>2311</v>
      </c>
      <c r="H539" s="3" t="s">
        <v>237</v>
      </c>
      <c r="I539" s="3" t="s">
        <v>868</v>
      </c>
      <c r="J539" s="3" t="s">
        <v>2312</v>
      </c>
      <c r="K539" s="3" t="s">
        <v>2313</v>
      </c>
      <c r="L539" s="3" t="s">
        <v>2314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 t="s">
        <v>2315</v>
      </c>
      <c r="AL539" s="4">
        <v>42507</v>
      </c>
      <c r="AM539" s="3"/>
      <c r="AN539" s="3" t="s">
        <v>2316</v>
      </c>
    </row>
    <row r="540" spans="1:40" x14ac:dyDescent="0.3">
      <c r="A540" s="3">
        <v>534</v>
      </c>
      <c r="B540" s="3" t="str">
        <f>"1266137"</f>
        <v>1266137</v>
      </c>
      <c r="C540" s="3">
        <v>18010</v>
      </c>
      <c r="D540" s="3">
        <v>1266137</v>
      </c>
      <c r="E540" s="3">
        <v>20100007348</v>
      </c>
      <c r="F540" s="3" t="s">
        <v>929</v>
      </c>
      <c r="G540" s="3" t="s">
        <v>930</v>
      </c>
      <c r="H540" s="3" t="s">
        <v>75</v>
      </c>
      <c r="I540" s="3" t="s">
        <v>75</v>
      </c>
      <c r="J540" s="3" t="s">
        <v>76</v>
      </c>
      <c r="K540" s="3" t="s">
        <v>2317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 t="s">
        <v>118</v>
      </c>
      <c r="AL540" s="4">
        <v>36536</v>
      </c>
      <c r="AM540" s="3"/>
      <c r="AN540" s="3"/>
    </row>
    <row r="541" spans="1:40" x14ac:dyDescent="0.3">
      <c r="A541" s="3">
        <v>535</v>
      </c>
      <c r="B541" s="3" t="str">
        <f>"1266138"</f>
        <v>1266138</v>
      </c>
      <c r="C541" s="3">
        <v>18011</v>
      </c>
      <c r="D541" s="3">
        <v>1266138</v>
      </c>
      <c r="E541" s="3">
        <v>20100007348</v>
      </c>
      <c r="F541" s="3" t="s">
        <v>929</v>
      </c>
      <c r="G541" s="3" t="s">
        <v>930</v>
      </c>
      <c r="H541" s="3" t="s">
        <v>75</v>
      </c>
      <c r="I541" s="3" t="s">
        <v>75</v>
      </c>
      <c r="J541" s="3" t="s">
        <v>76</v>
      </c>
      <c r="K541" s="3" t="s">
        <v>2318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 t="s">
        <v>52</v>
      </c>
      <c r="AL541" s="4">
        <v>36536</v>
      </c>
      <c r="AM541" s="3"/>
      <c r="AN541" s="3"/>
    </row>
    <row r="542" spans="1:40" x14ac:dyDescent="0.3">
      <c r="A542" s="3">
        <v>536</v>
      </c>
      <c r="B542" s="3" t="str">
        <f>"201800172351"</f>
        <v>201800172351</v>
      </c>
      <c r="C542" s="3">
        <v>86381</v>
      </c>
      <c r="D542" s="3" t="s">
        <v>2319</v>
      </c>
      <c r="E542" s="3">
        <v>20516399369</v>
      </c>
      <c r="F542" s="3" t="s">
        <v>2320</v>
      </c>
      <c r="G542" s="3" t="s">
        <v>2321</v>
      </c>
      <c r="H542" s="3" t="s">
        <v>56</v>
      </c>
      <c r="I542" s="3" t="s">
        <v>56</v>
      </c>
      <c r="J542" s="3" t="s">
        <v>57</v>
      </c>
      <c r="K542" s="3" t="s">
        <v>2322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 t="s">
        <v>157</v>
      </c>
      <c r="AL542" s="4">
        <v>43390</v>
      </c>
      <c r="AM542" s="3"/>
      <c r="AN542" s="3" t="s">
        <v>2323</v>
      </c>
    </row>
    <row r="543" spans="1:40" x14ac:dyDescent="0.3">
      <c r="A543" s="3">
        <v>537</v>
      </c>
      <c r="B543" s="3" t="str">
        <f>"201300094316"</f>
        <v>201300094316</v>
      </c>
      <c r="C543" s="3">
        <v>100956</v>
      </c>
      <c r="D543" s="3" t="s">
        <v>2324</v>
      </c>
      <c r="E543" s="3">
        <v>20541529811</v>
      </c>
      <c r="F543" s="3" t="s">
        <v>2325</v>
      </c>
      <c r="G543" s="3" t="s">
        <v>2326</v>
      </c>
      <c r="H543" s="3" t="s">
        <v>237</v>
      </c>
      <c r="I543" s="3" t="s">
        <v>990</v>
      </c>
      <c r="J543" s="3" t="s">
        <v>990</v>
      </c>
      <c r="K543" s="3" t="s">
        <v>2327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 t="s">
        <v>2328</v>
      </c>
      <c r="AL543" s="4">
        <v>41450</v>
      </c>
      <c r="AM543" s="3"/>
      <c r="AN543" s="3" t="s">
        <v>2329</v>
      </c>
    </row>
    <row r="544" spans="1:40" x14ac:dyDescent="0.3">
      <c r="A544" s="3">
        <v>538</v>
      </c>
      <c r="B544" s="3" t="str">
        <f>"1304534"</f>
        <v>1304534</v>
      </c>
      <c r="C544" s="3">
        <v>20580</v>
      </c>
      <c r="D544" s="3" t="s">
        <v>2330</v>
      </c>
      <c r="E544" s="3">
        <v>20404723392</v>
      </c>
      <c r="F544" s="3" t="s">
        <v>642</v>
      </c>
      <c r="G544" s="3" t="s">
        <v>643</v>
      </c>
      <c r="H544" s="3" t="s">
        <v>89</v>
      </c>
      <c r="I544" s="3" t="s">
        <v>89</v>
      </c>
      <c r="J544" s="3" t="s">
        <v>90</v>
      </c>
      <c r="K544" s="3" t="s">
        <v>2331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 t="s">
        <v>802</v>
      </c>
      <c r="AL544" s="4">
        <v>36873</v>
      </c>
      <c r="AM544" s="3"/>
      <c r="AN544" s="3"/>
    </row>
    <row r="545" spans="1:40" x14ac:dyDescent="0.3">
      <c r="A545" s="3">
        <v>539</v>
      </c>
      <c r="B545" s="3" t="str">
        <f>"201900126810"</f>
        <v>201900126810</v>
      </c>
      <c r="C545" s="3">
        <v>145687</v>
      </c>
      <c r="D545" s="3" t="s">
        <v>2332</v>
      </c>
      <c r="E545" s="3">
        <v>20102314698</v>
      </c>
      <c r="F545" s="3" t="s">
        <v>2272</v>
      </c>
      <c r="G545" s="3" t="s">
        <v>2273</v>
      </c>
      <c r="H545" s="3" t="s">
        <v>50</v>
      </c>
      <c r="I545" s="3" t="s">
        <v>50</v>
      </c>
      <c r="J545" s="3" t="s">
        <v>2274</v>
      </c>
      <c r="K545" s="3" t="s">
        <v>2333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 t="s">
        <v>2276</v>
      </c>
      <c r="AL545" s="4">
        <v>43691</v>
      </c>
      <c r="AM545" s="3"/>
      <c r="AN545" s="3" t="s">
        <v>2277</v>
      </c>
    </row>
    <row r="546" spans="1:40" x14ac:dyDescent="0.3">
      <c r="A546" s="3">
        <v>540</v>
      </c>
      <c r="B546" s="3" t="str">
        <f>"1680581"</f>
        <v>1680581</v>
      </c>
      <c r="C546" s="3">
        <v>45109</v>
      </c>
      <c r="D546" s="3" t="s">
        <v>2334</v>
      </c>
      <c r="E546" s="3">
        <v>10296954077</v>
      </c>
      <c r="F546" s="3" t="s">
        <v>1131</v>
      </c>
      <c r="G546" s="3" t="s">
        <v>2335</v>
      </c>
      <c r="H546" s="3" t="s">
        <v>97</v>
      </c>
      <c r="I546" s="3" t="s">
        <v>97</v>
      </c>
      <c r="J546" s="3" t="s">
        <v>254</v>
      </c>
      <c r="K546" s="3" t="s">
        <v>2336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 t="s">
        <v>47</v>
      </c>
      <c r="AL546" s="4">
        <v>39168</v>
      </c>
      <c r="AM546" s="3"/>
      <c r="AN546" s="3"/>
    </row>
    <row r="547" spans="1:40" x14ac:dyDescent="0.3">
      <c r="A547" s="3">
        <v>541</v>
      </c>
      <c r="B547" s="3" t="str">
        <f>"1790606"</f>
        <v>1790606</v>
      </c>
      <c r="C547" s="3">
        <v>2689</v>
      </c>
      <c r="D547" s="3" t="s">
        <v>2337</v>
      </c>
      <c r="E547" s="3">
        <v>20100873681</v>
      </c>
      <c r="F547" s="3" t="s">
        <v>1241</v>
      </c>
      <c r="G547" s="3" t="s">
        <v>1047</v>
      </c>
      <c r="H547" s="3" t="s">
        <v>56</v>
      </c>
      <c r="I547" s="3" t="s">
        <v>56</v>
      </c>
      <c r="J547" s="3" t="s">
        <v>715</v>
      </c>
      <c r="K547" s="3" t="s">
        <v>2338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 t="s">
        <v>1341</v>
      </c>
      <c r="AL547" s="4">
        <v>39615</v>
      </c>
      <c r="AM547" s="3"/>
      <c r="AN547" s="3"/>
    </row>
    <row r="548" spans="1:40" x14ac:dyDescent="0.3">
      <c r="A548" s="3">
        <v>542</v>
      </c>
      <c r="B548" s="3" t="str">
        <f>"1790605"</f>
        <v>1790605</v>
      </c>
      <c r="C548" s="3">
        <v>21273</v>
      </c>
      <c r="D548" s="3" t="s">
        <v>2339</v>
      </c>
      <c r="E548" s="3">
        <v>20100873681</v>
      </c>
      <c r="F548" s="3" t="s">
        <v>1241</v>
      </c>
      <c r="G548" s="3" t="s">
        <v>1047</v>
      </c>
      <c r="H548" s="3" t="s">
        <v>56</v>
      </c>
      <c r="I548" s="3" t="s">
        <v>56</v>
      </c>
      <c r="J548" s="3" t="s">
        <v>715</v>
      </c>
      <c r="K548" s="3" t="s">
        <v>2340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 t="s">
        <v>2341</v>
      </c>
      <c r="AL548" s="4">
        <v>39615</v>
      </c>
      <c r="AM548" s="3"/>
      <c r="AN548" s="3"/>
    </row>
    <row r="549" spans="1:40" x14ac:dyDescent="0.3">
      <c r="A549" s="3">
        <v>543</v>
      </c>
      <c r="B549" s="3" t="str">
        <f>"1357182"</f>
        <v>1357182</v>
      </c>
      <c r="C549" s="3">
        <v>2265</v>
      </c>
      <c r="D549" s="3" t="s">
        <v>2342</v>
      </c>
      <c r="E549" s="3">
        <v>20100005485</v>
      </c>
      <c r="F549" s="3" t="s">
        <v>1361</v>
      </c>
      <c r="G549" s="3" t="s">
        <v>1855</v>
      </c>
      <c r="H549" s="3" t="s">
        <v>75</v>
      </c>
      <c r="I549" s="3" t="s">
        <v>75</v>
      </c>
      <c r="J549" s="3" t="s">
        <v>76</v>
      </c>
      <c r="K549" s="3" t="s">
        <v>2343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 t="s">
        <v>634</v>
      </c>
      <c r="AL549" s="4">
        <v>37341</v>
      </c>
      <c r="AM549" s="3"/>
      <c r="AN549" s="3"/>
    </row>
    <row r="550" spans="1:40" x14ac:dyDescent="0.3">
      <c r="A550" s="3">
        <v>544</v>
      </c>
      <c r="B550" s="3" t="str">
        <f>"1357184"</f>
        <v>1357184</v>
      </c>
      <c r="C550" s="3">
        <v>2263</v>
      </c>
      <c r="D550" s="3" t="s">
        <v>2344</v>
      </c>
      <c r="E550" s="3">
        <v>20100005485</v>
      </c>
      <c r="F550" s="3" t="s">
        <v>1361</v>
      </c>
      <c r="G550" s="3" t="s">
        <v>1855</v>
      </c>
      <c r="H550" s="3" t="s">
        <v>75</v>
      </c>
      <c r="I550" s="3" t="s">
        <v>75</v>
      </c>
      <c r="J550" s="3" t="s">
        <v>76</v>
      </c>
      <c r="K550" s="3" t="s">
        <v>2345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 t="s">
        <v>851</v>
      </c>
      <c r="AL550" s="4">
        <v>37341</v>
      </c>
      <c r="AM550" s="3"/>
      <c r="AN550" s="3"/>
    </row>
    <row r="551" spans="1:40" ht="27.95" x14ac:dyDescent="0.3">
      <c r="A551" s="3">
        <v>545</v>
      </c>
      <c r="B551" s="3" t="str">
        <f>"201300112132"</f>
        <v>201300112132</v>
      </c>
      <c r="C551" s="3">
        <v>103808</v>
      </c>
      <c r="D551" s="3" t="s">
        <v>2346</v>
      </c>
      <c r="E551" s="3">
        <v>20546205275</v>
      </c>
      <c r="F551" s="3" t="s">
        <v>2347</v>
      </c>
      <c r="G551" s="3" t="s">
        <v>2348</v>
      </c>
      <c r="H551" s="3" t="s">
        <v>56</v>
      </c>
      <c r="I551" s="3" t="s">
        <v>56</v>
      </c>
      <c r="J551" s="3" t="s">
        <v>715</v>
      </c>
      <c r="K551" s="3" t="s">
        <v>2349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 t="s">
        <v>1162</v>
      </c>
      <c r="AL551" s="4">
        <v>41460</v>
      </c>
      <c r="AM551" s="3"/>
      <c r="AN551" s="3" t="s">
        <v>2350</v>
      </c>
    </row>
    <row r="552" spans="1:40" x14ac:dyDescent="0.3">
      <c r="A552" s="3">
        <v>546</v>
      </c>
      <c r="B552" s="3" t="str">
        <f>"1792617"</f>
        <v>1792617</v>
      </c>
      <c r="C552" s="3">
        <v>63510</v>
      </c>
      <c r="D552" s="3" t="s">
        <v>2351</v>
      </c>
      <c r="E552" s="3">
        <v>20510976887</v>
      </c>
      <c r="F552" s="3" t="s">
        <v>2352</v>
      </c>
      <c r="G552" s="3" t="s">
        <v>2353</v>
      </c>
      <c r="H552" s="3" t="s">
        <v>56</v>
      </c>
      <c r="I552" s="3" t="s">
        <v>56</v>
      </c>
      <c r="J552" s="3" t="s">
        <v>131</v>
      </c>
      <c r="K552" s="3" t="s">
        <v>2354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 t="s">
        <v>2355</v>
      </c>
      <c r="AL552" s="4">
        <v>39623</v>
      </c>
      <c r="AM552" s="3"/>
      <c r="AN552" s="3"/>
    </row>
    <row r="553" spans="1:40" x14ac:dyDescent="0.3">
      <c r="A553" s="3">
        <v>547</v>
      </c>
      <c r="B553" s="3" t="str">
        <f>"201300017392"</f>
        <v>201300017392</v>
      </c>
      <c r="C553" s="3">
        <v>100377</v>
      </c>
      <c r="D553" s="3" t="s">
        <v>2356</v>
      </c>
      <c r="E553" s="3">
        <v>20494117071</v>
      </c>
      <c r="F553" s="3" t="s">
        <v>2357</v>
      </c>
      <c r="G553" s="3" t="s">
        <v>2358</v>
      </c>
      <c r="H553" s="3" t="s">
        <v>172</v>
      </c>
      <c r="I553" s="3" t="s">
        <v>172</v>
      </c>
      <c r="J553" s="3" t="s">
        <v>1719</v>
      </c>
      <c r="K553" s="3" t="s">
        <v>2359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 t="s">
        <v>504</v>
      </c>
      <c r="AL553" s="3" t="s">
        <v>290</v>
      </c>
      <c r="AM553" s="3"/>
      <c r="AN553" s="3" t="s">
        <v>2360</v>
      </c>
    </row>
    <row r="554" spans="1:40" x14ac:dyDescent="0.3">
      <c r="A554" s="3">
        <v>548</v>
      </c>
      <c r="B554" s="3" t="str">
        <f>"1122681"</f>
        <v>1122681</v>
      </c>
      <c r="C554" s="3">
        <v>3278</v>
      </c>
      <c r="D554" s="3">
        <v>1122681</v>
      </c>
      <c r="E554" s="3">
        <v>20105568488</v>
      </c>
      <c r="F554" s="3" t="s">
        <v>2361</v>
      </c>
      <c r="G554" s="3" t="s">
        <v>2362</v>
      </c>
      <c r="H554" s="3" t="s">
        <v>50</v>
      </c>
      <c r="I554" s="3" t="s">
        <v>50</v>
      </c>
      <c r="J554" s="3" t="s">
        <v>50</v>
      </c>
      <c r="K554" s="3" t="s">
        <v>2363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 t="s">
        <v>842</v>
      </c>
      <c r="AL554" s="4">
        <v>35562</v>
      </c>
      <c r="AM554" s="3"/>
      <c r="AN554" s="3"/>
    </row>
    <row r="555" spans="1:40" x14ac:dyDescent="0.3">
      <c r="A555" s="3">
        <v>549</v>
      </c>
      <c r="B555" s="3" t="str">
        <f>"1312550"</f>
        <v>1312550</v>
      </c>
      <c r="C555" s="3">
        <v>2505</v>
      </c>
      <c r="D555" s="3" t="s">
        <v>2364</v>
      </c>
      <c r="E555" s="3">
        <v>10093852937</v>
      </c>
      <c r="F555" s="3" t="s">
        <v>2365</v>
      </c>
      <c r="G555" s="3" t="s">
        <v>2366</v>
      </c>
      <c r="H555" s="3" t="s">
        <v>56</v>
      </c>
      <c r="I555" s="3" t="s">
        <v>56</v>
      </c>
      <c r="J555" s="3" t="s">
        <v>185</v>
      </c>
      <c r="K555" s="3" t="s">
        <v>2367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 t="s">
        <v>81</v>
      </c>
      <c r="AL555" s="4">
        <v>36955</v>
      </c>
      <c r="AM555" s="3"/>
      <c r="AN555" s="3"/>
    </row>
    <row r="556" spans="1:40" ht="27.95" x14ac:dyDescent="0.3">
      <c r="A556" s="3">
        <v>550</v>
      </c>
      <c r="B556" s="3" t="str">
        <f>"201300112125"</f>
        <v>201300112125</v>
      </c>
      <c r="C556" s="3">
        <v>103807</v>
      </c>
      <c r="D556" s="3" t="s">
        <v>2368</v>
      </c>
      <c r="E556" s="3">
        <v>20546205275</v>
      </c>
      <c r="F556" s="3" t="s">
        <v>2369</v>
      </c>
      <c r="G556" s="3" t="s">
        <v>2370</v>
      </c>
      <c r="H556" s="3" t="s">
        <v>56</v>
      </c>
      <c r="I556" s="3" t="s">
        <v>56</v>
      </c>
      <c r="J556" s="3" t="s">
        <v>715</v>
      </c>
      <c r="K556" s="3" t="s">
        <v>2371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 t="s">
        <v>2372</v>
      </c>
      <c r="AL556" s="4">
        <v>41460</v>
      </c>
      <c r="AM556" s="3"/>
      <c r="AN556" s="3" t="s">
        <v>2350</v>
      </c>
    </row>
    <row r="557" spans="1:40" x14ac:dyDescent="0.3">
      <c r="A557" s="3">
        <v>551</v>
      </c>
      <c r="B557" s="3" t="str">
        <f>"1506199"</f>
        <v>1506199</v>
      </c>
      <c r="C557" s="3">
        <v>94179</v>
      </c>
      <c r="D557" s="3" t="s">
        <v>2373</v>
      </c>
      <c r="E557" s="3">
        <v>20510976887</v>
      </c>
      <c r="F557" s="3" t="s">
        <v>693</v>
      </c>
      <c r="G557" s="3" t="s">
        <v>694</v>
      </c>
      <c r="H557" s="3" t="s">
        <v>56</v>
      </c>
      <c r="I557" s="3" t="s">
        <v>56</v>
      </c>
      <c r="J557" s="3" t="s">
        <v>131</v>
      </c>
      <c r="K557" s="3" t="s">
        <v>2374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 t="s">
        <v>696</v>
      </c>
      <c r="AL557" s="4">
        <v>40834</v>
      </c>
      <c r="AM557" s="3"/>
      <c r="AN557" s="3" t="s">
        <v>671</v>
      </c>
    </row>
    <row r="558" spans="1:40" ht="27.95" x14ac:dyDescent="0.3">
      <c r="A558" s="3">
        <v>552</v>
      </c>
      <c r="B558" s="3" t="str">
        <f>"1525492"</f>
        <v>1525492</v>
      </c>
      <c r="C558" s="3">
        <v>40788</v>
      </c>
      <c r="D558" s="3" t="s">
        <v>2375</v>
      </c>
      <c r="E558" s="3">
        <v>20100873681</v>
      </c>
      <c r="F558" s="3" t="s">
        <v>1241</v>
      </c>
      <c r="G558" s="3" t="s">
        <v>2376</v>
      </c>
      <c r="H558" s="3" t="s">
        <v>56</v>
      </c>
      <c r="I558" s="3" t="s">
        <v>56</v>
      </c>
      <c r="J558" s="3" t="s">
        <v>715</v>
      </c>
      <c r="K558" s="3" t="s">
        <v>2377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 t="s">
        <v>81</v>
      </c>
      <c r="AL558" s="4">
        <v>38454</v>
      </c>
      <c r="AM558" s="3"/>
      <c r="AN558" s="3"/>
    </row>
    <row r="559" spans="1:40" x14ac:dyDescent="0.3">
      <c r="A559" s="3">
        <v>553</v>
      </c>
      <c r="B559" s="3" t="str">
        <f>"1790611"</f>
        <v>1790611</v>
      </c>
      <c r="C559" s="3">
        <v>2513</v>
      </c>
      <c r="D559" s="3" t="s">
        <v>2378</v>
      </c>
      <c r="E559" s="3">
        <v>20100873681</v>
      </c>
      <c r="F559" s="3" t="s">
        <v>1241</v>
      </c>
      <c r="G559" s="3" t="s">
        <v>1047</v>
      </c>
      <c r="H559" s="3" t="s">
        <v>56</v>
      </c>
      <c r="I559" s="3" t="s">
        <v>56</v>
      </c>
      <c r="J559" s="3" t="s">
        <v>715</v>
      </c>
      <c r="K559" s="3" t="s">
        <v>2379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 t="s">
        <v>187</v>
      </c>
      <c r="AL559" s="4">
        <v>39615</v>
      </c>
      <c r="AM559" s="3"/>
      <c r="AN559" s="3"/>
    </row>
    <row r="560" spans="1:40" x14ac:dyDescent="0.3">
      <c r="A560" s="3">
        <v>554</v>
      </c>
      <c r="B560" s="3" t="str">
        <f>"1790613"</f>
        <v>1790613</v>
      </c>
      <c r="C560" s="3">
        <v>21241</v>
      </c>
      <c r="D560" s="3" t="s">
        <v>2380</v>
      </c>
      <c r="E560" s="3">
        <v>20100873681</v>
      </c>
      <c r="F560" s="3" t="s">
        <v>1241</v>
      </c>
      <c r="G560" s="3" t="s">
        <v>1047</v>
      </c>
      <c r="H560" s="3" t="s">
        <v>56</v>
      </c>
      <c r="I560" s="3" t="s">
        <v>56</v>
      </c>
      <c r="J560" s="3" t="s">
        <v>715</v>
      </c>
      <c r="K560" s="3" t="s">
        <v>2381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 t="s">
        <v>1162</v>
      </c>
      <c r="AL560" s="4">
        <v>39615</v>
      </c>
      <c r="AM560" s="3"/>
      <c r="AN560" s="3"/>
    </row>
    <row r="561" spans="1:40" x14ac:dyDescent="0.3">
      <c r="A561" s="3">
        <v>555</v>
      </c>
      <c r="B561" s="3" t="str">
        <f>"201600129542"</f>
        <v>201600129542</v>
      </c>
      <c r="C561" s="3">
        <v>121428</v>
      </c>
      <c r="D561" s="3" t="s">
        <v>2382</v>
      </c>
      <c r="E561" s="3">
        <v>20558301938</v>
      </c>
      <c r="F561" s="3" t="s">
        <v>2383</v>
      </c>
      <c r="G561" s="3" t="s">
        <v>2384</v>
      </c>
      <c r="H561" s="3" t="s">
        <v>97</v>
      </c>
      <c r="I561" s="3" t="s">
        <v>97</v>
      </c>
      <c r="J561" s="3" t="s">
        <v>144</v>
      </c>
      <c r="K561" s="3" t="s">
        <v>2385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 t="s">
        <v>2386</v>
      </c>
      <c r="AL561" s="4">
        <v>42639</v>
      </c>
      <c r="AM561" s="3"/>
      <c r="AN561" s="3" t="s">
        <v>2387</v>
      </c>
    </row>
    <row r="562" spans="1:40" ht="27.95" x14ac:dyDescent="0.3">
      <c r="A562" s="3">
        <v>556</v>
      </c>
      <c r="B562" s="3" t="str">
        <f>"1851017"</f>
        <v>1851017</v>
      </c>
      <c r="C562" s="3">
        <v>82178</v>
      </c>
      <c r="D562" s="3" t="s">
        <v>2388</v>
      </c>
      <c r="E562" s="3">
        <v>20480297441</v>
      </c>
      <c r="F562" s="3" t="s">
        <v>2389</v>
      </c>
      <c r="G562" s="3" t="s">
        <v>2390</v>
      </c>
      <c r="H562" s="3" t="s">
        <v>318</v>
      </c>
      <c r="I562" s="3" t="s">
        <v>319</v>
      </c>
      <c r="J562" s="3" t="s">
        <v>495</v>
      </c>
      <c r="K562" s="3" t="s">
        <v>2391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 t="s">
        <v>65</v>
      </c>
      <c r="AL562" s="4">
        <v>39813</v>
      </c>
      <c r="AM562" s="3"/>
      <c r="AN562" s="3"/>
    </row>
    <row r="563" spans="1:40" x14ac:dyDescent="0.3">
      <c r="A563" s="3">
        <v>557</v>
      </c>
      <c r="B563" s="3" t="str">
        <f>"1451352"</f>
        <v>1451352</v>
      </c>
      <c r="C563" s="3">
        <v>37784</v>
      </c>
      <c r="D563" s="3" t="s">
        <v>2392</v>
      </c>
      <c r="E563" s="3">
        <v>20100366747</v>
      </c>
      <c r="F563" s="3" t="s">
        <v>258</v>
      </c>
      <c r="G563" s="3" t="s">
        <v>1055</v>
      </c>
      <c r="H563" s="3" t="s">
        <v>56</v>
      </c>
      <c r="I563" s="3" t="s">
        <v>56</v>
      </c>
      <c r="J563" s="3" t="s">
        <v>185</v>
      </c>
      <c r="K563" s="3" t="s">
        <v>2393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 t="s">
        <v>2394</v>
      </c>
      <c r="AL563" s="4">
        <v>38023</v>
      </c>
      <c r="AM563" s="3"/>
      <c r="AN563" s="3"/>
    </row>
    <row r="564" spans="1:40" x14ac:dyDescent="0.3">
      <c r="A564" s="3">
        <v>558</v>
      </c>
      <c r="B564" s="3" t="str">
        <f>"1790615"</f>
        <v>1790615</v>
      </c>
      <c r="C564" s="3">
        <v>21245</v>
      </c>
      <c r="D564" s="3" t="s">
        <v>2395</v>
      </c>
      <c r="E564" s="3">
        <v>20100873681</v>
      </c>
      <c r="F564" s="3" t="s">
        <v>1241</v>
      </c>
      <c r="G564" s="3" t="s">
        <v>1047</v>
      </c>
      <c r="H564" s="3" t="s">
        <v>56</v>
      </c>
      <c r="I564" s="3" t="s">
        <v>56</v>
      </c>
      <c r="J564" s="3" t="s">
        <v>715</v>
      </c>
      <c r="K564" s="3" t="s">
        <v>2396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 t="s">
        <v>802</v>
      </c>
      <c r="AL564" s="4">
        <v>39615</v>
      </c>
      <c r="AM564" s="3"/>
      <c r="AN564" s="3"/>
    </row>
    <row r="565" spans="1:40" x14ac:dyDescent="0.3">
      <c r="A565" s="3">
        <v>559</v>
      </c>
      <c r="B565" s="3" t="str">
        <f>"201600071025"</f>
        <v>201600071025</v>
      </c>
      <c r="C565" s="3">
        <v>121470</v>
      </c>
      <c r="D565" s="3" t="s">
        <v>2397</v>
      </c>
      <c r="E565" s="3">
        <v>20568337736</v>
      </c>
      <c r="F565" s="3" t="s">
        <v>2398</v>
      </c>
      <c r="G565" s="3" t="s">
        <v>2399</v>
      </c>
      <c r="H565" s="3" t="s">
        <v>237</v>
      </c>
      <c r="I565" s="3" t="s">
        <v>868</v>
      </c>
      <c r="J565" s="3" t="s">
        <v>2312</v>
      </c>
      <c r="K565" s="3" t="s">
        <v>2400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 t="s">
        <v>2401</v>
      </c>
      <c r="AL565" s="4">
        <v>42507</v>
      </c>
      <c r="AM565" s="3"/>
      <c r="AN565" s="3" t="s">
        <v>2316</v>
      </c>
    </row>
    <row r="566" spans="1:40" x14ac:dyDescent="0.3">
      <c r="A566" s="3">
        <v>560</v>
      </c>
      <c r="B566" s="3" t="str">
        <f>"1330547"</f>
        <v>1330547</v>
      </c>
      <c r="C566" s="3">
        <v>21234</v>
      </c>
      <c r="D566" s="3" t="s">
        <v>2402</v>
      </c>
      <c r="E566" s="3">
        <v>10082015031</v>
      </c>
      <c r="F566" s="3" t="s">
        <v>2403</v>
      </c>
      <c r="G566" s="3" t="s">
        <v>2404</v>
      </c>
      <c r="H566" s="3" t="s">
        <v>56</v>
      </c>
      <c r="I566" s="3" t="s">
        <v>56</v>
      </c>
      <c r="J566" s="3" t="s">
        <v>432</v>
      </c>
      <c r="K566" s="3" t="s">
        <v>2405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 t="s">
        <v>2406</v>
      </c>
      <c r="AL566" s="4">
        <v>37105</v>
      </c>
      <c r="AM566" s="3"/>
      <c r="AN566" s="3"/>
    </row>
    <row r="567" spans="1:40" x14ac:dyDescent="0.3">
      <c r="A567" s="3">
        <v>561</v>
      </c>
      <c r="B567" s="3" t="str">
        <f>"1312549"</f>
        <v>1312549</v>
      </c>
      <c r="C567" s="3">
        <v>6431</v>
      </c>
      <c r="D567" s="3" t="s">
        <v>2407</v>
      </c>
      <c r="E567" s="3">
        <v>10093852937</v>
      </c>
      <c r="F567" s="3" t="s">
        <v>2365</v>
      </c>
      <c r="G567" s="3" t="s">
        <v>2366</v>
      </c>
      <c r="H567" s="3" t="s">
        <v>56</v>
      </c>
      <c r="I567" s="3" t="s">
        <v>56</v>
      </c>
      <c r="J567" s="3" t="s">
        <v>185</v>
      </c>
      <c r="K567" s="3" t="s">
        <v>2408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 t="s">
        <v>187</v>
      </c>
      <c r="AL567" s="4">
        <v>36955</v>
      </c>
      <c r="AM567" s="3"/>
      <c r="AN567" s="3"/>
    </row>
    <row r="568" spans="1:40" x14ac:dyDescent="0.3">
      <c r="A568" s="3">
        <v>562</v>
      </c>
      <c r="B568" s="3" t="str">
        <f>"201900160198"</f>
        <v>201900160198</v>
      </c>
      <c r="C568" s="3">
        <v>146896</v>
      </c>
      <c r="D568" s="3" t="s">
        <v>2409</v>
      </c>
      <c r="E568" s="3">
        <v>10476662244</v>
      </c>
      <c r="F568" s="3" t="s">
        <v>2410</v>
      </c>
      <c r="G568" s="3" t="s">
        <v>2411</v>
      </c>
      <c r="H568" s="3" t="s">
        <v>395</v>
      </c>
      <c r="I568" s="3" t="s">
        <v>396</v>
      </c>
      <c r="J568" s="3" t="s">
        <v>490</v>
      </c>
      <c r="K568" s="3" t="s">
        <v>2412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 t="s">
        <v>2413</v>
      </c>
      <c r="AL568" s="4">
        <v>43740</v>
      </c>
      <c r="AM568" s="3"/>
      <c r="AN568" s="3" t="s">
        <v>2410</v>
      </c>
    </row>
    <row r="569" spans="1:40" x14ac:dyDescent="0.3">
      <c r="A569" s="3">
        <v>563</v>
      </c>
      <c r="B569" s="3" t="str">
        <f>"201600180625"</f>
        <v>201600180625</v>
      </c>
      <c r="C569" s="3">
        <v>121624</v>
      </c>
      <c r="D569" s="3" t="s">
        <v>2414</v>
      </c>
      <c r="E569" s="3">
        <v>20601020581</v>
      </c>
      <c r="F569" s="3" t="s">
        <v>1206</v>
      </c>
      <c r="G569" s="3" t="s">
        <v>1207</v>
      </c>
      <c r="H569" s="3" t="s">
        <v>1208</v>
      </c>
      <c r="I569" s="3" t="s">
        <v>1209</v>
      </c>
      <c r="J569" s="3" t="s">
        <v>1209</v>
      </c>
      <c r="K569" s="3" t="s">
        <v>2415</v>
      </c>
      <c r="L569" s="3" t="s">
        <v>2416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 t="s">
        <v>485</v>
      </c>
      <c r="AL569" s="4">
        <v>42789</v>
      </c>
      <c r="AM569" s="3"/>
      <c r="AN569" s="3" t="s">
        <v>1212</v>
      </c>
    </row>
    <row r="570" spans="1:40" x14ac:dyDescent="0.3">
      <c r="A570" s="3">
        <v>564</v>
      </c>
      <c r="B570" s="3" t="str">
        <f>"1312547"</f>
        <v>1312547</v>
      </c>
      <c r="C570" s="3">
        <v>2504</v>
      </c>
      <c r="D570" s="3" t="s">
        <v>2417</v>
      </c>
      <c r="E570" s="3">
        <v>10093852937</v>
      </c>
      <c r="F570" s="3" t="s">
        <v>2365</v>
      </c>
      <c r="G570" s="3" t="s">
        <v>2366</v>
      </c>
      <c r="H570" s="3" t="s">
        <v>56</v>
      </c>
      <c r="I570" s="3" t="s">
        <v>56</v>
      </c>
      <c r="J570" s="3" t="s">
        <v>185</v>
      </c>
      <c r="K570" s="3" t="s">
        <v>2418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 t="s">
        <v>118</v>
      </c>
      <c r="AL570" s="4">
        <v>36955</v>
      </c>
      <c r="AM570" s="3"/>
      <c r="AN570" s="3"/>
    </row>
    <row r="571" spans="1:40" x14ac:dyDescent="0.3">
      <c r="A571" s="3">
        <v>565</v>
      </c>
      <c r="B571" s="3" t="str">
        <f>"1312545"</f>
        <v>1312545</v>
      </c>
      <c r="C571" s="3">
        <v>3628</v>
      </c>
      <c r="D571" s="3" t="s">
        <v>2419</v>
      </c>
      <c r="E571" s="3">
        <v>10093852937</v>
      </c>
      <c r="F571" s="3" t="s">
        <v>2365</v>
      </c>
      <c r="G571" s="3" t="s">
        <v>2366</v>
      </c>
      <c r="H571" s="3" t="s">
        <v>56</v>
      </c>
      <c r="I571" s="3" t="s">
        <v>56</v>
      </c>
      <c r="J571" s="3" t="s">
        <v>185</v>
      </c>
      <c r="K571" s="3" t="s">
        <v>2420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 t="s">
        <v>546</v>
      </c>
      <c r="AL571" s="4">
        <v>36955</v>
      </c>
      <c r="AM571" s="3"/>
      <c r="AN571" s="3"/>
    </row>
    <row r="572" spans="1:40" x14ac:dyDescent="0.3">
      <c r="A572" s="3">
        <v>566</v>
      </c>
      <c r="B572" s="3" t="str">
        <f>"1357178"</f>
        <v>1357178</v>
      </c>
      <c r="C572" s="3">
        <v>2262</v>
      </c>
      <c r="D572" s="3" t="s">
        <v>2421</v>
      </c>
      <c r="E572" s="3">
        <v>20100005485</v>
      </c>
      <c r="F572" s="3" t="s">
        <v>1361</v>
      </c>
      <c r="G572" s="3" t="s">
        <v>1855</v>
      </c>
      <c r="H572" s="3" t="s">
        <v>75</v>
      </c>
      <c r="I572" s="3" t="s">
        <v>75</v>
      </c>
      <c r="J572" s="3" t="s">
        <v>76</v>
      </c>
      <c r="K572" s="3" t="s">
        <v>2422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 t="s">
        <v>946</v>
      </c>
      <c r="AL572" s="4">
        <v>37341</v>
      </c>
      <c r="AM572" s="3"/>
      <c r="AN572" s="3"/>
    </row>
    <row r="573" spans="1:40" x14ac:dyDescent="0.3">
      <c r="A573" s="3">
        <v>567</v>
      </c>
      <c r="B573" s="3" t="str">
        <f>"201400161063"</f>
        <v>201400161063</v>
      </c>
      <c r="C573" s="3">
        <v>84559</v>
      </c>
      <c r="D573" s="3" t="s">
        <v>2423</v>
      </c>
      <c r="E573" s="3">
        <v>20479920797</v>
      </c>
      <c r="F573" s="3" t="s">
        <v>2424</v>
      </c>
      <c r="G573" s="3" t="s">
        <v>2425</v>
      </c>
      <c r="H573" s="3" t="s">
        <v>318</v>
      </c>
      <c r="I573" s="3" t="s">
        <v>319</v>
      </c>
      <c r="J573" s="3" t="s">
        <v>319</v>
      </c>
      <c r="K573" s="3" t="s">
        <v>2426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 t="s">
        <v>986</v>
      </c>
      <c r="AL573" s="4">
        <v>41995</v>
      </c>
      <c r="AM573" s="3"/>
      <c r="AN573" s="3" t="s">
        <v>2427</v>
      </c>
    </row>
    <row r="574" spans="1:40" x14ac:dyDescent="0.3">
      <c r="A574" s="3">
        <v>568</v>
      </c>
      <c r="B574" s="3" t="str">
        <f>"1357176"</f>
        <v>1357176</v>
      </c>
      <c r="C574" s="3">
        <v>3521</v>
      </c>
      <c r="D574" s="3" t="s">
        <v>2428</v>
      </c>
      <c r="E574" s="3">
        <v>20100005485</v>
      </c>
      <c r="F574" s="3" t="s">
        <v>1361</v>
      </c>
      <c r="G574" s="3" t="s">
        <v>1855</v>
      </c>
      <c r="H574" s="3" t="s">
        <v>75</v>
      </c>
      <c r="I574" s="3" t="s">
        <v>75</v>
      </c>
      <c r="J574" s="3" t="s">
        <v>76</v>
      </c>
      <c r="K574" s="3" t="s">
        <v>2429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 t="s">
        <v>546</v>
      </c>
      <c r="AL574" s="4">
        <v>37341</v>
      </c>
      <c r="AM574" s="3"/>
      <c r="AN574" s="3"/>
    </row>
    <row r="575" spans="1:40" x14ac:dyDescent="0.3">
      <c r="A575" s="3">
        <v>569</v>
      </c>
      <c r="B575" s="3" t="str">
        <f>"201700106546"</f>
        <v>201700106546</v>
      </c>
      <c r="C575" s="3">
        <v>130390</v>
      </c>
      <c r="D575" s="3" t="s">
        <v>2430</v>
      </c>
      <c r="E575" s="3">
        <v>20601009189</v>
      </c>
      <c r="F575" s="3" t="s">
        <v>2431</v>
      </c>
      <c r="G575" s="3" t="s">
        <v>2432</v>
      </c>
      <c r="H575" s="3" t="s">
        <v>446</v>
      </c>
      <c r="I575" s="3" t="s">
        <v>446</v>
      </c>
      <c r="J575" s="3" t="s">
        <v>830</v>
      </c>
      <c r="K575" s="3" t="s">
        <v>2433</v>
      </c>
      <c r="L575" s="3" t="s">
        <v>2434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 t="s">
        <v>2435</v>
      </c>
      <c r="AL575" s="4">
        <v>42929</v>
      </c>
      <c r="AM575" s="3"/>
      <c r="AN575" s="3" t="s">
        <v>2436</v>
      </c>
    </row>
    <row r="576" spans="1:40" x14ac:dyDescent="0.3">
      <c r="A576" s="3">
        <v>570</v>
      </c>
      <c r="B576" s="3" t="str">
        <f>"1960511"</f>
        <v>1960511</v>
      </c>
      <c r="C576" s="3">
        <v>106496</v>
      </c>
      <c r="D576" s="3" t="s">
        <v>2437</v>
      </c>
      <c r="E576" s="3">
        <v>20519844983</v>
      </c>
      <c r="F576" s="3" t="s">
        <v>2438</v>
      </c>
      <c r="G576" s="3" t="s">
        <v>2439</v>
      </c>
      <c r="H576" s="3" t="s">
        <v>743</v>
      </c>
      <c r="I576" s="3" t="s">
        <v>1031</v>
      </c>
      <c r="J576" s="3" t="s">
        <v>1031</v>
      </c>
      <c r="K576" s="3" t="s">
        <v>2440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 t="s">
        <v>81</v>
      </c>
      <c r="AL576" s="4">
        <v>40214</v>
      </c>
      <c r="AM576" s="3"/>
      <c r="AN576" s="3"/>
    </row>
    <row r="577" spans="1:40" x14ac:dyDescent="0.3">
      <c r="A577" s="3">
        <v>571</v>
      </c>
      <c r="B577" s="3" t="str">
        <f>"1960510"</f>
        <v>1960510</v>
      </c>
      <c r="C577" s="3">
        <v>84795</v>
      </c>
      <c r="D577" s="3" t="s">
        <v>2441</v>
      </c>
      <c r="E577" s="3">
        <v>10046464562</v>
      </c>
      <c r="F577" s="3" t="s">
        <v>2442</v>
      </c>
      <c r="G577" s="3" t="s">
        <v>2443</v>
      </c>
      <c r="H577" s="3" t="s">
        <v>743</v>
      </c>
      <c r="I577" s="3" t="s">
        <v>1031</v>
      </c>
      <c r="J577" s="3" t="s">
        <v>1031</v>
      </c>
      <c r="K577" s="3" t="s">
        <v>2444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 t="s">
        <v>1586</v>
      </c>
      <c r="AL577" s="4">
        <v>40205</v>
      </c>
      <c r="AM577" s="3"/>
      <c r="AN577" s="3"/>
    </row>
    <row r="578" spans="1:40" ht="27.95" x14ac:dyDescent="0.3">
      <c r="A578" s="3">
        <v>572</v>
      </c>
      <c r="B578" s="3" t="str">
        <f>"1507473"</f>
        <v>1507473</v>
      </c>
      <c r="C578" s="3">
        <v>39887</v>
      </c>
      <c r="D578" s="3" t="s">
        <v>2445</v>
      </c>
      <c r="E578" s="3">
        <v>10104212471</v>
      </c>
      <c r="F578" s="3" t="s">
        <v>2446</v>
      </c>
      <c r="G578" s="3" t="s">
        <v>2447</v>
      </c>
      <c r="H578" s="3" t="s">
        <v>56</v>
      </c>
      <c r="I578" s="3" t="s">
        <v>56</v>
      </c>
      <c r="J578" s="3" t="s">
        <v>131</v>
      </c>
      <c r="K578" s="3" t="s">
        <v>2448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 t="s">
        <v>81</v>
      </c>
      <c r="AL578" s="4">
        <v>38384</v>
      </c>
      <c r="AM578" s="3"/>
      <c r="AN578" s="3"/>
    </row>
    <row r="579" spans="1:40" x14ac:dyDescent="0.3">
      <c r="A579" s="3">
        <v>573</v>
      </c>
      <c r="B579" s="3" t="str">
        <f>"201400169904"</f>
        <v>201400169904</v>
      </c>
      <c r="C579" s="3">
        <v>113097</v>
      </c>
      <c r="D579" s="3" t="s">
        <v>2449</v>
      </c>
      <c r="E579" s="3">
        <v>20113539594</v>
      </c>
      <c r="F579" s="3" t="s">
        <v>164</v>
      </c>
      <c r="G579" s="3" t="s">
        <v>624</v>
      </c>
      <c r="H579" s="3" t="s">
        <v>50</v>
      </c>
      <c r="I579" s="3" t="s">
        <v>50</v>
      </c>
      <c r="J579" s="3" t="s">
        <v>50</v>
      </c>
      <c r="K579" s="3" t="s">
        <v>2450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 t="s">
        <v>583</v>
      </c>
      <c r="AL579" s="4">
        <v>42011</v>
      </c>
      <c r="AM579" s="3"/>
      <c r="AN579" s="3" t="s">
        <v>626</v>
      </c>
    </row>
    <row r="580" spans="1:40" x14ac:dyDescent="0.3">
      <c r="A580" s="3">
        <v>574</v>
      </c>
      <c r="B580" s="3" t="str">
        <f>"1494964"</f>
        <v>1494964</v>
      </c>
      <c r="C580" s="3">
        <v>93394</v>
      </c>
      <c r="D580" s="3" t="s">
        <v>2451</v>
      </c>
      <c r="E580" s="3">
        <v>20525521509</v>
      </c>
      <c r="F580" s="3" t="s">
        <v>189</v>
      </c>
      <c r="G580" s="3" t="s">
        <v>190</v>
      </c>
      <c r="H580" s="3" t="s">
        <v>50</v>
      </c>
      <c r="I580" s="3" t="s">
        <v>50</v>
      </c>
      <c r="J580" s="3" t="s">
        <v>98</v>
      </c>
      <c r="K580" s="3" t="s">
        <v>2452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 t="s">
        <v>2453</v>
      </c>
      <c r="AL580" s="3" t="s">
        <v>290</v>
      </c>
      <c r="AM580" s="3"/>
      <c r="AN580" s="3" t="s">
        <v>885</v>
      </c>
    </row>
    <row r="581" spans="1:40" x14ac:dyDescent="0.3">
      <c r="A581" s="3">
        <v>575</v>
      </c>
      <c r="B581" s="3" t="str">
        <f>"201800133200"</f>
        <v>201800133200</v>
      </c>
      <c r="C581" s="3">
        <v>102922</v>
      </c>
      <c r="D581" s="3" t="s">
        <v>2454</v>
      </c>
      <c r="E581" s="3">
        <v>20570866886</v>
      </c>
      <c r="F581" s="3" t="s">
        <v>2455</v>
      </c>
      <c r="G581" s="3" t="s">
        <v>2456</v>
      </c>
      <c r="H581" s="3" t="s">
        <v>357</v>
      </c>
      <c r="I581" s="3" t="s">
        <v>358</v>
      </c>
      <c r="J581" s="3" t="s">
        <v>359</v>
      </c>
      <c r="K581" s="3" t="s">
        <v>2457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 t="s">
        <v>2458</v>
      </c>
      <c r="AL581" s="4">
        <v>43326</v>
      </c>
      <c r="AM581" s="3"/>
      <c r="AN581" s="3" t="s">
        <v>2459</v>
      </c>
    </row>
    <row r="582" spans="1:40" ht="27.95" x14ac:dyDescent="0.3">
      <c r="A582" s="3">
        <v>576</v>
      </c>
      <c r="B582" s="3" t="str">
        <f>"201800112502"</f>
        <v>201800112502</v>
      </c>
      <c r="C582" s="3">
        <v>137357</v>
      </c>
      <c r="D582" s="3" t="s">
        <v>2460</v>
      </c>
      <c r="E582" s="3">
        <v>10068937677</v>
      </c>
      <c r="F582" s="3" t="s">
        <v>2461</v>
      </c>
      <c r="G582" s="3" t="s">
        <v>2462</v>
      </c>
      <c r="H582" s="3" t="s">
        <v>56</v>
      </c>
      <c r="I582" s="3" t="s">
        <v>56</v>
      </c>
      <c r="J582" s="3" t="s">
        <v>116</v>
      </c>
      <c r="K582" s="3" t="s">
        <v>2463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 t="s">
        <v>1601</v>
      </c>
      <c r="AL582" s="4">
        <v>43293</v>
      </c>
      <c r="AM582" s="3"/>
      <c r="AN582" s="3" t="s">
        <v>2461</v>
      </c>
    </row>
    <row r="583" spans="1:40" ht="27.95" x14ac:dyDescent="0.3">
      <c r="A583" s="3">
        <v>577</v>
      </c>
      <c r="B583" s="3" t="str">
        <f>"201400045197"</f>
        <v>201400045197</v>
      </c>
      <c r="C583" s="3">
        <v>108446</v>
      </c>
      <c r="D583" s="3" t="s">
        <v>2464</v>
      </c>
      <c r="E583" s="3">
        <v>20448431887</v>
      </c>
      <c r="F583" s="3" t="s">
        <v>2465</v>
      </c>
      <c r="G583" s="3" t="s">
        <v>2466</v>
      </c>
      <c r="H583" s="3" t="s">
        <v>222</v>
      </c>
      <c r="I583" s="3" t="s">
        <v>223</v>
      </c>
      <c r="J583" s="3" t="s">
        <v>224</v>
      </c>
      <c r="K583" s="3" t="s">
        <v>2467</v>
      </c>
      <c r="L583" s="3" t="s">
        <v>2468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 t="s">
        <v>470</v>
      </c>
      <c r="AL583" s="4">
        <v>41743</v>
      </c>
      <c r="AM583" s="3"/>
      <c r="AN583" s="3" t="s">
        <v>2469</v>
      </c>
    </row>
    <row r="584" spans="1:40" x14ac:dyDescent="0.3">
      <c r="A584" s="3">
        <v>578</v>
      </c>
      <c r="B584" s="3" t="str">
        <f>"1283114"</f>
        <v>1283114</v>
      </c>
      <c r="C584" s="3">
        <v>19601</v>
      </c>
      <c r="D584" s="3">
        <v>1283114</v>
      </c>
      <c r="E584" s="3">
        <v>10091880712</v>
      </c>
      <c r="F584" s="3" t="s">
        <v>2470</v>
      </c>
      <c r="G584" s="3" t="s">
        <v>2471</v>
      </c>
      <c r="H584" s="3" t="s">
        <v>75</v>
      </c>
      <c r="I584" s="3" t="s">
        <v>75</v>
      </c>
      <c r="J584" s="3" t="s">
        <v>1358</v>
      </c>
      <c r="K584" s="3" t="s">
        <v>2472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 t="s">
        <v>157</v>
      </c>
      <c r="AL584" s="4">
        <v>36703</v>
      </c>
      <c r="AM584" s="3"/>
      <c r="AN584" s="3"/>
    </row>
    <row r="585" spans="1:40" x14ac:dyDescent="0.3">
      <c r="A585" s="3">
        <v>579</v>
      </c>
      <c r="B585" s="3" t="str">
        <f>"201800079995"</f>
        <v>201800079995</v>
      </c>
      <c r="C585" s="3">
        <v>83131</v>
      </c>
      <c r="D585" s="3" t="s">
        <v>2473</v>
      </c>
      <c r="E585" s="3">
        <v>10707530087</v>
      </c>
      <c r="F585" s="3" t="s">
        <v>2474</v>
      </c>
      <c r="G585" s="3" t="s">
        <v>2475</v>
      </c>
      <c r="H585" s="3" t="s">
        <v>56</v>
      </c>
      <c r="I585" s="3" t="s">
        <v>56</v>
      </c>
      <c r="J585" s="3" t="s">
        <v>57</v>
      </c>
      <c r="K585" s="3" t="s">
        <v>2476</v>
      </c>
      <c r="L585" s="3" t="s">
        <v>2477</v>
      </c>
      <c r="M585" s="3" t="s">
        <v>2478</v>
      </c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 t="s">
        <v>2479</v>
      </c>
      <c r="AL585" s="4">
        <v>43241</v>
      </c>
      <c r="AM585" s="3"/>
      <c r="AN585" s="3" t="s">
        <v>2474</v>
      </c>
    </row>
    <row r="586" spans="1:40" x14ac:dyDescent="0.3">
      <c r="A586" s="3">
        <v>580</v>
      </c>
      <c r="B586" s="3" t="str">
        <f>"201900205893"</f>
        <v>201900205893</v>
      </c>
      <c r="C586" s="3">
        <v>148272</v>
      </c>
      <c r="D586" s="3" t="s">
        <v>2480</v>
      </c>
      <c r="E586" s="3">
        <v>10767834646</v>
      </c>
      <c r="F586" s="3" t="s">
        <v>2481</v>
      </c>
      <c r="G586" s="3" t="s">
        <v>2482</v>
      </c>
      <c r="H586" s="3" t="s">
        <v>50</v>
      </c>
      <c r="I586" s="3" t="s">
        <v>50</v>
      </c>
      <c r="J586" s="3" t="s">
        <v>2274</v>
      </c>
      <c r="K586" s="3" t="s">
        <v>2483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 t="s">
        <v>2484</v>
      </c>
      <c r="AL586" s="4">
        <v>43817</v>
      </c>
      <c r="AM586" s="3"/>
      <c r="AN586" s="3" t="s">
        <v>2482</v>
      </c>
    </row>
    <row r="587" spans="1:40" x14ac:dyDescent="0.3">
      <c r="A587" s="3">
        <v>581</v>
      </c>
      <c r="B587" s="3" t="str">
        <f>"201600044584"</f>
        <v>201600044584</v>
      </c>
      <c r="C587" s="3">
        <v>120625</v>
      </c>
      <c r="D587" s="3" t="s">
        <v>2485</v>
      </c>
      <c r="E587" s="3">
        <v>20504565956</v>
      </c>
      <c r="F587" s="3" t="s">
        <v>2486</v>
      </c>
      <c r="G587" s="3" t="s">
        <v>2487</v>
      </c>
      <c r="H587" s="3" t="s">
        <v>56</v>
      </c>
      <c r="I587" s="3" t="s">
        <v>56</v>
      </c>
      <c r="J587" s="3" t="s">
        <v>481</v>
      </c>
      <c r="K587" s="3" t="s">
        <v>2488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 t="s">
        <v>2489</v>
      </c>
      <c r="AL587" s="4">
        <v>42468</v>
      </c>
      <c r="AM587" s="3"/>
      <c r="AN587" s="3" t="s">
        <v>2490</v>
      </c>
    </row>
    <row r="588" spans="1:40" x14ac:dyDescent="0.3">
      <c r="A588" s="3">
        <v>582</v>
      </c>
      <c r="B588" s="3" t="str">
        <f>"201400076508"</f>
        <v>201400076508</v>
      </c>
      <c r="C588" s="3">
        <v>110017</v>
      </c>
      <c r="D588" s="3" t="s">
        <v>2491</v>
      </c>
      <c r="E588" s="3">
        <v>20506151547</v>
      </c>
      <c r="F588" s="3" t="s">
        <v>2492</v>
      </c>
      <c r="G588" s="3" t="s">
        <v>2493</v>
      </c>
      <c r="H588" s="3" t="s">
        <v>56</v>
      </c>
      <c r="I588" s="3" t="s">
        <v>56</v>
      </c>
      <c r="J588" s="3" t="s">
        <v>653</v>
      </c>
      <c r="K588" s="3" t="s">
        <v>2494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 t="s">
        <v>2495</v>
      </c>
      <c r="AL588" s="4">
        <v>41809</v>
      </c>
      <c r="AM588" s="3"/>
      <c r="AN588" s="3" t="s">
        <v>2027</v>
      </c>
    </row>
    <row r="589" spans="1:40" ht="27.95" x14ac:dyDescent="0.3">
      <c r="A589" s="3">
        <v>583</v>
      </c>
      <c r="B589" s="3" t="str">
        <f>"201700122123"</f>
        <v>201700122123</v>
      </c>
      <c r="C589" s="3">
        <v>130927</v>
      </c>
      <c r="D589" s="3" t="s">
        <v>2496</v>
      </c>
      <c r="E589" s="3">
        <v>20493166078</v>
      </c>
      <c r="F589" s="3" t="s">
        <v>2497</v>
      </c>
      <c r="G589" s="3" t="s">
        <v>2498</v>
      </c>
      <c r="H589" s="3" t="s">
        <v>245</v>
      </c>
      <c r="I589" s="3" t="s">
        <v>246</v>
      </c>
      <c r="J589" s="3" t="s">
        <v>2499</v>
      </c>
      <c r="K589" s="3" t="s">
        <v>2500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 t="s">
        <v>187</v>
      </c>
      <c r="AL589" s="4">
        <v>42970</v>
      </c>
      <c r="AM589" s="3"/>
      <c r="AN589" s="3" t="s">
        <v>2501</v>
      </c>
    </row>
    <row r="590" spans="1:40" x14ac:dyDescent="0.3">
      <c r="A590" s="3">
        <v>584</v>
      </c>
      <c r="B590" s="3" t="str">
        <f>"201400076507"</f>
        <v>201400076507</v>
      </c>
      <c r="C590" s="3">
        <v>110016</v>
      </c>
      <c r="D590" s="3" t="s">
        <v>2502</v>
      </c>
      <c r="E590" s="3">
        <v>20506151547</v>
      </c>
      <c r="F590" s="3" t="s">
        <v>2492</v>
      </c>
      <c r="G590" s="3" t="s">
        <v>2193</v>
      </c>
      <c r="H590" s="3" t="s">
        <v>56</v>
      </c>
      <c r="I590" s="3" t="s">
        <v>56</v>
      </c>
      <c r="J590" s="3" t="s">
        <v>653</v>
      </c>
      <c r="K590" s="3" t="s">
        <v>2503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 t="s">
        <v>2495</v>
      </c>
      <c r="AL590" s="4">
        <v>41809</v>
      </c>
      <c r="AM590" s="3"/>
      <c r="AN590" s="3" t="s">
        <v>2504</v>
      </c>
    </row>
    <row r="591" spans="1:40" x14ac:dyDescent="0.3">
      <c r="A591" s="3">
        <v>585</v>
      </c>
      <c r="B591" s="3" t="str">
        <f>"201200020038"</f>
        <v>201200020038</v>
      </c>
      <c r="C591" s="3">
        <v>19525</v>
      </c>
      <c r="D591" s="3" t="s">
        <v>2505</v>
      </c>
      <c r="E591" s="3">
        <v>20113539594</v>
      </c>
      <c r="F591" s="3" t="s">
        <v>164</v>
      </c>
      <c r="G591" s="3" t="s">
        <v>2506</v>
      </c>
      <c r="H591" s="3" t="s">
        <v>50</v>
      </c>
      <c r="I591" s="3" t="s">
        <v>50</v>
      </c>
      <c r="J591" s="3" t="s">
        <v>50</v>
      </c>
      <c r="K591" s="3" t="s">
        <v>2507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 t="s">
        <v>2508</v>
      </c>
      <c r="AL591" s="4">
        <v>40949</v>
      </c>
      <c r="AM591" s="3"/>
      <c r="AN591" s="3" t="s">
        <v>2509</v>
      </c>
    </row>
    <row r="592" spans="1:40" x14ac:dyDescent="0.3">
      <c r="A592" s="3">
        <v>586</v>
      </c>
      <c r="B592" s="3" t="str">
        <f>"1516976"</f>
        <v>1516976</v>
      </c>
      <c r="C592" s="3">
        <v>38906</v>
      </c>
      <c r="D592" s="3" t="s">
        <v>2510</v>
      </c>
      <c r="E592" s="3">
        <v>10103682229</v>
      </c>
      <c r="F592" s="3" t="s">
        <v>2511</v>
      </c>
      <c r="G592" s="3" t="s">
        <v>2512</v>
      </c>
      <c r="H592" s="3" t="s">
        <v>386</v>
      </c>
      <c r="I592" s="3" t="s">
        <v>387</v>
      </c>
      <c r="J592" s="3" t="s">
        <v>2513</v>
      </c>
      <c r="K592" s="3" t="s">
        <v>2514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 t="s">
        <v>2508</v>
      </c>
      <c r="AL592" s="4">
        <v>38370</v>
      </c>
      <c r="AM592" s="3"/>
      <c r="AN592" s="3"/>
    </row>
    <row r="593" spans="1:40" ht="27.95" x14ac:dyDescent="0.3">
      <c r="A593" s="3">
        <v>587</v>
      </c>
      <c r="B593" s="3" t="str">
        <f>"201900000560"</f>
        <v>201900000560</v>
      </c>
      <c r="C593" s="3">
        <v>140610</v>
      </c>
      <c r="D593" s="3" t="s">
        <v>2515</v>
      </c>
      <c r="E593" s="3">
        <v>10098264120</v>
      </c>
      <c r="F593" s="3" t="s">
        <v>2516</v>
      </c>
      <c r="G593" s="3" t="s">
        <v>2517</v>
      </c>
      <c r="H593" s="3" t="s">
        <v>56</v>
      </c>
      <c r="I593" s="3" t="s">
        <v>56</v>
      </c>
      <c r="J593" s="3" t="s">
        <v>277</v>
      </c>
      <c r="K593" s="3" t="s">
        <v>2518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 t="s">
        <v>504</v>
      </c>
      <c r="AL593" s="4">
        <v>43472</v>
      </c>
      <c r="AM593" s="3"/>
      <c r="AN593" s="3" t="s">
        <v>2516</v>
      </c>
    </row>
    <row r="594" spans="1:40" x14ac:dyDescent="0.3">
      <c r="A594" s="3">
        <v>588</v>
      </c>
      <c r="B594" s="3" t="str">
        <f>"1261516"</f>
        <v>1261516</v>
      </c>
      <c r="C594" s="3">
        <v>17973</v>
      </c>
      <c r="D594" s="3">
        <v>1261516</v>
      </c>
      <c r="E594" s="3">
        <v>10091568344</v>
      </c>
      <c r="F594" s="3" t="s">
        <v>2519</v>
      </c>
      <c r="G594" s="3" t="s">
        <v>2520</v>
      </c>
      <c r="H594" s="3" t="s">
        <v>56</v>
      </c>
      <c r="I594" s="3" t="s">
        <v>56</v>
      </c>
      <c r="J594" s="3" t="s">
        <v>653</v>
      </c>
      <c r="K594" s="3" t="s">
        <v>2521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 t="s">
        <v>81</v>
      </c>
      <c r="AL594" s="4">
        <v>36489</v>
      </c>
      <c r="AM594" s="3"/>
      <c r="AN594" s="3"/>
    </row>
    <row r="595" spans="1:40" ht="27.95" x14ac:dyDescent="0.3">
      <c r="A595" s="3">
        <v>589</v>
      </c>
      <c r="B595" s="3" t="str">
        <f>"1185802"</f>
        <v>1185802</v>
      </c>
      <c r="C595" s="3">
        <v>16234</v>
      </c>
      <c r="D595" s="3">
        <v>1182746</v>
      </c>
      <c r="E595" s="3">
        <v>20251896551</v>
      </c>
      <c r="F595" s="3" t="s">
        <v>1408</v>
      </c>
      <c r="G595" s="3" t="s">
        <v>1409</v>
      </c>
      <c r="H595" s="3" t="s">
        <v>56</v>
      </c>
      <c r="I595" s="3" t="s">
        <v>56</v>
      </c>
      <c r="J595" s="3" t="s">
        <v>529</v>
      </c>
      <c r="K595" s="3" t="s">
        <v>2522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 t="s">
        <v>546</v>
      </c>
      <c r="AL595" s="4">
        <v>35951</v>
      </c>
      <c r="AM595" s="3"/>
      <c r="AN595" s="3"/>
    </row>
    <row r="596" spans="1:40" x14ac:dyDescent="0.3">
      <c r="A596" s="3">
        <v>590</v>
      </c>
      <c r="B596" s="3" t="str">
        <f>"201200014808"</f>
        <v>201200014808</v>
      </c>
      <c r="C596" s="3">
        <v>95725</v>
      </c>
      <c r="D596" s="3" t="s">
        <v>2523</v>
      </c>
      <c r="E596" s="3">
        <v>10448419164</v>
      </c>
      <c r="F596" s="3" t="s">
        <v>1212</v>
      </c>
      <c r="G596" s="3" t="s">
        <v>2524</v>
      </c>
      <c r="H596" s="3" t="s">
        <v>1208</v>
      </c>
      <c r="I596" s="3" t="s">
        <v>2525</v>
      </c>
      <c r="J596" s="3" t="s">
        <v>2525</v>
      </c>
      <c r="K596" s="3" t="s">
        <v>2526</v>
      </c>
      <c r="L596" s="3" t="s">
        <v>2527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 t="s">
        <v>485</v>
      </c>
      <c r="AL596" s="4">
        <v>40945</v>
      </c>
      <c r="AM596" s="3"/>
      <c r="AN596" s="3" t="s">
        <v>1212</v>
      </c>
    </row>
    <row r="597" spans="1:40" x14ac:dyDescent="0.3">
      <c r="A597" s="3">
        <v>591</v>
      </c>
      <c r="B597" s="3" t="str">
        <f>"201800129569"</f>
        <v>201800129569</v>
      </c>
      <c r="C597" s="3">
        <v>2412</v>
      </c>
      <c r="D597" s="3" t="s">
        <v>2528</v>
      </c>
      <c r="E597" s="3">
        <v>10103381407</v>
      </c>
      <c r="F597" s="3" t="s">
        <v>2529</v>
      </c>
      <c r="G597" s="3" t="s">
        <v>2530</v>
      </c>
      <c r="H597" s="3" t="s">
        <v>56</v>
      </c>
      <c r="I597" s="3" t="s">
        <v>56</v>
      </c>
      <c r="J597" s="3" t="s">
        <v>121</v>
      </c>
      <c r="K597" s="3" t="s">
        <v>2531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 t="s">
        <v>65</v>
      </c>
      <c r="AL597" s="4">
        <v>43319</v>
      </c>
      <c r="AM597" s="3"/>
      <c r="AN597" s="3" t="s">
        <v>2532</v>
      </c>
    </row>
    <row r="598" spans="1:40" x14ac:dyDescent="0.3">
      <c r="A598" s="3">
        <v>592</v>
      </c>
      <c r="B598" s="3" t="str">
        <f>"1321549"</f>
        <v>1321549</v>
      </c>
      <c r="C598" s="3">
        <v>15459</v>
      </c>
      <c r="D598" s="3" t="s">
        <v>2533</v>
      </c>
      <c r="E598" s="3">
        <v>20100366747</v>
      </c>
      <c r="F598" s="3" t="s">
        <v>258</v>
      </c>
      <c r="G598" s="3" t="s">
        <v>1055</v>
      </c>
      <c r="H598" s="3" t="s">
        <v>56</v>
      </c>
      <c r="I598" s="3" t="s">
        <v>56</v>
      </c>
      <c r="J598" s="3" t="s">
        <v>185</v>
      </c>
      <c r="K598" s="3" t="s">
        <v>2534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 t="s">
        <v>157</v>
      </c>
      <c r="AL598" s="4">
        <v>37050</v>
      </c>
      <c r="AM598" s="3"/>
      <c r="AN598" s="3"/>
    </row>
    <row r="599" spans="1:40" x14ac:dyDescent="0.3">
      <c r="A599" s="3">
        <v>593</v>
      </c>
      <c r="B599" s="3" t="str">
        <f>"1149902"</f>
        <v>1149902</v>
      </c>
      <c r="C599" s="3">
        <v>3318</v>
      </c>
      <c r="D599" s="3">
        <v>1149902</v>
      </c>
      <c r="E599" s="3">
        <v>20214494745</v>
      </c>
      <c r="F599" s="3" t="s">
        <v>2535</v>
      </c>
      <c r="G599" s="3" t="s">
        <v>2536</v>
      </c>
      <c r="H599" s="3" t="s">
        <v>237</v>
      </c>
      <c r="I599" s="3" t="s">
        <v>868</v>
      </c>
      <c r="J599" s="3" t="s">
        <v>2537</v>
      </c>
      <c r="K599" s="3" t="s">
        <v>2538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 t="s">
        <v>52</v>
      </c>
      <c r="AL599" s="4">
        <v>35688</v>
      </c>
      <c r="AM599" s="3"/>
      <c r="AN599" s="3"/>
    </row>
    <row r="600" spans="1:40" x14ac:dyDescent="0.3">
      <c r="A600" s="3">
        <v>594</v>
      </c>
      <c r="B600" s="3" t="str">
        <f>"1321541"</f>
        <v>1321541</v>
      </c>
      <c r="C600" s="3">
        <v>2499</v>
      </c>
      <c r="D600" s="3" t="s">
        <v>2539</v>
      </c>
      <c r="E600" s="3">
        <v>20100366747</v>
      </c>
      <c r="F600" s="3" t="s">
        <v>258</v>
      </c>
      <c r="G600" s="3" t="s">
        <v>1055</v>
      </c>
      <c r="H600" s="3" t="s">
        <v>56</v>
      </c>
      <c r="I600" s="3" t="s">
        <v>56</v>
      </c>
      <c r="J600" s="3" t="s">
        <v>185</v>
      </c>
      <c r="K600" s="3" t="s">
        <v>2540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 t="s">
        <v>1341</v>
      </c>
      <c r="AL600" s="4">
        <v>37047</v>
      </c>
      <c r="AM600" s="3"/>
      <c r="AN600" s="3"/>
    </row>
    <row r="601" spans="1:40" x14ac:dyDescent="0.3">
      <c r="A601" s="3">
        <v>595</v>
      </c>
      <c r="B601" s="3" t="str">
        <f>"201700192786"</f>
        <v>201700192786</v>
      </c>
      <c r="C601" s="3">
        <v>132915</v>
      </c>
      <c r="D601" s="3" t="s">
        <v>2541</v>
      </c>
      <c r="E601" s="3">
        <v>20510976887</v>
      </c>
      <c r="F601" s="3" t="s">
        <v>693</v>
      </c>
      <c r="G601" s="3" t="s">
        <v>2542</v>
      </c>
      <c r="H601" s="3" t="s">
        <v>56</v>
      </c>
      <c r="I601" s="3" t="s">
        <v>56</v>
      </c>
      <c r="J601" s="3" t="s">
        <v>131</v>
      </c>
      <c r="K601" s="3" t="s">
        <v>2543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 t="s">
        <v>1003</v>
      </c>
      <c r="AL601" s="4">
        <v>43060</v>
      </c>
      <c r="AM601" s="3"/>
      <c r="AN601" s="3" t="s">
        <v>671</v>
      </c>
    </row>
    <row r="602" spans="1:40" x14ac:dyDescent="0.3">
      <c r="A602" s="3">
        <v>596</v>
      </c>
      <c r="B602" s="3" t="str">
        <f>"1321543"</f>
        <v>1321543</v>
      </c>
      <c r="C602" s="3">
        <v>15456</v>
      </c>
      <c r="D602" s="3" t="s">
        <v>2544</v>
      </c>
      <c r="E602" s="3">
        <v>20100366747</v>
      </c>
      <c r="F602" s="3" t="s">
        <v>258</v>
      </c>
      <c r="G602" s="3" t="s">
        <v>1055</v>
      </c>
      <c r="H602" s="3" t="s">
        <v>56</v>
      </c>
      <c r="I602" s="3" t="s">
        <v>56</v>
      </c>
      <c r="J602" s="3" t="s">
        <v>185</v>
      </c>
      <c r="K602" s="3" t="s">
        <v>2545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 t="s">
        <v>157</v>
      </c>
      <c r="AL602" s="4">
        <v>37050</v>
      </c>
      <c r="AM602" s="3"/>
      <c r="AN602" s="3"/>
    </row>
    <row r="603" spans="1:40" x14ac:dyDescent="0.3">
      <c r="A603" s="3">
        <v>597</v>
      </c>
      <c r="B603" s="3" t="str">
        <f>"201700192783"</f>
        <v>201700192783</v>
      </c>
      <c r="C603" s="3">
        <v>132916</v>
      </c>
      <c r="D603" s="3" t="s">
        <v>2546</v>
      </c>
      <c r="E603" s="3">
        <v>20510976887</v>
      </c>
      <c r="F603" s="3" t="s">
        <v>693</v>
      </c>
      <c r="G603" s="3" t="s">
        <v>2547</v>
      </c>
      <c r="H603" s="3" t="s">
        <v>56</v>
      </c>
      <c r="I603" s="3" t="s">
        <v>56</v>
      </c>
      <c r="J603" s="3" t="s">
        <v>131</v>
      </c>
      <c r="K603" s="3" t="s">
        <v>2548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 t="s">
        <v>1003</v>
      </c>
      <c r="AL603" s="4">
        <v>43060</v>
      </c>
      <c r="AM603" s="3"/>
      <c r="AN603" s="3" t="s">
        <v>671</v>
      </c>
    </row>
    <row r="604" spans="1:40" x14ac:dyDescent="0.3">
      <c r="A604" s="3">
        <v>598</v>
      </c>
      <c r="B604" s="3" t="str">
        <f>"1321542"</f>
        <v>1321542</v>
      </c>
      <c r="C604" s="3">
        <v>3365</v>
      </c>
      <c r="D604" s="3" t="s">
        <v>2549</v>
      </c>
      <c r="E604" s="3">
        <v>20100366747</v>
      </c>
      <c r="F604" s="3" t="s">
        <v>258</v>
      </c>
      <c r="G604" s="3" t="s">
        <v>1055</v>
      </c>
      <c r="H604" s="3" t="s">
        <v>56</v>
      </c>
      <c r="I604" s="3" t="s">
        <v>56</v>
      </c>
      <c r="J604" s="3" t="s">
        <v>185</v>
      </c>
      <c r="K604" s="3" t="s">
        <v>2550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 t="s">
        <v>546</v>
      </c>
      <c r="AL604" s="4">
        <v>37047</v>
      </c>
      <c r="AM604" s="3"/>
      <c r="AN604" s="3"/>
    </row>
    <row r="605" spans="1:40" x14ac:dyDescent="0.3">
      <c r="A605" s="3">
        <v>599</v>
      </c>
      <c r="B605" s="3" t="str">
        <f>"1148973"</f>
        <v>1148973</v>
      </c>
      <c r="C605" s="3">
        <v>6661</v>
      </c>
      <c r="D605" s="3">
        <v>955614</v>
      </c>
      <c r="E605" s="3">
        <v>20153534901</v>
      </c>
      <c r="F605" s="3" t="s">
        <v>1223</v>
      </c>
      <c r="G605" s="3" t="s">
        <v>1224</v>
      </c>
      <c r="H605" s="3" t="s">
        <v>56</v>
      </c>
      <c r="I605" s="3" t="s">
        <v>56</v>
      </c>
      <c r="J605" s="3" t="s">
        <v>380</v>
      </c>
      <c r="K605" s="3" t="s">
        <v>2551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 t="s">
        <v>157</v>
      </c>
      <c r="AL605" s="4">
        <v>35681</v>
      </c>
      <c r="AM605" s="3"/>
      <c r="AN605" s="3"/>
    </row>
    <row r="606" spans="1:40" x14ac:dyDescent="0.3">
      <c r="A606" s="3">
        <v>600</v>
      </c>
      <c r="B606" s="3" t="str">
        <f>"1321544"</f>
        <v>1321544</v>
      </c>
      <c r="C606" s="3">
        <v>15457</v>
      </c>
      <c r="D606" s="3" t="s">
        <v>2552</v>
      </c>
      <c r="E606" s="3">
        <v>20100366747</v>
      </c>
      <c r="F606" s="3" t="s">
        <v>258</v>
      </c>
      <c r="G606" s="3" t="s">
        <v>1055</v>
      </c>
      <c r="H606" s="3" t="s">
        <v>56</v>
      </c>
      <c r="I606" s="3" t="s">
        <v>56</v>
      </c>
      <c r="J606" s="3" t="s">
        <v>185</v>
      </c>
      <c r="K606" s="3" t="s">
        <v>2553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 t="s">
        <v>157</v>
      </c>
      <c r="AL606" s="4">
        <v>37050</v>
      </c>
      <c r="AM606" s="3"/>
      <c r="AN606" s="3"/>
    </row>
    <row r="607" spans="1:40" x14ac:dyDescent="0.3">
      <c r="A607" s="3">
        <v>601</v>
      </c>
      <c r="B607" s="3" t="str">
        <f>"1149905"</f>
        <v>1149905</v>
      </c>
      <c r="C607" s="3">
        <v>3319</v>
      </c>
      <c r="D607" s="3">
        <v>1149905</v>
      </c>
      <c r="E607" s="3">
        <v>20214494745</v>
      </c>
      <c r="F607" s="3" t="s">
        <v>2535</v>
      </c>
      <c r="G607" s="3" t="s">
        <v>2536</v>
      </c>
      <c r="H607" s="3" t="s">
        <v>237</v>
      </c>
      <c r="I607" s="3" t="s">
        <v>868</v>
      </c>
      <c r="J607" s="3" t="s">
        <v>2537</v>
      </c>
      <c r="K607" s="3" t="s">
        <v>2554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 t="s">
        <v>634</v>
      </c>
      <c r="AL607" s="4">
        <v>35688</v>
      </c>
      <c r="AM607" s="3"/>
      <c r="AN607" s="3"/>
    </row>
    <row r="608" spans="1:40" x14ac:dyDescent="0.3">
      <c r="A608" s="3">
        <v>602</v>
      </c>
      <c r="B608" s="3" t="str">
        <f>"1321547"</f>
        <v>1321547</v>
      </c>
      <c r="C608" s="3">
        <v>2507</v>
      </c>
      <c r="D608" s="3" t="s">
        <v>2555</v>
      </c>
      <c r="E608" s="3">
        <v>20100366747</v>
      </c>
      <c r="F608" s="3" t="s">
        <v>258</v>
      </c>
      <c r="G608" s="3" t="s">
        <v>1055</v>
      </c>
      <c r="H608" s="3" t="s">
        <v>56</v>
      </c>
      <c r="I608" s="3" t="s">
        <v>56</v>
      </c>
      <c r="J608" s="3" t="s">
        <v>185</v>
      </c>
      <c r="K608" s="3" t="s">
        <v>2556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 t="s">
        <v>65</v>
      </c>
      <c r="AL608" s="4">
        <v>37047</v>
      </c>
      <c r="AM608" s="3"/>
      <c r="AN608" s="3"/>
    </row>
    <row r="609" spans="1:40" ht="27.95" x14ac:dyDescent="0.3">
      <c r="A609" s="3">
        <v>603</v>
      </c>
      <c r="B609" s="3" t="str">
        <f>"202000068945"</f>
        <v>202000068945</v>
      </c>
      <c r="C609" s="3">
        <v>149723</v>
      </c>
      <c r="D609" s="3" t="s">
        <v>2557</v>
      </c>
      <c r="E609" s="3">
        <v>10294845556</v>
      </c>
      <c r="F609" s="3" t="s">
        <v>2558</v>
      </c>
      <c r="G609" s="3" t="s">
        <v>2559</v>
      </c>
      <c r="H609" s="3" t="s">
        <v>97</v>
      </c>
      <c r="I609" s="3" t="s">
        <v>97</v>
      </c>
      <c r="J609" s="3" t="s">
        <v>688</v>
      </c>
      <c r="K609" s="3" t="s">
        <v>2560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 t="s">
        <v>574</v>
      </c>
      <c r="AL609" s="4">
        <v>44006</v>
      </c>
      <c r="AM609" s="3"/>
      <c r="AN609" s="3" t="s">
        <v>2558</v>
      </c>
    </row>
    <row r="610" spans="1:40" x14ac:dyDescent="0.3">
      <c r="A610" s="3">
        <v>604</v>
      </c>
      <c r="B610" s="3" t="str">
        <f>"1321546"</f>
        <v>1321546</v>
      </c>
      <c r="C610" s="3">
        <v>6117</v>
      </c>
      <c r="D610" s="3" t="s">
        <v>2561</v>
      </c>
      <c r="E610" s="3">
        <v>20100366747</v>
      </c>
      <c r="F610" s="3" t="s">
        <v>258</v>
      </c>
      <c r="G610" s="3" t="s">
        <v>1055</v>
      </c>
      <c r="H610" s="3" t="s">
        <v>56</v>
      </c>
      <c r="I610" s="3" t="s">
        <v>56</v>
      </c>
      <c r="J610" s="3" t="s">
        <v>185</v>
      </c>
      <c r="K610" s="3" t="s">
        <v>2562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 t="s">
        <v>1053</v>
      </c>
      <c r="AL610" s="4">
        <v>37047</v>
      </c>
      <c r="AM610" s="3"/>
      <c r="AN610" s="3"/>
    </row>
    <row r="611" spans="1:40" x14ac:dyDescent="0.3">
      <c r="A611" s="3">
        <v>605</v>
      </c>
      <c r="B611" s="3" t="str">
        <f>"1149907"</f>
        <v>1149907</v>
      </c>
      <c r="C611" s="3">
        <v>3342</v>
      </c>
      <c r="D611" s="3">
        <v>953518</v>
      </c>
      <c r="E611" s="3">
        <v>10199232971</v>
      </c>
      <c r="F611" s="3" t="s">
        <v>2563</v>
      </c>
      <c r="G611" s="3" t="s">
        <v>2564</v>
      </c>
      <c r="H611" s="3" t="s">
        <v>237</v>
      </c>
      <c r="I611" s="3" t="s">
        <v>868</v>
      </c>
      <c r="J611" s="3" t="s">
        <v>2537</v>
      </c>
      <c r="K611" s="3" t="s">
        <v>2565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 t="s">
        <v>118</v>
      </c>
      <c r="AL611" s="4">
        <v>35688</v>
      </c>
      <c r="AM611" s="3"/>
      <c r="AN611" s="3"/>
    </row>
    <row r="612" spans="1:40" x14ac:dyDescent="0.3">
      <c r="A612" s="3">
        <v>606</v>
      </c>
      <c r="B612" s="3" t="str">
        <f>"201700107631"</f>
        <v>201700107631</v>
      </c>
      <c r="C612" s="3">
        <v>130425</v>
      </c>
      <c r="D612" s="3" t="s">
        <v>2566</v>
      </c>
      <c r="E612" s="3">
        <v>20480162600</v>
      </c>
      <c r="F612" s="3" t="s">
        <v>2567</v>
      </c>
      <c r="G612" s="3" t="s">
        <v>2568</v>
      </c>
      <c r="H612" s="3" t="s">
        <v>357</v>
      </c>
      <c r="I612" s="3" t="s">
        <v>2569</v>
      </c>
      <c r="J612" s="3" t="s">
        <v>2569</v>
      </c>
      <c r="K612" s="3" t="s">
        <v>2570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 t="s">
        <v>2571</v>
      </c>
      <c r="AL612" s="4">
        <v>42929</v>
      </c>
      <c r="AM612" s="3"/>
      <c r="AN612" s="3" t="s">
        <v>2572</v>
      </c>
    </row>
    <row r="613" spans="1:40" x14ac:dyDescent="0.3">
      <c r="A613" s="3">
        <v>607</v>
      </c>
      <c r="B613" s="3" t="str">
        <f>"1540510"</f>
        <v>1540510</v>
      </c>
      <c r="C613" s="3">
        <v>41131</v>
      </c>
      <c r="D613" s="3" t="s">
        <v>2573</v>
      </c>
      <c r="E613" s="3">
        <v>16005151</v>
      </c>
      <c r="F613" s="3" t="s">
        <v>2574</v>
      </c>
      <c r="G613" s="3" t="s">
        <v>2575</v>
      </c>
      <c r="H613" s="3" t="s">
        <v>56</v>
      </c>
      <c r="I613" s="3" t="s">
        <v>56</v>
      </c>
      <c r="J613" s="3" t="s">
        <v>481</v>
      </c>
      <c r="K613" s="3" t="s">
        <v>2576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 t="s">
        <v>1573</v>
      </c>
      <c r="AL613" s="4">
        <v>38531</v>
      </c>
      <c r="AM613" s="3"/>
      <c r="AN613" s="3"/>
    </row>
    <row r="614" spans="1:40" ht="27.95" x14ac:dyDescent="0.3">
      <c r="A614" s="3">
        <v>608</v>
      </c>
      <c r="B614" s="3" t="str">
        <f>"1432082"</f>
        <v>1432082</v>
      </c>
      <c r="C614" s="3">
        <v>89064</v>
      </c>
      <c r="D614" s="3" t="s">
        <v>2577</v>
      </c>
      <c r="E614" s="3">
        <v>10194195295</v>
      </c>
      <c r="F614" s="3" t="s">
        <v>2578</v>
      </c>
      <c r="G614" s="3" t="s">
        <v>2579</v>
      </c>
      <c r="H614" s="3" t="s">
        <v>44</v>
      </c>
      <c r="I614" s="3" t="s">
        <v>45</v>
      </c>
      <c r="J614" s="3" t="s">
        <v>2580</v>
      </c>
      <c r="K614" s="3" t="s">
        <v>2581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 t="s">
        <v>2582</v>
      </c>
      <c r="AL614" s="4">
        <v>40476</v>
      </c>
      <c r="AM614" s="3"/>
      <c r="AN614" s="3" t="s">
        <v>2578</v>
      </c>
    </row>
    <row r="615" spans="1:40" x14ac:dyDescent="0.3">
      <c r="A615" s="3">
        <v>609</v>
      </c>
      <c r="B615" s="3" t="str">
        <f>"1692135"</f>
        <v>1692135</v>
      </c>
      <c r="C615" s="3">
        <v>44920</v>
      </c>
      <c r="D615" s="3" t="s">
        <v>2583</v>
      </c>
      <c r="E615" s="3">
        <v>10267311116</v>
      </c>
      <c r="F615" s="3" t="s">
        <v>2584</v>
      </c>
      <c r="G615" s="3" t="s">
        <v>2585</v>
      </c>
      <c r="H615" s="3" t="s">
        <v>1208</v>
      </c>
      <c r="I615" s="3" t="s">
        <v>2525</v>
      </c>
      <c r="J615" s="3" t="s">
        <v>2525</v>
      </c>
      <c r="K615" s="3" t="s">
        <v>2586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 t="s">
        <v>2587</v>
      </c>
      <c r="AL615" s="4">
        <v>39164</v>
      </c>
      <c r="AM615" s="3"/>
      <c r="AN615" s="3"/>
    </row>
    <row r="616" spans="1:40" x14ac:dyDescent="0.3">
      <c r="A616" s="3">
        <v>610</v>
      </c>
      <c r="B616" s="3" t="str">
        <f>"1475488"</f>
        <v>1475488</v>
      </c>
      <c r="C616" s="3">
        <v>19645</v>
      </c>
      <c r="D616" s="3" t="s">
        <v>2588</v>
      </c>
      <c r="E616" s="3">
        <v>10032028573</v>
      </c>
      <c r="F616" s="3" t="s">
        <v>2589</v>
      </c>
      <c r="G616" s="3" t="s">
        <v>2590</v>
      </c>
      <c r="H616" s="3" t="s">
        <v>50</v>
      </c>
      <c r="I616" s="3" t="s">
        <v>2591</v>
      </c>
      <c r="J616" s="3" t="s">
        <v>2591</v>
      </c>
      <c r="K616" s="3" t="s">
        <v>2592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 t="s">
        <v>2593</v>
      </c>
      <c r="AL616" s="4">
        <v>40638</v>
      </c>
      <c r="AM616" s="3"/>
      <c r="AN616" s="3" t="s">
        <v>2589</v>
      </c>
    </row>
    <row r="617" spans="1:40" x14ac:dyDescent="0.3">
      <c r="A617" s="3">
        <v>611</v>
      </c>
      <c r="B617" s="3" t="str">
        <f>"1475487"</f>
        <v>1475487</v>
      </c>
      <c r="C617" s="3">
        <v>41330</v>
      </c>
      <c r="D617" s="3" t="s">
        <v>2594</v>
      </c>
      <c r="E617" s="3">
        <v>10032028573</v>
      </c>
      <c r="F617" s="3" t="s">
        <v>2589</v>
      </c>
      <c r="G617" s="3" t="s">
        <v>2595</v>
      </c>
      <c r="H617" s="3" t="s">
        <v>50</v>
      </c>
      <c r="I617" s="3" t="s">
        <v>2591</v>
      </c>
      <c r="J617" s="3" t="s">
        <v>2591</v>
      </c>
      <c r="K617" s="3" t="s">
        <v>2596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 t="s">
        <v>2597</v>
      </c>
      <c r="AL617" s="4">
        <v>40638</v>
      </c>
      <c r="AM617" s="3"/>
      <c r="AN617" s="3" t="s">
        <v>2589</v>
      </c>
    </row>
    <row r="618" spans="1:40" x14ac:dyDescent="0.3">
      <c r="A618" s="3">
        <v>612</v>
      </c>
      <c r="B618" s="3" t="str">
        <f>"201200008197"</f>
        <v>201200008197</v>
      </c>
      <c r="C618" s="3">
        <v>94641</v>
      </c>
      <c r="D618" s="3" t="s">
        <v>2598</v>
      </c>
      <c r="E618" s="3">
        <v>20321379975</v>
      </c>
      <c r="F618" s="3" t="s">
        <v>2599</v>
      </c>
      <c r="G618" s="3" t="s">
        <v>2600</v>
      </c>
      <c r="H618" s="3" t="s">
        <v>89</v>
      </c>
      <c r="I618" s="3" t="s">
        <v>2601</v>
      </c>
      <c r="J618" s="3" t="s">
        <v>2602</v>
      </c>
      <c r="K618" s="3" t="s">
        <v>2603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 t="s">
        <v>1942</v>
      </c>
      <c r="AL618" s="4">
        <v>40961</v>
      </c>
      <c r="AM618" s="3"/>
      <c r="AN618" s="3" t="s">
        <v>2604</v>
      </c>
    </row>
    <row r="619" spans="1:40" x14ac:dyDescent="0.3">
      <c r="A619" s="3">
        <v>613</v>
      </c>
      <c r="B619" s="3" t="str">
        <f>"1473225"</f>
        <v>1473225</v>
      </c>
      <c r="C619" s="3">
        <v>91626</v>
      </c>
      <c r="D619" s="3" t="s">
        <v>2605</v>
      </c>
      <c r="E619" s="3">
        <v>10400403304</v>
      </c>
      <c r="F619" s="3" t="s">
        <v>2184</v>
      </c>
      <c r="G619" s="3" t="s">
        <v>2606</v>
      </c>
      <c r="H619" s="3" t="s">
        <v>446</v>
      </c>
      <c r="I619" s="3" t="s">
        <v>446</v>
      </c>
      <c r="J619" s="3" t="s">
        <v>446</v>
      </c>
      <c r="K619" s="3" t="s">
        <v>2607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 t="s">
        <v>2207</v>
      </c>
      <c r="AL619" s="4">
        <v>40612</v>
      </c>
      <c r="AM619" s="3"/>
      <c r="AN619" s="3" t="s">
        <v>2184</v>
      </c>
    </row>
    <row r="620" spans="1:40" x14ac:dyDescent="0.3">
      <c r="A620" s="3">
        <v>614</v>
      </c>
      <c r="B620" s="3" t="str">
        <f>"1493327"</f>
        <v>1493327</v>
      </c>
      <c r="C620" s="3">
        <v>45383</v>
      </c>
      <c r="D620" s="3" t="s">
        <v>2608</v>
      </c>
      <c r="E620" s="3">
        <v>20490611887</v>
      </c>
      <c r="F620" s="3" t="s">
        <v>2609</v>
      </c>
      <c r="G620" s="3" t="s">
        <v>2610</v>
      </c>
      <c r="H620" s="3" t="s">
        <v>446</v>
      </c>
      <c r="I620" s="3" t="s">
        <v>446</v>
      </c>
      <c r="J620" s="3" t="s">
        <v>2611</v>
      </c>
      <c r="K620" s="3" t="s">
        <v>2612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 t="s">
        <v>321</v>
      </c>
      <c r="AL620" s="4">
        <v>40745</v>
      </c>
      <c r="AM620" s="3"/>
      <c r="AN620" s="3" t="s">
        <v>2184</v>
      </c>
    </row>
    <row r="621" spans="1:40" ht="27.95" x14ac:dyDescent="0.3">
      <c r="A621" s="3">
        <v>615</v>
      </c>
      <c r="B621" s="3" t="str">
        <f>"1570084"</f>
        <v>1570084</v>
      </c>
      <c r="C621" s="3">
        <v>41976</v>
      </c>
      <c r="D621" s="3" t="s">
        <v>2613</v>
      </c>
      <c r="E621" s="3">
        <v>20174640514</v>
      </c>
      <c r="F621" s="3" t="s">
        <v>2614</v>
      </c>
      <c r="G621" s="3" t="s">
        <v>2615</v>
      </c>
      <c r="H621" s="3" t="s">
        <v>75</v>
      </c>
      <c r="I621" s="3" t="s">
        <v>75</v>
      </c>
      <c r="J621" s="3" t="s">
        <v>76</v>
      </c>
      <c r="K621" s="3" t="s">
        <v>2616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 t="s">
        <v>2617</v>
      </c>
      <c r="AL621" s="4">
        <v>38667</v>
      </c>
      <c r="AM621" s="3"/>
      <c r="AN621" s="3"/>
    </row>
    <row r="622" spans="1:40" ht="27.95" x14ac:dyDescent="0.3">
      <c r="A622" s="3">
        <v>616</v>
      </c>
      <c r="B622" s="3" t="str">
        <f>"1570081"</f>
        <v>1570081</v>
      </c>
      <c r="C622" s="3">
        <v>41977</v>
      </c>
      <c r="D622" s="3" t="s">
        <v>2618</v>
      </c>
      <c r="E622" s="3">
        <v>20174640514</v>
      </c>
      <c r="F622" s="3" t="s">
        <v>2619</v>
      </c>
      <c r="G622" s="3" t="s">
        <v>2615</v>
      </c>
      <c r="H622" s="3" t="s">
        <v>75</v>
      </c>
      <c r="I622" s="3" t="s">
        <v>75</v>
      </c>
      <c r="J622" s="3" t="s">
        <v>76</v>
      </c>
      <c r="K622" s="3" t="s">
        <v>2620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 t="s">
        <v>946</v>
      </c>
      <c r="AL622" s="4">
        <v>38667</v>
      </c>
      <c r="AM622" s="3"/>
      <c r="AN622" s="3"/>
    </row>
    <row r="623" spans="1:40" x14ac:dyDescent="0.3">
      <c r="A623" s="3">
        <v>617</v>
      </c>
      <c r="B623" s="3" t="str">
        <f>"1488492"</f>
        <v>1488492</v>
      </c>
      <c r="C623" s="3">
        <v>92920</v>
      </c>
      <c r="D623" s="3" t="s">
        <v>2621</v>
      </c>
      <c r="E623" s="3">
        <v>20480281790</v>
      </c>
      <c r="F623" s="3" t="s">
        <v>2622</v>
      </c>
      <c r="G623" s="3" t="s">
        <v>2623</v>
      </c>
      <c r="H623" s="3" t="s">
        <v>318</v>
      </c>
      <c r="I623" s="3" t="s">
        <v>319</v>
      </c>
      <c r="J623" s="3" t="s">
        <v>495</v>
      </c>
      <c r="K623" s="3" t="s">
        <v>2624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 t="s">
        <v>1127</v>
      </c>
      <c r="AL623" s="3" t="s">
        <v>290</v>
      </c>
      <c r="AM623" s="3"/>
      <c r="AN623" s="3" t="s">
        <v>2625</v>
      </c>
    </row>
    <row r="624" spans="1:40" x14ac:dyDescent="0.3">
      <c r="A624" s="3">
        <v>618</v>
      </c>
      <c r="B624" s="3" t="str">
        <f>"1475475"</f>
        <v>1475475</v>
      </c>
      <c r="C624" s="3">
        <v>91762</v>
      </c>
      <c r="D624" s="3" t="s">
        <v>2626</v>
      </c>
      <c r="E624" s="3">
        <v>20535704539</v>
      </c>
      <c r="F624" s="3" t="s">
        <v>2627</v>
      </c>
      <c r="G624" s="3" t="s">
        <v>2628</v>
      </c>
      <c r="H624" s="3" t="s">
        <v>97</v>
      </c>
      <c r="I624" s="3" t="s">
        <v>97</v>
      </c>
      <c r="J624" s="3" t="s">
        <v>970</v>
      </c>
      <c r="K624" s="3" t="s">
        <v>2629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 t="s">
        <v>614</v>
      </c>
      <c r="AL624" s="4">
        <v>40631</v>
      </c>
      <c r="AM624" s="3"/>
      <c r="AN624" s="3" t="s">
        <v>925</v>
      </c>
    </row>
    <row r="625" spans="1:40" x14ac:dyDescent="0.3">
      <c r="A625" s="3">
        <v>619</v>
      </c>
      <c r="B625" s="3" t="str">
        <f>"201500111836"</f>
        <v>201500111836</v>
      </c>
      <c r="C625" s="3">
        <v>90273</v>
      </c>
      <c r="D625" s="3" t="s">
        <v>2630</v>
      </c>
      <c r="E625" s="3">
        <v>20506727783</v>
      </c>
      <c r="F625" s="3" t="s">
        <v>1440</v>
      </c>
      <c r="G625" s="3" t="s">
        <v>2631</v>
      </c>
      <c r="H625" s="3" t="s">
        <v>56</v>
      </c>
      <c r="I625" s="3" t="s">
        <v>56</v>
      </c>
      <c r="J625" s="3" t="s">
        <v>131</v>
      </c>
      <c r="K625" s="3" t="s">
        <v>2632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 t="s">
        <v>2633</v>
      </c>
      <c r="AL625" s="4">
        <v>42243</v>
      </c>
      <c r="AM625" s="3"/>
      <c r="AN625" s="3" t="s">
        <v>2634</v>
      </c>
    </row>
    <row r="626" spans="1:40" ht="27.95" x14ac:dyDescent="0.3">
      <c r="A626" s="3">
        <v>620</v>
      </c>
      <c r="B626" s="3" t="str">
        <f>"1514873"</f>
        <v>1514873</v>
      </c>
      <c r="C626" s="3">
        <v>38103</v>
      </c>
      <c r="D626" s="3" t="s">
        <v>2635</v>
      </c>
      <c r="E626" s="3">
        <v>20100076749</v>
      </c>
      <c r="F626" s="3" t="s">
        <v>159</v>
      </c>
      <c r="G626" s="3" t="s">
        <v>2636</v>
      </c>
      <c r="H626" s="3" t="s">
        <v>56</v>
      </c>
      <c r="I626" s="3" t="s">
        <v>56</v>
      </c>
      <c r="J626" s="3" t="s">
        <v>121</v>
      </c>
      <c r="K626" s="3" t="s">
        <v>2637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 t="s">
        <v>504</v>
      </c>
      <c r="AL626" s="4">
        <v>38392</v>
      </c>
      <c r="AM626" s="3"/>
      <c r="AN626" s="3"/>
    </row>
    <row r="627" spans="1:40" ht="27.95" x14ac:dyDescent="0.3">
      <c r="A627" s="3">
        <v>621</v>
      </c>
      <c r="B627" s="3" t="str">
        <f>"201400104497"</f>
        <v>201400104497</v>
      </c>
      <c r="C627" s="3">
        <v>110438</v>
      </c>
      <c r="D627" s="3" t="s">
        <v>2638</v>
      </c>
      <c r="E627" s="3">
        <v>20136751043</v>
      </c>
      <c r="F627" s="3" t="s">
        <v>2639</v>
      </c>
      <c r="G627" s="3" t="s">
        <v>2640</v>
      </c>
      <c r="H627" s="3" t="s">
        <v>56</v>
      </c>
      <c r="I627" s="3" t="s">
        <v>56</v>
      </c>
      <c r="J627" s="3" t="s">
        <v>529</v>
      </c>
      <c r="K627" s="3" t="s">
        <v>2641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 t="s">
        <v>924</v>
      </c>
      <c r="AL627" s="4">
        <v>41872</v>
      </c>
      <c r="AM627" s="3"/>
      <c r="AN627" s="3" t="s">
        <v>2642</v>
      </c>
    </row>
    <row r="628" spans="1:40" x14ac:dyDescent="0.3">
      <c r="A628" s="3">
        <v>622</v>
      </c>
      <c r="B628" s="3" t="str">
        <f>"1228624"</f>
        <v>1228624</v>
      </c>
      <c r="C628" s="3">
        <v>15950</v>
      </c>
      <c r="D628" s="3">
        <v>1228624</v>
      </c>
      <c r="E628" s="3">
        <v>10293905555</v>
      </c>
      <c r="F628" s="3" t="s">
        <v>2643</v>
      </c>
      <c r="G628" s="3" t="s">
        <v>2644</v>
      </c>
      <c r="H628" s="3" t="s">
        <v>97</v>
      </c>
      <c r="I628" s="3" t="s">
        <v>97</v>
      </c>
      <c r="J628" s="3" t="s">
        <v>970</v>
      </c>
      <c r="K628" s="3" t="s">
        <v>2645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 t="s">
        <v>353</v>
      </c>
      <c r="AL628" s="4">
        <v>36270</v>
      </c>
      <c r="AM628" s="3"/>
      <c r="AN628" s="3"/>
    </row>
    <row r="629" spans="1:40" ht="27.95" x14ac:dyDescent="0.3">
      <c r="A629" s="3">
        <v>623</v>
      </c>
      <c r="B629" s="3" t="str">
        <f>"1514871"</f>
        <v>1514871</v>
      </c>
      <c r="C629" s="3">
        <v>36697</v>
      </c>
      <c r="D629" s="3" t="s">
        <v>2646</v>
      </c>
      <c r="E629" s="3">
        <v>20100076749</v>
      </c>
      <c r="F629" s="3" t="s">
        <v>159</v>
      </c>
      <c r="G629" s="3" t="s">
        <v>2636</v>
      </c>
      <c r="H629" s="3" t="s">
        <v>56</v>
      </c>
      <c r="I629" s="3" t="s">
        <v>56</v>
      </c>
      <c r="J629" s="3" t="s">
        <v>121</v>
      </c>
      <c r="K629" s="3" t="s">
        <v>2647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 t="s">
        <v>187</v>
      </c>
      <c r="AL629" s="4">
        <v>38392</v>
      </c>
      <c r="AM629" s="3"/>
      <c r="AN629" s="3"/>
    </row>
    <row r="630" spans="1:40" ht="27.95" x14ac:dyDescent="0.3">
      <c r="A630" s="3">
        <v>624</v>
      </c>
      <c r="B630" s="3" t="str">
        <f>"201500078399"</f>
        <v>201500078399</v>
      </c>
      <c r="C630" s="3">
        <v>85970</v>
      </c>
      <c r="D630" s="3" t="s">
        <v>2648</v>
      </c>
      <c r="E630" s="3">
        <v>10224849252</v>
      </c>
      <c r="F630" s="3" t="s">
        <v>2649</v>
      </c>
      <c r="G630" s="3" t="s">
        <v>2650</v>
      </c>
      <c r="H630" s="3" t="s">
        <v>395</v>
      </c>
      <c r="I630" s="3" t="s">
        <v>396</v>
      </c>
      <c r="J630" s="3" t="s">
        <v>397</v>
      </c>
      <c r="K630" s="3" t="s">
        <v>2651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 t="s">
        <v>2652</v>
      </c>
      <c r="AL630" s="3" t="s">
        <v>290</v>
      </c>
      <c r="AM630" s="3"/>
      <c r="AN630" s="3" t="s">
        <v>2649</v>
      </c>
    </row>
    <row r="631" spans="1:40" ht="27.95" x14ac:dyDescent="0.3">
      <c r="A631" s="3">
        <v>625</v>
      </c>
      <c r="B631" s="3" t="str">
        <f>"1128127"</f>
        <v>1128127</v>
      </c>
      <c r="C631" s="3">
        <v>3638</v>
      </c>
      <c r="D631" s="3">
        <v>1119795</v>
      </c>
      <c r="E631" s="3">
        <v>20125306251</v>
      </c>
      <c r="F631" s="3" t="s">
        <v>2653</v>
      </c>
      <c r="G631" s="3" t="s">
        <v>2654</v>
      </c>
      <c r="H631" s="3" t="s">
        <v>75</v>
      </c>
      <c r="I631" s="3" t="s">
        <v>75</v>
      </c>
      <c r="J631" s="3" t="s">
        <v>76</v>
      </c>
      <c r="K631" s="3" t="s">
        <v>2655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 t="s">
        <v>546</v>
      </c>
      <c r="AL631" s="4">
        <v>35660</v>
      </c>
      <c r="AM631" s="3"/>
      <c r="AN631" s="3"/>
    </row>
    <row r="632" spans="1:40" x14ac:dyDescent="0.3">
      <c r="A632" s="3">
        <v>626</v>
      </c>
      <c r="B632" s="3" t="str">
        <f>"201500111849"</f>
        <v>201500111849</v>
      </c>
      <c r="C632" s="3">
        <v>116501</v>
      </c>
      <c r="D632" s="3" t="s">
        <v>2656</v>
      </c>
      <c r="E632" s="3">
        <v>20506727783</v>
      </c>
      <c r="F632" s="3" t="s">
        <v>1266</v>
      </c>
      <c r="G632" s="3" t="s">
        <v>2657</v>
      </c>
      <c r="H632" s="3" t="s">
        <v>56</v>
      </c>
      <c r="I632" s="3" t="s">
        <v>56</v>
      </c>
      <c r="J632" s="3" t="s">
        <v>131</v>
      </c>
      <c r="K632" s="3" t="s">
        <v>2658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 t="s">
        <v>2659</v>
      </c>
      <c r="AL632" s="4">
        <v>42249</v>
      </c>
      <c r="AM632" s="3"/>
      <c r="AN632" s="3" t="s">
        <v>2634</v>
      </c>
    </row>
    <row r="633" spans="1:40" x14ac:dyDescent="0.3">
      <c r="A633" s="3">
        <v>627</v>
      </c>
      <c r="B633" s="3" t="str">
        <f>"1128129"</f>
        <v>1128129</v>
      </c>
      <c r="C633" s="3">
        <v>3368</v>
      </c>
      <c r="D633" s="3">
        <v>1119793</v>
      </c>
      <c r="E633" s="3">
        <v>10406333120</v>
      </c>
      <c r="F633" s="3" t="s">
        <v>2660</v>
      </c>
      <c r="G633" s="3" t="s">
        <v>2661</v>
      </c>
      <c r="H633" s="3" t="s">
        <v>56</v>
      </c>
      <c r="I633" s="3" t="s">
        <v>56</v>
      </c>
      <c r="J633" s="3" t="s">
        <v>277</v>
      </c>
      <c r="K633" s="3" t="s">
        <v>2662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 t="s">
        <v>65</v>
      </c>
      <c r="AL633" s="4">
        <v>35584</v>
      </c>
      <c r="AM633" s="3"/>
      <c r="AN633" s="3"/>
    </row>
    <row r="634" spans="1:40" x14ac:dyDescent="0.3">
      <c r="A634" s="3">
        <v>628</v>
      </c>
      <c r="B634" s="3" t="str">
        <f>"201900026127"</f>
        <v>201900026127</v>
      </c>
      <c r="C634" s="3">
        <v>140611</v>
      </c>
      <c r="D634" s="3" t="s">
        <v>2663</v>
      </c>
      <c r="E634" s="3">
        <v>20250459981</v>
      </c>
      <c r="F634" s="3" t="s">
        <v>1351</v>
      </c>
      <c r="G634" s="3" t="s">
        <v>1352</v>
      </c>
      <c r="H634" s="3" t="s">
        <v>56</v>
      </c>
      <c r="I634" s="3" t="s">
        <v>56</v>
      </c>
      <c r="J634" s="3" t="s">
        <v>273</v>
      </c>
      <c r="K634" s="3" t="s">
        <v>2664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 t="s">
        <v>2665</v>
      </c>
      <c r="AL634" s="4">
        <v>43514</v>
      </c>
      <c r="AM634" s="3"/>
      <c r="AN634" s="3" t="s">
        <v>1355</v>
      </c>
    </row>
    <row r="635" spans="1:40" x14ac:dyDescent="0.3">
      <c r="A635" s="3">
        <v>629</v>
      </c>
      <c r="B635" s="3" t="str">
        <f>"201500111845"</f>
        <v>201500111845</v>
      </c>
      <c r="C635" s="3">
        <v>83082</v>
      </c>
      <c r="D635" s="3" t="s">
        <v>2666</v>
      </c>
      <c r="E635" s="3">
        <v>20506727783</v>
      </c>
      <c r="F635" s="3" t="s">
        <v>1440</v>
      </c>
      <c r="G635" s="3" t="s">
        <v>2667</v>
      </c>
      <c r="H635" s="3" t="s">
        <v>56</v>
      </c>
      <c r="I635" s="3" t="s">
        <v>56</v>
      </c>
      <c r="J635" s="3" t="s">
        <v>131</v>
      </c>
      <c r="K635" s="3" t="s">
        <v>2668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 t="s">
        <v>2669</v>
      </c>
      <c r="AL635" s="4">
        <v>42249</v>
      </c>
      <c r="AM635" s="3"/>
      <c r="AN635" s="3" t="s">
        <v>2634</v>
      </c>
    </row>
    <row r="636" spans="1:40" ht="27.95" x14ac:dyDescent="0.3">
      <c r="A636" s="3">
        <v>630</v>
      </c>
      <c r="B636" s="3" t="str">
        <f>"201400104488"</f>
        <v>201400104488</v>
      </c>
      <c r="C636" s="3">
        <v>110439</v>
      </c>
      <c r="D636" s="3" t="s">
        <v>2670</v>
      </c>
      <c r="E636" s="3">
        <v>20136751043</v>
      </c>
      <c r="F636" s="3" t="s">
        <v>2639</v>
      </c>
      <c r="G636" s="3" t="s">
        <v>2640</v>
      </c>
      <c r="H636" s="3" t="s">
        <v>56</v>
      </c>
      <c r="I636" s="3" t="s">
        <v>56</v>
      </c>
      <c r="J636" s="3" t="s">
        <v>529</v>
      </c>
      <c r="K636" s="3" t="s">
        <v>2671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 t="s">
        <v>1297</v>
      </c>
      <c r="AL636" s="4">
        <v>41872</v>
      </c>
      <c r="AM636" s="3"/>
      <c r="AN636" s="3" t="s">
        <v>2642</v>
      </c>
    </row>
    <row r="637" spans="1:40" x14ac:dyDescent="0.3">
      <c r="A637" s="3">
        <v>631</v>
      </c>
      <c r="B637" s="3" t="str">
        <f>"1512735"</f>
        <v>1512735</v>
      </c>
      <c r="C637" s="3">
        <v>40478</v>
      </c>
      <c r="D637" s="3" t="s">
        <v>2672</v>
      </c>
      <c r="E637" s="3">
        <v>20100366747</v>
      </c>
      <c r="F637" s="3" t="s">
        <v>258</v>
      </c>
      <c r="G637" s="3" t="s">
        <v>2673</v>
      </c>
      <c r="H637" s="3" t="s">
        <v>56</v>
      </c>
      <c r="I637" s="3" t="s">
        <v>56</v>
      </c>
      <c r="J637" s="3" t="s">
        <v>185</v>
      </c>
      <c r="K637" s="3" t="s">
        <v>2674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 t="s">
        <v>2659</v>
      </c>
      <c r="AL637" s="4">
        <v>38384</v>
      </c>
      <c r="AM637" s="3"/>
      <c r="AN637" s="3"/>
    </row>
    <row r="638" spans="1:40" ht="27.95" x14ac:dyDescent="0.3">
      <c r="A638" s="3">
        <v>632</v>
      </c>
      <c r="B638" s="3" t="str">
        <f>"1514876"</f>
        <v>1514876</v>
      </c>
      <c r="C638" s="3">
        <v>37549</v>
      </c>
      <c r="D638" s="3" t="s">
        <v>2675</v>
      </c>
      <c r="E638" s="3">
        <v>20100076749</v>
      </c>
      <c r="F638" s="3" t="s">
        <v>159</v>
      </c>
      <c r="G638" s="3" t="s">
        <v>2636</v>
      </c>
      <c r="H638" s="3" t="s">
        <v>56</v>
      </c>
      <c r="I638" s="3" t="s">
        <v>56</v>
      </c>
      <c r="J638" s="3" t="s">
        <v>121</v>
      </c>
      <c r="K638" s="3" t="s">
        <v>2676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 t="s">
        <v>1994</v>
      </c>
      <c r="AL638" s="4">
        <v>38392</v>
      </c>
      <c r="AM638" s="3"/>
      <c r="AN638" s="3"/>
    </row>
    <row r="639" spans="1:40" x14ac:dyDescent="0.3">
      <c r="A639" s="3">
        <v>633</v>
      </c>
      <c r="B639" s="3" t="str">
        <f>"201100160044"</f>
        <v>201100160044</v>
      </c>
      <c r="C639" s="3">
        <v>93736</v>
      </c>
      <c r="D639" s="3" t="s">
        <v>2677</v>
      </c>
      <c r="E639" s="3">
        <v>20544245075</v>
      </c>
      <c r="F639" s="3" t="s">
        <v>2678</v>
      </c>
      <c r="G639" s="3" t="s">
        <v>2679</v>
      </c>
      <c r="H639" s="3" t="s">
        <v>56</v>
      </c>
      <c r="I639" s="3" t="s">
        <v>56</v>
      </c>
      <c r="J639" s="3" t="s">
        <v>380</v>
      </c>
      <c r="K639" s="3" t="s">
        <v>2680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 t="s">
        <v>2681</v>
      </c>
      <c r="AL639" s="3" t="s">
        <v>290</v>
      </c>
      <c r="AM639" s="3"/>
      <c r="AN639" s="3" t="s">
        <v>2682</v>
      </c>
    </row>
    <row r="640" spans="1:40" x14ac:dyDescent="0.3">
      <c r="A640" s="3">
        <v>634</v>
      </c>
      <c r="B640" s="3" t="str">
        <f>"1576132"</f>
        <v>1576132</v>
      </c>
      <c r="C640" s="3">
        <v>40798</v>
      </c>
      <c r="D640" s="3" t="s">
        <v>2683</v>
      </c>
      <c r="E640" s="3">
        <v>10076972236</v>
      </c>
      <c r="F640" s="3" t="s">
        <v>2684</v>
      </c>
      <c r="G640" s="3" t="s">
        <v>2685</v>
      </c>
      <c r="H640" s="3" t="s">
        <v>56</v>
      </c>
      <c r="I640" s="3" t="s">
        <v>56</v>
      </c>
      <c r="J640" s="3" t="s">
        <v>69</v>
      </c>
      <c r="K640" s="3" t="s">
        <v>2686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 t="s">
        <v>81</v>
      </c>
      <c r="AL640" s="4">
        <v>38698</v>
      </c>
      <c r="AM640" s="3"/>
      <c r="AN640" s="3"/>
    </row>
    <row r="641" spans="1:40" x14ac:dyDescent="0.3">
      <c r="A641" s="3">
        <v>635</v>
      </c>
      <c r="B641" s="3" t="str">
        <f>"1769700"</f>
        <v>1769700</v>
      </c>
      <c r="C641" s="3">
        <v>62587</v>
      </c>
      <c r="D641" s="3" t="s">
        <v>2687</v>
      </c>
      <c r="E641" s="3">
        <v>10412677744</v>
      </c>
      <c r="F641" s="3" t="s">
        <v>2688</v>
      </c>
      <c r="G641" s="3" t="s">
        <v>2689</v>
      </c>
      <c r="H641" s="3" t="s">
        <v>237</v>
      </c>
      <c r="I641" s="3" t="s">
        <v>868</v>
      </c>
      <c r="J641" s="3" t="s">
        <v>2537</v>
      </c>
      <c r="K641" s="3" t="s">
        <v>2690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 t="s">
        <v>2691</v>
      </c>
      <c r="AL641" s="4">
        <v>39511</v>
      </c>
      <c r="AM641" s="3"/>
      <c r="AN641" s="3"/>
    </row>
    <row r="642" spans="1:40" x14ac:dyDescent="0.3">
      <c r="A642" s="3">
        <v>636</v>
      </c>
      <c r="B642" s="3" t="str">
        <f>"201500130724"</f>
        <v>201500130724</v>
      </c>
      <c r="C642" s="3">
        <v>102552</v>
      </c>
      <c r="D642" s="3" t="s">
        <v>2692</v>
      </c>
      <c r="E642" s="3">
        <v>20349264413</v>
      </c>
      <c r="F642" s="3" t="s">
        <v>2693</v>
      </c>
      <c r="G642" s="3" t="s">
        <v>288</v>
      </c>
      <c r="H642" s="3" t="s">
        <v>56</v>
      </c>
      <c r="I642" s="3" t="s">
        <v>56</v>
      </c>
      <c r="J642" s="3" t="s">
        <v>105</v>
      </c>
      <c r="K642" s="3" t="s">
        <v>2694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 t="s">
        <v>1248</v>
      </c>
      <c r="AL642" s="4">
        <v>42328</v>
      </c>
      <c r="AM642" s="3"/>
      <c r="AN642" s="3" t="s">
        <v>291</v>
      </c>
    </row>
    <row r="643" spans="1:40" x14ac:dyDescent="0.3">
      <c r="A643" s="3">
        <v>637</v>
      </c>
      <c r="B643" s="3" t="str">
        <f>"201200193706"</f>
        <v>201200193706</v>
      </c>
      <c r="C643" s="3">
        <v>36613</v>
      </c>
      <c r="D643" s="3" t="s">
        <v>2695</v>
      </c>
      <c r="E643" s="3">
        <v>20516950201</v>
      </c>
      <c r="F643" s="3" t="s">
        <v>2696</v>
      </c>
      <c r="G643" s="3" t="s">
        <v>2697</v>
      </c>
      <c r="H643" s="3" t="s">
        <v>75</v>
      </c>
      <c r="I643" s="3" t="s">
        <v>75</v>
      </c>
      <c r="J643" s="3" t="s">
        <v>2698</v>
      </c>
      <c r="K643" s="3" t="s">
        <v>2699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 t="s">
        <v>101</v>
      </c>
      <c r="AL643" s="4">
        <v>41208</v>
      </c>
      <c r="AM643" s="3"/>
      <c r="AN643" s="3" t="s">
        <v>2700</v>
      </c>
    </row>
    <row r="644" spans="1:40" x14ac:dyDescent="0.3">
      <c r="A644" s="3">
        <v>638</v>
      </c>
      <c r="B644" s="3" t="str">
        <f>"201500157254"</f>
        <v>201500157254</v>
      </c>
      <c r="C644" s="3">
        <v>117374</v>
      </c>
      <c r="D644" s="3" t="s">
        <v>2701</v>
      </c>
      <c r="E644" s="3">
        <v>20113539394</v>
      </c>
      <c r="F644" s="3" t="s">
        <v>164</v>
      </c>
      <c r="G644" s="3" t="s">
        <v>624</v>
      </c>
      <c r="H644" s="3" t="s">
        <v>50</v>
      </c>
      <c r="I644" s="3" t="s">
        <v>50</v>
      </c>
      <c r="J644" s="3" t="s">
        <v>50</v>
      </c>
      <c r="K644" s="3" t="s">
        <v>2702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 t="s">
        <v>218</v>
      </c>
      <c r="AL644" s="4">
        <v>42354</v>
      </c>
      <c r="AM644" s="3"/>
      <c r="AN644" s="3" t="s">
        <v>626</v>
      </c>
    </row>
    <row r="645" spans="1:40" ht="27.95" x14ac:dyDescent="0.3">
      <c r="A645" s="3">
        <v>639</v>
      </c>
      <c r="B645" s="3" t="str">
        <f>"1979098"</f>
        <v>1979098</v>
      </c>
      <c r="C645" s="3">
        <v>82382</v>
      </c>
      <c r="D645" s="3" t="s">
        <v>2703</v>
      </c>
      <c r="E645" s="3">
        <v>10309603759</v>
      </c>
      <c r="F645" s="3" t="s">
        <v>2704</v>
      </c>
      <c r="G645" s="3" t="s">
        <v>2705</v>
      </c>
      <c r="H645" s="3" t="s">
        <v>97</v>
      </c>
      <c r="I645" s="3" t="s">
        <v>97</v>
      </c>
      <c r="J645" s="3" t="s">
        <v>144</v>
      </c>
      <c r="K645" s="3" t="s">
        <v>2706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 t="s">
        <v>157</v>
      </c>
      <c r="AL645" s="4">
        <v>40268</v>
      </c>
      <c r="AM645" s="3"/>
      <c r="AN645" s="3"/>
    </row>
    <row r="646" spans="1:40" x14ac:dyDescent="0.3">
      <c r="A646" s="3">
        <v>640</v>
      </c>
      <c r="B646" s="3" t="str">
        <f>"1385944"</f>
        <v>1385944</v>
      </c>
      <c r="C646" s="3">
        <v>87794</v>
      </c>
      <c r="D646" s="3" t="s">
        <v>2707</v>
      </c>
      <c r="E646" s="3">
        <v>10803707028</v>
      </c>
      <c r="F646" s="3" t="s">
        <v>2708</v>
      </c>
      <c r="G646" s="3" t="s">
        <v>2709</v>
      </c>
      <c r="H646" s="3" t="s">
        <v>97</v>
      </c>
      <c r="I646" s="3" t="s">
        <v>97</v>
      </c>
      <c r="J646" s="3" t="s">
        <v>105</v>
      </c>
      <c r="K646" s="3" t="s">
        <v>2710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 t="s">
        <v>2711</v>
      </c>
      <c r="AL646" s="4">
        <v>40386</v>
      </c>
      <c r="AM646" s="3"/>
      <c r="AN646" s="3" t="s">
        <v>2708</v>
      </c>
    </row>
    <row r="647" spans="1:40" ht="27.95" x14ac:dyDescent="0.3">
      <c r="A647" s="3">
        <v>641</v>
      </c>
      <c r="B647" s="3" t="str">
        <f>"1939160"</f>
        <v>1939160</v>
      </c>
      <c r="C647" s="3">
        <v>84498</v>
      </c>
      <c r="D647" s="3" t="s">
        <v>2712</v>
      </c>
      <c r="E647" s="3">
        <v>20516532115</v>
      </c>
      <c r="F647" s="3" t="s">
        <v>2713</v>
      </c>
      <c r="G647" s="3" t="s">
        <v>2714</v>
      </c>
      <c r="H647" s="3" t="s">
        <v>56</v>
      </c>
      <c r="I647" s="3" t="s">
        <v>56</v>
      </c>
      <c r="J647" s="3" t="s">
        <v>69</v>
      </c>
      <c r="K647" s="3" t="s">
        <v>2715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 t="s">
        <v>2716</v>
      </c>
      <c r="AL647" s="4">
        <v>40136</v>
      </c>
      <c r="AM647" s="3"/>
      <c r="AN647" s="3"/>
    </row>
    <row r="648" spans="1:40" x14ac:dyDescent="0.3">
      <c r="A648" s="3">
        <v>642</v>
      </c>
      <c r="B648" s="3" t="str">
        <f>"1480111"</f>
        <v>1480111</v>
      </c>
      <c r="C648" s="3">
        <v>92127</v>
      </c>
      <c r="D648" s="3" t="s">
        <v>2717</v>
      </c>
      <c r="E648" s="3">
        <v>10292917177</v>
      </c>
      <c r="F648" s="3" t="s">
        <v>444</v>
      </c>
      <c r="G648" s="3" t="s">
        <v>2718</v>
      </c>
      <c r="H648" s="3" t="s">
        <v>446</v>
      </c>
      <c r="I648" s="3" t="s">
        <v>446</v>
      </c>
      <c r="J648" s="3" t="s">
        <v>447</v>
      </c>
      <c r="K648" s="3" t="s">
        <v>2719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 t="s">
        <v>2720</v>
      </c>
      <c r="AL648" s="4">
        <v>40658</v>
      </c>
      <c r="AM648" s="3"/>
      <c r="AN648" s="3" t="s">
        <v>444</v>
      </c>
    </row>
    <row r="649" spans="1:40" x14ac:dyDescent="0.3">
      <c r="A649" s="3">
        <v>643</v>
      </c>
      <c r="B649" s="3" t="str">
        <f>"1511869"</f>
        <v>1511869</v>
      </c>
      <c r="C649" s="3">
        <v>38279</v>
      </c>
      <c r="D649" s="3" t="s">
        <v>2721</v>
      </c>
      <c r="E649" s="3">
        <v>10079939191</v>
      </c>
      <c r="F649" s="3" t="s">
        <v>2722</v>
      </c>
      <c r="G649" s="3" t="s">
        <v>2723</v>
      </c>
      <c r="H649" s="3" t="s">
        <v>56</v>
      </c>
      <c r="I649" s="3" t="s">
        <v>56</v>
      </c>
      <c r="J649" s="3" t="s">
        <v>2724</v>
      </c>
      <c r="K649" s="3" t="s">
        <v>2725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 t="s">
        <v>187</v>
      </c>
      <c r="AL649" s="4">
        <v>38378</v>
      </c>
      <c r="AM649" s="3"/>
      <c r="AN649" s="3"/>
    </row>
    <row r="650" spans="1:40" x14ac:dyDescent="0.3">
      <c r="A650" s="3">
        <v>644</v>
      </c>
      <c r="B650" s="3" t="str">
        <f>"201900022022"</f>
        <v>201900022022</v>
      </c>
      <c r="C650" s="3">
        <v>96331</v>
      </c>
      <c r="D650" s="3" t="s">
        <v>2726</v>
      </c>
      <c r="E650" s="3">
        <v>20100366747</v>
      </c>
      <c r="F650" s="3" t="s">
        <v>258</v>
      </c>
      <c r="G650" s="3" t="s">
        <v>451</v>
      </c>
      <c r="H650" s="3" t="s">
        <v>56</v>
      </c>
      <c r="I650" s="3" t="s">
        <v>56</v>
      </c>
      <c r="J650" s="3" t="s">
        <v>185</v>
      </c>
      <c r="K650" s="3" t="s">
        <v>2727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 t="s">
        <v>428</v>
      </c>
      <c r="AL650" s="4">
        <v>43514</v>
      </c>
      <c r="AM650" s="3"/>
      <c r="AN650" s="3" t="s">
        <v>2728</v>
      </c>
    </row>
    <row r="651" spans="1:40" ht="27.95" x14ac:dyDescent="0.3">
      <c r="A651" s="3">
        <v>645</v>
      </c>
      <c r="B651" s="3" t="str">
        <f>"201300182136"</f>
        <v>201300182136</v>
      </c>
      <c r="C651" s="3">
        <v>106148</v>
      </c>
      <c r="D651" s="3" t="s">
        <v>2729</v>
      </c>
      <c r="E651" s="3">
        <v>20516667126</v>
      </c>
      <c r="F651" s="3" t="s">
        <v>479</v>
      </c>
      <c r="G651" s="3" t="s">
        <v>2730</v>
      </c>
      <c r="H651" s="3" t="s">
        <v>56</v>
      </c>
      <c r="I651" s="3" t="s">
        <v>56</v>
      </c>
      <c r="J651" s="3" t="s">
        <v>481</v>
      </c>
      <c r="K651" s="3" t="s">
        <v>2731</v>
      </c>
      <c r="L651" s="3" t="s">
        <v>2732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 t="s">
        <v>2659</v>
      </c>
      <c r="AL651" s="3" t="s">
        <v>290</v>
      </c>
      <c r="AM651" s="3"/>
      <c r="AN651" s="3" t="s">
        <v>2733</v>
      </c>
    </row>
    <row r="652" spans="1:40" x14ac:dyDescent="0.3">
      <c r="A652" s="3">
        <v>646</v>
      </c>
      <c r="B652" s="3" t="str">
        <f>"201900023157"</f>
        <v>201900023157</v>
      </c>
      <c r="C652" s="3">
        <v>140675</v>
      </c>
      <c r="D652" s="3" t="s">
        <v>2734</v>
      </c>
      <c r="E652" s="3">
        <v>10004326623</v>
      </c>
      <c r="F652" s="3" t="s">
        <v>2735</v>
      </c>
      <c r="G652" s="3" t="s">
        <v>2736</v>
      </c>
      <c r="H652" s="3" t="s">
        <v>202</v>
      </c>
      <c r="I652" s="3" t="s">
        <v>202</v>
      </c>
      <c r="J652" s="3" t="s">
        <v>904</v>
      </c>
      <c r="K652" s="3" t="s">
        <v>2737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 t="s">
        <v>2738</v>
      </c>
      <c r="AL652" s="4">
        <v>43509</v>
      </c>
      <c r="AM652" s="3"/>
      <c r="AN652" s="3" t="s">
        <v>2735</v>
      </c>
    </row>
    <row r="653" spans="1:40" x14ac:dyDescent="0.3">
      <c r="A653" s="3">
        <v>647</v>
      </c>
      <c r="B653" s="3" t="str">
        <f>"201200199419"</f>
        <v>201200199419</v>
      </c>
      <c r="C653" s="3">
        <v>99103</v>
      </c>
      <c r="D653" s="3" t="s">
        <v>2739</v>
      </c>
      <c r="E653" s="3">
        <v>20448050140</v>
      </c>
      <c r="F653" s="3" t="s">
        <v>2740</v>
      </c>
      <c r="G653" s="3" t="s">
        <v>2741</v>
      </c>
      <c r="H653" s="3" t="s">
        <v>222</v>
      </c>
      <c r="I653" s="3" t="s">
        <v>223</v>
      </c>
      <c r="J653" s="3" t="s">
        <v>224</v>
      </c>
      <c r="K653" s="3" t="s">
        <v>2742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 t="s">
        <v>602</v>
      </c>
      <c r="AL653" s="4">
        <v>41227</v>
      </c>
      <c r="AM653" s="3"/>
      <c r="AN653" s="3" t="s">
        <v>2743</v>
      </c>
    </row>
    <row r="654" spans="1:40" ht="41.95" x14ac:dyDescent="0.3">
      <c r="A654" s="3">
        <v>648</v>
      </c>
      <c r="B654" s="3" t="str">
        <f>"201300194357"</f>
        <v>201300194357</v>
      </c>
      <c r="C654" s="3">
        <v>107120</v>
      </c>
      <c r="D654" s="3" t="s">
        <v>2744</v>
      </c>
      <c r="E654" s="3">
        <v>20516822202</v>
      </c>
      <c r="F654" s="3" t="s">
        <v>2745</v>
      </c>
      <c r="G654" s="3" t="s">
        <v>2746</v>
      </c>
      <c r="H654" s="3" t="s">
        <v>56</v>
      </c>
      <c r="I654" s="3" t="s">
        <v>56</v>
      </c>
      <c r="J654" s="3" t="s">
        <v>185</v>
      </c>
      <c r="K654" s="3" t="s">
        <v>2747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 t="s">
        <v>167</v>
      </c>
      <c r="AL654" s="4">
        <v>41648</v>
      </c>
      <c r="AM654" s="3"/>
      <c r="AN654" s="3" t="s">
        <v>2748</v>
      </c>
    </row>
    <row r="655" spans="1:40" ht="41.95" x14ac:dyDescent="0.3">
      <c r="A655" s="3">
        <v>649</v>
      </c>
      <c r="B655" s="3" t="str">
        <f>"201300194353"</f>
        <v>201300194353</v>
      </c>
      <c r="C655" s="3">
        <v>107119</v>
      </c>
      <c r="D655" s="3" t="s">
        <v>2749</v>
      </c>
      <c r="E655" s="3">
        <v>20516822202</v>
      </c>
      <c r="F655" s="3" t="s">
        <v>2745</v>
      </c>
      <c r="G655" s="3" t="s">
        <v>2750</v>
      </c>
      <c r="H655" s="3" t="s">
        <v>56</v>
      </c>
      <c r="I655" s="3" t="s">
        <v>56</v>
      </c>
      <c r="J655" s="3" t="s">
        <v>715</v>
      </c>
      <c r="K655" s="3" t="s">
        <v>2751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 t="s">
        <v>167</v>
      </c>
      <c r="AL655" s="4">
        <v>41648</v>
      </c>
      <c r="AM655" s="3"/>
      <c r="AN655" s="3" t="s">
        <v>2748</v>
      </c>
    </row>
    <row r="656" spans="1:40" x14ac:dyDescent="0.3">
      <c r="A656" s="3">
        <v>650</v>
      </c>
      <c r="B656" s="3" t="str">
        <f>"201500099132"</f>
        <v>201500099132</v>
      </c>
      <c r="C656" s="3">
        <v>116646</v>
      </c>
      <c r="D656" s="3" t="s">
        <v>2752</v>
      </c>
      <c r="E656" s="3">
        <v>20486473593</v>
      </c>
      <c r="F656" s="3" t="s">
        <v>2753</v>
      </c>
      <c r="G656" s="3" t="s">
        <v>2754</v>
      </c>
      <c r="H656" s="3" t="s">
        <v>56</v>
      </c>
      <c r="I656" s="3" t="s">
        <v>56</v>
      </c>
      <c r="J656" s="3" t="s">
        <v>363</v>
      </c>
      <c r="K656" s="3" t="s">
        <v>2755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 t="s">
        <v>2756</v>
      </c>
      <c r="AL656" s="4">
        <v>42226</v>
      </c>
      <c r="AM656" s="3"/>
      <c r="AN656" s="3" t="s">
        <v>2757</v>
      </c>
    </row>
    <row r="657" spans="1:40" x14ac:dyDescent="0.3">
      <c r="A657" s="3">
        <v>651</v>
      </c>
      <c r="B657" s="3" t="str">
        <f>"1437727"</f>
        <v>1437727</v>
      </c>
      <c r="C657" s="3">
        <v>89106</v>
      </c>
      <c r="D657" s="3" t="s">
        <v>2758</v>
      </c>
      <c r="E657" s="3">
        <v>20530817891</v>
      </c>
      <c r="F657" s="3" t="s">
        <v>2759</v>
      </c>
      <c r="G657" s="3" t="s">
        <v>2760</v>
      </c>
      <c r="H657" s="3" t="s">
        <v>271</v>
      </c>
      <c r="I657" s="3" t="s">
        <v>272</v>
      </c>
      <c r="J657" s="3" t="s">
        <v>273</v>
      </c>
      <c r="K657" s="3" t="s">
        <v>2761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 t="s">
        <v>1053</v>
      </c>
      <c r="AL657" s="4">
        <v>40485</v>
      </c>
      <c r="AM657" s="3"/>
      <c r="AN657" s="3" t="s">
        <v>2762</v>
      </c>
    </row>
    <row r="658" spans="1:40" ht="27.95" x14ac:dyDescent="0.3">
      <c r="A658" s="3">
        <v>652</v>
      </c>
      <c r="B658" s="3" t="str">
        <f>"201900170466"</f>
        <v>201900170466</v>
      </c>
      <c r="C658" s="3">
        <v>147224</v>
      </c>
      <c r="D658" s="3" t="s">
        <v>2763</v>
      </c>
      <c r="E658" s="3">
        <v>20522002021</v>
      </c>
      <c r="F658" s="3" t="s">
        <v>713</v>
      </c>
      <c r="G658" s="3" t="s">
        <v>2764</v>
      </c>
      <c r="H658" s="3" t="s">
        <v>56</v>
      </c>
      <c r="I658" s="3" t="s">
        <v>56</v>
      </c>
      <c r="J658" s="3" t="s">
        <v>715</v>
      </c>
      <c r="K658" s="3" t="s">
        <v>2765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 t="s">
        <v>2766</v>
      </c>
      <c r="AL658" s="4">
        <v>43760</v>
      </c>
      <c r="AM658" s="3"/>
      <c r="AN658" s="3" t="s">
        <v>2767</v>
      </c>
    </row>
    <row r="659" spans="1:40" x14ac:dyDescent="0.3">
      <c r="A659" s="3">
        <v>653</v>
      </c>
      <c r="B659" s="3" t="str">
        <f>"1153587"</f>
        <v>1153587</v>
      </c>
      <c r="C659" s="3">
        <v>3639</v>
      </c>
      <c r="D659" s="3">
        <v>1149541</v>
      </c>
      <c r="E659" s="3">
        <v>10093856045</v>
      </c>
      <c r="F659" s="3" t="s">
        <v>2768</v>
      </c>
      <c r="G659" s="3" t="s">
        <v>2769</v>
      </c>
      <c r="H659" s="3" t="s">
        <v>56</v>
      </c>
      <c r="I659" s="3" t="s">
        <v>56</v>
      </c>
      <c r="J659" s="3" t="s">
        <v>185</v>
      </c>
      <c r="K659" s="3" t="s">
        <v>2770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 t="s">
        <v>842</v>
      </c>
      <c r="AL659" s="4">
        <v>35710</v>
      </c>
      <c r="AM659" s="3"/>
      <c r="AN659" s="3"/>
    </row>
    <row r="660" spans="1:40" ht="27.95" x14ac:dyDescent="0.3">
      <c r="A660" s="3">
        <v>654</v>
      </c>
      <c r="B660" s="3" t="str">
        <f>"201300134920"</f>
        <v>201300134920</v>
      </c>
      <c r="C660" s="3">
        <v>86472</v>
      </c>
      <c r="D660" s="3" t="s">
        <v>2771</v>
      </c>
      <c r="E660" s="3">
        <v>20543992942</v>
      </c>
      <c r="F660" s="3" t="s">
        <v>540</v>
      </c>
      <c r="G660" s="3" t="s">
        <v>2772</v>
      </c>
      <c r="H660" s="3" t="s">
        <v>56</v>
      </c>
      <c r="I660" s="3" t="s">
        <v>56</v>
      </c>
      <c r="J660" s="3" t="s">
        <v>57</v>
      </c>
      <c r="K660" s="3" t="s">
        <v>2773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 t="s">
        <v>157</v>
      </c>
      <c r="AL660" s="3" t="s">
        <v>290</v>
      </c>
      <c r="AM660" s="3"/>
      <c r="AN660" s="3" t="s">
        <v>543</v>
      </c>
    </row>
    <row r="661" spans="1:40" x14ac:dyDescent="0.3">
      <c r="A661" s="3">
        <v>655</v>
      </c>
      <c r="B661" s="3" t="str">
        <f>"1437722"</f>
        <v>1437722</v>
      </c>
      <c r="C661" s="3">
        <v>89093</v>
      </c>
      <c r="D661" s="3" t="s">
        <v>2774</v>
      </c>
      <c r="E661" s="3">
        <v>20530817891</v>
      </c>
      <c r="F661" s="3" t="s">
        <v>2759</v>
      </c>
      <c r="G661" s="3" t="s">
        <v>2760</v>
      </c>
      <c r="H661" s="3" t="s">
        <v>271</v>
      </c>
      <c r="I661" s="3" t="s">
        <v>272</v>
      </c>
      <c r="J661" s="3" t="s">
        <v>273</v>
      </c>
      <c r="K661" s="3" t="s">
        <v>2775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 t="s">
        <v>2776</v>
      </c>
      <c r="AL661" s="4">
        <v>40485</v>
      </c>
      <c r="AM661" s="3"/>
      <c r="AN661" s="3" t="s">
        <v>2762</v>
      </c>
    </row>
    <row r="662" spans="1:40" ht="27.95" x14ac:dyDescent="0.3">
      <c r="A662" s="3">
        <v>656</v>
      </c>
      <c r="B662" s="3" t="str">
        <f>"1464563"</f>
        <v>1464563</v>
      </c>
      <c r="C662" s="3">
        <v>90869</v>
      </c>
      <c r="D662" s="3" t="s">
        <v>2777</v>
      </c>
      <c r="E662" s="3">
        <v>20523127790</v>
      </c>
      <c r="F662" s="3" t="s">
        <v>2778</v>
      </c>
      <c r="G662" s="3" t="s">
        <v>2779</v>
      </c>
      <c r="H662" s="3" t="s">
        <v>56</v>
      </c>
      <c r="I662" s="3" t="s">
        <v>56</v>
      </c>
      <c r="J662" s="3" t="s">
        <v>63</v>
      </c>
      <c r="K662" s="3" t="s">
        <v>2780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 t="s">
        <v>2781</v>
      </c>
      <c r="AL662" s="4">
        <v>40569</v>
      </c>
      <c r="AM662" s="3"/>
      <c r="AN662" s="3" t="s">
        <v>2782</v>
      </c>
    </row>
    <row r="663" spans="1:40" x14ac:dyDescent="0.3">
      <c r="A663" s="3">
        <v>657</v>
      </c>
      <c r="B663" s="3" t="str">
        <f>"1467049"</f>
        <v>1467049</v>
      </c>
      <c r="C663" s="3">
        <v>91023</v>
      </c>
      <c r="D663" s="3" t="s">
        <v>2783</v>
      </c>
      <c r="E663" s="3">
        <v>10400978153</v>
      </c>
      <c r="F663" s="3" t="s">
        <v>2784</v>
      </c>
      <c r="G663" s="3" t="s">
        <v>2785</v>
      </c>
      <c r="H663" s="3" t="s">
        <v>56</v>
      </c>
      <c r="I663" s="3" t="s">
        <v>56</v>
      </c>
      <c r="J663" s="3" t="s">
        <v>63</v>
      </c>
      <c r="K663" s="3" t="s">
        <v>2786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 t="s">
        <v>2787</v>
      </c>
      <c r="AL663" s="4">
        <v>40581</v>
      </c>
      <c r="AM663" s="3"/>
      <c r="AN663" s="3" t="s">
        <v>2784</v>
      </c>
    </row>
    <row r="664" spans="1:40" ht="27.95" x14ac:dyDescent="0.3">
      <c r="A664" s="3">
        <v>658</v>
      </c>
      <c r="B664" s="3" t="str">
        <f>"201900170462"</f>
        <v>201900170462</v>
      </c>
      <c r="C664" s="3">
        <v>147223</v>
      </c>
      <c r="D664" s="3" t="s">
        <v>2788</v>
      </c>
      <c r="E664" s="3">
        <v>20522002021</v>
      </c>
      <c r="F664" s="3" t="s">
        <v>713</v>
      </c>
      <c r="G664" s="3" t="s">
        <v>2789</v>
      </c>
      <c r="H664" s="3" t="s">
        <v>56</v>
      </c>
      <c r="I664" s="3" t="s">
        <v>56</v>
      </c>
      <c r="J664" s="3" t="s">
        <v>715</v>
      </c>
      <c r="K664" s="3" t="s">
        <v>2790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 t="s">
        <v>2766</v>
      </c>
      <c r="AL664" s="4">
        <v>43763</v>
      </c>
      <c r="AM664" s="3"/>
      <c r="AN664" s="3" t="s">
        <v>2767</v>
      </c>
    </row>
    <row r="665" spans="1:40" ht="27.95" x14ac:dyDescent="0.3">
      <c r="A665" s="3">
        <v>659</v>
      </c>
      <c r="B665" s="3" t="str">
        <f>"1921229"</f>
        <v>1921229</v>
      </c>
      <c r="C665" s="3">
        <v>61847</v>
      </c>
      <c r="D665" s="3" t="s">
        <v>2791</v>
      </c>
      <c r="E665" s="3">
        <v>15483607269</v>
      </c>
      <c r="F665" s="3" t="s">
        <v>2792</v>
      </c>
      <c r="G665" s="3" t="s">
        <v>2793</v>
      </c>
      <c r="H665" s="3" t="s">
        <v>50</v>
      </c>
      <c r="I665" s="3" t="s">
        <v>50</v>
      </c>
      <c r="J665" s="3" t="s">
        <v>50</v>
      </c>
      <c r="K665" s="3" t="s">
        <v>2794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 t="s">
        <v>157</v>
      </c>
      <c r="AL665" s="4">
        <v>40052</v>
      </c>
      <c r="AM665" s="3"/>
      <c r="AN665" s="3"/>
    </row>
    <row r="666" spans="1:40" ht="27.95" x14ac:dyDescent="0.3">
      <c r="A666" s="3">
        <v>660</v>
      </c>
      <c r="B666" s="3" t="str">
        <f>"1843086"</f>
        <v>1843086</v>
      </c>
      <c r="C666" s="3">
        <v>82349</v>
      </c>
      <c r="D666" s="3" t="s">
        <v>2795</v>
      </c>
      <c r="E666" s="3">
        <v>20508069015</v>
      </c>
      <c r="F666" s="3" t="s">
        <v>430</v>
      </c>
      <c r="G666" s="3" t="s">
        <v>2796</v>
      </c>
      <c r="H666" s="3" t="s">
        <v>56</v>
      </c>
      <c r="I666" s="3" t="s">
        <v>56</v>
      </c>
      <c r="J666" s="3" t="s">
        <v>432</v>
      </c>
      <c r="K666" s="3" t="s">
        <v>2797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 t="s">
        <v>65</v>
      </c>
      <c r="AL666" s="4">
        <v>39793</v>
      </c>
      <c r="AM666" s="3"/>
      <c r="AN666" s="3"/>
    </row>
    <row r="667" spans="1:40" x14ac:dyDescent="0.3">
      <c r="A667" s="3">
        <v>661</v>
      </c>
      <c r="B667" s="3" t="str">
        <f>"1317608"</f>
        <v>1317608</v>
      </c>
      <c r="C667" s="3">
        <v>6504</v>
      </c>
      <c r="D667" s="3" t="s">
        <v>2798</v>
      </c>
      <c r="E667" s="3">
        <v>20100366747</v>
      </c>
      <c r="F667" s="3" t="s">
        <v>258</v>
      </c>
      <c r="G667" s="3" t="s">
        <v>1055</v>
      </c>
      <c r="H667" s="3" t="s">
        <v>56</v>
      </c>
      <c r="I667" s="3" t="s">
        <v>56</v>
      </c>
      <c r="J667" s="3" t="s">
        <v>185</v>
      </c>
      <c r="K667" s="3" t="s">
        <v>2799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 t="s">
        <v>546</v>
      </c>
      <c r="AL667" s="4">
        <v>37011</v>
      </c>
      <c r="AM667" s="3"/>
      <c r="AN667" s="3"/>
    </row>
    <row r="668" spans="1:40" ht="27.95" x14ac:dyDescent="0.3">
      <c r="A668" s="3">
        <v>662</v>
      </c>
      <c r="B668" s="3" t="str">
        <f>"201700100572"</f>
        <v>201700100572</v>
      </c>
      <c r="C668" s="3">
        <v>118995</v>
      </c>
      <c r="D668" s="3" t="s">
        <v>2800</v>
      </c>
      <c r="E668" s="3">
        <v>20160364719</v>
      </c>
      <c r="F668" s="3" t="s">
        <v>2801</v>
      </c>
      <c r="G668" s="3" t="s">
        <v>2802</v>
      </c>
      <c r="H668" s="3" t="s">
        <v>56</v>
      </c>
      <c r="I668" s="3" t="s">
        <v>56</v>
      </c>
      <c r="J668" s="3" t="s">
        <v>131</v>
      </c>
      <c r="K668" s="3" t="s">
        <v>2803</v>
      </c>
      <c r="L668" s="3" t="s">
        <v>2804</v>
      </c>
      <c r="M668" s="3" t="s">
        <v>2805</v>
      </c>
      <c r="N668" s="3" t="s">
        <v>2806</v>
      </c>
      <c r="O668" s="3" t="s">
        <v>133</v>
      </c>
      <c r="P668" s="3" t="s">
        <v>134</v>
      </c>
      <c r="Q668" s="3" t="s">
        <v>135</v>
      </c>
      <c r="R668" s="3" t="s">
        <v>136</v>
      </c>
      <c r="S668" s="3" t="s">
        <v>137</v>
      </c>
      <c r="T668" s="3" t="s">
        <v>138</v>
      </c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 t="s">
        <v>139</v>
      </c>
      <c r="AL668" s="4">
        <v>42923</v>
      </c>
      <c r="AM668" s="3"/>
      <c r="AN668" s="3" t="s">
        <v>140</v>
      </c>
    </row>
    <row r="669" spans="1:40" x14ac:dyDescent="0.3">
      <c r="A669" s="3">
        <v>663</v>
      </c>
      <c r="B669" s="3" t="str">
        <f>"1415371"</f>
        <v>1415371</v>
      </c>
      <c r="C669" s="3">
        <v>88801</v>
      </c>
      <c r="D669" s="3" t="s">
        <v>2807</v>
      </c>
      <c r="E669" s="3">
        <v>20516511975</v>
      </c>
      <c r="F669" s="3" t="s">
        <v>2808</v>
      </c>
      <c r="G669" s="3" t="s">
        <v>2809</v>
      </c>
      <c r="H669" s="3" t="s">
        <v>97</v>
      </c>
      <c r="I669" s="3" t="s">
        <v>97</v>
      </c>
      <c r="J669" s="3" t="s">
        <v>417</v>
      </c>
      <c r="K669" s="3" t="s">
        <v>2810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 t="s">
        <v>538</v>
      </c>
      <c r="AL669" s="4">
        <v>40444</v>
      </c>
      <c r="AM669" s="3"/>
      <c r="AN669" s="3" t="s">
        <v>2811</v>
      </c>
    </row>
    <row r="670" spans="1:40" x14ac:dyDescent="0.3">
      <c r="A670" s="3">
        <v>664</v>
      </c>
      <c r="B670" s="3" t="str">
        <f>"1487801"</f>
        <v>1487801</v>
      </c>
      <c r="C670" s="3">
        <v>92676</v>
      </c>
      <c r="D670" s="3" t="s">
        <v>2812</v>
      </c>
      <c r="E670" s="3">
        <v>29480035</v>
      </c>
      <c r="F670" s="3" t="s">
        <v>2813</v>
      </c>
      <c r="G670" s="3" t="s">
        <v>2814</v>
      </c>
      <c r="H670" s="3" t="s">
        <v>97</v>
      </c>
      <c r="I670" s="3" t="s">
        <v>97</v>
      </c>
      <c r="J670" s="3" t="s">
        <v>417</v>
      </c>
      <c r="K670" s="3" t="s">
        <v>2815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 t="s">
        <v>2816</v>
      </c>
      <c r="AL670" s="4">
        <v>40707</v>
      </c>
      <c r="AM670" s="3"/>
      <c r="AN670" s="3" t="s">
        <v>2813</v>
      </c>
    </row>
    <row r="671" spans="1:40" x14ac:dyDescent="0.3">
      <c r="A671" s="3">
        <v>665</v>
      </c>
      <c r="B671" s="3" t="str">
        <f>"201400091244"</f>
        <v>201400091244</v>
      </c>
      <c r="C671" s="3">
        <v>43269</v>
      </c>
      <c r="D671" s="3" t="s">
        <v>2817</v>
      </c>
      <c r="E671" s="3">
        <v>20507840613</v>
      </c>
      <c r="F671" s="3" t="s">
        <v>298</v>
      </c>
      <c r="G671" s="3" t="s">
        <v>55</v>
      </c>
      <c r="H671" s="3" t="s">
        <v>56</v>
      </c>
      <c r="I671" s="3" t="s">
        <v>56</v>
      </c>
      <c r="J671" s="3" t="s">
        <v>57</v>
      </c>
      <c r="K671" s="3" t="s">
        <v>2818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 t="s">
        <v>473</v>
      </c>
      <c r="AL671" s="4">
        <v>41835</v>
      </c>
      <c r="AM671" s="3"/>
      <c r="AN671" s="3" t="s">
        <v>60</v>
      </c>
    </row>
    <row r="672" spans="1:40" x14ac:dyDescent="0.3">
      <c r="A672" s="3">
        <v>666</v>
      </c>
      <c r="B672" s="3" t="str">
        <f>"201400091140"</f>
        <v>201400091140</v>
      </c>
      <c r="C672" s="3">
        <v>44206</v>
      </c>
      <c r="D672" s="3" t="s">
        <v>2819</v>
      </c>
      <c r="E672" s="3">
        <v>20507840613</v>
      </c>
      <c r="F672" s="3" t="s">
        <v>298</v>
      </c>
      <c r="G672" s="3" t="s">
        <v>2820</v>
      </c>
      <c r="H672" s="3" t="s">
        <v>56</v>
      </c>
      <c r="I672" s="3" t="s">
        <v>56</v>
      </c>
      <c r="J672" s="3" t="s">
        <v>57</v>
      </c>
      <c r="K672" s="3" t="s">
        <v>2821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 t="s">
        <v>65</v>
      </c>
      <c r="AL672" s="4">
        <v>41842</v>
      </c>
      <c r="AM672" s="3"/>
      <c r="AN672" s="3" t="s">
        <v>947</v>
      </c>
    </row>
    <row r="673" spans="1:40" x14ac:dyDescent="0.3">
      <c r="A673" s="3">
        <v>667</v>
      </c>
      <c r="B673" s="3" t="str">
        <f>"201500145317"</f>
        <v>201500145317</v>
      </c>
      <c r="C673" s="3">
        <v>84095</v>
      </c>
      <c r="D673" s="3" t="s">
        <v>2822</v>
      </c>
      <c r="E673" s="3">
        <v>20100366747</v>
      </c>
      <c r="F673" s="3" t="s">
        <v>258</v>
      </c>
      <c r="G673" s="3" t="s">
        <v>451</v>
      </c>
      <c r="H673" s="3" t="s">
        <v>56</v>
      </c>
      <c r="I673" s="3" t="s">
        <v>56</v>
      </c>
      <c r="J673" s="3" t="s">
        <v>185</v>
      </c>
      <c r="K673" s="3" t="s">
        <v>2823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 t="s">
        <v>2824</v>
      </c>
      <c r="AL673" s="4">
        <v>42332</v>
      </c>
      <c r="AM673" s="3"/>
      <c r="AN673" s="3" t="s">
        <v>262</v>
      </c>
    </row>
    <row r="674" spans="1:40" x14ac:dyDescent="0.3">
      <c r="A674" s="3">
        <v>668</v>
      </c>
      <c r="B674" s="3" t="str">
        <f>"1478367"</f>
        <v>1478367</v>
      </c>
      <c r="C674" s="3">
        <v>91580</v>
      </c>
      <c r="D674" s="3" t="s">
        <v>2825</v>
      </c>
      <c r="E674" s="3">
        <v>20293658146</v>
      </c>
      <c r="F674" s="3" t="s">
        <v>2826</v>
      </c>
      <c r="G674" s="3" t="s">
        <v>2827</v>
      </c>
      <c r="H674" s="3" t="s">
        <v>56</v>
      </c>
      <c r="I674" s="3" t="s">
        <v>56</v>
      </c>
      <c r="J674" s="3" t="s">
        <v>63</v>
      </c>
      <c r="K674" s="3" t="s">
        <v>2828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 t="s">
        <v>167</v>
      </c>
      <c r="AL674" s="4">
        <v>40669</v>
      </c>
      <c r="AM674" s="3"/>
      <c r="AN674" s="3" t="s">
        <v>2829</v>
      </c>
    </row>
    <row r="675" spans="1:40" x14ac:dyDescent="0.3">
      <c r="A675" s="3">
        <v>669</v>
      </c>
      <c r="B675" s="3" t="str">
        <f>"1480940"</f>
        <v>1480940</v>
      </c>
      <c r="C675" s="3">
        <v>91680</v>
      </c>
      <c r="D675" s="3" t="s">
        <v>2830</v>
      </c>
      <c r="E675" s="3">
        <v>20102314698</v>
      </c>
      <c r="F675" s="3" t="s">
        <v>1185</v>
      </c>
      <c r="G675" s="3" t="s">
        <v>2831</v>
      </c>
      <c r="H675" s="3" t="s">
        <v>50</v>
      </c>
      <c r="I675" s="3" t="s">
        <v>50</v>
      </c>
      <c r="J675" s="3" t="s">
        <v>50</v>
      </c>
      <c r="K675" s="3" t="s">
        <v>2832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 t="s">
        <v>2833</v>
      </c>
      <c r="AL675" s="4">
        <v>40662</v>
      </c>
      <c r="AM675" s="3"/>
      <c r="AN675" s="3" t="s">
        <v>2834</v>
      </c>
    </row>
    <row r="676" spans="1:40" x14ac:dyDescent="0.3">
      <c r="A676" s="3">
        <v>670</v>
      </c>
      <c r="B676" s="3" t="str">
        <f>"201800124185"</f>
        <v>201800124185</v>
      </c>
      <c r="C676" s="3">
        <v>137719</v>
      </c>
      <c r="D676" s="3" t="s">
        <v>2835</v>
      </c>
      <c r="E676" s="3">
        <v>20278540449</v>
      </c>
      <c r="F676" s="3" t="s">
        <v>939</v>
      </c>
      <c r="G676" s="3" t="s">
        <v>2836</v>
      </c>
      <c r="H676" s="3" t="s">
        <v>446</v>
      </c>
      <c r="I676" s="3" t="s">
        <v>446</v>
      </c>
      <c r="J676" s="3" t="s">
        <v>830</v>
      </c>
      <c r="K676" s="3" t="s">
        <v>2837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 t="s">
        <v>218</v>
      </c>
      <c r="AL676" s="4">
        <v>43314</v>
      </c>
      <c r="AM676" s="3"/>
      <c r="AN676" s="3" t="s">
        <v>2838</v>
      </c>
    </row>
    <row r="677" spans="1:40" ht="27.95" x14ac:dyDescent="0.3">
      <c r="A677" s="3">
        <v>671</v>
      </c>
      <c r="B677" s="3" t="str">
        <f>"201500008830"</f>
        <v>201500008830</v>
      </c>
      <c r="C677" s="3">
        <v>108040</v>
      </c>
      <c r="D677" s="3" t="s">
        <v>2839</v>
      </c>
      <c r="E677" s="3">
        <v>20485894561</v>
      </c>
      <c r="F677" s="3" t="s">
        <v>2840</v>
      </c>
      <c r="G677" s="3" t="s">
        <v>2841</v>
      </c>
      <c r="H677" s="3" t="s">
        <v>237</v>
      </c>
      <c r="I677" s="3" t="s">
        <v>2842</v>
      </c>
      <c r="J677" s="3" t="s">
        <v>2843</v>
      </c>
      <c r="K677" s="3" t="s">
        <v>2844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 t="s">
        <v>568</v>
      </c>
      <c r="AL677" s="4">
        <v>42048</v>
      </c>
      <c r="AM677" s="3"/>
      <c r="AN677" s="3" t="s">
        <v>2845</v>
      </c>
    </row>
    <row r="678" spans="1:40" x14ac:dyDescent="0.3">
      <c r="A678" s="3">
        <v>672</v>
      </c>
      <c r="B678" s="3" t="str">
        <f>"201700029233"</f>
        <v>201700029233</v>
      </c>
      <c r="C678" s="3">
        <v>109345</v>
      </c>
      <c r="D678" s="3" t="s">
        <v>2846</v>
      </c>
      <c r="E678" s="3">
        <v>20100366747</v>
      </c>
      <c r="F678" s="3" t="s">
        <v>334</v>
      </c>
      <c r="G678" s="3" t="s">
        <v>451</v>
      </c>
      <c r="H678" s="3" t="s">
        <v>56</v>
      </c>
      <c r="I678" s="3" t="s">
        <v>56</v>
      </c>
      <c r="J678" s="3" t="s">
        <v>185</v>
      </c>
      <c r="K678" s="3" t="s">
        <v>2847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 t="s">
        <v>2848</v>
      </c>
      <c r="AL678" s="4">
        <v>42804</v>
      </c>
      <c r="AM678" s="3"/>
      <c r="AN678" s="3" t="s">
        <v>262</v>
      </c>
    </row>
    <row r="679" spans="1:40" x14ac:dyDescent="0.3">
      <c r="A679" s="3">
        <v>673</v>
      </c>
      <c r="B679" s="3" t="str">
        <f>"1478365"</f>
        <v>1478365</v>
      </c>
      <c r="C679" s="3">
        <v>91581</v>
      </c>
      <c r="D679" s="3" t="s">
        <v>2849</v>
      </c>
      <c r="E679" s="3">
        <v>20293658146</v>
      </c>
      <c r="F679" s="3" t="s">
        <v>2826</v>
      </c>
      <c r="G679" s="3" t="s">
        <v>2850</v>
      </c>
      <c r="H679" s="3" t="s">
        <v>56</v>
      </c>
      <c r="I679" s="3" t="s">
        <v>56</v>
      </c>
      <c r="J679" s="3" t="s">
        <v>63</v>
      </c>
      <c r="K679" s="3" t="s">
        <v>2851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 t="s">
        <v>167</v>
      </c>
      <c r="AL679" s="4">
        <v>40669</v>
      </c>
      <c r="AM679" s="3"/>
      <c r="AN679" s="3" t="s">
        <v>2829</v>
      </c>
    </row>
    <row r="680" spans="1:40" x14ac:dyDescent="0.3">
      <c r="A680" s="3">
        <v>674</v>
      </c>
      <c r="B680" s="3" t="str">
        <f>"201100163727"</f>
        <v>201100163727</v>
      </c>
      <c r="C680" s="3">
        <v>95095</v>
      </c>
      <c r="D680" s="3" t="s">
        <v>2852</v>
      </c>
      <c r="E680" s="3">
        <v>10102560782</v>
      </c>
      <c r="F680" s="3" t="s">
        <v>2853</v>
      </c>
      <c r="G680" s="3" t="s">
        <v>2854</v>
      </c>
      <c r="H680" s="3" t="s">
        <v>56</v>
      </c>
      <c r="I680" s="3" t="s">
        <v>56</v>
      </c>
      <c r="J680" s="3" t="s">
        <v>363</v>
      </c>
      <c r="K680" s="3" t="s">
        <v>2855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 t="s">
        <v>2856</v>
      </c>
      <c r="AL680" s="4">
        <v>40897</v>
      </c>
      <c r="AM680" s="3"/>
      <c r="AN680" s="3" t="s">
        <v>2853</v>
      </c>
    </row>
    <row r="681" spans="1:40" x14ac:dyDescent="0.3">
      <c r="A681" s="3">
        <v>675</v>
      </c>
      <c r="B681" s="3" t="str">
        <f>"201900032897"</f>
        <v>201900032897</v>
      </c>
      <c r="C681" s="3">
        <v>119621</v>
      </c>
      <c r="D681" s="3" t="s">
        <v>2857</v>
      </c>
      <c r="E681" s="3">
        <v>20250459981</v>
      </c>
      <c r="F681" s="3" t="s">
        <v>1351</v>
      </c>
      <c r="G681" s="3" t="s">
        <v>2858</v>
      </c>
      <c r="H681" s="3" t="s">
        <v>56</v>
      </c>
      <c r="I681" s="3" t="s">
        <v>56</v>
      </c>
      <c r="J681" s="3" t="s">
        <v>273</v>
      </c>
      <c r="K681" s="3" t="s">
        <v>2859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 t="s">
        <v>306</v>
      </c>
      <c r="AL681" s="4">
        <v>43532</v>
      </c>
      <c r="AM681" s="3"/>
      <c r="AN681" s="3" t="s">
        <v>1355</v>
      </c>
    </row>
    <row r="682" spans="1:40" x14ac:dyDescent="0.3">
      <c r="A682" s="3">
        <v>676</v>
      </c>
      <c r="B682" s="3" t="str">
        <f>"201800040388"</f>
        <v>201800040388</v>
      </c>
      <c r="C682" s="3">
        <v>134947</v>
      </c>
      <c r="D682" s="3" t="s">
        <v>2860</v>
      </c>
      <c r="E682" s="3">
        <v>20602202705</v>
      </c>
      <c r="F682" s="3" t="s">
        <v>2861</v>
      </c>
      <c r="G682" s="3" t="s">
        <v>2862</v>
      </c>
      <c r="H682" s="3" t="s">
        <v>446</v>
      </c>
      <c r="I682" s="3" t="s">
        <v>446</v>
      </c>
      <c r="J682" s="3" t="s">
        <v>447</v>
      </c>
      <c r="K682" s="3" t="s">
        <v>2863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 t="s">
        <v>2864</v>
      </c>
      <c r="AL682" s="4">
        <v>43171</v>
      </c>
      <c r="AM682" s="3"/>
      <c r="AN682" s="3" t="s">
        <v>2865</v>
      </c>
    </row>
    <row r="683" spans="1:40" x14ac:dyDescent="0.3">
      <c r="A683" s="3">
        <v>677</v>
      </c>
      <c r="B683" s="3" t="str">
        <f>"201400138066"</f>
        <v>201400138066</v>
      </c>
      <c r="C683" s="3">
        <v>33303</v>
      </c>
      <c r="D683" s="3" t="s">
        <v>2866</v>
      </c>
      <c r="E683" s="3">
        <v>20100873681</v>
      </c>
      <c r="F683" s="3" t="s">
        <v>1241</v>
      </c>
      <c r="G683" s="3" t="s">
        <v>1047</v>
      </c>
      <c r="H683" s="3" t="s">
        <v>56</v>
      </c>
      <c r="I683" s="3" t="s">
        <v>56</v>
      </c>
      <c r="J683" s="3" t="s">
        <v>715</v>
      </c>
      <c r="K683" s="3" t="s">
        <v>2867</v>
      </c>
      <c r="L683" s="3" t="s">
        <v>2868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 t="s">
        <v>2869</v>
      </c>
      <c r="AL683" s="4">
        <v>41939</v>
      </c>
      <c r="AM683" s="3"/>
      <c r="AN683" s="3" t="s">
        <v>2870</v>
      </c>
    </row>
    <row r="684" spans="1:40" ht="27.95" x14ac:dyDescent="0.3">
      <c r="A684" s="3">
        <v>678</v>
      </c>
      <c r="B684" s="3" t="str">
        <f>"202000116818"</f>
        <v>202000116818</v>
      </c>
      <c r="C684" s="3">
        <v>151063</v>
      </c>
      <c r="D684" s="3" t="s">
        <v>2871</v>
      </c>
      <c r="E684" s="3">
        <v>20560024640</v>
      </c>
      <c r="F684" s="3" t="s">
        <v>2872</v>
      </c>
      <c r="G684" s="3" t="s">
        <v>2873</v>
      </c>
      <c r="H684" s="3" t="s">
        <v>44</v>
      </c>
      <c r="I684" s="3" t="s">
        <v>2874</v>
      </c>
      <c r="J684" s="3" t="s">
        <v>2874</v>
      </c>
      <c r="K684" s="3" t="s">
        <v>2875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 t="s">
        <v>47</v>
      </c>
      <c r="AL684" s="4">
        <v>44091</v>
      </c>
      <c r="AM684" s="3"/>
      <c r="AN684" s="3" t="s">
        <v>2876</v>
      </c>
    </row>
    <row r="685" spans="1:40" x14ac:dyDescent="0.3">
      <c r="A685" s="3">
        <v>679</v>
      </c>
      <c r="B685" s="3" t="str">
        <f>"201600010850"</f>
        <v>201600010850</v>
      </c>
      <c r="C685" s="3">
        <v>119594</v>
      </c>
      <c r="D685" s="3" t="s">
        <v>2877</v>
      </c>
      <c r="E685" s="3">
        <v>10211061770</v>
      </c>
      <c r="F685" s="3" t="s">
        <v>2878</v>
      </c>
      <c r="G685" s="3" t="s">
        <v>2879</v>
      </c>
      <c r="H685" s="3" t="s">
        <v>56</v>
      </c>
      <c r="I685" s="3" t="s">
        <v>56</v>
      </c>
      <c r="J685" s="3" t="s">
        <v>131</v>
      </c>
      <c r="K685" s="3" t="s">
        <v>2880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 t="s">
        <v>986</v>
      </c>
      <c r="AL685" s="4">
        <v>42405</v>
      </c>
      <c r="AM685" s="3"/>
      <c r="AN685" s="3" t="s">
        <v>2878</v>
      </c>
    </row>
    <row r="686" spans="1:40" x14ac:dyDescent="0.3">
      <c r="A686" s="3">
        <v>680</v>
      </c>
      <c r="B686" s="3" t="str">
        <f>"1790592"</f>
        <v>1790592</v>
      </c>
      <c r="C686" s="3">
        <v>21274</v>
      </c>
      <c r="D686" s="3" t="s">
        <v>2881</v>
      </c>
      <c r="E686" s="3">
        <v>20100873681</v>
      </c>
      <c r="F686" s="3" t="s">
        <v>1241</v>
      </c>
      <c r="G686" s="3" t="s">
        <v>1047</v>
      </c>
      <c r="H686" s="3" t="s">
        <v>56</v>
      </c>
      <c r="I686" s="3" t="s">
        <v>56</v>
      </c>
      <c r="J686" s="3" t="s">
        <v>715</v>
      </c>
      <c r="K686" s="3" t="s">
        <v>2882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 t="s">
        <v>2883</v>
      </c>
      <c r="AL686" s="4">
        <v>39615</v>
      </c>
      <c r="AM686" s="3"/>
      <c r="AN686" s="3"/>
    </row>
    <row r="687" spans="1:40" x14ac:dyDescent="0.3">
      <c r="A687" s="3">
        <v>681</v>
      </c>
      <c r="B687" s="3" t="str">
        <f>"1790594"</f>
        <v>1790594</v>
      </c>
      <c r="C687" s="3">
        <v>21278</v>
      </c>
      <c r="D687" s="3" t="s">
        <v>2884</v>
      </c>
      <c r="E687" s="3">
        <v>20100873681</v>
      </c>
      <c r="F687" s="3" t="s">
        <v>1241</v>
      </c>
      <c r="G687" s="3" t="s">
        <v>1047</v>
      </c>
      <c r="H687" s="3" t="s">
        <v>56</v>
      </c>
      <c r="I687" s="3" t="s">
        <v>56</v>
      </c>
      <c r="J687" s="3" t="s">
        <v>715</v>
      </c>
      <c r="K687" s="3" t="s">
        <v>2885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 t="s">
        <v>2886</v>
      </c>
      <c r="AL687" s="4">
        <v>39615</v>
      </c>
      <c r="AM687" s="3"/>
      <c r="AN687" s="3"/>
    </row>
    <row r="688" spans="1:40" ht="27.95" x14ac:dyDescent="0.3">
      <c r="A688" s="3">
        <v>682</v>
      </c>
      <c r="B688" s="3" t="str">
        <f>"201900030648"</f>
        <v>201900030648</v>
      </c>
      <c r="C688" s="3">
        <v>141531</v>
      </c>
      <c r="D688" s="3" t="s">
        <v>2887</v>
      </c>
      <c r="E688" s="3">
        <v>20571516170</v>
      </c>
      <c r="F688" s="3" t="s">
        <v>2888</v>
      </c>
      <c r="G688" s="3" t="s">
        <v>2889</v>
      </c>
      <c r="H688" s="3" t="s">
        <v>56</v>
      </c>
      <c r="I688" s="3" t="s">
        <v>2890</v>
      </c>
      <c r="J688" s="3" t="s">
        <v>2890</v>
      </c>
      <c r="K688" s="3" t="s">
        <v>2891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 t="s">
        <v>2892</v>
      </c>
      <c r="AL688" s="4">
        <v>43529</v>
      </c>
      <c r="AM688" s="3"/>
      <c r="AN688" s="3" t="s">
        <v>2893</v>
      </c>
    </row>
    <row r="689" spans="1:40" x14ac:dyDescent="0.3">
      <c r="A689" s="3">
        <v>683</v>
      </c>
      <c r="B689" s="3" t="str">
        <f>"1790595"</f>
        <v>1790595</v>
      </c>
      <c r="C689" s="3">
        <v>21247</v>
      </c>
      <c r="D689" s="3" t="s">
        <v>2894</v>
      </c>
      <c r="E689" s="3">
        <v>20100873681</v>
      </c>
      <c r="F689" s="3" t="s">
        <v>1241</v>
      </c>
      <c r="G689" s="3" t="s">
        <v>1047</v>
      </c>
      <c r="H689" s="3" t="s">
        <v>56</v>
      </c>
      <c r="I689" s="3" t="s">
        <v>56</v>
      </c>
      <c r="J689" s="3" t="s">
        <v>715</v>
      </c>
      <c r="K689" s="3" t="s">
        <v>2895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 t="s">
        <v>1988</v>
      </c>
      <c r="AL689" s="4">
        <v>39615</v>
      </c>
      <c r="AM689" s="3"/>
      <c r="AN689" s="3"/>
    </row>
    <row r="690" spans="1:40" x14ac:dyDescent="0.3">
      <c r="A690" s="3">
        <v>684</v>
      </c>
      <c r="B690" s="3" t="str">
        <f>"1790598"</f>
        <v>1790598</v>
      </c>
      <c r="C690" s="3">
        <v>21276</v>
      </c>
      <c r="D690" s="3" t="s">
        <v>2896</v>
      </c>
      <c r="E690" s="3">
        <v>20100873681</v>
      </c>
      <c r="F690" s="3" t="s">
        <v>1241</v>
      </c>
      <c r="G690" s="3" t="s">
        <v>1047</v>
      </c>
      <c r="H690" s="3" t="s">
        <v>56</v>
      </c>
      <c r="I690" s="3" t="s">
        <v>56</v>
      </c>
      <c r="J690" s="3" t="s">
        <v>715</v>
      </c>
      <c r="K690" s="3" t="s">
        <v>2897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 t="s">
        <v>2898</v>
      </c>
      <c r="AL690" s="4">
        <v>39615</v>
      </c>
      <c r="AM690" s="3"/>
      <c r="AN690" s="3"/>
    </row>
    <row r="691" spans="1:40" ht="27.95" x14ac:dyDescent="0.3">
      <c r="A691" s="3">
        <v>685</v>
      </c>
      <c r="B691" s="3" t="str">
        <f>"1790599"</f>
        <v>1790599</v>
      </c>
      <c r="C691" s="3">
        <v>43663</v>
      </c>
      <c r="D691" s="3" t="s">
        <v>2899</v>
      </c>
      <c r="E691" s="3">
        <v>20100873681</v>
      </c>
      <c r="F691" s="3" t="s">
        <v>1241</v>
      </c>
      <c r="G691" s="3" t="s">
        <v>2900</v>
      </c>
      <c r="H691" s="3" t="s">
        <v>56</v>
      </c>
      <c r="I691" s="3" t="s">
        <v>56</v>
      </c>
      <c r="J691" s="3" t="s">
        <v>277</v>
      </c>
      <c r="K691" s="3" t="s">
        <v>2901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 t="s">
        <v>1064</v>
      </c>
      <c r="AL691" s="4">
        <v>39615</v>
      </c>
      <c r="AM691" s="3"/>
      <c r="AN691" s="3"/>
    </row>
    <row r="692" spans="1:40" x14ac:dyDescent="0.3">
      <c r="A692" s="3">
        <v>686</v>
      </c>
      <c r="B692" s="3" t="str">
        <f>"201600057968"</f>
        <v>201600057968</v>
      </c>
      <c r="C692" s="3">
        <v>121022</v>
      </c>
      <c r="D692" s="3" t="s">
        <v>2902</v>
      </c>
      <c r="E692" s="3">
        <v>20525521509</v>
      </c>
      <c r="F692" s="3" t="s">
        <v>189</v>
      </c>
      <c r="G692" s="3" t="s">
        <v>874</v>
      </c>
      <c r="H692" s="3" t="s">
        <v>50</v>
      </c>
      <c r="I692" s="3" t="s">
        <v>50</v>
      </c>
      <c r="J692" s="3" t="s">
        <v>98</v>
      </c>
      <c r="K692" s="3" t="s">
        <v>2903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 t="s">
        <v>1014</v>
      </c>
      <c r="AL692" s="4">
        <v>42485</v>
      </c>
      <c r="AM692" s="3"/>
      <c r="AN692" s="3" t="s">
        <v>885</v>
      </c>
    </row>
    <row r="693" spans="1:40" ht="27.95" x14ac:dyDescent="0.3">
      <c r="A693" s="3">
        <v>687</v>
      </c>
      <c r="B693" s="3" t="str">
        <f>"201300141587"</f>
        <v>201300141587</v>
      </c>
      <c r="C693" s="3">
        <v>105066</v>
      </c>
      <c r="D693" s="3" t="s">
        <v>2904</v>
      </c>
      <c r="E693" s="3">
        <v>20100076749</v>
      </c>
      <c r="F693" s="3" t="s">
        <v>159</v>
      </c>
      <c r="G693" s="3" t="s">
        <v>2905</v>
      </c>
      <c r="H693" s="3" t="s">
        <v>56</v>
      </c>
      <c r="I693" s="3" t="s">
        <v>56</v>
      </c>
      <c r="J693" s="3" t="s">
        <v>121</v>
      </c>
      <c r="K693" s="3" t="s">
        <v>2906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 t="s">
        <v>2907</v>
      </c>
      <c r="AL693" s="4">
        <v>41523</v>
      </c>
      <c r="AM693" s="3"/>
      <c r="AN693" s="3" t="s">
        <v>2908</v>
      </c>
    </row>
    <row r="694" spans="1:40" x14ac:dyDescent="0.3">
      <c r="A694" s="3">
        <v>688</v>
      </c>
      <c r="B694" s="3" t="str">
        <f>"201600110908"</f>
        <v>201600110908</v>
      </c>
      <c r="C694" s="3">
        <v>122046</v>
      </c>
      <c r="D694" s="3" t="s">
        <v>2909</v>
      </c>
      <c r="E694" s="3">
        <v>10416112407</v>
      </c>
      <c r="F694" s="3" t="s">
        <v>2910</v>
      </c>
      <c r="G694" s="3" t="s">
        <v>2911</v>
      </c>
      <c r="H694" s="3" t="s">
        <v>97</v>
      </c>
      <c r="I694" s="3" t="s">
        <v>97</v>
      </c>
      <c r="J694" s="3" t="s">
        <v>705</v>
      </c>
      <c r="K694" s="3" t="s">
        <v>2912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 t="s">
        <v>81</v>
      </c>
      <c r="AL694" s="4">
        <v>42586</v>
      </c>
      <c r="AM694" s="3"/>
      <c r="AN694" s="3" t="s">
        <v>2910</v>
      </c>
    </row>
    <row r="695" spans="1:40" x14ac:dyDescent="0.3">
      <c r="A695" s="3">
        <v>689</v>
      </c>
      <c r="B695" s="3" t="str">
        <f>"201600110909"</f>
        <v>201600110909</v>
      </c>
      <c r="C695" s="3">
        <v>122045</v>
      </c>
      <c r="D695" s="3" t="s">
        <v>2913</v>
      </c>
      <c r="E695" s="3">
        <v>10416112407</v>
      </c>
      <c r="F695" s="3" t="s">
        <v>2910</v>
      </c>
      <c r="G695" s="3" t="s">
        <v>2914</v>
      </c>
      <c r="H695" s="3" t="s">
        <v>97</v>
      </c>
      <c r="I695" s="3" t="s">
        <v>97</v>
      </c>
      <c r="J695" s="3" t="s">
        <v>705</v>
      </c>
      <c r="K695" s="3" t="s">
        <v>2915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 t="s">
        <v>81</v>
      </c>
      <c r="AL695" s="4">
        <v>42584</v>
      </c>
      <c r="AM695" s="3"/>
      <c r="AN695" s="3" t="s">
        <v>2910</v>
      </c>
    </row>
    <row r="696" spans="1:40" x14ac:dyDescent="0.3">
      <c r="A696" s="3">
        <v>690</v>
      </c>
      <c r="B696" s="3" t="str">
        <f>"201700028121"</f>
        <v>201700028121</v>
      </c>
      <c r="C696" s="3">
        <v>126867</v>
      </c>
      <c r="D696" s="3" t="s">
        <v>2916</v>
      </c>
      <c r="E696" s="3">
        <v>20600171616</v>
      </c>
      <c r="F696" s="3" t="s">
        <v>2917</v>
      </c>
      <c r="G696" s="3" t="s">
        <v>2918</v>
      </c>
      <c r="H696" s="3" t="s">
        <v>222</v>
      </c>
      <c r="I696" s="3" t="s">
        <v>223</v>
      </c>
      <c r="J696" s="3" t="s">
        <v>224</v>
      </c>
      <c r="K696" s="3" t="s">
        <v>2919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 t="s">
        <v>2920</v>
      </c>
      <c r="AL696" s="4">
        <v>42818</v>
      </c>
      <c r="AM696" s="3"/>
      <c r="AN696" s="3" t="s">
        <v>2921</v>
      </c>
    </row>
    <row r="697" spans="1:40" x14ac:dyDescent="0.3">
      <c r="A697" s="3">
        <v>691</v>
      </c>
      <c r="B697" s="3" t="str">
        <f>"1570939"</f>
        <v>1570939</v>
      </c>
      <c r="C697" s="3">
        <v>41856</v>
      </c>
      <c r="D697" s="3" t="s">
        <v>2922</v>
      </c>
      <c r="E697" s="3">
        <v>20250459981</v>
      </c>
      <c r="F697" s="3" t="s">
        <v>1351</v>
      </c>
      <c r="G697" s="3" t="s">
        <v>2923</v>
      </c>
      <c r="H697" s="3" t="s">
        <v>75</v>
      </c>
      <c r="I697" s="3" t="s">
        <v>75</v>
      </c>
      <c r="J697" s="3" t="s">
        <v>76</v>
      </c>
      <c r="K697" s="3" t="s">
        <v>2924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 t="s">
        <v>1341</v>
      </c>
      <c r="AL697" s="4">
        <v>38671</v>
      </c>
      <c r="AM697" s="3"/>
      <c r="AN697" s="3"/>
    </row>
    <row r="698" spans="1:40" x14ac:dyDescent="0.3">
      <c r="A698" s="3">
        <v>692</v>
      </c>
      <c r="B698" s="3" t="str">
        <f>"1275838"</f>
        <v>1275838</v>
      </c>
      <c r="C698" s="3">
        <v>18186</v>
      </c>
      <c r="D698" s="3">
        <v>1275838</v>
      </c>
      <c r="E698" s="3">
        <v>20417395254</v>
      </c>
      <c r="F698" s="3" t="s">
        <v>2925</v>
      </c>
      <c r="G698" s="3" t="s">
        <v>2926</v>
      </c>
      <c r="H698" s="3" t="s">
        <v>56</v>
      </c>
      <c r="I698" s="3" t="s">
        <v>56</v>
      </c>
      <c r="J698" s="3" t="s">
        <v>2927</v>
      </c>
      <c r="K698" s="3" t="s">
        <v>2928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 t="s">
        <v>546</v>
      </c>
      <c r="AL698" s="4">
        <v>36633</v>
      </c>
      <c r="AM698" s="3"/>
      <c r="AN698" s="3"/>
    </row>
    <row r="699" spans="1:40" x14ac:dyDescent="0.3">
      <c r="A699" s="3">
        <v>693</v>
      </c>
      <c r="B699" s="3" t="str">
        <f>"1743210"</f>
        <v>1743210</v>
      </c>
      <c r="C699" s="3">
        <v>61076</v>
      </c>
      <c r="D699" s="3" t="s">
        <v>2929</v>
      </c>
      <c r="E699" s="3">
        <v>20498101641</v>
      </c>
      <c r="F699" s="3" t="s">
        <v>2930</v>
      </c>
      <c r="G699" s="3" t="s">
        <v>2931</v>
      </c>
      <c r="H699" s="3" t="s">
        <v>97</v>
      </c>
      <c r="I699" s="3" t="s">
        <v>97</v>
      </c>
      <c r="J699" s="3" t="s">
        <v>2932</v>
      </c>
      <c r="K699" s="3" t="s">
        <v>2933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 t="s">
        <v>802</v>
      </c>
      <c r="AL699" s="4">
        <v>39413</v>
      </c>
      <c r="AM699" s="3"/>
      <c r="AN699" s="3"/>
    </row>
    <row r="700" spans="1:40" ht="27.95" x14ac:dyDescent="0.3">
      <c r="A700" s="3">
        <v>694</v>
      </c>
      <c r="B700" s="3" t="str">
        <f>"201900030644"</f>
        <v>201900030644</v>
      </c>
      <c r="C700" s="3">
        <v>125640</v>
      </c>
      <c r="D700" s="3" t="s">
        <v>2934</v>
      </c>
      <c r="E700" s="3">
        <v>20602392059</v>
      </c>
      <c r="F700" s="3" t="s">
        <v>2935</v>
      </c>
      <c r="G700" s="3" t="s">
        <v>2936</v>
      </c>
      <c r="H700" s="3" t="s">
        <v>56</v>
      </c>
      <c r="I700" s="3" t="s">
        <v>56</v>
      </c>
      <c r="J700" s="3" t="s">
        <v>277</v>
      </c>
      <c r="K700" s="3" t="s">
        <v>2937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 t="s">
        <v>1326</v>
      </c>
      <c r="AL700" s="4">
        <v>43525</v>
      </c>
      <c r="AM700" s="3"/>
      <c r="AN700" s="3" t="s">
        <v>2938</v>
      </c>
    </row>
    <row r="701" spans="1:40" x14ac:dyDescent="0.3">
      <c r="A701" s="3">
        <v>695</v>
      </c>
      <c r="B701" s="3" t="str">
        <f>"1123751"</f>
        <v>1123751</v>
      </c>
      <c r="C701" s="3">
        <v>3414</v>
      </c>
      <c r="D701" s="3">
        <v>1123751</v>
      </c>
      <c r="E701" s="3">
        <v>10005106953</v>
      </c>
      <c r="F701" s="3" t="s">
        <v>2939</v>
      </c>
      <c r="G701" s="3" t="s">
        <v>2940</v>
      </c>
      <c r="H701" s="3" t="s">
        <v>202</v>
      </c>
      <c r="I701" s="3" t="s">
        <v>202</v>
      </c>
      <c r="J701" s="3" t="s">
        <v>202</v>
      </c>
      <c r="K701" s="3" t="s">
        <v>2941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 t="s">
        <v>574</v>
      </c>
      <c r="AL701" s="4">
        <v>35564</v>
      </c>
      <c r="AM701" s="3"/>
      <c r="AN701" s="3"/>
    </row>
    <row r="702" spans="1:40" x14ac:dyDescent="0.3">
      <c r="A702" s="3">
        <v>696</v>
      </c>
      <c r="B702" s="3" t="str">
        <f>"1124036"</f>
        <v>1124036</v>
      </c>
      <c r="C702" s="3">
        <v>2801</v>
      </c>
      <c r="D702" s="3">
        <v>1124036</v>
      </c>
      <c r="E702" s="3">
        <v>10079314264</v>
      </c>
      <c r="F702" s="3" t="s">
        <v>2942</v>
      </c>
      <c r="G702" s="3" t="s">
        <v>2943</v>
      </c>
      <c r="H702" s="3" t="s">
        <v>56</v>
      </c>
      <c r="I702" s="3" t="s">
        <v>56</v>
      </c>
      <c r="J702" s="3" t="s">
        <v>313</v>
      </c>
      <c r="K702" s="3" t="s">
        <v>2944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 t="s">
        <v>81</v>
      </c>
      <c r="AL702" s="4">
        <v>35569</v>
      </c>
      <c r="AM702" s="3"/>
      <c r="AN702" s="3"/>
    </row>
    <row r="703" spans="1:40" x14ac:dyDescent="0.3">
      <c r="A703" s="3">
        <v>697</v>
      </c>
      <c r="B703" s="3" t="str">
        <f>"201500080608"</f>
        <v>201500080608</v>
      </c>
      <c r="C703" s="3">
        <v>116007</v>
      </c>
      <c r="D703" s="3" t="s">
        <v>2945</v>
      </c>
      <c r="E703" s="3">
        <v>20572157394</v>
      </c>
      <c r="F703" s="3" t="s">
        <v>170</v>
      </c>
      <c r="G703" s="3" t="s">
        <v>2946</v>
      </c>
      <c r="H703" s="3" t="s">
        <v>172</v>
      </c>
      <c r="I703" s="3" t="s">
        <v>172</v>
      </c>
      <c r="J703" s="3" t="s">
        <v>173</v>
      </c>
      <c r="K703" s="3" t="s">
        <v>2947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 t="s">
        <v>546</v>
      </c>
      <c r="AL703" s="4">
        <v>42186</v>
      </c>
      <c r="AM703" s="3"/>
      <c r="AN703" s="3" t="s">
        <v>178</v>
      </c>
    </row>
    <row r="704" spans="1:40" x14ac:dyDescent="0.3">
      <c r="A704" s="3">
        <v>698</v>
      </c>
      <c r="B704" s="3" t="str">
        <f>"1124038"</f>
        <v>1124038</v>
      </c>
      <c r="C704" s="3">
        <v>2802</v>
      </c>
      <c r="D704" s="3">
        <v>1124038</v>
      </c>
      <c r="E704" s="3">
        <v>10079314264</v>
      </c>
      <c r="F704" s="3" t="s">
        <v>2942</v>
      </c>
      <c r="G704" s="3" t="s">
        <v>2943</v>
      </c>
      <c r="H704" s="3" t="s">
        <v>56</v>
      </c>
      <c r="I704" s="3" t="s">
        <v>56</v>
      </c>
      <c r="J704" s="3" t="s">
        <v>313</v>
      </c>
      <c r="K704" s="3" t="s">
        <v>2948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 t="s">
        <v>2949</v>
      </c>
      <c r="AL704" s="4">
        <v>35569</v>
      </c>
      <c r="AM704" s="3"/>
      <c r="AN704" s="3"/>
    </row>
    <row r="705" spans="1:40" x14ac:dyDescent="0.3">
      <c r="A705" s="3">
        <v>699</v>
      </c>
      <c r="B705" s="3" t="str">
        <f>"1123750"</f>
        <v>1123750</v>
      </c>
      <c r="C705" s="3">
        <v>3415</v>
      </c>
      <c r="D705" s="3">
        <v>1123750</v>
      </c>
      <c r="E705" s="3">
        <v>10004681644</v>
      </c>
      <c r="F705" s="3" t="s">
        <v>2950</v>
      </c>
      <c r="G705" s="3" t="s">
        <v>2951</v>
      </c>
      <c r="H705" s="3" t="s">
        <v>202</v>
      </c>
      <c r="I705" s="3" t="s">
        <v>202</v>
      </c>
      <c r="J705" s="3" t="s">
        <v>2952</v>
      </c>
      <c r="K705" s="3" t="s">
        <v>2953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 t="s">
        <v>842</v>
      </c>
      <c r="AL705" s="4">
        <v>35564</v>
      </c>
      <c r="AM705" s="3"/>
      <c r="AN705" s="3"/>
    </row>
    <row r="706" spans="1:40" ht="27.95" x14ac:dyDescent="0.3">
      <c r="A706" s="3">
        <v>700</v>
      </c>
      <c r="B706" s="3" t="str">
        <f>"201800161812"</f>
        <v>201800161812</v>
      </c>
      <c r="C706" s="3">
        <v>138887</v>
      </c>
      <c r="D706" s="3" t="s">
        <v>2954</v>
      </c>
      <c r="E706" s="3">
        <v>10480914487</v>
      </c>
      <c r="F706" s="3" t="s">
        <v>2955</v>
      </c>
      <c r="G706" s="3" t="s">
        <v>2956</v>
      </c>
      <c r="H706" s="3" t="s">
        <v>1946</v>
      </c>
      <c r="I706" s="3" t="s">
        <v>1946</v>
      </c>
      <c r="J706" s="3" t="s">
        <v>2957</v>
      </c>
      <c r="K706" s="3" t="s">
        <v>2958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 t="s">
        <v>634</v>
      </c>
      <c r="AL706" s="4">
        <v>43453</v>
      </c>
      <c r="AM706" s="3"/>
      <c r="AN706" s="3" t="s">
        <v>2955</v>
      </c>
    </row>
    <row r="707" spans="1:40" x14ac:dyDescent="0.3">
      <c r="A707" s="3">
        <v>701</v>
      </c>
      <c r="B707" s="3" t="str">
        <f>"201700028128"</f>
        <v>201700028128</v>
      </c>
      <c r="C707" s="3">
        <v>100965</v>
      </c>
      <c r="D707" s="3" t="s">
        <v>2959</v>
      </c>
      <c r="E707" s="3">
        <v>20600171616</v>
      </c>
      <c r="F707" s="3" t="s">
        <v>2917</v>
      </c>
      <c r="G707" s="3" t="s">
        <v>2960</v>
      </c>
      <c r="H707" s="3" t="s">
        <v>222</v>
      </c>
      <c r="I707" s="3" t="s">
        <v>223</v>
      </c>
      <c r="J707" s="3" t="s">
        <v>224</v>
      </c>
      <c r="K707" s="3" t="s">
        <v>2961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 t="s">
        <v>2962</v>
      </c>
      <c r="AL707" s="4">
        <v>42818</v>
      </c>
      <c r="AM707" s="3"/>
      <c r="AN707" s="3" t="s">
        <v>2921</v>
      </c>
    </row>
    <row r="708" spans="1:40" ht="27.95" x14ac:dyDescent="0.3">
      <c r="A708" s="3">
        <v>702</v>
      </c>
      <c r="B708" s="3" t="str">
        <f>"201300141572"</f>
        <v>201300141572</v>
      </c>
      <c r="C708" s="3">
        <v>105063</v>
      </c>
      <c r="D708" s="3" t="s">
        <v>2963</v>
      </c>
      <c r="E708" s="3">
        <v>20100076749</v>
      </c>
      <c r="F708" s="3" t="s">
        <v>159</v>
      </c>
      <c r="G708" s="3" t="s">
        <v>2905</v>
      </c>
      <c r="H708" s="3" t="s">
        <v>56</v>
      </c>
      <c r="I708" s="3" t="s">
        <v>56</v>
      </c>
      <c r="J708" s="3" t="s">
        <v>121</v>
      </c>
      <c r="K708" s="3" t="s">
        <v>2964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 t="s">
        <v>1514</v>
      </c>
      <c r="AL708" s="4">
        <v>41523</v>
      </c>
      <c r="AM708" s="3"/>
      <c r="AN708" s="3" t="s">
        <v>2908</v>
      </c>
    </row>
    <row r="709" spans="1:40" x14ac:dyDescent="0.3">
      <c r="A709" s="3">
        <v>703</v>
      </c>
      <c r="B709" s="3" t="str">
        <f>"1896972"</f>
        <v>1896972</v>
      </c>
      <c r="C709" s="3">
        <v>83557</v>
      </c>
      <c r="D709" s="3" t="s">
        <v>2965</v>
      </c>
      <c r="E709" s="3">
        <v>20525521509</v>
      </c>
      <c r="F709" s="3" t="s">
        <v>189</v>
      </c>
      <c r="G709" s="3" t="s">
        <v>190</v>
      </c>
      <c r="H709" s="3" t="s">
        <v>50</v>
      </c>
      <c r="I709" s="3" t="s">
        <v>50</v>
      </c>
      <c r="J709" s="3" t="s">
        <v>98</v>
      </c>
      <c r="K709" s="3" t="s">
        <v>2966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 t="s">
        <v>1127</v>
      </c>
      <c r="AL709" s="4">
        <v>39982</v>
      </c>
      <c r="AM709" s="3"/>
      <c r="AN709" s="3"/>
    </row>
    <row r="710" spans="1:40" x14ac:dyDescent="0.3">
      <c r="A710" s="3">
        <v>704</v>
      </c>
      <c r="B710" s="3" t="str">
        <f>"201400137322"</f>
        <v>201400137322</v>
      </c>
      <c r="C710" s="3">
        <v>36951</v>
      </c>
      <c r="D710" s="3" t="s">
        <v>2967</v>
      </c>
      <c r="E710" s="3">
        <v>20515858360</v>
      </c>
      <c r="F710" s="3" t="s">
        <v>2968</v>
      </c>
      <c r="G710" s="3" t="s">
        <v>2969</v>
      </c>
      <c r="H710" s="3" t="s">
        <v>56</v>
      </c>
      <c r="I710" s="3" t="s">
        <v>56</v>
      </c>
      <c r="J710" s="3" t="s">
        <v>84</v>
      </c>
      <c r="K710" s="3" t="s">
        <v>2970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 t="s">
        <v>1626</v>
      </c>
      <c r="AL710" s="4">
        <v>41942</v>
      </c>
      <c r="AM710" s="3"/>
      <c r="AN710" s="3" t="s">
        <v>1346</v>
      </c>
    </row>
    <row r="711" spans="1:40" ht="27.95" x14ac:dyDescent="0.3">
      <c r="A711" s="3">
        <v>705</v>
      </c>
      <c r="B711" s="3" t="str">
        <f>"201400146373"</f>
        <v>201400146373</v>
      </c>
      <c r="C711" s="3">
        <v>111477</v>
      </c>
      <c r="D711" s="3" t="s">
        <v>2971</v>
      </c>
      <c r="E711" s="3">
        <v>20100873681</v>
      </c>
      <c r="F711" s="3" t="s">
        <v>1241</v>
      </c>
      <c r="G711" s="3" t="s">
        <v>2972</v>
      </c>
      <c r="H711" s="3" t="s">
        <v>56</v>
      </c>
      <c r="I711" s="3" t="s">
        <v>56</v>
      </c>
      <c r="J711" s="3" t="s">
        <v>715</v>
      </c>
      <c r="K711" s="3" t="s">
        <v>2973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 t="s">
        <v>1994</v>
      </c>
      <c r="AL711" s="4">
        <v>41961</v>
      </c>
      <c r="AM711" s="3"/>
      <c r="AN711" s="3" t="s">
        <v>2870</v>
      </c>
    </row>
    <row r="712" spans="1:40" x14ac:dyDescent="0.3">
      <c r="A712" s="3">
        <v>706</v>
      </c>
      <c r="B712" s="3" t="str">
        <f>"201600057978"</f>
        <v>201600057978</v>
      </c>
      <c r="C712" s="3">
        <v>121023</v>
      </c>
      <c r="D712" s="3" t="s">
        <v>2974</v>
      </c>
      <c r="E712" s="3">
        <v>20525521509</v>
      </c>
      <c r="F712" s="3" t="s">
        <v>189</v>
      </c>
      <c r="G712" s="3" t="s">
        <v>874</v>
      </c>
      <c r="H712" s="3" t="s">
        <v>50</v>
      </c>
      <c r="I712" s="3" t="s">
        <v>50</v>
      </c>
      <c r="J712" s="3" t="s">
        <v>98</v>
      </c>
      <c r="K712" s="3" t="s">
        <v>2975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 t="s">
        <v>1014</v>
      </c>
      <c r="AL712" s="4">
        <v>42485</v>
      </c>
      <c r="AM712" s="3"/>
      <c r="AN712" s="3" t="s">
        <v>885</v>
      </c>
    </row>
    <row r="713" spans="1:40" x14ac:dyDescent="0.3">
      <c r="A713" s="3">
        <v>707</v>
      </c>
      <c r="B713" s="3" t="str">
        <f>"1537905"</f>
        <v>1537905</v>
      </c>
      <c r="C713" s="3">
        <v>41168</v>
      </c>
      <c r="D713" s="3" t="s">
        <v>2976</v>
      </c>
      <c r="E713" s="3">
        <v>20121837634</v>
      </c>
      <c r="F713" s="3" t="s">
        <v>866</v>
      </c>
      <c r="G713" s="3" t="s">
        <v>1624</v>
      </c>
      <c r="H713" s="3" t="s">
        <v>237</v>
      </c>
      <c r="I713" s="3" t="s">
        <v>868</v>
      </c>
      <c r="J713" s="3" t="s">
        <v>869</v>
      </c>
      <c r="K713" s="3" t="s">
        <v>2977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 t="s">
        <v>2978</v>
      </c>
      <c r="AL713" s="4">
        <v>38509</v>
      </c>
      <c r="AM713" s="3"/>
      <c r="AN713" s="3"/>
    </row>
    <row r="714" spans="1:40" x14ac:dyDescent="0.3">
      <c r="A714" s="3">
        <v>708</v>
      </c>
      <c r="B714" s="3" t="str">
        <f>"1124034"</f>
        <v>1124034</v>
      </c>
      <c r="C714" s="3">
        <v>2800</v>
      </c>
      <c r="D714" s="3">
        <v>1124034</v>
      </c>
      <c r="E714" s="3">
        <v>10079314264</v>
      </c>
      <c r="F714" s="3" t="s">
        <v>2942</v>
      </c>
      <c r="G714" s="3" t="s">
        <v>2943</v>
      </c>
      <c r="H714" s="3" t="s">
        <v>56</v>
      </c>
      <c r="I714" s="3" t="s">
        <v>56</v>
      </c>
      <c r="J714" s="3" t="s">
        <v>313</v>
      </c>
      <c r="K714" s="3" t="s">
        <v>2979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 t="s">
        <v>81</v>
      </c>
      <c r="AL714" s="4">
        <v>35569</v>
      </c>
      <c r="AM714" s="3"/>
      <c r="AN714" s="3"/>
    </row>
    <row r="715" spans="1:40" x14ac:dyDescent="0.3">
      <c r="A715" s="3">
        <v>709</v>
      </c>
      <c r="B715" s="3" t="str">
        <f>"201600021081"</f>
        <v>201600021081</v>
      </c>
      <c r="C715" s="3">
        <v>63713</v>
      </c>
      <c r="D715" s="3" t="s">
        <v>2980</v>
      </c>
      <c r="E715" s="3">
        <v>20100366747</v>
      </c>
      <c r="F715" s="3" t="s">
        <v>334</v>
      </c>
      <c r="G715" s="3" t="s">
        <v>259</v>
      </c>
      <c r="H715" s="3" t="s">
        <v>56</v>
      </c>
      <c r="I715" s="3" t="s">
        <v>56</v>
      </c>
      <c r="J715" s="3" t="s">
        <v>185</v>
      </c>
      <c r="K715" s="3" t="s">
        <v>2981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 t="s">
        <v>118</v>
      </c>
      <c r="AL715" s="4">
        <v>42457</v>
      </c>
      <c r="AM715" s="3"/>
      <c r="AN715" s="3" t="s">
        <v>262</v>
      </c>
    </row>
    <row r="716" spans="1:40" ht="27.95" x14ac:dyDescent="0.3">
      <c r="A716" s="3">
        <v>710</v>
      </c>
      <c r="B716" s="3" t="str">
        <f>"201800050703"</f>
        <v>201800050703</v>
      </c>
      <c r="C716" s="3">
        <v>135267</v>
      </c>
      <c r="D716" s="3" t="s">
        <v>2982</v>
      </c>
      <c r="E716" s="3">
        <v>20518155483</v>
      </c>
      <c r="F716" s="3" t="s">
        <v>2983</v>
      </c>
      <c r="G716" s="3" t="s">
        <v>2984</v>
      </c>
      <c r="H716" s="3" t="s">
        <v>56</v>
      </c>
      <c r="I716" s="3" t="s">
        <v>56</v>
      </c>
      <c r="J716" s="3" t="s">
        <v>331</v>
      </c>
      <c r="K716" s="3" t="s">
        <v>2985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 t="s">
        <v>306</v>
      </c>
      <c r="AL716" s="4">
        <v>43187</v>
      </c>
      <c r="AM716" s="3"/>
      <c r="AN716" s="3" t="s">
        <v>2986</v>
      </c>
    </row>
    <row r="717" spans="1:40" ht="27.95" x14ac:dyDescent="0.3">
      <c r="A717" s="3">
        <v>711</v>
      </c>
      <c r="B717" s="3" t="str">
        <f>"201500099195"</f>
        <v>201500099195</v>
      </c>
      <c r="C717" s="3">
        <v>104032</v>
      </c>
      <c r="D717" s="3" t="s">
        <v>2987</v>
      </c>
      <c r="E717" s="3">
        <v>10048286181</v>
      </c>
      <c r="F717" s="3" t="s">
        <v>2988</v>
      </c>
      <c r="G717" s="3" t="s">
        <v>2989</v>
      </c>
      <c r="H717" s="3" t="s">
        <v>446</v>
      </c>
      <c r="I717" s="3" t="s">
        <v>446</v>
      </c>
      <c r="J717" s="3" t="s">
        <v>1144</v>
      </c>
      <c r="K717" s="3" t="s">
        <v>2990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 t="s">
        <v>2991</v>
      </c>
      <c r="AL717" s="4">
        <v>42248</v>
      </c>
      <c r="AM717" s="3"/>
      <c r="AN717" s="3" t="s">
        <v>2988</v>
      </c>
    </row>
    <row r="718" spans="1:40" x14ac:dyDescent="0.3">
      <c r="A718" s="3">
        <v>712</v>
      </c>
      <c r="B718" s="3" t="str">
        <f>"1418544"</f>
        <v>1418544</v>
      </c>
      <c r="C718" s="3">
        <v>33560</v>
      </c>
      <c r="D718" s="3" t="s">
        <v>2992</v>
      </c>
      <c r="E718" s="3">
        <v>20505069081</v>
      </c>
      <c r="F718" s="3" t="s">
        <v>2993</v>
      </c>
      <c r="G718" s="3" t="s">
        <v>2994</v>
      </c>
      <c r="H718" s="3" t="s">
        <v>56</v>
      </c>
      <c r="I718" s="3" t="s">
        <v>56</v>
      </c>
      <c r="J718" s="3" t="s">
        <v>2995</v>
      </c>
      <c r="K718" s="3" t="s">
        <v>2996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 t="s">
        <v>2978</v>
      </c>
      <c r="AL718" s="4">
        <v>37811</v>
      </c>
      <c r="AM718" s="3"/>
      <c r="AN718" s="3"/>
    </row>
    <row r="719" spans="1:40" x14ac:dyDescent="0.3">
      <c r="A719" s="3">
        <v>713</v>
      </c>
      <c r="B719" s="3" t="str">
        <f>"201900087311"</f>
        <v>201900087311</v>
      </c>
      <c r="C719" s="3">
        <v>144375</v>
      </c>
      <c r="D719" s="3" t="s">
        <v>2997</v>
      </c>
      <c r="E719" s="3">
        <v>20602420176</v>
      </c>
      <c r="F719" s="3" t="s">
        <v>1765</v>
      </c>
      <c r="G719" s="3" t="s">
        <v>2998</v>
      </c>
      <c r="H719" s="3" t="s">
        <v>318</v>
      </c>
      <c r="I719" s="3" t="s">
        <v>319</v>
      </c>
      <c r="J719" s="3" t="s">
        <v>495</v>
      </c>
      <c r="K719" s="3" t="s">
        <v>2999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 t="s">
        <v>3000</v>
      </c>
      <c r="AL719" s="4">
        <v>43623</v>
      </c>
      <c r="AM719" s="3"/>
      <c r="AN719" s="3" t="s">
        <v>1081</v>
      </c>
    </row>
    <row r="720" spans="1:40" x14ac:dyDescent="0.3">
      <c r="A720" s="3">
        <v>714</v>
      </c>
      <c r="B720" s="3" t="str">
        <f>"1416408"</f>
        <v>1416408</v>
      </c>
      <c r="C720" s="3">
        <v>34013</v>
      </c>
      <c r="D720" s="3" t="s">
        <v>3001</v>
      </c>
      <c r="E720" s="3">
        <v>10103758136</v>
      </c>
      <c r="F720" s="3" t="s">
        <v>3002</v>
      </c>
      <c r="G720" s="3" t="s">
        <v>3003</v>
      </c>
      <c r="H720" s="3" t="s">
        <v>56</v>
      </c>
      <c r="I720" s="3" t="s">
        <v>56</v>
      </c>
      <c r="J720" s="3" t="s">
        <v>380</v>
      </c>
      <c r="K720" s="3" t="s">
        <v>3004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 t="s">
        <v>546</v>
      </c>
      <c r="AL720" s="4">
        <v>37797</v>
      </c>
      <c r="AM720" s="3"/>
      <c r="AN720" s="3"/>
    </row>
    <row r="721" spans="1:40" x14ac:dyDescent="0.3">
      <c r="A721" s="3">
        <v>715</v>
      </c>
      <c r="B721" s="3" t="str">
        <f>"1576088"</f>
        <v>1576088</v>
      </c>
      <c r="C721" s="3">
        <v>18155</v>
      </c>
      <c r="D721" s="3" t="s">
        <v>3005</v>
      </c>
      <c r="E721" s="3">
        <v>20530817891</v>
      </c>
      <c r="F721" s="3" t="s">
        <v>2759</v>
      </c>
      <c r="G721" s="3" t="s">
        <v>1106</v>
      </c>
      <c r="H721" s="3" t="s">
        <v>271</v>
      </c>
      <c r="I721" s="3" t="s">
        <v>272</v>
      </c>
      <c r="J721" s="3" t="s">
        <v>272</v>
      </c>
      <c r="K721" s="3" t="s">
        <v>3006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 t="s">
        <v>602</v>
      </c>
      <c r="AL721" s="4">
        <v>38645</v>
      </c>
      <c r="AM721" s="3"/>
      <c r="AN721" s="3"/>
    </row>
    <row r="722" spans="1:40" x14ac:dyDescent="0.3">
      <c r="A722" s="3">
        <v>716</v>
      </c>
      <c r="B722" s="3" t="str">
        <f>"201600082730"</f>
        <v>201600082730</v>
      </c>
      <c r="C722" s="3">
        <v>19457</v>
      </c>
      <c r="D722" s="3" t="s">
        <v>3007</v>
      </c>
      <c r="E722" s="3">
        <v>20100366747</v>
      </c>
      <c r="F722" s="3" t="s">
        <v>258</v>
      </c>
      <c r="G722" s="3" t="s">
        <v>3008</v>
      </c>
      <c r="H722" s="3" t="s">
        <v>56</v>
      </c>
      <c r="I722" s="3" t="s">
        <v>56</v>
      </c>
      <c r="J722" s="3" t="s">
        <v>185</v>
      </c>
      <c r="K722" s="3" t="s">
        <v>3009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 t="s">
        <v>602</v>
      </c>
      <c r="AL722" s="4">
        <v>42543</v>
      </c>
      <c r="AM722" s="3"/>
      <c r="AN722" s="3" t="s">
        <v>262</v>
      </c>
    </row>
    <row r="723" spans="1:40" ht="27.95" x14ac:dyDescent="0.3">
      <c r="A723" s="3">
        <v>717</v>
      </c>
      <c r="B723" s="3" t="str">
        <f>"201400104476"</f>
        <v>201400104476</v>
      </c>
      <c r="C723" s="3">
        <v>110437</v>
      </c>
      <c r="D723" s="3" t="s">
        <v>3010</v>
      </c>
      <c r="E723" s="3">
        <v>20136751043</v>
      </c>
      <c r="F723" s="3" t="s">
        <v>2639</v>
      </c>
      <c r="G723" s="3" t="s">
        <v>2640</v>
      </c>
      <c r="H723" s="3" t="s">
        <v>56</v>
      </c>
      <c r="I723" s="3" t="s">
        <v>56</v>
      </c>
      <c r="J723" s="3" t="s">
        <v>529</v>
      </c>
      <c r="K723" s="3" t="s">
        <v>3011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 t="s">
        <v>3012</v>
      </c>
      <c r="AL723" s="4">
        <v>41872</v>
      </c>
      <c r="AM723" s="3"/>
      <c r="AN723" s="3" t="s">
        <v>2642</v>
      </c>
    </row>
    <row r="724" spans="1:40" x14ac:dyDescent="0.3">
      <c r="A724" s="3">
        <v>718</v>
      </c>
      <c r="B724" s="3" t="str">
        <f>"201900126797"</f>
        <v>201900126797</v>
      </c>
      <c r="C724" s="3">
        <v>145691</v>
      </c>
      <c r="D724" s="3" t="s">
        <v>3013</v>
      </c>
      <c r="E724" s="3">
        <v>20102314698</v>
      </c>
      <c r="F724" s="3" t="s">
        <v>2272</v>
      </c>
      <c r="G724" s="3" t="s">
        <v>2273</v>
      </c>
      <c r="H724" s="3" t="s">
        <v>50</v>
      </c>
      <c r="I724" s="3" t="s">
        <v>50</v>
      </c>
      <c r="J724" s="3" t="s">
        <v>2274</v>
      </c>
      <c r="K724" s="3" t="s">
        <v>3014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 t="s">
        <v>504</v>
      </c>
      <c r="AL724" s="4">
        <v>43704</v>
      </c>
      <c r="AM724" s="3"/>
      <c r="AN724" s="3" t="s">
        <v>2277</v>
      </c>
    </row>
    <row r="725" spans="1:40" x14ac:dyDescent="0.3">
      <c r="A725" s="3">
        <v>719</v>
      </c>
      <c r="B725" s="3" t="str">
        <f>"1764168"</f>
        <v>1764168</v>
      </c>
      <c r="C725" s="3">
        <v>6514</v>
      </c>
      <c r="D725" s="3" t="s">
        <v>3015</v>
      </c>
      <c r="E725" s="3">
        <v>20118596740</v>
      </c>
      <c r="F725" s="3" t="s">
        <v>220</v>
      </c>
      <c r="G725" s="3" t="s">
        <v>3016</v>
      </c>
      <c r="H725" s="3" t="s">
        <v>56</v>
      </c>
      <c r="I725" s="3" t="s">
        <v>56</v>
      </c>
      <c r="J725" s="3" t="s">
        <v>432</v>
      </c>
      <c r="K725" s="3" t="s">
        <v>3017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 t="s">
        <v>167</v>
      </c>
      <c r="AL725" s="4">
        <v>39554</v>
      </c>
      <c r="AM725" s="3"/>
      <c r="AN725" s="3"/>
    </row>
    <row r="726" spans="1:40" x14ac:dyDescent="0.3">
      <c r="A726" s="3">
        <v>720</v>
      </c>
      <c r="B726" s="3" t="str">
        <f>"1500135"</f>
        <v>1500135</v>
      </c>
      <c r="C726" s="3">
        <v>39480</v>
      </c>
      <c r="D726" s="3" t="s">
        <v>3018</v>
      </c>
      <c r="E726" s="3">
        <v>20230557757</v>
      </c>
      <c r="F726" s="3" t="s">
        <v>3019</v>
      </c>
      <c r="G726" s="3" t="s">
        <v>3020</v>
      </c>
      <c r="H726" s="3" t="s">
        <v>357</v>
      </c>
      <c r="I726" s="3" t="s">
        <v>2569</v>
      </c>
      <c r="J726" s="3" t="s">
        <v>2569</v>
      </c>
      <c r="K726" s="3" t="s">
        <v>3021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 t="s">
        <v>3022</v>
      </c>
      <c r="AL726" s="4">
        <v>38289</v>
      </c>
      <c r="AM726" s="3"/>
      <c r="AN726" s="3"/>
    </row>
    <row r="727" spans="1:40" x14ac:dyDescent="0.3">
      <c r="A727" s="3">
        <v>721</v>
      </c>
      <c r="B727" s="3" t="str">
        <f>"201600021075"</f>
        <v>201600021075</v>
      </c>
      <c r="C727" s="3">
        <v>63710</v>
      </c>
      <c r="D727" s="3" t="s">
        <v>3023</v>
      </c>
      <c r="E727" s="3">
        <v>20100366747</v>
      </c>
      <c r="F727" s="3" t="s">
        <v>334</v>
      </c>
      <c r="G727" s="3" t="s">
        <v>451</v>
      </c>
      <c r="H727" s="3" t="s">
        <v>56</v>
      </c>
      <c r="I727" s="3" t="s">
        <v>56</v>
      </c>
      <c r="J727" s="3" t="s">
        <v>185</v>
      </c>
      <c r="K727" s="3" t="s">
        <v>3024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 t="s">
        <v>118</v>
      </c>
      <c r="AL727" s="4">
        <v>42457</v>
      </c>
      <c r="AM727" s="3"/>
      <c r="AN727" s="3" t="s">
        <v>262</v>
      </c>
    </row>
    <row r="728" spans="1:40" x14ac:dyDescent="0.3">
      <c r="A728" s="3">
        <v>722</v>
      </c>
      <c r="B728" s="3" t="str">
        <f>"201800212971"</f>
        <v>201800212971</v>
      </c>
      <c r="C728" s="3">
        <v>140508</v>
      </c>
      <c r="D728" s="3" t="s">
        <v>3025</v>
      </c>
      <c r="E728" s="3">
        <v>20510976887</v>
      </c>
      <c r="F728" s="3" t="s">
        <v>693</v>
      </c>
      <c r="G728" s="3" t="s">
        <v>3026</v>
      </c>
      <c r="H728" s="3" t="s">
        <v>56</v>
      </c>
      <c r="I728" s="3" t="s">
        <v>56</v>
      </c>
      <c r="J728" s="3" t="s">
        <v>131</v>
      </c>
      <c r="K728" s="3" t="s">
        <v>3027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 t="s">
        <v>3028</v>
      </c>
      <c r="AL728" s="4">
        <v>43467</v>
      </c>
      <c r="AM728" s="3"/>
      <c r="AN728" s="3" t="s">
        <v>671</v>
      </c>
    </row>
    <row r="729" spans="1:40" x14ac:dyDescent="0.3">
      <c r="A729" s="3">
        <v>723</v>
      </c>
      <c r="B729" s="3" t="str">
        <f>"201900126791"</f>
        <v>201900126791</v>
      </c>
      <c r="C729" s="3">
        <v>145689</v>
      </c>
      <c r="D729" s="3" t="s">
        <v>3029</v>
      </c>
      <c r="E729" s="3">
        <v>20102314698</v>
      </c>
      <c r="F729" s="3" t="s">
        <v>2272</v>
      </c>
      <c r="G729" s="3" t="s">
        <v>2273</v>
      </c>
      <c r="H729" s="3" t="s">
        <v>50</v>
      </c>
      <c r="I729" s="3" t="s">
        <v>50</v>
      </c>
      <c r="J729" s="3" t="s">
        <v>2274</v>
      </c>
      <c r="K729" s="3" t="s">
        <v>3030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 t="s">
        <v>504</v>
      </c>
      <c r="AL729" s="4">
        <v>43691</v>
      </c>
      <c r="AM729" s="3"/>
      <c r="AN729" s="3" t="s">
        <v>2277</v>
      </c>
    </row>
    <row r="730" spans="1:40" x14ac:dyDescent="0.3">
      <c r="A730" s="3">
        <v>724</v>
      </c>
      <c r="B730" s="3" t="str">
        <f>"202000072174"</f>
        <v>202000072174</v>
      </c>
      <c r="C730" s="3">
        <v>149790</v>
      </c>
      <c r="D730" s="3" t="s">
        <v>3031</v>
      </c>
      <c r="E730" s="3">
        <v>20404723392</v>
      </c>
      <c r="F730" s="3" t="s">
        <v>1701</v>
      </c>
      <c r="G730" s="3" t="s">
        <v>3032</v>
      </c>
      <c r="H730" s="3" t="s">
        <v>89</v>
      </c>
      <c r="I730" s="3" t="s">
        <v>89</v>
      </c>
      <c r="J730" s="3" t="s">
        <v>89</v>
      </c>
      <c r="K730" s="3" t="s">
        <v>3033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 t="s">
        <v>3034</v>
      </c>
      <c r="AL730" s="4">
        <v>44012</v>
      </c>
      <c r="AM730" s="3"/>
      <c r="AN730" s="3" t="s">
        <v>93</v>
      </c>
    </row>
    <row r="731" spans="1:40" ht="27.95" x14ac:dyDescent="0.3">
      <c r="A731" s="3">
        <v>725</v>
      </c>
      <c r="B731" s="3" t="str">
        <f>"1560078"</f>
        <v>1560078</v>
      </c>
      <c r="C731" s="3">
        <v>41759</v>
      </c>
      <c r="D731" s="3" t="s">
        <v>3035</v>
      </c>
      <c r="E731" s="3">
        <v>20506727783</v>
      </c>
      <c r="F731" s="3" t="s">
        <v>1440</v>
      </c>
      <c r="G731" s="3" t="s">
        <v>3036</v>
      </c>
      <c r="H731" s="3" t="s">
        <v>56</v>
      </c>
      <c r="I731" s="3" t="s">
        <v>56</v>
      </c>
      <c r="J731" s="3" t="s">
        <v>131</v>
      </c>
      <c r="K731" s="3" t="s">
        <v>3037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 t="s">
        <v>81</v>
      </c>
      <c r="AL731" s="4">
        <v>38621</v>
      </c>
      <c r="AM731" s="3"/>
      <c r="AN731" s="3"/>
    </row>
    <row r="732" spans="1:40" ht="27.95" x14ac:dyDescent="0.3">
      <c r="A732" s="3">
        <v>726</v>
      </c>
      <c r="B732" s="3" t="str">
        <f>"1407201"</f>
        <v>1407201</v>
      </c>
      <c r="C732" s="3">
        <v>34147</v>
      </c>
      <c r="D732" s="3" t="s">
        <v>3038</v>
      </c>
      <c r="E732" s="3">
        <v>10085487294</v>
      </c>
      <c r="F732" s="3" t="s">
        <v>3039</v>
      </c>
      <c r="G732" s="3" t="s">
        <v>3040</v>
      </c>
      <c r="H732" s="3" t="s">
        <v>56</v>
      </c>
      <c r="I732" s="3" t="s">
        <v>56</v>
      </c>
      <c r="J732" s="3" t="s">
        <v>57</v>
      </c>
      <c r="K732" s="3" t="s">
        <v>3041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 t="s">
        <v>546</v>
      </c>
      <c r="AL732" s="4">
        <v>37720</v>
      </c>
      <c r="AM732" s="3"/>
      <c r="AN732" s="3"/>
    </row>
    <row r="733" spans="1:40" x14ac:dyDescent="0.3">
      <c r="A733" s="3">
        <v>727</v>
      </c>
      <c r="B733" s="3" t="str">
        <f>"201400090851"</f>
        <v>201400090851</v>
      </c>
      <c r="C733" s="3">
        <v>84920</v>
      </c>
      <c r="D733" s="3" t="s">
        <v>3042</v>
      </c>
      <c r="E733" s="3">
        <v>20174640514</v>
      </c>
      <c r="F733" s="3" t="s">
        <v>3043</v>
      </c>
      <c r="G733" s="3" t="s">
        <v>3044</v>
      </c>
      <c r="H733" s="3" t="s">
        <v>75</v>
      </c>
      <c r="I733" s="3" t="s">
        <v>75</v>
      </c>
      <c r="J733" s="3" t="s">
        <v>76</v>
      </c>
      <c r="K733" s="3" t="s">
        <v>3045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 t="s">
        <v>1804</v>
      </c>
      <c r="AL733" s="4">
        <v>41835</v>
      </c>
      <c r="AM733" s="3"/>
      <c r="AN733" s="3" t="s">
        <v>3046</v>
      </c>
    </row>
    <row r="734" spans="1:40" x14ac:dyDescent="0.3">
      <c r="A734" s="3">
        <v>728</v>
      </c>
      <c r="B734" s="3" t="str">
        <f>"201300131356"</f>
        <v>201300131356</v>
      </c>
      <c r="C734" s="3">
        <v>104584</v>
      </c>
      <c r="D734" s="3" t="s">
        <v>3047</v>
      </c>
      <c r="E734" s="3">
        <v>10297298769</v>
      </c>
      <c r="F734" s="3" t="s">
        <v>3048</v>
      </c>
      <c r="G734" s="3" t="s">
        <v>3049</v>
      </c>
      <c r="H734" s="3" t="s">
        <v>97</v>
      </c>
      <c r="I734" s="3" t="s">
        <v>97</v>
      </c>
      <c r="J734" s="3" t="s">
        <v>144</v>
      </c>
      <c r="K734" s="3" t="s">
        <v>3050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 t="s">
        <v>167</v>
      </c>
      <c r="AL734" s="4">
        <v>41500</v>
      </c>
      <c r="AM734" s="3"/>
      <c r="AN734" s="3" t="s">
        <v>3048</v>
      </c>
    </row>
    <row r="735" spans="1:40" ht="27.95" x14ac:dyDescent="0.3">
      <c r="A735" s="3">
        <v>729</v>
      </c>
      <c r="B735" s="3" t="str">
        <f>"1373322"</f>
        <v>1373322</v>
      </c>
      <c r="C735" s="3">
        <v>86785</v>
      </c>
      <c r="D735" s="3" t="s">
        <v>3051</v>
      </c>
      <c r="E735" s="3">
        <v>10004937207</v>
      </c>
      <c r="F735" s="3" t="s">
        <v>3052</v>
      </c>
      <c r="G735" s="3" t="s">
        <v>3053</v>
      </c>
      <c r="H735" s="3" t="s">
        <v>97</v>
      </c>
      <c r="I735" s="3" t="s">
        <v>97</v>
      </c>
      <c r="J735" s="3" t="s">
        <v>341</v>
      </c>
      <c r="K735" s="3" t="s">
        <v>3054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 t="s">
        <v>655</v>
      </c>
      <c r="AL735" s="4">
        <v>40360</v>
      </c>
      <c r="AM735" s="3"/>
      <c r="AN735" s="3" t="s">
        <v>3052</v>
      </c>
    </row>
    <row r="736" spans="1:40" x14ac:dyDescent="0.3">
      <c r="A736" s="3">
        <v>730</v>
      </c>
      <c r="B736" s="3" t="str">
        <f>"1179838"</f>
        <v>1179838</v>
      </c>
      <c r="C736" s="3">
        <v>13874</v>
      </c>
      <c r="D736" s="3">
        <v>1179838</v>
      </c>
      <c r="E736" s="3">
        <v>10040115965</v>
      </c>
      <c r="F736" s="3" t="s">
        <v>3055</v>
      </c>
      <c r="G736" s="3" t="s">
        <v>3056</v>
      </c>
      <c r="H736" s="3" t="s">
        <v>1946</v>
      </c>
      <c r="I736" s="3" t="s">
        <v>1946</v>
      </c>
      <c r="J736" s="3" t="s">
        <v>2957</v>
      </c>
      <c r="K736" s="3" t="s">
        <v>3057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 t="s">
        <v>157</v>
      </c>
      <c r="AL736" s="4">
        <v>35905</v>
      </c>
      <c r="AM736" s="3"/>
      <c r="AN736" s="3"/>
    </row>
    <row r="737" spans="1:40" x14ac:dyDescent="0.3">
      <c r="A737" s="3">
        <v>731</v>
      </c>
      <c r="B737" s="3" t="str">
        <f>"201800212986"</f>
        <v>201800212986</v>
      </c>
      <c r="C737" s="3">
        <v>140507</v>
      </c>
      <c r="D737" s="3" t="s">
        <v>3058</v>
      </c>
      <c r="E737" s="3">
        <v>10441432777</v>
      </c>
      <c r="F737" s="3" t="s">
        <v>3059</v>
      </c>
      <c r="G737" s="3" t="s">
        <v>3060</v>
      </c>
      <c r="H737" s="3" t="s">
        <v>97</v>
      </c>
      <c r="I737" s="3" t="s">
        <v>97</v>
      </c>
      <c r="J737" s="3" t="s">
        <v>144</v>
      </c>
      <c r="K737" s="3" t="s">
        <v>3061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 t="s">
        <v>3062</v>
      </c>
      <c r="AL737" s="4">
        <v>43483</v>
      </c>
      <c r="AM737" s="3"/>
      <c r="AN737" s="3" t="s">
        <v>3059</v>
      </c>
    </row>
    <row r="738" spans="1:40" x14ac:dyDescent="0.3">
      <c r="A738" s="3">
        <v>732</v>
      </c>
      <c r="B738" s="3" t="str">
        <f>"1143402"</f>
        <v>1143402</v>
      </c>
      <c r="C738" s="3">
        <v>3609</v>
      </c>
      <c r="D738" s="3" t="s">
        <v>3063</v>
      </c>
      <c r="E738" s="3">
        <v>10254975112</v>
      </c>
      <c r="F738" s="3" t="s">
        <v>1620</v>
      </c>
      <c r="G738" s="3" t="s">
        <v>3064</v>
      </c>
      <c r="H738" s="3" t="s">
        <v>75</v>
      </c>
      <c r="I738" s="3" t="s">
        <v>75</v>
      </c>
      <c r="J738" s="3" t="s">
        <v>76</v>
      </c>
      <c r="K738" s="3" t="s">
        <v>3065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 t="s">
        <v>65</v>
      </c>
      <c r="AL738" s="4">
        <v>36903</v>
      </c>
      <c r="AM738" s="3"/>
      <c r="AN738" s="3"/>
    </row>
    <row r="739" spans="1:40" x14ac:dyDescent="0.3">
      <c r="A739" s="3">
        <v>733</v>
      </c>
      <c r="B739" s="3" t="str">
        <f>"201600097162"</f>
        <v>201600097162</v>
      </c>
      <c r="C739" s="3">
        <v>97950</v>
      </c>
      <c r="D739" s="3" t="s">
        <v>3066</v>
      </c>
      <c r="E739" s="3">
        <v>20503686962</v>
      </c>
      <c r="F739" s="3" t="s">
        <v>3067</v>
      </c>
      <c r="G739" s="3" t="s">
        <v>3068</v>
      </c>
      <c r="H739" s="3" t="s">
        <v>56</v>
      </c>
      <c r="I739" s="3" t="s">
        <v>56</v>
      </c>
      <c r="J739" s="3" t="s">
        <v>1043</v>
      </c>
      <c r="K739" s="3" t="s">
        <v>3069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 t="s">
        <v>3070</v>
      </c>
      <c r="AL739" s="4">
        <v>42562</v>
      </c>
      <c r="AM739" s="3"/>
      <c r="AN739" s="3" t="s">
        <v>3071</v>
      </c>
    </row>
    <row r="740" spans="1:40" x14ac:dyDescent="0.3">
      <c r="A740" s="3">
        <v>734</v>
      </c>
      <c r="B740" s="3" t="str">
        <f>"201300084005"</f>
        <v>201300084005</v>
      </c>
      <c r="C740" s="3">
        <v>102777</v>
      </c>
      <c r="D740" s="3" t="s">
        <v>3072</v>
      </c>
      <c r="E740" s="3">
        <v>20118596740</v>
      </c>
      <c r="F740" s="3" t="s">
        <v>220</v>
      </c>
      <c r="G740" s="3" t="s">
        <v>3073</v>
      </c>
      <c r="H740" s="3" t="s">
        <v>56</v>
      </c>
      <c r="I740" s="3" t="s">
        <v>56</v>
      </c>
      <c r="J740" s="3" t="s">
        <v>432</v>
      </c>
      <c r="K740" s="3" t="s">
        <v>3074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 t="s">
        <v>3075</v>
      </c>
      <c r="AL740" s="4">
        <v>41403</v>
      </c>
      <c r="AM740" s="3"/>
      <c r="AN740" s="3" t="s">
        <v>3076</v>
      </c>
    </row>
    <row r="741" spans="1:40" x14ac:dyDescent="0.3">
      <c r="A741" s="3">
        <v>735</v>
      </c>
      <c r="B741" s="3" t="str">
        <f>"201600021069"</f>
        <v>201600021069</v>
      </c>
      <c r="C741" s="3">
        <v>86621</v>
      </c>
      <c r="D741" s="3" t="s">
        <v>3077</v>
      </c>
      <c r="E741" s="3">
        <v>20100366747</v>
      </c>
      <c r="F741" s="3" t="s">
        <v>258</v>
      </c>
      <c r="G741" s="3" t="s">
        <v>451</v>
      </c>
      <c r="H741" s="3" t="s">
        <v>56</v>
      </c>
      <c r="I741" s="3" t="s">
        <v>56</v>
      </c>
      <c r="J741" s="3" t="s">
        <v>185</v>
      </c>
      <c r="K741" s="3" t="s">
        <v>3078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 t="s">
        <v>118</v>
      </c>
      <c r="AL741" s="4">
        <v>42457</v>
      </c>
      <c r="AM741" s="3"/>
      <c r="AN741" s="3" t="s">
        <v>262</v>
      </c>
    </row>
    <row r="742" spans="1:40" x14ac:dyDescent="0.3">
      <c r="A742" s="3">
        <v>736</v>
      </c>
      <c r="B742" s="3" t="str">
        <f>"201500155862"</f>
        <v>201500155862</v>
      </c>
      <c r="C742" s="3">
        <v>118636</v>
      </c>
      <c r="D742" s="3" t="s">
        <v>3079</v>
      </c>
      <c r="E742" s="3">
        <v>20534929839</v>
      </c>
      <c r="F742" s="3" t="s">
        <v>3080</v>
      </c>
      <c r="G742" s="3" t="s">
        <v>3081</v>
      </c>
      <c r="H742" s="3" t="s">
        <v>216</v>
      </c>
      <c r="I742" s="3" t="s">
        <v>216</v>
      </c>
      <c r="J742" s="3" t="s">
        <v>216</v>
      </c>
      <c r="K742" s="3" t="s">
        <v>3082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 t="s">
        <v>986</v>
      </c>
      <c r="AL742" s="4">
        <v>42340</v>
      </c>
      <c r="AM742" s="3"/>
      <c r="AN742" s="3" t="s">
        <v>3083</v>
      </c>
    </row>
    <row r="743" spans="1:40" ht="27.95" x14ac:dyDescent="0.3">
      <c r="A743" s="3">
        <v>737</v>
      </c>
      <c r="B743" s="3" t="str">
        <f>"201300064617"</f>
        <v>201300064617</v>
      </c>
      <c r="C743" s="3">
        <v>102105</v>
      </c>
      <c r="D743" s="3" t="s">
        <v>3084</v>
      </c>
      <c r="E743" s="3">
        <v>20100076749</v>
      </c>
      <c r="F743" s="3" t="s">
        <v>159</v>
      </c>
      <c r="G743" s="3" t="s">
        <v>3085</v>
      </c>
      <c r="H743" s="3" t="s">
        <v>56</v>
      </c>
      <c r="I743" s="3" t="s">
        <v>56</v>
      </c>
      <c r="J743" s="3" t="s">
        <v>121</v>
      </c>
      <c r="K743" s="3" t="s">
        <v>3086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 t="s">
        <v>3087</v>
      </c>
      <c r="AL743" s="4">
        <v>41373</v>
      </c>
      <c r="AM743" s="3"/>
      <c r="AN743" s="3" t="s">
        <v>1177</v>
      </c>
    </row>
    <row r="744" spans="1:40" x14ac:dyDescent="0.3">
      <c r="A744" s="3">
        <v>738</v>
      </c>
      <c r="B744" s="3" t="str">
        <f>"201900126786"</f>
        <v>201900126786</v>
      </c>
      <c r="C744" s="3">
        <v>145690</v>
      </c>
      <c r="D744" s="3" t="s">
        <v>3088</v>
      </c>
      <c r="E744" s="3">
        <v>20102314698</v>
      </c>
      <c r="F744" s="3" t="s">
        <v>1185</v>
      </c>
      <c r="G744" s="3" t="s">
        <v>2273</v>
      </c>
      <c r="H744" s="3" t="s">
        <v>50</v>
      </c>
      <c r="I744" s="3" t="s">
        <v>50</v>
      </c>
      <c r="J744" s="3" t="s">
        <v>2274</v>
      </c>
      <c r="K744" s="3" t="s">
        <v>3089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 t="s">
        <v>504</v>
      </c>
      <c r="AL744" s="4">
        <v>43691</v>
      </c>
      <c r="AM744" s="3"/>
      <c r="AN744" s="3" t="s">
        <v>2277</v>
      </c>
    </row>
    <row r="745" spans="1:40" x14ac:dyDescent="0.3">
      <c r="A745" s="3">
        <v>739</v>
      </c>
      <c r="B745" s="3" t="str">
        <f>"1576090"</f>
        <v>1576090</v>
      </c>
      <c r="C745" s="3">
        <v>18152</v>
      </c>
      <c r="D745" s="3" t="s">
        <v>3090</v>
      </c>
      <c r="E745" s="3">
        <v>20530817891</v>
      </c>
      <c r="F745" s="3" t="s">
        <v>2759</v>
      </c>
      <c r="G745" s="3" t="s">
        <v>1106</v>
      </c>
      <c r="H745" s="3" t="s">
        <v>271</v>
      </c>
      <c r="I745" s="3" t="s">
        <v>272</v>
      </c>
      <c r="J745" s="3" t="s">
        <v>272</v>
      </c>
      <c r="K745" s="3" t="s">
        <v>3091</v>
      </c>
      <c r="L745" s="3" t="s">
        <v>3092</v>
      </c>
      <c r="M745" s="3" t="s">
        <v>3093</v>
      </c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 t="s">
        <v>3094</v>
      </c>
      <c r="AL745" s="4">
        <v>38645</v>
      </c>
      <c r="AM745" s="3"/>
      <c r="AN745" s="3"/>
    </row>
    <row r="746" spans="1:40" x14ac:dyDescent="0.3">
      <c r="A746" s="3">
        <v>740</v>
      </c>
      <c r="B746" s="3" t="str">
        <f>"1321551"</f>
        <v>1321551</v>
      </c>
      <c r="C746" s="3">
        <v>2500</v>
      </c>
      <c r="D746" s="3" t="s">
        <v>3095</v>
      </c>
      <c r="E746" s="3">
        <v>20100366747</v>
      </c>
      <c r="F746" s="3" t="s">
        <v>258</v>
      </c>
      <c r="G746" s="3" t="s">
        <v>1055</v>
      </c>
      <c r="H746" s="3" t="s">
        <v>56</v>
      </c>
      <c r="I746" s="3" t="s">
        <v>56</v>
      </c>
      <c r="J746" s="3" t="s">
        <v>185</v>
      </c>
      <c r="K746" s="3" t="s">
        <v>3096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 t="s">
        <v>187</v>
      </c>
      <c r="AL746" s="4">
        <v>37047</v>
      </c>
      <c r="AM746" s="3"/>
      <c r="AN746" s="3"/>
    </row>
    <row r="747" spans="1:40" x14ac:dyDescent="0.3">
      <c r="A747" s="3">
        <v>741</v>
      </c>
      <c r="B747" s="3" t="str">
        <f>"1109014"</f>
        <v>1109014</v>
      </c>
      <c r="C747" s="3">
        <v>3463</v>
      </c>
      <c r="D747" s="3">
        <v>955615</v>
      </c>
      <c r="E747" s="3">
        <v>20153534901</v>
      </c>
      <c r="F747" s="3" t="s">
        <v>1223</v>
      </c>
      <c r="G747" s="3" t="s">
        <v>1224</v>
      </c>
      <c r="H747" s="3" t="s">
        <v>56</v>
      </c>
      <c r="I747" s="3" t="s">
        <v>56</v>
      </c>
      <c r="J747" s="3" t="s">
        <v>380</v>
      </c>
      <c r="K747" s="3" t="s">
        <v>3097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 t="s">
        <v>157</v>
      </c>
      <c r="AL747" s="4">
        <v>35495</v>
      </c>
      <c r="AM747" s="3"/>
      <c r="AN747" s="3"/>
    </row>
    <row r="748" spans="1:40" x14ac:dyDescent="0.3">
      <c r="A748" s="3">
        <v>742</v>
      </c>
      <c r="B748" s="3" t="str">
        <f>"1466734"</f>
        <v>1466734</v>
      </c>
      <c r="C748" s="3">
        <v>37880</v>
      </c>
      <c r="D748" s="3" t="s">
        <v>3098</v>
      </c>
      <c r="E748" s="3">
        <v>10292693996</v>
      </c>
      <c r="F748" s="3" t="s">
        <v>3099</v>
      </c>
      <c r="G748" s="3" t="s">
        <v>3100</v>
      </c>
      <c r="H748" s="3" t="s">
        <v>97</v>
      </c>
      <c r="I748" s="3" t="s">
        <v>97</v>
      </c>
      <c r="J748" s="3" t="s">
        <v>97</v>
      </c>
      <c r="K748" s="3" t="s">
        <v>3101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 t="s">
        <v>574</v>
      </c>
      <c r="AL748" s="4">
        <v>38097</v>
      </c>
      <c r="AM748" s="3"/>
      <c r="AN748" s="3"/>
    </row>
    <row r="749" spans="1:40" ht="27.95" x14ac:dyDescent="0.3">
      <c r="A749" s="3">
        <v>743</v>
      </c>
      <c r="B749" s="3" t="str">
        <f>"201800146788"</f>
        <v>201800146788</v>
      </c>
      <c r="C749" s="3">
        <v>138394</v>
      </c>
      <c r="D749" s="3" t="s">
        <v>3102</v>
      </c>
      <c r="E749" s="3">
        <v>20525521509</v>
      </c>
      <c r="F749" s="3" t="s">
        <v>189</v>
      </c>
      <c r="G749" s="3" t="s">
        <v>815</v>
      </c>
      <c r="H749" s="3" t="s">
        <v>50</v>
      </c>
      <c r="I749" s="3" t="s">
        <v>50</v>
      </c>
      <c r="J749" s="3" t="s">
        <v>50</v>
      </c>
      <c r="K749" s="3" t="s">
        <v>3103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 t="s">
        <v>602</v>
      </c>
      <c r="AL749" s="4">
        <v>43350</v>
      </c>
      <c r="AM749" s="3"/>
      <c r="AN749" s="3" t="s">
        <v>817</v>
      </c>
    </row>
    <row r="750" spans="1:40" x14ac:dyDescent="0.3">
      <c r="A750" s="3">
        <v>744</v>
      </c>
      <c r="B750" s="3" t="str">
        <f>"1466739"</f>
        <v>1466739</v>
      </c>
      <c r="C750" s="3">
        <v>36989</v>
      </c>
      <c r="D750" s="3" t="s">
        <v>3104</v>
      </c>
      <c r="E750" s="3">
        <v>10292905721</v>
      </c>
      <c r="F750" s="3" t="s">
        <v>3105</v>
      </c>
      <c r="G750" s="3" t="s">
        <v>3106</v>
      </c>
      <c r="H750" s="3" t="s">
        <v>97</v>
      </c>
      <c r="I750" s="3" t="s">
        <v>97</v>
      </c>
      <c r="J750" s="3" t="s">
        <v>105</v>
      </c>
      <c r="K750" s="3" t="s">
        <v>3107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 t="s">
        <v>1586</v>
      </c>
      <c r="AL750" s="4">
        <v>38107</v>
      </c>
      <c r="AM750" s="3"/>
      <c r="AN750" s="3"/>
    </row>
    <row r="751" spans="1:40" x14ac:dyDescent="0.3">
      <c r="A751" s="3">
        <v>745</v>
      </c>
      <c r="B751" s="3" t="str">
        <f>"1307306"</f>
        <v>1307306</v>
      </c>
      <c r="C751" s="3">
        <v>20620</v>
      </c>
      <c r="D751" s="3" t="s">
        <v>3108</v>
      </c>
      <c r="E751" s="3">
        <v>20100366747</v>
      </c>
      <c r="F751" s="3" t="s">
        <v>258</v>
      </c>
      <c r="G751" s="3" t="s">
        <v>1055</v>
      </c>
      <c r="H751" s="3" t="s">
        <v>56</v>
      </c>
      <c r="I751" s="3" t="s">
        <v>56</v>
      </c>
      <c r="J751" s="3" t="s">
        <v>185</v>
      </c>
      <c r="K751" s="3" t="s">
        <v>3109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 t="s">
        <v>167</v>
      </c>
      <c r="AL751" s="4">
        <v>36913</v>
      </c>
      <c r="AM751" s="3"/>
      <c r="AN751" s="3"/>
    </row>
    <row r="752" spans="1:40" x14ac:dyDescent="0.3">
      <c r="A752" s="3">
        <v>746</v>
      </c>
      <c r="B752" s="3" t="str">
        <f>"1298759"</f>
        <v>1298759</v>
      </c>
      <c r="C752" s="3">
        <v>20615</v>
      </c>
      <c r="D752" s="3">
        <v>1298759</v>
      </c>
      <c r="E752" s="3">
        <v>10082575401</v>
      </c>
      <c r="F752" s="3" t="s">
        <v>3110</v>
      </c>
      <c r="G752" s="3" t="s">
        <v>3111</v>
      </c>
      <c r="H752" s="3" t="s">
        <v>56</v>
      </c>
      <c r="I752" s="3" t="s">
        <v>56</v>
      </c>
      <c r="J752" s="3" t="s">
        <v>155</v>
      </c>
      <c r="K752" s="3" t="s">
        <v>3112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 t="s">
        <v>574</v>
      </c>
      <c r="AL752" s="4">
        <v>36825</v>
      </c>
      <c r="AM752" s="3"/>
      <c r="AN752" s="3"/>
    </row>
    <row r="753" spans="1:40" ht="27.95" x14ac:dyDescent="0.3">
      <c r="A753" s="3">
        <v>747</v>
      </c>
      <c r="B753" s="3" t="str">
        <f>"1442088"</f>
        <v>1442088</v>
      </c>
      <c r="C753" s="3">
        <v>37002</v>
      </c>
      <c r="D753" s="3" t="s">
        <v>3113</v>
      </c>
      <c r="E753" s="3">
        <v>10104212471</v>
      </c>
      <c r="F753" s="3" t="s">
        <v>2446</v>
      </c>
      <c r="G753" s="3" t="s">
        <v>3114</v>
      </c>
      <c r="H753" s="3" t="s">
        <v>56</v>
      </c>
      <c r="I753" s="3" t="s">
        <v>56</v>
      </c>
      <c r="J753" s="3" t="s">
        <v>131</v>
      </c>
      <c r="K753" s="3" t="s">
        <v>3115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 t="s">
        <v>842</v>
      </c>
      <c r="AL753" s="4">
        <v>38309</v>
      </c>
      <c r="AM753" s="3"/>
      <c r="AN753" s="3"/>
    </row>
    <row r="754" spans="1:40" x14ac:dyDescent="0.3">
      <c r="A754" s="3">
        <v>748</v>
      </c>
      <c r="B754" s="3" t="str">
        <f>"1542603"</f>
        <v>1542603</v>
      </c>
      <c r="C754" s="3">
        <v>36522</v>
      </c>
      <c r="D754" s="3" t="s">
        <v>3116</v>
      </c>
      <c r="E754" s="3">
        <v>10410178279</v>
      </c>
      <c r="F754" s="3" t="s">
        <v>3117</v>
      </c>
      <c r="G754" s="3" t="s">
        <v>3118</v>
      </c>
      <c r="H754" s="3" t="s">
        <v>56</v>
      </c>
      <c r="I754" s="3" t="s">
        <v>56</v>
      </c>
      <c r="J754" s="3" t="s">
        <v>313</v>
      </c>
      <c r="K754" s="3" t="s">
        <v>3119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 t="s">
        <v>1341</v>
      </c>
      <c r="AL754" s="4">
        <v>38539</v>
      </c>
      <c r="AM754" s="3"/>
      <c r="AN754" s="3"/>
    </row>
    <row r="755" spans="1:40" ht="27.95" x14ac:dyDescent="0.3">
      <c r="A755" s="3">
        <v>749</v>
      </c>
      <c r="B755" s="3" t="str">
        <f>"1914458"</f>
        <v>1914458</v>
      </c>
      <c r="C755" s="3">
        <v>37541</v>
      </c>
      <c r="D755" s="3" t="s">
        <v>3120</v>
      </c>
      <c r="E755" s="3">
        <v>20171727431</v>
      </c>
      <c r="F755" s="3" t="s">
        <v>3121</v>
      </c>
      <c r="G755" s="3" t="s">
        <v>3122</v>
      </c>
      <c r="H755" s="3" t="s">
        <v>56</v>
      </c>
      <c r="I755" s="3" t="s">
        <v>56</v>
      </c>
      <c r="J755" s="3" t="s">
        <v>363</v>
      </c>
      <c r="K755" s="3" t="s">
        <v>3123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 t="s">
        <v>538</v>
      </c>
      <c r="AL755" s="4">
        <v>40043</v>
      </c>
      <c r="AM755" s="3"/>
      <c r="AN755" s="3"/>
    </row>
    <row r="756" spans="1:40" x14ac:dyDescent="0.3">
      <c r="A756" s="3">
        <v>750</v>
      </c>
      <c r="B756" s="3" t="str">
        <f>"1321550"</f>
        <v>1321550</v>
      </c>
      <c r="C756" s="3">
        <v>2496</v>
      </c>
      <c r="D756" s="3" t="s">
        <v>3124</v>
      </c>
      <c r="E756" s="3">
        <v>20100366747</v>
      </c>
      <c r="F756" s="3" t="s">
        <v>258</v>
      </c>
      <c r="G756" s="3" t="s">
        <v>1055</v>
      </c>
      <c r="H756" s="3" t="s">
        <v>56</v>
      </c>
      <c r="I756" s="3" t="s">
        <v>56</v>
      </c>
      <c r="J756" s="3" t="s">
        <v>185</v>
      </c>
      <c r="K756" s="3" t="s">
        <v>3125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 t="s">
        <v>634</v>
      </c>
      <c r="AL756" s="4">
        <v>37047</v>
      </c>
      <c r="AM756" s="3"/>
      <c r="AN756" s="3"/>
    </row>
    <row r="757" spans="1:40" x14ac:dyDescent="0.3">
      <c r="A757" s="3">
        <v>751</v>
      </c>
      <c r="B757" s="3" t="str">
        <f>"201600082724"</f>
        <v>201600082724</v>
      </c>
      <c r="C757" s="3">
        <v>16371</v>
      </c>
      <c r="D757" s="3" t="s">
        <v>3126</v>
      </c>
      <c r="E757" s="3">
        <v>20100366747</v>
      </c>
      <c r="F757" s="3" t="s">
        <v>258</v>
      </c>
      <c r="G757" s="3" t="s">
        <v>3008</v>
      </c>
      <c r="H757" s="3" t="s">
        <v>56</v>
      </c>
      <c r="I757" s="3" t="s">
        <v>56</v>
      </c>
      <c r="J757" s="3" t="s">
        <v>185</v>
      </c>
      <c r="K757" s="3" t="s">
        <v>3127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 t="s">
        <v>1087</v>
      </c>
      <c r="AL757" s="4">
        <v>42531</v>
      </c>
      <c r="AM757" s="3"/>
      <c r="AN757" s="3" t="s">
        <v>262</v>
      </c>
    </row>
    <row r="758" spans="1:40" x14ac:dyDescent="0.3">
      <c r="A758" s="3">
        <v>752</v>
      </c>
      <c r="B758" s="3" t="str">
        <f>"1428064"</f>
        <v>1428064</v>
      </c>
      <c r="C758" s="3">
        <v>35598</v>
      </c>
      <c r="D758" s="3" t="s">
        <v>3128</v>
      </c>
      <c r="E758" s="3">
        <v>10093100803</v>
      </c>
      <c r="F758" s="3" t="s">
        <v>3129</v>
      </c>
      <c r="G758" s="3" t="s">
        <v>3130</v>
      </c>
      <c r="H758" s="3" t="s">
        <v>56</v>
      </c>
      <c r="I758" s="3" t="s">
        <v>56</v>
      </c>
      <c r="J758" s="3" t="s">
        <v>432</v>
      </c>
      <c r="K758" s="3" t="s">
        <v>3131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 t="s">
        <v>1053</v>
      </c>
      <c r="AL758" s="4">
        <v>37879</v>
      </c>
      <c r="AM758" s="3"/>
      <c r="AN758" s="3"/>
    </row>
    <row r="759" spans="1:40" x14ac:dyDescent="0.3">
      <c r="A759" s="3">
        <v>753</v>
      </c>
      <c r="B759" s="3" t="str">
        <f>"201300035993"</f>
        <v>201300035993</v>
      </c>
      <c r="C759" s="3">
        <v>101028</v>
      </c>
      <c r="D759" s="3" t="s">
        <v>3132</v>
      </c>
      <c r="E759" s="3">
        <v>10028791840</v>
      </c>
      <c r="F759" s="3" t="s">
        <v>3133</v>
      </c>
      <c r="G759" s="3" t="s">
        <v>3134</v>
      </c>
      <c r="H759" s="3" t="s">
        <v>50</v>
      </c>
      <c r="I759" s="3" t="s">
        <v>50</v>
      </c>
      <c r="J759" s="3" t="s">
        <v>50</v>
      </c>
      <c r="K759" s="3" t="s">
        <v>3135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 t="s">
        <v>3136</v>
      </c>
      <c r="AL759" s="4">
        <v>41318</v>
      </c>
      <c r="AM759" s="3"/>
      <c r="AN759" s="3" t="s">
        <v>3133</v>
      </c>
    </row>
    <row r="760" spans="1:40" x14ac:dyDescent="0.3">
      <c r="A760" s="3">
        <v>754</v>
      </c>
      <c r="B760" s="3" t="str">
        <f>"201600082723"</f>
        <v>201600082723</v>
      </c>
      <c r="C760" s="3">
        <v>43907</v>
      </c>
      <c r="D760" s="3" t="s">
        <v>3137</v>
      </c>
      <c r="E760" s="3">
        <v>20100366747</v>
      </c>
      <c r="F760" s="3" t="s">
        <v>258</v>
      </c>
      <c r="G760" s="3" t="s">
        <v>451</v>
      </c>
      <c r="H760" s="3" t="s">
        <v>56</v>
      </c>
      <c r="I760" s="3" t="s">
        <v>56</v>
      </c>
      <c r="J760" s="3" t="s">
        <v>185</v>
      </c>
      <c r="K760" s="3" t="s">
        <v>3138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 t="s">
        <v>399</v>
      </c>
      <c r="AL760" s="4">
        <v>42543</v>
      </c>
      <c r="AM760" s="3"/>
      <c r="AN760" s="3" t="s">
        <v>262</v>
      </c>
    </row>
    <row r="761" spans="1:40" x14ac:dyDescent="0.3">
      <c r="A761" s="3">
        <v>755</v>
      </c>
      <c r="B761" s="3" t="str">
        <f>"1867806"</f>
        <v>1867806</v>
      </c>
      <c r="C761" s="3">
        <v>82703</v>
      </c>
      <c r="D761" s="3" t="s">
        <v>3139</v>
      </c>
      <c r="E761" s="3">
        <v>10239307472</v>
      </c>
      <c r="F761" s="3" t="s">
        <v>3140</v>
      </c>
      <c r="G761" s="3" t="s">
        <v>3141</v>
      </c>
      <c r="H761" s="3" t="s">
        <v>446</v>
      </c>
      <c r="I761" s="3" t="s">
        <v>446</v>
      </c>
      <c r="J761" s="3" t="s">
        <v>830</v>
      </c>
      <c r="K761" s="3" t="s">
        <v>3142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 t="s">
        <v>3143</v>
      </c>
      <c r="AL761" s="4">
        <v>39878</v>
      </c>
      <c r="AM761" s="3"/>
      <c r="AN761" s="3"/>
    </row>
    <row r="762" spans="1:40" x14ac:dyDescent="0.3">
      <c r="A762" s="3">
        <v>756</v>
      </c>
      <c r="B762" s="3" t="str">
        <f>"1409448"</f>
        <v>1409448</v>
      </c>
      <c r="C762" s="3">
        <v>63896</v>
      </c>
      <c r="D762" s="3" t="s">
        <v>3144</v>
      </c>
      <c r="E762" s="3">
        <v>20507840613</v>
      </c>
      <c r="F762" s="3" t="s">
        <v>298</v>
      </c>
      <c r="G762" s="3" t="s">
        <v>2820</v>
      </c>
      <c r="H762" s="3" t="s">
        <v>56</v>
      </c>
      <c r="I762" s="3" t="s">
        <v>56</v>
      </c>
      <c r="J762" s="3" t="s">
        <v>57</v>
      </c>
      <c r="K762" s="3" t="s">
        <v>3145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 t="s">
        <v>2883</v>
      </c>
      <c r="AL762" s="4">
        <v>40434</v>
      </c>
      <c r="AM762" s="3"/>
      <c r="AN762" s="3" t="s">
        <v>60</v>
      </c>
    </row>
    <row r="763" spans="1:40" x14ac:dyDescent="0.3">
      <c r="A763" s="3">
        <v>757</v>
      </c>
      <c r="B763" s="3" t="str">
        <f>"201500144557"</f>
        <v>201500144557</v>
      </c>
      <c r="C763" s="3">
        <v>85305</v>
      </c>
      <c r="D763" s="3" t="s">
        <v>3146</v>
      </c>
      <c r="E763" s="3">
        <v>20482484621</v>
      </c>
      <c r="F763" s="3" t="s">
        <v>3147</v>
      </c>
      <c r="G763" s="3" t="s">
        <v>3148</v>
      </c>
      <c r="H763" s="3" t="s">
        <v>44</v>
      </c>
      <c r="I763" s="3" t="s">
        <v>3149</v>
      </c>
      <c r="J763" s="3" t="s">
        <v>3149</v>
      </c>
      <c r="K763" s="3" t="s">
        <v>3150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 t="s">
        <v>538</v>
      </c>
      <c r="AL763" s="4">
        <v>42312</v>
      </c>
      <c r="AM763" s="3"/>
      <c r="AN763" s="3" t="s">
        <v>3151</v>
      </c>
    </row>
    <row r="764" spans="1:40" x14ac:dyDescent="0.3">
      <c r="A764" s="3">
        <v>758</v>
      </c>
      <c r="B764" s="3" t="str">
        <f>"1288447"</f>
        <v>1288447</v>
      </c>
      <c r="C764" s="3">
        <v>19509</v>
      </c>
      <c r="D764" s="3">
        <v>1288447</v>
      </c>
      <c r="E764" s="3">
        <v>15113363964</v>
      </c>
      <c r="F764" s="3" t="s">
        <v>3152</v>
      </c>
      <c r="G764" s="3" t="s">
        <v>3153</v>
      </c>
      <c r="H764" s="3" t="s">
        <v>56</v>
      </c>
      <c r="I764" s="3" t="s">
        <v>56</v>
      </c>
      <c r="J764" s="3" t="s">
        <v>363</v>
      </c>
      <c r="K764" s="3" t="s">
        <v>3154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 t="s">
        <v>81</v>
      </c>
      <c r="AL764" s="4">
        <v>36728</v>
      </c>
      <c r="AM764" s="3"/>
      <c r="AN764" s="3"/>
    </row>
    <row r="765" spans="1:40" x14ac:dyDescent="0.3">
      <c r="A765" s="3">
        <v>759</v>
      </c>
      <c r="B765" s="3" t="str">
        <f>"201400137357"</f>
        <v>201400137357</v>
      </c>
      <c r="C765" s="3">
        <v>36224</v>
      </c>
      <c r="D765" s="3" t="s">
        <v>3155</v>
      </c>
      <c r="E765" s="3">
        <v>20515858360</v>
      </c>
      <c r="F765" s="3" t="s">
        <v>2968</v>
      </c>
      <c r="G765" s="3" t="s">
        <v>2969</v>
      </c>
      <c r="H765" s="3" t="s">
        <v>56</v>
      </c>
      <c r="I765" s="3" t="s">
        <v>56</v>
      </c>
      <c r="J765" s="3" t="s">
        <v>529</v>
      </c>
      <c r="K765" s="3" t="s">
        <v>3156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 t="s">
        <v>538</v>
      </c>
      <c r="AL765" s="4">
        <v>41942</v>
      </c>
      <c r="AM765" s="3"/>
      <c r="AN765" s="3" t="s">
        <v>1346</v>
      </c>
    </row>
    <row r="766" spans="1:40" ht="27.95" x14ac:dyDescent="0.3">
      <c r="A766" s="3">
        <v>760</v>
      </c>
      <c r="B766" s="3" t="str">
        <f>"201800007288"</f>
        <v>201800007288</v>
      </c>
      <c r="C766" s="3">
        <v>134047</v>
      </c>
      <c r="D766" s="3" t="s">
        <v>3157</v>
      </c>
      <c r="E766" s="3">
        <v>20101158927</v>
      </c>
      <c r="F766" s="3" t="s">
        <v>3158</v>
      </c>
      <c r="G766" s="3" t="s">
        <v>3159</v>
      </c>
      <c r="H766" s="3" t="s">
        <v>75</v>
      </c>
      <c r="I766" s="3" t="s">
        <v>75</v>
      </c>
      <c r="J766" s="3" t="s">
        <v>76</v>
      </c>
      <c r="K766" s="3" t="s">
        <v>3160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 t="s">
        <v>3161</v>
      </c>
      <c r="AL766" s="4">
        <v>43151</v>
      </c>
      <c r="AM766" s="3"/>
      <c r="AN766" s="3" t="s">
        <v>3162</v>
      </c>
    </row>
    <row r="767" spans="1:40" x14ac:dyDescent="0.3">
      <c r="A767" s="3">
        <v>761</v>
      </c>
      <c r="B767" s="3" t="str">
        <f>"1288443"</f>
        <v>1288443</v>
      </c>
      <c r="C767" s="3">
        <v>19699</v>
      </c>
      <c r="D767" s="3">
        <v>1288443</v>
      </c>
      <c r="E767" s="3">
        <v>10060108914</v>
      </c>
      <c r="F767" s="3" t="s">
        <v>3163</v>
      </c>
      <c r="G767" s="3" t="s">
        <v>3164</v>
      </c>
      <c r="H767" s="3" t="s">
        <v>56</v>
      </c>
      <c r="I767" s="3" t="s">
        <v>56</v>
      </c>
      <c r="J767" s="3" t="s">
        <v>1677</v>
      </c>
      <c r="K767" s="3" t="s">
        <v>3165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 t="s">
        <v>52</v>
      </c>
      <c r="AL767" s="4">
        <v>36728</v>
      </c>
      <c r="AM767" s="3"/>
      <c r="AN767" s="3"/>
    </row>
    <row r="768" spans="1:40" x14ac:dyDescent="0.3">
      <c r="A768" s="3">
        <v>762</v>
      </c>
      <c r="B768" s="3" t="str">
        <f>"1406934"</f>
        <v>1406934</v>
      </c>
      <c r="C768" s="3">
        <v>34358</v>
      </c>
      <c r="D768" s="3" t="s">
        <v>3166</v>
      </c>
      <c r="E768" s="3">
        <v>10093817732</v>
      </c>
      <c r="F768" s="3" t="s">
        <v>3167</v>
      </c>
      <c r="G768" s="3" t="s">
        <v>3168</v>
      </c>
      <c r="H768" s="3" t="s">
        <v>56</v>
      </c>
      <c r="I768" s="3" t="s">
        <v>56</v>
      </c>
      <c r="J768" s="3" t="s">
        <v>185</v>
      </c>
      <c r="K768" s="3" t="s">
        <v>3169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 t="s">
        <v>353</v>
      </c>
      <c r="AL768" s="4">
        <v>37720</v>
      </c>
      <c r="AM768" s="3"/>
      <c r="AN768" s="3"/>
    </row>
    <row r="769" spans="1:40" x14ac:dyDescent="0.3">
      <c r="A769" s="3">
        <v>763</v>
      </c>
      <c r="B769" s="3" t="str">
        <f>"201700071549"</f>
        <v>201700071549</v>
      </c>
      <c r="C769" s="3">
        <v>128454</v>
      </c>
      <c r="D769" s="3" t="s">
        <v>3170</v>
      </c>
      <c r="E769" s="3">
        <v>10425367761</v>
      </c>
      <c r="F769" s="3" t="s">
        <v>3171</v>
      </c>
      <c r="G769" s="3" t="s">
        <v>3172</v>
      </c>
      <c r="H769" s="3" t="s">
        <v>50</v>
      </c>
      <c r="I769" s="3" t="s">
        <v>749</v>
      </c>
      <c r="J769" s="3" t="s">
        <v>749</v>
      </c>
      <c r="K769" s="3" t="s">
        <v>3173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 t="s">
        <v>3174</v>
      </c>
      <c r="AL769" s="4">
        <v>42879</v>
      </c>
      <c r="AM769" s="3"/>
      <c r="AN769" s="3" t="s">
        <v>3171</v>
      </c>
    </row>
    <row r="770" spans="1:40" x14ac:dyDescent="0.3">
      <c r="A770" s="3">
        <v>764</v>
      </c>
      <c r="B770" s="3" t="str">
        <f>"201500164660"</f>
        <v>201500164660</v>
      </c>
      <c r="C770" s="3">
        <v>84076</v>
      </c>
      <c r="D770" s="3" t="s">
        <v>3175</v>
      </c>
      <c r="E770" s="3">
        <v>20100366747</v>
      </c>
      <c r="F770" s="3" t="s">
        <v>258</v>
      </c>
      <c r="G770" s="3" t="s">
        <v>335</v>
      </c>
      <c r="H770" s="3" t="s">
        <v>56</v>
      </c>
      <c r="I770" s="3" t="s">
        <v>56</v>
      </c>
      <c r="J770" s="3" t="s">
        <v>185</v>
      </c>
      <c r="K770" s="3" t="s">
        <v>3176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 t="s">
        <v>518</v>
      </c>
      <c r="AL770" s="4">
        <v>42380</v>
      </c>
      <c r="AM770" s="3"/>
      <c r="AN770" s="3" t="s">
        <v>262</v>
      </c>
    </row>
    <row r="771" spans="1:40" ht="27.95" x14ac:dyDescent="0.3">
      <c r="A771" s="3">
        <v>765</v>
      </c>
      <c r="B771" s="3" t="str">
        <f>"202000016820"</f>
        <v>202000016820</v>
      </c>
      <c r="C771" s="3">
        <v>149017</v>
      </c>
      <c r="D771" s="3" t="s">
        <v>3177</v>
      </c>
      <c r="E771" s="3">
        <v>20600737377</v>
      </c>
      <c r="F771" s="3" t="s">
        <v>3178</v>
      </c>
      <c r="G771" s="3" t="s">
        <v>3179</v>
      </c>
      <c r="H771" s="3" t="s">
        <v>587</v>
      </c>
      <c r="I771" s="3" t="s">
        <v>588</v>
      </c>
      <c r="J771" s="3" t="s">
        <v>588</v>
      </c>
      <c r="K771" s="3" t="s">
        <v>3180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 t="s">
        <v>118</v>
      </c>
      <c r="AL771" s="4">
        <v>43859</v>
      </c>
      <c r="AM771" s="3"/>
      <c r="AN771" s="3" t="s">
        <v>3181</v>
      </c>
    </row>
    <row r="772" spans="1:40" ht="27.95" x14ac:dyDescent="0.3">
      <c r="A772" s="3">
        <v>766</v>
      </c>
      <c r="B772" s="3" t="str">
        <f>"201900101317"</f>
        <v>201900101317</v>
      </c>
      <c r="C772" s="3">
        <v>145029</v>
      </c>
      <c r="D772" s="3" t="s">
        <v>3182</v>
      </c>
      <c r="E772" s="3">
        <v>20408003106</v>
      </c>
      <c r="F772" s="3" t="s">
        <v>3183</v>
      </c>
      <c r="G772" s="3" t="s">
        <v>3184</v>
      </c>
      <c r="H772" s="3" t="s">
        <v>271</v>
      </c>
      <c r="I772" s="3" t="s">
        <v>272</v>
      </c>
      <c r="J772" s="3" t="s">
        <v>272</v>
      </c>
      <c r="K772" s="3" t="s">
        <v>3185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 t="s">
        <v>1341</v>
      </c>
      <c r="AL772" s="3" t="s">
        <v>290</v>
      </c>
      <c r="AM772" s="3"/>
      <c r="AN772" s="3" t="s">
        <v>3186</v>
      </c>
    </row>
    <row r="773" spans="1:40" ht="27.95" x14ac:dyDescent="0.3">
      <c r="A773" s="3">
        <v>767</v>
      </c>
      <c r="B773" s="3" t="str">
        <f>"1372224"</f>
        <v>1372224</v>
      </c>
      <c r="C773" s="3">
        <v>20649</v>
      </c>
      <c r="D773" s="3" t="s">
        <v>3187</v>
      </c>
      <c r="E773" s="3">
        <v>10013124022</v>
      </c>
      <c r="F773" s="3" t="s">
        <v>3188</v>
      </c>
      <c r="G773" s="3" t="s">
        <v>3189</v>
      </c>
      <c r="H773" s="3" t="s">
        <v>202</v>
      </c>
      <c r="I773" s="3" t="s">
        <v>202</v>
      </c>
      <c r="J773" s="3" t="s">
        <v>202</v>
      </c>
      <c r="K773" s="3" t="s">
        <v>3190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 t="s">
        <v>2140</v>
      </c>
      <c r="AL773" s="4">
        <v>37432</v>
      </c>
      <c r="AM773" s="3"/>
      <c r="AN773" s="3"/>
    </row>
    <row r="774" spans="1:40" x14ac:dyDescent="0.3">
      <c r="A774" s="3">
        <v>768</v>
      </c>
      <c r="B774" s="3" t="str">
        <f>"1317583"</f>
        <v>1317583</v>
      </c>
      <c r="C774" s="3">
        <v>20611</v>
      </c>
      <c r="D774" s="3" t="s">
        <v>3191</v>
      </c>
      <c r="E774" s="3">
        <v>20257364438</v>
      </c>
      <c r="F774" s="3" t="s">
        <v>3192</v>
      </c>
      <c r="G774" s="3" t="s">
        <v>3193</v>
      </c>
      <c r="H774" s="3" t="s">
        <v>56</v>
      </c>
      <c r="I774" s="3" t="s">
        <v>56</v>
      </c>
      <c r="J774" s="3" t="s">
        <v>715</v>
      </c>
      <c r="K774" s="3" t="s">
        <v>3194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 t="s">
        <v>546</v>
      </c>
      <c r="AL774" s="4">
        <v>37001</v>
      </c>
      <c r="AM774" s="3"/>
      <c r="AN774" s="3"/>
    </row>
    <row r="775" spans="1:40" ht="27.95" x14ac:dyDescent="0.3">
      <c r="A775" s="3">
        <v>769</v>
      </c>
      <c r="B775" s="3" t="str">
        <f>"1406931"</f>
        <v>1406931</v>
      </c>
      <c r="C775" s="3">
        <v>34534</v>
      </c>
      <c r="D775" s="3" t="s">
        <v>3195</v>
      </c>
      <c r="E775" s="3">
        <v>20404723392</v>
      </c>
      <c r="F775" s="3" t="s">
        <v>642</v>
      </c>
      <c r="G775" s="3" t="s">
        <v>3196</v>
      </c>
      <c r="H775" s="3" t="s">
        <v>89</v>
      </c>
      <c r="I775" s="3" t="s">
        <v>89</v>
      </c>
      <c r="J775" s="3" t="s">
        <v>90</v>
      </c>
      <c r="K775" s="3" t="s">
        <v>3197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 t="s">
        <v>256</v>
      </c>
      <c r="AL775" s="4">
        <v>37704</v>
      </c>
      <c r="AM775" s="3"/>
      <c r="AN775" s="3"/>
    </row>
    <row r="776" spans="1:40" ht="27.95" x14ac:dyDescent="0.3">
      <c r="A776" s="3">
        <v>770</v>
      </c>
      <c r="B776" s="3" t="str">
        <f>"201500054022"</f>
        <v>201500054022</v>
      </c>
      <c r="C776" s="3">
        <v>115109</v>
      </c>
      <c r="D776" s="3" t="s">
        <v>3198</v>
      </c>
      <c r="E776" s="3">
        <v>10293068548</v>
      </c>
      <c r="F776" s="3" t="s">
        <v>3199</v>
      </c>
      <c r="G776" s="3" t="s">
        <v>3200</v>
      </c>
      <c r="H776" s="3" t="s">
        <v>97</v>
      </c>
      <c r="I776" s="3" t="s">
        <v>97</v>
      </c>
      <c r="J776" s="3" t="s">
        <v>417</v>
      </c>
      <c r="K776" s="3" t="s">
        <v>3201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 t="s">
        <v>802</v>
      </c>
      <c r="AL776" s="4">
        <v>42142</v>
      </c>
      <c r="AM776" s="3"/>
      <c r="AN776" s="3" t="s">
        <v>3199</v>
      </c>
    </row>
    <row r="777" spans="1:40" ht="27.95" x14ac:dyDescent="0.3">
      <c r="A777" s="3">
        <v>771</v>
      </c>
      <c r="B777" s="3" t="str">
        <f>"201800007282"</f>
        <v>201800007282</v>
      </c>
      <c r="C777" s="3">
        <v>134046</v>
      </c>
      <c r="D777" s="3" t="s">
        <v>3202</v>
      </c>
      <c r="E777" s="3">
        <v>20101158927</v>
      </c>
      <c r="F777" s="3" t="s">
        <v>3158</v>
      </c>
      <c r="G777" s="3" t="s">
        <v>3159</v>
      </c>
      <c r="H777" s="3" t="s">
        <v>75</v>
      </c>
      <c r="I777" s="3" t="s">
        <v>75</v>
      </c>
      <c r="J777" s="3" t="s">
        <v>76</v>
      </c>
      <c r="K777" s="3" t="s">
        <v>3203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 t="s">
        <v>3161</v>
      </c>
      <c r="AL777" s="4">
        <v>43151</v>
      </c>
      <c r="AM777" s="3"/>
      <c r="AN777" s="3" t="s">
        <v>3162</v>
      </c>
    </row>
    <row r="778" spans="1:40" x14ac:dyDescent="0.3">
      <c r="A778" s="3">
        <v>772</v>
      </c>
      <c r="B778" s="3" t="str">
        <f>"1150882"</f>
        <v>1150882</v>
      </c>
      <c r="C778" s="3">
        <v>3377</v>
      </c>
      <c r="D778" s="3">
        <v>1150882</v>
      </c>
      <c r="E778" s="3">
        <v>10159925515</v>
      </c>
      <c r="F778" s="3" t="s">
        <v>3204</v>
      </c>
      <c r="G778" s="3" t="s">
        <v>3205</v>
      </c>
      <c r="H778" s="3" t="s">
        <v>56</v>
      </c>
      <c r="I778" s="3" t="s">
        <v>1869</v>
      </c>
      <c r="J778" s="3" t="s">
        <v>1873</v>
      </c>
      <c r="K778" s="3" t="s">
        <v>3206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 t="s">
        <v>842</v>
      </c>
      <c r="AL778" s="4">
        <v>35690</v>
      </c>
      <c r="AM778" s="3"/>
      <c r="AN778" s="3"/>
    </row>
    <row r="779" spans="1:40" x14ac:dyDescent="0.3">
      <c r="A779" s="3">
        <v>773</v>
      </c>
      <c r="B779" s="3" t="str">
        <f>"1379694"</f>
        <v>1379694</v>
      </c>
      <c r="C779" s="3">
        <v>87680</v>
      </c>
      <c r="D779" s="3" t="s">
        <v>3207</v>
      </c>
      <c r="E779" s="3">
        <v>20453857876</v>
      </c>
      <c r="F779" s="3" t="s">
        <v>3208</v>
      </c>
      <c r="G779" s="3" t="s">
        <v>3209</v>
      </c>
      <c r="H779" s="3" t="s">
        <v>97</v>
      </c>
      <c r="I779" s="3" t="s">
        <v>97</v>
      </c>
      <c r="J779" s="3" t="s">
        <v>3210</v>
      </c>
      <c r="K779" s="3" t="s">
        <v>3211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 t="s">
        <v>3212</v>
      </c>
      <c r="AL779" s="4">
        <v>40374</v>
      </c>
      <c r="AM779" s="3"/>
      <c r="AN779" s="3" t="s">
        <v>3213</v>
      </c>
    </row>
    <row r="780" spans="1:40" ht="27.95" x14ac:dyDescent="0.3">
      <c r="A780" s="3">
        <v>774</v>
      </c>
      <c r="B780" s="3" t="str">
        <f>"201800113515"</f>
        <v>201800113515</v>
      </c>
      <c r="C780" s="3">
        <v>137394</v>
      </c>
      <c r="D780" s="3" t="s">
        <v>3214</v>
      </c>
      <c r="E780" s="3">
        <v>10098264120</v>
      </c>
      <c r="F780" s="3" t="s">
        <v>2516</v>
      </c>
      <c r="G780" s="3" t="s">
        <v>2517</v>
      </c>
      <c r="H780" s="3" t="s">
        <v>56</v>
      </c>
      <c r="I780" s="3" t="s">
        <v>56</v>
      </c>
      <c r="J780" s="3" t="s">
        <v>277</v>
      </c>
      <c r="K780" s="3" t="s">
        <v>3215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 t="s">
        <v>118</v>
      </c>
      <c r="AL780" s="4">
        <v>43336</v>
      </c>
      <c r="AM780" s="3"/>
      <c r="AN780" s="3" t="s">
        <v>3216</v>
      </c>
    </row>
    <row r="781" spans="1:40" x14ac:dyDescent="0.3">
      <c r="A781" s="3">
        <v>775</v>
      </c>
      <c r="B781" s="3" t="str">
        <f>"1274758"</f>
        <v>1274758</v>
      </c>
      <c r="C781" s="3">
        <v>18172</v>
      </c>
      <c r="D781" s="3">
        <v>1274957</v>
      </c>
      <c r="E781" s="3">
        <v>20100366747</v>
      </c>
      <c r="F781" s="3" t="s">
        <v>258</v>
      </c>
      <c r="G781" s="3" t="s">
        <v>1055</v>
      </c>
      <c r="H781" s="3" t="s">
        <v>56</v>
      </c>
      <c r="I781" s="3" t="s">
        <v>56</v>
      </c>
      <c r="J781" s="3" t="s">
        <v>185</v>
      </c>
      <c r="K781" s="3" t="s">
        <v>3217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 t="s">
        <v>187</v>
      </c>
      <c r="AL781" s="4">
        <v>36615</v>
      </c>
      <c r="AM781" s="3"/>
      <c r="AN781" s="3"/>
    </row>
    <row r="782" spans="1:40" x14ac:dyDescent="0.3">
      <c r="A782" s="3">
        <v>776</v>
      </c>
      <c r="B782" s="3" t="str">
        <f>"1150883"</f>
        <v>1150883</v>
      </c>
      <c r="C782" s="3">
        <v>3375</v>
      </c>
      <c r="D782" s="3">
        <v>1150883</v>
      </c>
      <c r="E782" s="3">
        <v>10160020194</v>
      </c>
      <c r="F782" s="3" t="s">
        <v>3218</v>
      </c>
      <c r="G782" s="3" t="s">
        <v>3219</v>
      </c>
      <c r="H782" s="3" t="s">
        <v>56</v>
      </c>
      <c r="I782" s="3" t="s">
        <v>1869</v>
      </c>
      <c r="J782" s="3" t="s">
        <v>1869</v>
      </c>
      <c r="K782" s="3" t="s">
        <v>3220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 t="s">
        <v>842</v>
      </c>
      <c r="AL782" s="4">
        <v>35690</v>
      </c>
      <c r="AM782" s="3"/>
      <c r="AN782" s="3"/>
    </row>
    <row r="783" spans="1:40" x14ac:dyDescent="0.3">
      <c r="A783" s="3">
        <v>777</v>
      </c>
      <c r="B783" s="3" t="str">
        <f>"1274759"</f>
        <v>1274759</v>
      </c>
      <c r="C783" s="3">
        <v>18173</v>
      </c>
      <c r="D783" s="3">
        <v>1274759</v>
      </c>
      <c r="E783" s="3">
        <v>20100366747</v>
      </c>
      <c r="F783" s="3" t="s">
        <v>258</v>
      </c>
      <c r="G783" s="3" t="s">
        <v>1055</v>
      </c>
      <c r="H783" s="3" t="s">
        <v>56</v>
      </c>
      <c r="I783" s="3" t="s">
        <v>56</v>
      </c>
      <c r="J783" s="3" t="s">
        <v>185</v>
      </c>
      <c r="K783" s="3" t="s">
        <v>3221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 t="s">
        <v>187</v>
      </c>
      <c r="AL783" s="4">
        <v>36615</v>
      </c>
      <c r="AM783" s="3"/>
      <c r="AN783" s="3"/>
    </row>
    <row r="784" spans="1:40" x14ac:dyDescent="0.3">
      <c r="A784" s="3">
        <v>778</v>
      </c>
      <c r="B784" s="3" t="str">
        <f>"1317570"</f>
        <v>1317570</v>
      </c>
      <c r="C784" s="3">
        <v>20607</v>
      </c>
      <c r="D784" s="3" t="s">
        <v>3222</v>
      </c>
      <c r="E784" s="3">
        <v>20257364438</v>
      </c>
      <c r="F784" s="3" t="s">
        <v>3192</v>
      </c>
      <c r="G784" s="3" t="s">
        <v>3193</v>
      </c>
      <c r="H784" s="3" t="s">
        <v>56</v>
      </c>
      <c r="I784" s="3" t="s">
        <v>56</v>
      </c>
      <c r="J784" s="3" t="s">
        <v>715</v>
      </c>
      <c r="K784" s="3" t="s">
        <v>3223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 t="s">
        <v>1341</v>
      </c>
      <c r="AL784" s="4">
        <v>37001</v>
      </c>
      <c r="AM784" s="3"/>
      <c r="AN784" s="3"/>
    </row>
    <row r="785" spans="1:40" ht="27.95" x14ac:dyDescent="0.3">
      <c r="A785" s="3">
        <v>779</v>
      </c>
      <c r="B785" s="3" t="str">
        <f>"201300168858"</f>
        <v>201300168858</v>
      </c>
      <c r="C785" s="3">
        <v>105977</v>
      </c>
      <c r="D785" s="3" t="s">
        <v>3224</v>
      </c>
      <c r="E785" s="3">
        <v>20480219644</v>
      </c>
      <c r="F785" s="3" t="s">
        <v>3225</v>
      </c>
      <c r="G785" s="3" t="s">
        <v>3226</v>
      </c>
      <c r="H785" s="3" t="s">
        <v>318</v>
      </c>
      <c r="I785" s="3" t="s">
        <v>319</v>
      </c>
      <c r="J785" s="3" t="s">
        <v>319</v>
      </c>
      <c r="K785" s="3" t="s">
        <v>3227</v>
      </c>
      <c r="L785" s="3" t="s">
        <v>3228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 t="s">
        <v>3229</v>
      </c>
      <c r="AL785" s="3" t="s">
        <v>290</v>
      </c>
      <c r="AM785" s="3"/>
      <c r="AN785" s="3" t="s">
        <v>3230</v>
      </c>
    </row>
    <row r="786" spans="1:40" x14ac:dyDescent="0.3">
      <c r="A786" s="3">
        <v>780</v>
      </c>
      <c r="B786" s="3" t="str">
        <f>"1269357"</f>
        <v>1269357</v>
      </c>
      <c r="C786" s="3">
        <v>18091</v>
      </c>
      <c r="D786" s="3">
        <v>1269357</v>
      </c>
      <c r="E786" s="3">
        <v>20100007348</v>
      </c>
      <c r="F786" s="3" t="s">
        <v>929</v>
      </c>
      <c r="G786" s="3" t="s">
        <v>930</v>
      </c>
      <c r="H786" s="3" t="s">
        <v>75</v>
      </c>
      <c r="I786" s="3" t="s">
        <v>75</v>
      </c>
      <c r="J786" s="3" t="s">
        <v>76</v>
      </c>
      <c r="K786" s="3" t="s">
        <v>3231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 t="s">
        <v>3232</v>
      </c>
      <c r="AL786" s="4">
        <v>36570</v>
      </c>
      <c r="AM786" s="3"/>
      <c r="AN786" s="3"/>
    </row>
    <row r="787" spans="1:40" x14ac:dyDescent="0.3">
      <c r="A787" s="3">
        <v>781</v>
      </c>
      <c r="B787" s="3" t="str">
        <f>"201800093969"</f>
        <v>201800093969</v>
      </c>
      <c r="C787" s="3">
        <v>136722</v>
      </c>
      <c r="D787" s="3" t="s">
        <v>3233</v>
      </c>
      <c r="E787" s="3">
        <v>10246753453</v>
      </c>
      <c r="F787" s="3" t="s">
        <v>3234</v>
      </c>
      <c r="G787" s="3" t="s">
        <v>3235</v>
      </c>
      <c r="H787" s="3" t="s">
        <v>446</v>
      </c>
      <c r="I787" s="3" t="s">
        <v>3236</v>
      </c>
      <c r="J787" s="3" t="s">
        <v>3237</v>
      </c>
      <c r="K787" s="3" t="s">
        <v>3238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 t="s">
        <v>157</v>
      </c>
      <c r="AL787" s="4">
        <v>43263</v>
      </c>
      <c r="AM787" s="3"/>
      <c r="AN787" s="3" t="s">
        <v>3234</v>
      </c>
    </row>
    <row r="788" spans="1:40" ht="27.95" x14ac:dyDescent="0.3">
      <c r="A788" s="3">
        <v>782</v>
      </c>
      <c r="B788" s="3" t="str">
        <f>"201800096642"</f>
        <v>201800096642</v>
      </c>
      <c r="C788" s="3">
        <v>136862</v>
      </c>
      <c r="D788" s="3" t="s">
        <v>3239</v>
      </c>
      <c r="E788" s="3">
        <v>20404723392</v>
      </c>
      <c r="F788" s="3" t="s">
        <v>87</v>
      </c>
      <c r="G788" s="3" t="s">
        <v>3240</v>
      </c>
      <c r="H788" s="3" t="s">
        <v>89</v>
      </c>
      <c r="I788" s="3" t="s">
        <v>89</v>
      </c>
      <c r="J788" s="3" t="s">
        <v>90</v>
      </c>
      <c r="K788" s="3" t="s">
        <v>3241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 t="s">
        <v>2864</v>
      </c>
      <c r="AL788" s="4">
        <v>43262</v>
      </c>
      <c r="AM788" s="3"/>
      <c r="AN788" s="3" t="s">
        <v>3242</v>
      </c>
    </row>
    <row r="789" spans="1:40" x14ac:dyDescent="0.3">
      <c r="A789" s="3">
        <v>783</v>
      </c>
      <c r="B789" s="3" t="str">
        <f>"201800007258"</f>
        <v>201800007258</v>
      </c>
      <c r="C789" s="3">
        <v>134045</v>
      </c>
      <c r="D789" s="3" t="s">
        <v>3243</v>
      </c>
      <c r="E789" s="3">
        <v>20552164955</v>
      </c>
      <c r="F789" s="3" t="s">
        <v>3244</v>
      </c>
      <c r="G789" s="3" t="s">
        <v>3245</v>
      </c>
      <c r="H789" s="3" t="s">
        <v>56</v>
      </c>
      <c r="I789" s="3" t="s">
        <v>56</v>
      </c>
      <c r="J789" s="3" t="s">
        <v>313</v>
      </c>
      <c r="K789" s="3" t="s">
        <v>3246</v>
      </c>
      <c r="L789" s="3" t="s">
        <v>3247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 t="s">
        <v>3248</v>
      </c>
      <c r="AL789" s="4">
        <v>43123</v>
      </c>
      <c r="AM789" s="3"/>
      <c r="AN789" s="3" t="s">
        <v>3249</v>
      </c>
    </row>
    <row r="790" spans="1:40" ht="27.95" x14ac:dyDescent="0.3">
      <c r="A790" s="3">
        <v>784</v>
      </c>
      <c r="B790" s="3" t="str">
        <f>"1348229"</f>
        <v>1348229</v>
      </c>
      <c r="C790" s="3">
        <v>86537</v>
      </c>
      <c r="D790" s="3" t="s">
        <v>3250</v>
      </c>
      <c r="E790" s="3">
        <v>17144612302</v>
      </c>
      <c r="F790" s="3" t="s">
        <v>3251</v>
      </c>
      <c r="G790" s="3" t="s">
        <v>3252</v>
      </c>
      <c r="H790" s="3" t="s">
        <v>56</v>
      </c>
      <c r="I790" s="3" t="s">
        <v>56</v>
      </c>
      <c r="J790" s="3" t="s">
        <v>63</v>
      </c>
      <c r="K790" s="3" t="s">
        <v>3253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 t="s">
        <v>187</v>
      </c>
      <c r="AL790" s="4">
        <v>40308</v>
      </c>
      <c r="AM790" s="3"/>
      <c r="AN790" s="3" t="s">
        <v>3251</v>
      </c>
    </row>
    <row r="791" spans="1:40" x14ac:dyDescent="0.3">
      <c r="A791" s="3">
        <v>785</v>
      </c>
      <c r="B791" s="3" t="str">
        <f>"201400058792"</f>
        <v>201400058792</v>
      </c>
      <c r="C791" s="3">
        <v>109340</v>
      </c>
      <c r="D791" s="3" t="s">
        <v>3254</v>
      </c>
      <c r="E791" s="3">
        <v>20408971943</v>
      </c>
      <c r="F791" s="3" t="s">
        <v>3255</v>
      </c>
      <c r="G791" s="3" t="s">
        <v>3256</v>
      </c>
      <c r="H791" s="3" t="s">
        <v>245</v>
      </c>
      <c r="I791" s="3" t="s">
        <v>246</v>
      </c>
      <c r="J791" s="3" t="s">
        <v>659</v>
      </c>
      <c r="K791" s="3" t="s">
        <v>3257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 t="s">
        <v>1014</v>
      </c>
      <c r="AL791" s="4">
        <v>41786</v>
      </c>
      <c r="AM791" s="3"/>
      <c r="AN791" s="3" t="s">
        <v>3258</v>
      </c>
    </row>
    <row r="792" spans="1:40" ht="27.95" x14ac:dyDescent="0.3">
      <c r="A792" s="3">
        <v>786</v>
      </c>
      <c r="B792" s="3" t="str">
        <f>"1538509"</f>
        <v>1538509</v>
      </c>
      <c r="C792" s="3">
        <v>36493</v>
      </c>
      <c r="D792" s="3" t="s">
        <v>3259</v>
      </c>
      <c r="E792" s="3">
        <v>20205183915</v>
      </c>
      <c r="F792" s="3" t="s">
        <v>973</v>
      </c>
      <c r="G792" s="3" t="s">
        <v>973</v>
      </c>
      <c r="H792" s="3" t="s">
        <v>97</v>
      </c>
      <c r="I792" s="3" t="s">
        <v>97</v>
      </c>
      <c r="J792" s="3" t="s">
        <v>1459</v>
      </c>
      <c r="K792" s="3" t="s">
        <v>3260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 t="s">
        <v>3261</v>
      </c>
      <c r="AL792" s="4">
        <v>38496</v>
      </c>
      <c r="AM792" s="3"/>
      <c r="AN792" s="3"/>
    </row>
    <row r="793" spans="1:40" x14ac:dyDescent="0.3">
      <c r="A793" s="3">
        <v>787</v>
      </c>
      <c r="B793" s="3" t="str">
        <f>"1170150"</f>
        <v>1170150</v>
      </c>
      <c r="C793" s="3">
        <v>6393</v>
      </c>
      <c r="D793" s="3">
        <v>1170150</v>
      </c>
      <c r="E793" s="3">
        <v>10105857905</v>
      </c>
      <c r="F793" s="3" t="s">
        <v>3262</v>
      </c>
      <c r="G793" s="3" t="s">
        <v>3263</v>
      </c>
      <c r="H793" s="3" t="s">
        <v>56</v>
      </c>
      <c r="I793" s="3" t="s">
        <v>56</v>
      </c>
      <c r="J793" s="3" t="s">
        <v>572</v>
      </c>
      <c r="K793" s="3" t="s">
        <v>3264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 t="s">
        <v>65</v>
      </c>
      <c r="AL793" s="4">
        <v>35844</v>
      </c>
      <c r="AM793" s="3"/>
      <c r="AN793" s="3"/>
    </row>
    <row r="794" spans="1:40" x14ac:dyDescent="0.3">
      <c r="A794" s="3">
        <v>788</v>
      </c>
      <c r="B794" s="3" t="str">
        <f>"201900157417"</f>
        <v>201900157417</v>
      </c>
      <c r="C794" s="3">
        <v>146796</v>
      </c>
      <c r="D794" s="3" t="s">
        <v>3265</v>
      </c>
      <c r="E794" s="3">
        <v>10710750527</v>
      </c>
      <c r="F794" s="3" t="s">
        <v>3266</v>
      </c>
      <c r="G794" s="3" t="s">
        <v>3267</v>
      </c>
      <c r="H794" s="3" t="s">
        <v>50</v>
      </c>
      <c r="I794" s="3" t="s">
        <v>50</v>
      </c>
      <c r="J794" s="3" t="s">
        <v>2274</v>
      </c>
      <c r="K794" s="3" t="s">
        <v>3268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 t="s">
        <v>2508</v>
      </c>
      <c r="AL794" s="4">
        <v>43741</v>
      </c>
      <c r="AM794" s="3"/>
      <c r="AN794" s="3" t="s">
        <v>3266</v>
      </c>
    </row>
    <row r="795" spans="1:40" ht="27.95" x14ac:dyDescent="0.3">
      <c r="A795" s="3">
        <v>789</v>
      </c>
      <c r="B795" s="3" t="str">
        <f>"201400032440"</f>
        <v>201400032440</v>
      </c>
      <c r="C795" s="3">
        <v>108014</v>
      </c>
      <c r="D795" s="3" t="s">
        <v>3269</v>
      </c>
      <c r="E795" s="3">
        <v>20533728562</v>
      </c>
      <c r="F795" s="3" t="s">
        <v>3270</v>
      </c>
      <c r="G795" s="3" t="s">
        <v>3271</v>
      </c>
      <c r="H795" s="3" t="s">
        <v>271</v>
      </c>
      <c r="I795" s="3" t="s">
        <v>272</v>
      </c>
      <c r="J795" s="3" t="s">
        <v>273</v>
      </c>
      <c r="K795" s="3" t="s">
        <v>3272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 t="s">
        <v>1014</v>
      </c>
      <c r="AL795" s="4">
        <v>42720</v>
      </c>
      <c r="AM795" s="3"/>
      <c r="AN795" s="3" t="s">
        <v>3273</v>
      </c>
    </row>
    <row r="796" spans="1:40" x14ac:dyDescent="0.3">
      <c r="A796" s="3">
        <v>790</v>
      </c>
      <c r="B796" s="3" t="str">
        <f>"1592835"</f>
        <v>1592835</v>
      </c>
      <c r="C796" s="3">
        <v>42798</v>
      </c>
      <c r="D796" s="3" t="s">
        <v>3274</v>
      </c>
      <c r="E796" s="3">
        <v>20100176450</v>
      </c>
      <c r="F796" s="3" t="s">
        <v>651</v>
      </c>
      <c r="G796" s="3" t="s">
        <v>3275</v>
      </c>
      <c r="H796" s="3" t="s">
        <v>75</v>
      </c>
      <c r="I796" s="3" t="s">
        <v>75</v>
      </c>
      <c r="J796" s="3" t="s">
        <v>1358</v>
      </c>
      <c r="K796" s="3" t="s">
        <v>3276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 t="s">
        <v>3277</v>
      </c>
      <c r="AL796" s="4">
        <v>38777</v>
      </c>
      <c r="AM796" s="3"/>
      <c r="AN796" s="3"/>
    </row>
    <row r="797" spans="1:40" x14ac:dyDescent="0.3">
      <c r="A797" s="3">
        <v>791</v>
      </c>
      <c r="B797" s="3" t="str">
        <f>"1592836"</f>
        <v>1592836</v>
      </c>
      <c r="C797" s="3">
        <v>42799</v>
      </c>
      <c r="D797" s="3" t="s">
        <v>3278</v>
      </c>
      <c r="E797" s="3">
        <v>20100176450</v>
      </c>
      <c r="F797" s="3" t="s">
        <v>651</v>
      </c>
      <c r="G797" s="3" t="s">
        <v>3279</v>
      </c>
      <c r="H797" s="3" t="s">
        <v>75</v>
      </c>
      <c r="I797" s="3" t="s">
        <v>75</v>
      </c>
      <c r="J797" s="3" t="s">
        <v>76</v>
      </c>
      <c r="K797" s="3" t="s">
        <v>3280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 t="s">
        <v>3281</v>
      </c>
      <c r="AL797" s="4">
        <v>38777</v>
      </c>
      <c r="AM797" s="3"/>
      <c r="AN797" s="3"/>
    </row>
    <row r="798" spans="1:40" x14ac:dyDescent="0.3">
      <c r="A798" s="3">
        <v>792</v>
      </c>
      <c r="B798" s="3" t="str">
        <f>"1592837"</f>
        <v>1592837</v>
      </c>
      <c r="C798" s="3">
        <v>42809</v>
      </c>
      <c r="D798" s="3" t="s">
        <v>3282</v>
      </c>
      <c r="E798" s="3">
        <v>20100176450</v>
      </c>
      <c r="F798" s="3" t="s">
        <v>651</v>
      </c>
      <c r="G798" s="3" t="s">
        <v>3283</v>
      </c>
      <c r="H798" s="3" t="s">
        <v>75</v>
      </c>
      <c r="I798" s="3" t="s">
        <v>75</v>
      </c>
      <c r="J798" s="3" t="s">
        <v>1358</v>
      </c>
      <c r="K798" s="3" t="s">
        <v>3284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 t="s">
        <v>679</v>
      </c>
      <c r="AL798" s="4">
        <v>38777</v>
      </c>
      <c r="AM798" s="3"/>
      <c r="AN798" s="3"/>
    </row>
    <row r="799" spans="1:40" x14ac:dyDescent="0.3">
      <c r="A799" s="3">
        <v>793</v>
      </c>
      <c r="B799" s="3" t="str">
        <f>"1456047"</f>
        <v>1456047</v>
      </c>
      <c r="C799" s="3">
        <v>90275</v>
      </c>
      <c r="D799" s="3" t="s">
        <v>3285</v>
      </c>
      <c r="E799" s="3">
        <v>20455665109</v>
      </c>
      <c r="F799" s="3" t="s">
        <v>3286</v>
      </c>
      <c r="G799" s="3" t="s">
        <v>3287</v>
      </c>
      <c r="H799" s="3" t="s">
        <v>97</v>
      </c>
      <c r="I799" s="3" t="s">
        <v>97</v>
      </c>
      <c r="J799" s="3" t="s">
        <v>417</v>
      </c>
      <c r="K799" s="3" t="s">
        <v>3288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 t="s">
        <v>525</v>
      </c>
      <c r="AL799" s="4">
        <v>40529</v>
      </c>
      <c r="AM799" s="3"/>
      <c r="AN799" s="3" t="s">
        <v>3289</v>
      </c>
    </row>
    <row r="800" spans="1:40" x14ac:dyDescent="0.3">
      <c r="A800" s="3">
        <v>794</v>
      </c>
      <c r="B800" s="3" t="str">
        <f>"1879279"</f>
        <v>1879279</v>
      </c>
      <c r="C800" s="3">
        <v>83201</v>
      </c>
      <c r="D800" s="3" t="s">
        <v>3290</v>
      </c>
      <c r="E800" s="3">
        <v>20512439196</v>
      </c>
      <c r="F800" s="3" t="s">
        <v>2238</v>
      </c>
      <c r="G800" s="3" t="s">
        <v>3291</v>
      </c>
      <c r="H800" s="3" t="s">
        <v>56</v>
      </c>
      <c r="I800" s="3" t="s">
        <v>56</v>
      </c>
      <c r="J800" s="3" t="s">
        <v>56</v>
      </c>
      <c r="K800" s="3" t="s">
        <v>3292</v>
      </c>
      <c r="L800" s="3" t="s">
        <v>3293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 t="s">
        <v>2242</v>
      </c>
      <c r="AL800" s="4">
        <v>39932</v>
      </c>
      <c r="AM800" s="3"/>
      <c r="AN800" s="3"/>
    </row>
    <row r="801" spans="1:40" ht="27.95" x14ac:dyDescent="0.3">
      <c r="A801" s="3">
        <v>795</v>
      </c>
      <c r="B801" s="3" t="str">
        <f>"201900005897"</f>
        <v>201900005897</v>
      </c>
      <c r="C801" s="3">
        <v>123014</v>
      </c>
      <c r="D801" s="3" t="s">
        <v>3294</v>
      </c>
      <c r="E801" s="3">
        <v>20262254268</v>
      </c>
      <c r="F801" s="3" t="s">
        <v>103</v>
      </c>
      <c r="G801" s="3" t="s">
        <v>1430</v>
      </c>
      <c r="H801" s="3" t="s">
        <v>75</v>
      </c>
      <c r="I801" s="3" t="s">
        <v>75</v>
      </c>
      <c r="J801" s="3" t="s">
        <v>1358</v>
      </c>
      <c r="K801" s="3" t="s">
        <v>3295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 t="s">
        <v>1134</v>
      </c>
      <c r="AL801" s="4">
        <v>43481</v>
      </c>
      <c r="AM801" s="3"/>
      <c r="AN801" s="3" t="s">
        <v>113</v>
      </c>
    </row>
    <row r="802" spans="1:40" x14ac:dyDescent="0.3">
      <c r="A802" s="3">
        <v>796</v>
      </c>
      <c r="B802" s="3" t="str">
        <f>"1116396"</f>
        <v>1116396</v>
      </c>
      <c r="C802" s="3">
        <v>3569</v>
      </c>
      <c r="D802" s="3">
        <v>1055389</v>
      </c>
      <c r="E802" s="3">
        <v>12789475</v>
      </c>
      <c r="F802" s="3" t="s">
        <v>3296</v>
      </c>
      <c r="G802" s="3" t="s">
        <v>3297</v>
      </c>
      <c r="H802" s="3" t="s">
        <v>56</v>
      </c>
      <c r="I802" s="3" t="s">
        <v>56</v>
      </c>
      <c r="J802" s="3" t="s">
        <v>116</v>
      </c>
      <c r="K802" s="3" t="s">
        <v>3298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 t="s">
        <v>634</v>
      </c>
      <c r="AL802" s="4">
        <v>35521</v>
      </c>
      <c r="AM802" s="3"/>
      <c r="AN802" s="3"/>
    </row>
    <row r="803" spans="1:40" ht="27.95" x14ac:dyDescent="0.3">
      <c r="A803" s="3">
        <v>797</v>
      </c>
      <c r="B803" s="3" t="str">
        <f>"201800159481"</f>
        <v>201800159481</v>
      </c>
      <c r="C803" s="3">
        <v>36726</v>
      </c>
      <c r="D803" s="3" t="s">
        <v>3299</v>
      </c>
      <c r="E803" s="3">
        <v>10098264120</v>
      </c>
      <c r="F803" s="3" t="s">
        <v>3216</v>
      </c>
      <c r="G803" s="3" t="s">
        <v>3300</v>
      </c>
      <c r="H803" s="3" t="s">
        <v>56</v>
      </c>
      <c r="I803" s="3" t="s">
        <v>56</v>
      </c>
      <c r="J803" s="3" t="s">
        <v>277</v>
      </c>
      <c r="K803" s="3" t="s">
        <v>3301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 t="s">
        <v>187</v>
      </c>
      <c r="AL803" s="4">
        <v>43374</v>
      </c>
      <c r="AM803" s="3"/>
      <c r="AN803" s="3" t="s">
        <v>3216</v>
      </c>
    </row>
    <row r="804" spans="1:40" x14ac:dyDescent="0.3">
      <c r="A804" s="3">
        <v>798</v>
      </c>
      <c r="B804" s="3" t="str">
        <f>"1377320"</f>
        <v>1377320</v>
      </c>
      <c r="C804" s="3">
        <v>33302</v>
      </c>
      <c r="D804" s="3" t="s">
        <v>3302</v>
      </c>
      <c r="E804" s="3">
        <v>10092238381</v>
      </c>
      <c r="F804" s="3" t="s">
        <v>3303</v>
      </c>
      <c r="G804" s="3" t="s">
        <v>1047</v>
      </c>
      <c r="H804" s="3" t="s">
        <v>56</v>
      </c>
      <c r="I804" s="3" t="s">
        <v>56</v>
      </c>
      <c r="J804" s="3" t="s">
        <v>715</v>
      </c>
      <c r="K804" s="3" t="s">
        <v>3304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 t="s">
        <v>81</v>
      </c>
      <c r="AL804" s="4">
        <v>37480</v>
      </c>
      <c r="AM804" s="3"/>
      <c r="AN804" s="3"/>
    </row>
    <row r="805" spans="1:40" ht="27.95" x14ac:dyDescent="0.3">
      <c r="A805" s="3">
        <v>799</v>
      </c>
      <c r="B805" s="3" t="str">
        <f>"201900005890"</f>
        <v>201900005890</v>
      </c>
      <c r="C805" s="3">
        <v>123015</v>
      </c>
      <c r="D805" s="3" t="s">
        <v>3305</v>
      </c>
      <c r="E805" s="3">
        <v>20262254268</v>
      </c>
      <c r="F805" s="3" t="s">
        <v>103</v>
      </c>
      <c r="G805" s="3" t="s">
        <v>3306</v>
      </c>
      <c r="H805" s="3" t="s">
        <v>75</v>
      </c>
      <c r="I805" s="3" t="s">
        <v>75</v>
      </c>
      <c r="J805" s="3" t="s">
        <v>1358</v>
      </c>
      <c r="K805" s="3" t="s">
        <v>3307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 t="s">
        <v>1134</v>
      </c>
      <c r="AL805" s="4">
        <v>43481</v>
      </c>
      <c r="AM805" s="3"/>
      <c r="AN805" s="3" t="s">
        <v>113</v>
      </c>
    </row>
    <row r="806" spans="1:40" x14ac:dyDescent="0.3">
      <c r="A806" s="3">
        <v>800</v>
      </c>
      <c r="B806" s="3" t="str">
        <f>"1377321"</f>
        <v>1377321</v>
      </c>
      <c r="C806" s="3">
        <v>3348</v>
      </c>
      <c r="D806" s="3" t="s">
        <v>3308</v>
      </c>
      <c r="E806" s="3">
        <v>20100873681</v>
      </c>
      <c r="F806" s="3" t="s">
        <v>1241</v>
      </c>
      <c r="G806" s="3" t="s">
        <v>1047</v>
      </c>
      <c r="H806" s="3" t="s">
        <v>56</v>
      </c>
      <c r="I806" s="3" t="s">
        <v>56</v>
      </c>
      <c r="J806" s="3" t="s">
        <v>715</v>
      </c>
      <c r="K806" s="3" t="s">
        <v>3309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 t="s">
        <v>1087</v>
      </c>
      <c r="AL806" s="4">
        <v>37480</v>
      </c>
      <c r="AM806" s="3"/>
      <c r="AN806" s="3"/>
    </row>
    <row r="807" spans="1:40" ht="27.95" x14ac:dyDescent="0.3">
      <c r="A807" s="3">
        <v>801</v>
      </c>
      <c r="B807" s="3" t="str">
        <f>"201200019322"</f>
        <v>201200019322</v>
      </c>
      <c r="C807" s="3">
        <v>95832</v>
      </c>
      <c r="D807" s="3" t="s">
        <v>3310</v>
      </c>
      <c r="E807" s="3">
        <v>10210649412</v>
      </c>
      <c r="F807" s="3" t="s">
        <v>3311</v>
      </c>
      <c r="G807" s="3" t="s">
        <v>3312</v>
      </c>
      <c r="H807" s="3" t="s">
        <v>237</v>
      </c>
      <c r="I807" s="3" t="s">
        <v>2842</v>
      </c>
      <c r="J807" s="3" t="s">
        <v>2842</v>
      </c>
      <c r="K807" s="3" t="s">
        <v>3313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 t="s">
        <v>187</v>
      </c>
      <c r="AL807" s="4">
        <v>40982</v>
      </c>
      <c r="AM807" s="3"/>
      <c r="AN807" s="3" t="s">
        <v>3314</v>
      </c>
    </row>
    <row r="808" spans="1:40" x14ac:dyDescent="0.3">
      <c r="A808" s="3">
        <v>802</v>
      </c>
      <c r="B808" s="3" t="str">
        <f>"201900089588"</f>
        <v>201900089588</v>
      </c>
      <c r="C808" s="3">
        <v>95575</v>
      </c>
      <c r="D808" s="3" t="s">
        <v>3315</v>
      </c>
      <c r="E808" s="3">
        <v>20550716675</v>
      </c>
      <c r="F808" s="3" t="s">
        <v>3316</v>
      </c>
      <c r="G808" s="3" t="s">
        <v>160</v>
      </c>
      <c r="H808" s="3" t="s">
        <v>56</v>
      </c>
      <c r="I808" s="3" t="s">
        <v>56</v>
      </c>
      <c r="J808" s="3" t="s">
        <v>121</v>
      </c>
      <c r="K808" s="3" t="s">
        <v>3317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 t="s">
        <v>1514</v>
      </c>
      <c r="AL808" s="4">
        <v>43623</v>
      </c>
      <c r="AM808" s="3"/>
      <c r="AN808" s="3" t="s">
        <v>3318</v>
      </c>
    </row>
    <row r="809" spans="1:40" x14ac:dyDescent="0.3">
      <c r="A809" s="3">
        <v>803</v>
      </c>
      <c r="B809" s="3" t="str">
        <f>"1847526"</f>
        <v>1847526</v>
      </c>
      <c r="C809" s="3">
        <v>82337</v>
      </c>
      <c r="D809" s="3" t="s">
        <v>3319</v>
      </c>
      <c r="E809" s="3">
        <v>10209765484</v>
      </c>
      <c r="F809" s="3" t="s">
        <v>235</v>
      </c>
      <c r="G809" s="3" t="s">
        <v>3320</v>
      </c>
      <c r="H809" s="3" t="s">
        <v>237</v>
      </c>
      <c r="I809" s="3" t="s">
        <v>238</v>
      </c>
      <c r="J809" s="3" t="s">
        <v>238</v>
      </c>
      <c r="K809" s="3" t="s">
        <v>3321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 t="s">
        <v>3322</v>
      </c>
      <c r="AL809" s="4">
        <v>39797</v>
      </c>
      <c r="AM809" s="3"/>
      <c r="AN809" s="3"/>
    </row>
    <row r="810" spans="1:40" x14ac:dyDescent="0.3">
      <c r="A810" s="3">
        <v>804</v>
      </c>
      <c r="B810" s="3" t="str">
        <f>"1696402"</f>
        <v>1696402</v>
      </c>
      <c r="C810" s="3">
        <v>42753</v>
      </c>
      <c r="D810" s="3" t="s">
        <v>3323</v>
      </c>
      <c r="E810" s="3">
        <v>10294710545</v>
      </c>
      <c r="F810" s="3" t="s">
        <v>3324</v>
      </c>
      <c r="G810" s="3" t="s">
        <v>3325</v>
      </c>
      <c r="H810" s="3" t="s">
        <v>97</v>
      </c>
      <c r="I810" s="3" t="s">
        <v>98</v>
      </c>
      <c r="J810" s="3" t="s">
        <v>3326</v>
      </c>
      <c r="K810" s="3" t="s">
        <v>3327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 t="s">
        <v>1061</v>
      </c>
      <c r="AL810" s="4">
        <v>39122</v>
      </c>
      <c r="AM810" s="3"/>
      <c r="AN810" s="3"/>
    </row>
    <row r="811" spans="1:40" ht="27.95" x14ac:dyDescent="0.3">
      <c r="A811" s="3">
        <v>805</v>
      </c>
      <c r="B811" s="3" t="str">
        <f>"1416450"</f>
        <v>1416450</v>
      </c>
      <c r="C811" s="3">
        <v>85473</v>
      </c>
      <c r="D811" s="3" t="s">
        <v>3328</v>
      </c>
      <c r="E811" s="3">
        <v>20404723392</v>
      </c>
      <c r="F811" s="3" t="s">
        <v>642</v>
      </c>
      <c r="G811" s="3" t="s">
        <v>3329</v>
      </c>
      <c r="H811" s="3" t="s">
        <v>89</v>
      </c>
      <c r="I811" s="3" t="s">
        <v>89</v>
      </c>
      <c r="J811" s="3" t="s">
        <v>90</v>
      </c>
      <c r="K811" s="3" t="s">
        <v>3330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 t="s">
        <v>3331</v>
      </c>
      <c r="AL811" s="4">
        <v>40445</v>
      </c>
      <c r="AM811" s="3"/>
      <c r="AN811" s="3" t="s">
        <v>93</v>
      </c>
    </row>
    <row r="812" spans="1:40" x14ac:dyDescent="0.3">
      <c r="A812" s="3">
        <v>806</v>
      </c>
      <c r="B812" s="3" t="str">
        <f>"201200055876"</f>
        <v>201200055876</v>
      </c>
      <c r="C812" s="3">
        <v>96597</v>
      </c>
      <c r="D812" s="3" t="s">
        <v>3332</v>
      </c>
      <c r="E812" s="3">
        <v>20534144351</v>
      </c>
      <c r="F812" s="3" t="s">
        <v>3333</v>
      </c>
      <c r="G812" s="3" t="s">
        <v>3334</v>
      </c>
      <c r="H812" s="3" t="s">
        <v>56</v>
      </c>
      <c r="I812" s="3" t="s">
        <v>663</v>
      </c>
      <c r="J812" s="3" t="s">
        <v>664</v>
      </c>
      <c r="K812" s="3" t="s">
        <v>3335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 t="s">
        <v>525</v>
      </c>
      <c r="AL812" s="4">
        <v>41022</v>
      </c>
      <c r="AM812" s="3"/>
      <c r="AN812" s="3" t="s">
        <v>3336</v>
      </c>
    </row>
    <row r="813" spans="1:40" x14ac:dyDescent="0.3">
      <c r="A813" s="3">
        <v>807</v>
      </c>
      <c r="B813" s="3" t="str">
        <f>"201900110807"</f>
        <v>201900110807</v>
      </c>
      <c r="C813" s="3">
        <v>112384</v>
      </c>
      <c r="D813" s="3" t="s">
        <v>3337</v>
      </c>
      <c r="E813" s="3">
        <v>20604956103</v>
      </c>
      <c r="F813" s="3" t="s">
        <v>3338</v>
      </c>
      <c r="G813" s="3" t="s">
        <v>2946</v>
      </c>
      <c r="H813" s="3" t="s">
        <v>172</v>
      </c>
      <c r="I813" s="3" t="s">
        <v>172</v>
      </c>
      <c r="J813" s="3" t="s">
        <v>173</v>
      </c>
      <c r="K813" s="3" t="s">
        <v>3339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 t="s">
        <v>399</v>
      </c>
      <c r="AL813" s="4">
        <v>44017</v>
      </c>
      <c r="AM813" s="3"/>
      <c r="AN813" s="3" t="s">
        <v>178</v>
      </c>
    </row>
    <row r="814" spans="1:40" x14ac:dyDescent="0.3">
      <c r="A814" s="3">
        <v>808</v>
      </c>
      <c r="B814" s="3" t="str">
        <f>"201300096509"</f>
        <v>201300096509</v>
      </c>
      <c r="C814" s="3">
        <v>62570</v>
      </c>
      <c r="D814" s="3" t="s">
        <v>3340</v>
      </c>
      <c r="E814" s="3">
        <v>20543992942</v>
      </c>
      <c r="F814" s="3" t="s">
        <v>540</v>
      </c>
      <c r="G814" s="3" t="s">
        <v>541</v>
      </c>
      <c r="H814" s="3" t="s">
        <v>56</v>
      </c>
      <c r="I814" s="3" t="s">
        <v>56</v>
      </c>
      <c r="J814" s="3" t="s">
        <v>380</v>
      </c>
      <c r="K814" s="3" t="s">
        <v>3341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 t="s">
        <v>1341</v>
      </c>
      <c r="AL814" s="3" t="s">
        <v>290</v>
      </c>
      <c r="AM814" s="3"/>
      <c r="AN814" s="3" t="s">
        <v>543</v>
      </c>
    </row>
    <row r="815" spans="1:40" x14ac:dyDescent="0.3">
      <c r="A815" s="3">
        <v>809</v>
      </c>
      <c r="B815" s="3" t="str">
        <f>"1185862"</f>
        <v>1185862</v>
      </c>
      <c r="C815" s="3">
        <v>16235</v>
      </c>
      <c r="D815" s="3">
        <v>1179833</v>
      </c>
      <c r="E815" s="3">
        <v>10215497432</v>
      </c>
      <c r="F815" s="3" t="s">
        <v>3342</v>
      </c>
      <c r="G815" s="3" t="s">
        <v>3343</v>
      </c>
      <c r="H815" s="3" t="s">
        <v>216</v>
      </c>
      <c r="I815" s="3" t="s">
        <v>216</v>
      </c>
      <c r="J815" s="3" t="s">
        <v>3344</v>
      </c>
      <c r="K815" s="3" t="s">
        <v>3345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 t="s">
        <v>842</v>
      </c>
      <c r="AL815" s="4">
        <v>35951</v>
      </c>
      <c r="AM815" s="3"/>
      <c r="AN815" s="3"/>
    </row>
    <row r="816" spans="1:40" x14ac:dyDescent="0.3">
      <c r="A816" s="3">
        <v>810</v>
      </c>
      <c r="B816" s="3" t="str">
        <f>"1391100"</f>
        <v>1391100</v>
      </c>
      <c r="C816" s="3">
        <v>33850</v>
      </c>
      <c r="D816" s="3" t="s">
        <v>3346</v>
      </c>
      <c r="E816" s="3">
        <v>20100366747</v>
      </c>
      <c r="F816" s="3" t="s">
        <v>258</v>
      </c>
      <c r="G816" s="3" t="s">
        <v>1055</v>
      </c>
      <c r="H816" s="3" t="s">
        <v>56</v>
      </c>
      <c r="I816" s="3" t="s">
        <v>56</v>
      </c>
      <c r="J816" s="3" t="s">
        <v>185</v>
      </c>
      <c r="K816" s="3" t="s">
        <v>3347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 t="s">
        <v>546</v>
      </c>
      <c r="AL816" s="4">
        <v>37589</v>
      </c>
      <c r="AM816" s="3"/>
      <c r="AN816" s="3"/>
    </row>
    <row r="817" spans="1:40" ht="27.95" x14ac:dyDescent="0.3">
      <c r="A817" s="3">
        <v>811</v>
      </c>
      <c r="B817" s="3" t="str">
        <f>"1356823"</f>
        <v>1356823</v>
      </c>
      <c r="C817" s="3">
        <v>21759</v>
      </c>
      <c r="D817" s="3" t="s">
        <v>3348</v>
      </c>
      <c r="E817" s="3">
        <v>10096645479</v>
      </c>
      <c r="F817" s="3" t="s">
        <v>3349</v>
      </c>
      <c r="G817" s="3" t="s">
        <v>3350</v>
      </c>
      <c r="H817" s="3" t="s">
        <v>56</v>
      </c>
      <c r="I817" s="3" t="s">
        <v>56</v>
      </c>
      <c r="J817" s="3" t="s">
        <v>432</v>
      </c>
      <c r="K817" s="3" t="s">
        <v>3351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 t="s">
        <v>81</v>
      </c>
      <c r="AL817" s="4">
        <v>37340</v>
      </c>
      <c r="AM817" s="3"/>
      <c r="AN817" s="3"/>
    </row>
    <row r="818" spans="1:40" x14ac:dyDescent="0.3">
      <c r="A818" s="3">
        <v>812</v>
      </c>
      <c r="B818" s="3" t="str">
        <f>"1391102"</f>
        <v>1391102</v>
      </c>
      <c r="C818" s="3">
        <v>33858</v>
      </c>
      <c r="D818" s="3" t="s">
        <v>3352</v>
      </c>
      <c r="E818" s="3">
        <v>20100366747</v>
      </c>
      <c r="F818" s="3" t="s">
        <v>258</v>
      </c>
      <c r="G818" s="3" t="s">
        <v>1055</v>
      </c>
      <c r="H818" s="3" t="s">
        <v>56</v>
      </c>
      <c r="I818" s="3" t="s">
        <v>56</v>
      </c>
      <c r="J818" s="3" t="s">
        <v>185</v>
      </c>
      <c r="K818" s="3" t="s">
        <v>3353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 t="s">
        <v>546</v>
      </c>
      <c r="AL818" s="4">
        <v>37589</v>
      </c>
      <c r="AM818" s="3"/>
      <c r="AN818" s="3"/>
    </row>
    <row r="819" spans="1:40" x14ac:dyDescent="0.3">
      <c r="A819" s="3">
        <v>813</v>
      </c>
      <c r="B819" s="3" t="str">
        <f>"1391101"</f>
        <v>1391101</v>
      </c>
      <c r="C819" s="3">
        <v>33859</v>
      </c>
      <c r="D819" s="3" t="s">
        <v>3354</v>
      </c>
      <c r="E819" s="3">
        <v>20100366747</v>
      </c>
      <c r="F819" s="3" t="s">
        <v>258</v>
      </c>
      <c r="G819" s="3" t="s">
        <v>1055</v>
      </c>
      <c r="H819" s="3" t="s">
        <v>56</v>
      </c>
      <c r="I819" s="3" t="s">
        <v>56</v>
      </c>
      <c r="J819" s="3" t="s">
        <v>185</v>
      </c>
      <c r="K819" s="3" t="s">
        <v>3355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 t="s">
        <v>1626</v>
      </c>
      <c r="AL819" s="4">
        <v>37589</v>
      </c>
      <c r="AM819" s="3"/>
      <c r="AN819" s="3"/>
    </row>
    <row r="820" spans="1:40" x14ac:dyDescent="0.3">
      <c r="A820" s="3">
        <v>814</v>
      </c>
      <c r="B820" s="3" t="str">
        <f>"201300096513"</f>
        <v>201300096513</v>
      </c>
      <c r="C820" s="3">
        <v>62585</v>
      </c>
      <c r="D820" s="3" t="s">
        <v>3356</v>
      </c>
      <c r="E820" s="3">
        <v>20543992942</v>
      </c>
      <c r="F820" s="3" t="s">
        <v>540</v>
      </c>
      <c r="G820" s="3" t="s">
        <v>541</v>
      </c>
      <c r="H820" s="3" t="s">
        <v>56</v>
      </c>
      <c r="I820" s="3" t="s">
        <v>56</v>
      </c>
      <c r="J820" s="3" t="s">
        <v>380</v>
      </c>
      <c r="K820" s="3" t="s">
        <v>3357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 t="s">
        <v>645</v>
      </c>
      <c r="AL820" s="3" t="s">
        <v>290</v>
      </c>
      <c r="AM820" s="3"/>
      <c r="AN820" s="3" t="s">
        <v>543</v>
      </c>
    </row>
    <row r="821" spans="1:40" ht="27.95" x14ac:dyDescent="0.3">
      <c r="A821" s="3">
        <v>815</v>
      </c>
      <c r="B821" s="3" t="str">
        <f>"201700197497"</f>
        <v>201700197497</v>
      </c>
      <c r="C821" s="3">
        <v>133023</v>
      </c>
      <c r="D821" s="3" t="s">
        <v>3358</v>
      </c>
      <c r="E821" s="3">
        <v>20602474144</v>
      </c>
      <c r="F821" s="3" t="s">
        <v>3359</v>
      </c>
      <c r="G821" s="3" t="s">
        <v>3360</v>
      </c>
      <c r="H821" s="3" t="s">
        <v>222</v>
      </c>
      <c r="I821" s="3" t="s">
        <v>223</v>
      </c>
      <c r="J821" s="3" t="s">
        <v>224</v>
      </c>
      <c r="K821" s="3" t="s">
        <v>3361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 t="s">
        <v>1668</v>
      </c>
      <c r="AL821" s="4">
        <v>43069</v>
      </c>
      <c r="AM821" s="3"/>
      <c r="AN821" s="3" t="s">
        <v>3362</v>
      </c>
    </row>
    <row r="822" spans="1:40" x14ac:dyDescent="0.3">
      <c r="A822" s="3">
        <v>816</v>
      </c>
      <c r="B822" s="3" t="str">
        <f>"201300096514"</f>
        <v>201300096514</v>
      </c>
      <c r="C822" s="3">
        <v>62569</v>
      </c>
      <c r="D822" s="3" t="s">
        <v>3363</v>
      </c>
      <c r="E822" s="3">
        <v>20543992942</v>
      </c>
      <c r="F822" s="3" t="s">
        <v>540</v>
      </c>
      <c r="G822" s="3" t="s">
        <v>541</v>
      </c>
      <c r="H822" s="3" t="s">
        <v>56</v>
      </c>
      <c r="I822" s="3" t="s">
        <v>56</v>
      </c>
      <c r="J822" s="3" t="s">
        <v>380</v>
      </c>
      <c r="K822" s="3" t="s">
        <v>3364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 t="s">
        <v>157</v>
      </c>
      <c r="AL822" s="3" t="s">
        <v>290</v>
      </c>
      <c r="AM822" s="3"/>
      <c r="AN822" s="3" t="s">
        <v>543</v>
      </c>
    </row>
    <row r="823" spans="1:40" ht="41.95" x14ac:dyDescent="0.3">
      <c r="A823" s="3">
        <v>817</v>
      </c>
      <c r="B823" s="3" t="str">
        <f>"201900198523"</f>
        <v>201900198523</v>
      </c>
      <c r="C823" s="3">
        <v>148080</v>
      </c>
      <c r="D823" s="3" t="s">
        <v>3365</v>
      </c>
      <c r="E823" s="3">
        <v>20605094792</v>
      </c>
      <c r="F823" s="3" t="s">
        <v>3366</v>
      </c>
      <c r="G823" s="3" t="s">
        <v>3367</v>
      </c>
      <c r="H823" s="3" t="s">
        <v>56</v>
      </c>
      <c r="I823" s="3" t="s">
        <v>56</v>
      </c>
      <c r="J823" s="3" t="s">
        <v>69</v>
      </c>
      <c r="K823" s="3" t="s">
        <v>3368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 t="s">
        <v>3369</v>
      </c>
      <c r="AL823" s="4">
        <v>43805</v>
      </c>
      <c r="AM823" s="3"/>
      <c r="AN823" s="3" t="s">
        <v>3370</v>
      </c>
    </row>
    <row r="824" spans="1:40" x14ac:dyDescent="0.3">
      <c r="A824" s="3">
        <v>818</v>
      </c>
      <c r="B824" s="3" t="str">
        <f>"1356829"</f>
        <v>1356829</v>
      </c>
      <c r="C824" s="3">
        <v>21717</v>
      </c>
      <c r="D824" s="3" t="s">
        <v>3371</v>
      </c>
      <c r="E824" s="3">
        <v>20470088240</v>
      </c>
      <c r="F824" s="3" t="s">
        <v>3372</v>
      </c>
      <c r="G824" s="3" t="s">
        <v>3373</v>
      </c>
      <c r="H824" s="3" t="s">
        <v>75</v>
      </c>
      <c r="I824" s="3" t="s">
        <v>75</v>
      </c>
      <c r="J824" s="3" t="s">
        <v>2698</v>
      </c>
      <c r="K824" s="3" t="s">
        <v>3374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 t="s">
        <v>546</v>
      </c>
      <c r="AL824" s="4">
        <v>37340</v>
      </c>
      <c r="AM824" s="3"/>
      <c r="AN824" s="3"/>
    </row>
    <row r="825" spans="1:40" x14ac:dyDescent="0.3">
      <c r="A825" s="3">
        <v>819</v>
      </c>
      <c r="B825" s="3" t="str">
        <f>"201400137303"</f>
        <v>201400137303</v>
      </c>
      <c r="C825" s="3">
        <v>35764</v>
      </c>
      <c r="D825" s="3" t="s">
        <v>3375</v>
      </c>
      <c r="E825" s="3">
        <v>20515858360</v>
      </c>
      <c r="F825" s="3" t="s">
        <v>2968</v>
      </c>
      <c r="G825" s="3" t="s">
        <v>2969</v>
      </c>
      <c r="H825" s="3" t="s">
        <v>56</v>
      </c>
      <c r="I825" s="3" t="s">
        <v>56</v>
      </c>
      <c r="J825" s="3" t="s">
        <v>529</v>
      </c>
      <c r="K825" s="3" t="s">
        <v>3376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 t="s">
        <v>802</v>
      </c>
      <c r="AL825" s="4">
        <v>41942</v>
      </c>
      <c r="AM825" s="3"/>
      <c r="AN825" s="3" t="s">
        <v>1346</v>
      </c>
    </row>
    <row r="826" spans="1:40" x14ac:dyDescent="0.3">
      <c r="A826" s="3">
        <v>820</v>
      </c>
      <c r="B826" s="3" t="str">
        <f>"201800068892"</f>
        <v>201800068892</v>
      </c>
      <c r="C826" s="3">
        <v>135838</v>
      </c>
      <c r="D826" s="3" t="s">
        <v>3377</v>
      </c>
      <c r="E826" s="3">
        <v>10035735025</v>
      </c>
      <c r="F826" s="3" t="s">
        <v>3378</v>
      </c>
      <c r="G826" s="3" t="s">
        <v>3379</v>
      </c>
      <c r="H826" s="3" t="s">
        <v>50</v>
      </c>
      <c r="I826" s="3" t="s">
        <v>749</v>
      </c>
      <c r="J826" s="3" t="s">
        <v>2698</v>
      </c>
      <c r="K826" s="3" t="s">
        <v>3380</v>
      </c>
      <c r="L826" s="3" t="s">
        <v>3381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 t="s">
        <v>3382</v>
      </c>
      <c r="AL826" s="4">
        <v>43229</v>
      </c>
      <c r="AM826" s="3"/>
      <c r="AN826" s="3" t="s">
        <v>3378</v>
      </c>
    </row>
    <row r="827" spans="1:40" x14ac:dyDescent="0.3">
      <c r="A827" s="3">
        <v>821</v>
      </c>
      <c r="B827" s="3" t="str">
        <f>"1586205"</f>
        <v>1586205</v>
      </c>
      <c r="C827" s="3">
        <v>42719</v>
      </c>
      <c r="D827" s="3" t="s">
        <v>3383</v>
      </c>
      <c r="E827" s="3">
        <v>20100176450</v>
      </c>
      <c r="F827" s="3" t="s">
        <v>651</v>
      </c>
      <c r="G827" s="3" t="s">
        <v>3384</v>
      </c>
      <c r="H827" s="3" t="s">
        <v>75</v>
      </c>
      <c r="I827" s="3" t="s">
        <v>75</v>
      </c>
      <c r="J827" s="3" t="s">
        <v>1358</v>
      </c>
      <c r="K827" s="3" t="s">
        <v>3385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 t="s">
        <v>3386</v>
      </c>
      <c r="AL827" s="4">
        <v>38748</v>
      </c>
      <c r="AM827" s="3"/>
      <c r="AN827" s="3"/>
    </row>
    <row r="828" spans="1:40" ht="27.95" x14ac:dyDescent="0.3">
      <c r="A828" s="3">
        <v>822</v>
      </c>
      <c r="B828" s="3" t="str">
        <f>"201800121500"</f>
        <v>201800121500</v>
      </c>
      <c r="C828" s="3">
        <v>137633</v>
      </c>
      <c r="D828" s="3" t="s">
        <v>3387</v>
      </c>
      <c r="E828" s="3">
        <v>20478005289</v>
      </c>
      <c r="F828" s="3" t="s">
        <v>366</v>
      </c>
      <c r="G828" s="3" t="s">
        <v>1933</v>
      </c>
      <c r="H828" s="3" t="s">
        <v>56</v>
      </c>
      <c r="I828" s="3" t="s">
        <v>56</v>
      </c>
      <c r="J828" s="3" t="s">
        <v>363</v>
      </c>
      <c r="K828" s="3" t="s">
        <v>3388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 t="s">
        <v>3389</v>
      </c>
      <c r="AL828" s="4">
        <v>43305</v>
      </c>
      <c r="AM828" s="3"/>
      <c r="AN828" s="3" t="s">
        <v>372</v>
      </c>
    </row>
    <row r="829" spans="1:40" x14ac:dyDescent="0.3">
      <c r="A829" s="3">
        <v>823</v>
      </c>
      <c r="B829" s="3" t="str">
        <f>"1548821"</f>
        <v>1548821</v>
      </c>
      <c r="C829" s="3">
        <v>40416</v>
      </c>
      <c r="D829" s="3" t="s">
        <v>3390</v>
      </c>
      <c r="E829" s="3">
        <v>10099073093</v>
      </c>
      <c r="F829" s="3" t="s">
        <v>3391</v>
      </c>
      <c r="G829" s="3" t="s">
        <v>3392</v>
      </c>
      <c r="H829" s="3" t="s">
        <v>56</v>
      </c>
      <c r="I829" s="3" t="s">
        <v>56</v>
      </c>
      <c r="J829" s="3" t="s">
        <v>63</v>
      </c>
      <c r="K829" s="3" t="s">
        <v>3393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 t="s">
        <v>81</v>
      </c>
      <c r="AL829" s="4">
        <v>38568</v>
      </c>
      <c r="AM829" s="3"/>
      <c r="AN829" s="3"/>
    </row>
    <row r="830" spans="1:40" x14ac:dyDescent="0.3">
      <c r="A830" s="3">
        <v>824</v>
      </c>
      <c r="B830" s="3" t="str">
        <f>"1729512"</f>
        <v>1729512</v>
      </c>
      <c r="C830" s="3">
        <v>19568</v>
      </c>
      <c r="D830" s="3" t="s">
        <v>3394</v>
      </c>
      <c r="E830" s="3">
        <v>10192055992</v>
      </c>
      <c r="F830" s="3" t="s">
        <v>3395</v>
      </c>
      <c r="G830" s="3" t="s">
        <v>3396</v>
      </c>
      <c r="H830" s="3" t="s">
        <v>318</v>
      </c>
      <c r="I830" s="3" t="s">
        <v>319</v>
      </c>
      <c r="J830" s="3" t="s">
        <v>319</v>
      </c>
      <c r="K830" s="3" t="s">
        <v>3397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 t="s">
        <v>218</v>
      </c>
      <c r="AL830" s="4">
        <v>39366</v>
      </c>
      <c r="AM830" s="3"/>
      <c r="AN830" s="3"/>
    </row>
    <row r="831" spans="1:40" x14ac:dyDescent="0.3">
      <c r="A831" s="3">
        <v>825</v>
      </c>
      <c r="B831" s="3" t="str">
        <f>"1123746"</f>
        <v>1123746</v>
      </c>
      <c r="C831" s="3">
        <v>3416</v>
      </c>
      <c r="D831" s="3" t="s">
        <v>3398</v>
      </c>
      <c r="E831" s="3">
        <v>10004394548</v>
      </c>
      <c r="F831" s="3" t="s">
        <v>3399</v>
      </c>
      <c r="G831" s="3" t="s">
        <v>3400</v>
      </c>
      <c r="H831" s="3" t="s">
        <v>202</v>
      </c>
      <c r="I831" s="3" t="s">
        <v>202</v>
      </c>
      <c r="J831" s="3" t="s">
        <v>904</v>
      </c>
      <c r="K831" s="3" t="s">
        <v>3401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 t="s">
        <v>842</v>
      </c>
      <c r="AL831" s="4">
        <v>36796</v>
      </c>
      <c r="AM831" s="3"/>
      <c r="AN831" s="3"/>
    </row>
    <row r="832" spans="1:40" x14ac:dyDescent="0.3">
      <c r="A832" s="3">
        <v>826</v>
      </c>
      <c r="B832" s="3" t="str">
        <f>"1123745"</f>
        <v>1123745</v>
      </c>
      <c r="C832" s="3">
        <v>3413</v>
      </c>
      <c r="D832" s="3">
        <v>1123745</v>
      </c>
      <c r="E832" s="3">
        <v>20214522978</v>
      </c>
      <c r="F832" s="3" t="s">
        <v>3402</v>
      </c>
      <c r="G832" s="3" t="s">
        <v>3403</v>
      </c>
      <c r="H832" s="3" t="s">
        <v>202</v>
      </c>
      <c r="I832" s="3" t="s">
        <v>202</v>
      </c>
      <c r="J832" s="3" t="s">
        <v>202</v>
      </c>
      <c r="K832" s="3" t="s">
        <v>3404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 t="s">
        <v>842</v>
      </c>
      <c r="AL832" s="4">
        <v>35564</v>
      </c>
      <c r="AM832" s="3"/>
      <c r="AN832" s="3"/>
    </row>
    <row r="833" spans="1:40" ht="27.95" x14ac:dyDescent="0.3">
      <c r="A833" s="3">
        <v>827</v>
      </c>
      <c r="B833" s="3" t="str">
        <f>"1955620"</f>
        <v>1955620</v>
      </c>
      <c r="C833" s="3">
        <v>84612</v>
      </c>
      <c r="D833" s="3" t="s">
        <v>3405</v>
      </c>
      <c r="E833" s="3">
        <v>20513929227</v>
      </c>
      <c r="F833" s="3" t="s">
        <v>3406</v>
      </c>
      <c r="G833" s="3" t="s">
        <v>3407</v>
      </c>
      <c r="H833" s="3" t="s">
        <v>56</v>
      </c>
      <c r="I833" s="3" t="s">
        <v>56</v>
      </c>
      <c r="J833" s="3" t="s">
        <v>331</v>
      </c>
      <c r="K833" s="3" t="s">
        <v>3408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 t="s">
        <v>583</v>
      </c>
      <c r="AL833" s="4">
        <v>40277</v>
      </c>
      <c r="AM833" s="3"/>
      <c r="AN833" s="3"/>
    </row>
    <row r="834" spans="1:40" x14ac:dyDescent="0.3">
      <c r="A834" s="3">
        <v>828</v>
      </c>
      <c r="B834" s="3" t="str">
        <f>"1123742"</f>
        <v>1123742</v>
      </c>
      <c r="C834" s="3">
        <v>3282</v>
      </c>
      <c r="D834" s="3">
        <v>1123742</v>
      </c>
      <c r="E834" s="3">
        <v>20534895241</v>
      </c>
      <c r="F834" s="3" t="s">
        <v>3409</v>
      </c>
      <c r="G834" s="3" t="s">
        <v>3410</v>
      </c>
      <c r="H834" s="3" t="s">
        <v>202</v>
      </c>
      <c r="I834" s="3" t="s">
        <v>202</v>
      </c>
      <c r="J834" s="3" t="s">
        <v>202</v>
      </c>
      <c r="K834" s="3" t="s">
        <v>3411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 t="s">
        <v>167</v>
      </c>
      <c r="AL834" s="4">
        <v>35564</v>
      </c>
      <c r="AM834" s="3"/>
      <c r="AN834" s="3"/>
    </row>
    <row r="835" spans="1:40" ht="27.95" x14ac:dyDescent="0.3">
      <c r="A835" s="3">
        <v>829</v>
      </c>
      <c r="B835" s="3" t="str">
        <f>"201200164832"</f>
        <v>201200164832</v>
      </c>
      <c r="C835" s="3">
        <v>98156</v>
      </c>
      <c r="D835" s="3" t="s">
        <v>3412</v>
      </c>
      <c r="E835" s="3">
        <v>10293703669</v>
      </c>
      <c r="F835" s="3" t="s">
        <v>3413</v>
      </c>
      <c r="G835" s="3" t="s">
        <v>3414</v>
      </c>
      <c r="H835" s="3" t="s">
        <v>97</v>
      </c>
      <c r="I835" s="3" t="s">
        <v>97</v>
      </c>
      <c r="J835" s="3" t="s">
        <v>417</v>
      </c>
      <c r="K835" s="3" t="s">
        <v>3415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 t="s">
        <v>167</v>
      </c>
      <c r="AL835" s="4">
        <v>41169</v>
      </c>
      <c r="AM835" s="3"/>
      <c r="AN835" s="3" t="s">
        <v>3413</v>
      </c>
    </row>
    <row r="836" spans="1:40" x14ac:dyDescent="0.3">
      <c r="A836" s="3">
        <v>830</v>
      </c>
      <c r="B836" s="3" t="str">
        <f>"201800128474"</f>
        <v>201800128474</v>
      </c>
      <c r="C836" s="3">
        <v>137866</v>
      </c>
      <c r="D836" s="3" t="s">
        <v>3416</v>
      </c>
      <c r="E836" s="3">
        <v>20492757226</v>
      </c>
      <c r="F836" s="3" t="s">
        <v>3417</v>
      </c>
      <c r="G836" s="3" t="s">
        <v>3418</v>
      </c>
      <c r="H836" s="3" t="s">
        <v>56</v>
      </c>
      <c r="I836" s="3" t="s">
        <v>56</v>
      </c>
      <c r="J836" s="3" t="s">
        <v>363</v>
      </c>
      <c r="K836" s="3" t="s">
        <v>3419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 t="s">
        <v>52</v>
      </c>
      <c r="AL836" s="4">
        <v>43319</v>
      </c>
      <c r="AM836" s="3"/>
      <c r="AN836" s="3" t="s">
        <v>3420</v>
      </c>
    </row>
    <row r="837" spans="1:40" x14ac:dyDescent="0.3">
      <c r="A837" s="3">
        <v>831</v>
      </c>
      <c r="B837" s="3" t="str">
        <f>"201900003092"</f>
        <v>201900003092</v>
      </c>
      <c r="C837" s="3">
        <v>140664</v>
      </c>
      <c r="D837" s="3" t="s">
        <v>3421</v>
      </c>
      <c r="E837" s="3">
        <v>20602801692</v>
      </c>
      <c r="F837" s="3" t="s">
        <v>3422</v>
      </c>
      <c r="G837" s="3" t="s">
        <v>3423</v>
      </c>
      <c r="H837" s="3" t="s">
        <v>357</v>
      </c>
      <c r="I837" s="3" t="s">
        <v>357</v>
      </c>
      <c r="J837" s="3" t="s">
        <v>357</v>
      </c>
      <c r="K837" s="3" t="s">
        <v>3424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 t="s">
        <v>2587</v>
      </c>
      <c r="AL837" s="4">
        <v>43474</v>
      </c>
      <c r="AM837" s="3"/>
      <c r="AN837" s="3" t="s">
        <v>3425</v>
      </c>
    </row>
    <row r="838" spans="1:40" ht="27.95" x14ac:dyDescent="0.3">
      <c r="A838" s="3">
        <v>832</v>
      </c>
      <c r="B838" s="3" t="str">
        <f>"201800123854"</f>
        <v>201800123854</v>
      </c>
      <c r="C838" s="3">
        <v>137709</v>
      </c>
      <c r="D838" s="3" t="s">
        <v>3426</v>
      </c>
      <c r="E838" s="3">
        <v>20525521509</v>
      </c>
      <c r="F838" s="3" t="s">
        <v>189</v>
      </c>
      <c r="G838" s="3" t="s">
        <v>984</v>
      </c>
      <c r="H838" s="3" t="s">
        <v>50</v>
      </c>
      <c r="I838" s="3" t="s">
        <v>50</v>
      </c>
      <c r="J838" s="3" t="s">
        <v>50</v>
      </c>
      <c r="K838" s="3" t="s">
        <v>3427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 t="s">
        <v>1014</v>
      </c>
      <c r="AL838" s="4">
        <v>43314</v>
      </c>
      <c r="AM838" s="3"/>
      <c r="AN838" s="3" t="s">
        <v>817</v>
      </c>
    </row>
    <row r="839" spans="1:40" x14ac:dyDescent="0.3">
      <c r="A839" s="3">
        <v>833</v>
      </c>
      <c r="B839" s="3" t="str">
        <f>"201800128479"</f>
        <v>201800128479</v>
      </c>
      <c r="C839" s="3">
        <v>137867</v>
      </c>
      <c r="D839" s="3" t="s">
        <v>3428</v>
      </c>
      <c r="E839" s="3">
        <v>20601701252</v>
      </c>
      <c r="F839" s="3" t="s">
        <v>3429</v>
      </c>
      <c r="G839" s="3" t="s">
        <v>3430</v>
      </c>
      <c r="H839" s="3" t="s">
        <v>56</v>
      </c>
      <c r="I839" s="3" t="s">
        <v>56</v>
      </c>
      <c r="J839" s="3" t="s">
        <v>309</v>
      </c>
      <c r="K839" s="3" t="s">
        <v>3431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 t="s">
        <v>3432</v>
      </c>
      <c r="AL839" s="4">
        <v>43325</v>
      </c>
      <c r="AM839" s="3"/>
      <c r="AN839" s="3" t="s">
        <v>3433</v>
      </c>
    </row>
    <row r="840" spans="1:40" x14ac:dyDescent="0.3">
      <c r="A840" s="3">
        <v>834</v>
      </c>
      <c r="B840" s="3" t="str">
        <f>"201200025617"</f>
        <v>201200025617</v>
      </c>
      <c r="C840" s="3">
        <v>95977</v>
      </c>
      <c r="D840" s="3" t="s">
        <v>3434</v>
      </c>
      <c r="E840" s="3">
        <v>10088522121</v>
      </c>
      <c r="F840" s="3" t="s">
        <v>3435</v>
      </c>
      <c r="G840" s="3" t="s">
        <v>3436</v>
      </c>
      <c r="H840" s="3" t="s">
        <v>75</v>
      </c>
      <c r="I840" s="3" t="s">
        <v>75</v>
      </c>
      <c r="J840" s="3" t="s">
        <v>76</v>
      </c>
      <c r="K840" s="3" t="s">
        <v>3437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 t="s">
        <v>226</v>
      </c>
      <c r="AL840" s="4">
        <v>40966</v>
      </c>
      <c r="AM840" s="3"/>
      <c r="AN840" s="3" t="s">
        <v>3435</v>
      </c>
    </row>
    <row r="841" spans="1:40" x14ac:dyDescent="0.3">
      <c r="A841" s="3">
        <v>835</v>
      </c>
      <c r="B841" s="3" t="str">
        <f>"1411642"</f>
        <v>1411642</v>
      </c>
      <c r="C841" s="3">
        <v>88190</v>
      </c>
      <c r="D841" s="3" t="s">
        <v>3438</v>
      </c>
      <c r="E841" s="3">
        <v>20111052621</v>
      </c>
      <c r="F841" s="3" t="s">
        <v>3439</v>
      </c>
      <c r="G841" s="3" t="s">
        <v>3440</v>
      </c>
      <c r="H841" s="3" t="s">
        <v>56</v>
      </c>
      <c r="I841" s="3" t="s">
        <v>56</v>
      </c>
      <c r="J841" s="3" t="s">
        <v>2724</v>
      </c>
      <c r="K841" s="3" t="s">
        <v>3441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 t="s">
        <v>3442</v>
      </c>
      <c r="AL841" s="4">
        <v>40437</v>
      </c>
      <c r="AM841" s="3"/>
      <c r="AN841" s="3" t="s">
        <v>3443</v>
      </c>
    </row>
    <row r="842" spans="1:40" x14ac:dyDescent="0.3">
      <c r="A842" s="3">
        <v>836</v>
      </c>
      <c r="B842" s="3" t="str">
        <f>"201200143171"</f>
        <v>201200143171</v>
      </c>
      <c r="C842" s="3">
        <v>97647</v>
      </c>
      <c r="D842" s="3" t="s">
        <v>3444</v>
      </c>
      <c r="E842" s="3">
        <v>20450509125</v>
      </c>
      <c r="F842" s="3" t="s">
        <v>1862</v>
      </c>
      <c r="G842" s="3" t="s">
        <v>3445</v>
      </c>
      <c r="H842" s="3" t="s">
        <v>446</v>
      </c>
      <c r="I842" s="3" t="s">
        <v>895</v>
      </c>
      <c r="J842" s="3" t="s">
        <v>896</v>
      </c>
      <c r="K842" s="3" t="s">
        <v>3446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 t="s">
        <v>230</v>
      </c>
      <c r="AL842" s="4">
        <v>41122</v>
      </c>
      <c r="AM842" s="3"/>
      <c r="AN842" s="3" t="s">
        <v>1866</v>
      </c>
    </row>
    <row r="843" spans="1:40" x14ac:dyDescent="0.3">
      <c r="A843" s="3">
        <v>837</v>
      </c>
      <c r="B843" s="3" t="str">
        <f>"201500009048"</f>
        <v>201500009048</v>
      </c>
      <c r="C843" s="3">
        <v>83634</v>
      </c>
      <c r="D843" s="3" t="s">
        <v>3447</v>
      </c>
      <c r="E843" s="3">
        <v>20349264413</v>
      </c>
      <c r="F843" s="3" t="s">
        <v>287</v>
      </c>
      <c r="G843" s="3" t="s">
        <v>288</v>
      </c>
      <c r="H843" s="3" t="s">
        <v>56</v>
      </c>
      <c r="I843" s="3" t="s">
        <v>56</v>
      </c>
      <c r="J843" s="3" t="s">
        <v>105</v>
      </c>
      <c r="K843" s="3" t="s">
        <v>3448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 t="s">
        <v>3449</v>
      </c>
      <c r="AL843" s="4">
        <v>42051</v>
      </c>
      <c r="AM843" s="3"/>
      <c r="AN843" s="3" t="s">
        <v>291</v>
      </c>
    </row>
    <row r="844" spans="1:40" x14ac:dyDescent="0.3">
      <c r="A844" s="3">
        <v>838</v>
      </c>
      <c r="B844" s="3" t="str">
        <f>"1129801"</f>
        <v>1129801</v>
      </c>
      <c r="C844" s="3">
        <v>6114</v>
      </c>
      <c r="D844" s="3">
        <v>1129801</v>
      </c>
      <c r="E844" s="3">
        <v>10308220881</v>
      </c>
      <c r="F844" s="3" t="s">
        <v>3450</v>
      </c>
      <c r="G844" s="3" t="s">
        <v>3451</v>
      </c>
      <c r="H844" s="3" t="s">
        <v>97</v>
      </c>
      <c r="I844" s="3" t="s">
        <v>3452</v>
      </c>
      <c r="J844" s="3" t="s">
        <v>3453</v>
      </c>
      <c r="K844" s="3" t="s">
        <v>3454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 t="s">
        <v>353</v>
      </c>
      <c r="AL844" s="4">
        <v>35593</v>
      </c>
      <c r="AM844" s="3"/>
      <c r="AN844" s="3"/>
    </row>
    <row r="845" spans="1:40" x14ac:dyDescent="0.3">
      <c r="A845" s="3">
        <v>839</v>
      </c>
      <c r="B845" s="3" t="str">
        <f>"1123739"</f>
        <v>1123739</v>
      </c>
      <c r="C845" s="3">
        <v>3281</v>
      </c>
      <c r="D845" s="3">
        <v>1123739</v>
      </c>
      <c r="E845" s="3">
        <v>20135807665</v>
      </c>
      <c r="F845" s="3" t="s">
        <v>1217</v>
      </c>
      <c r="G845" s="3" t="s">
        <v>3455</v>
      </c>
      <c r="H845" s="3" t="s">
        <v>202</v>
      </c>
      <c r="I845" s="3" t="s">
        <v>202</v>
      </c>
      <c r="J845" s="3" t="s">
        <v>203</v>
      </c>
      <c r="K845" s="3" t="s">
        <v>3456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 t="s">
        <v>167</v>
      </c>
      <c r="AL845" s="4">
        <v>35564</v>
      </c>
      <c r="AM845" s="3"/>
      <c r="AN845" s="3"/>
    </row>
    <row r="846" spans="1:40" ht="27.95" x14ac:dyDescent="0.3">
      <c r="A846" s="3">
        <v>840</v>
      </c>
      <c r="B846" s="3" t="str">
        <f>"201500156130"</f>
        <v>201500156130</v>
      </c>
      <c r="C846" s="3">
        <v>118648</v>
      </c>
      <c r="D846" s="3" t="s">
        <v>3457</v>
      </c>
      <c r="E846" s="3">
        <v>20264870721</v>
      </c>
      <c r="F846" s="3" t="s">
        <v>3458</v>
      </c>
      <c r="G846" s="3" t="s">
        <v>3459</v>
      </c>
      <c r="H846" s="3" t="s">
        <v>56</v>
      </c>
      <c r="I846" s="3" t="s">
        <v>56</v>
      </c>
      <c r="J846" s="3" t="s">
        <v>529</v>
      </c>
      <c r="K846" s="3" t="s">
        <v>3460</v>
      </c>
      <c r="L846" s="3" t="s">
        <v>3461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 t="s">
        <v>2869</v>
      </c>
      <c r="AL846" s="4">
        <v>42341</v>
      </c>
      <c r="AM846" s="3"/>
      <c r="AN846" s="3" t="s">
        <v>2099</v>
      </c>
    </row>
    <row r="847" spans="1:40" x14ac:dyDescent="0.3">
      <c r="A847" s="3">
        <v>841</v>
      </c>
      <c r="B847" s="3" t="str">
        <f>"201700133320"</f>
        <v>201700133320</v>
      </c>
      <c r="C847" s="3">
        <v>131282</v>
      </c>
      <c r="D847" s="3" t="s">
        <v>3462</v>
      </c>
      <c r="E847" s="3">
        <v>20451294891</v>
      </c>
      <c r="F847" s="3" t="s">
        <v>3463</v>
      </c>
      <c r="G847" s="3" t="s">
        <v>3464</v>
      </c>
      <c r="H847" s="3" t="s">
        <v>245</v>
      </c>
      <c r="I847" s="3" t="s">
        <v>246</v>
      </c>
      <c r="J847" s="3" t="s">
        <v>659</v>
      </c>
      <c r="K847" s="3" t="s">
        <v>3465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 t="s">
        <v>157</v>
      </c>
      <c r="AL847" s="4">
        <v>42983</v>
      </c>
      <c r="AM847" s="3"/>
      <c r="AN847" s="3" t="s">
        <v>3466</v>
      </c>
    </row>
    <row r="848" spans="1:40" x14ac:dyDescent="0.3">
      <c r="A848" s="3">
        <v>842</v>
      </c>
      <c r="B848" s="3" t="str">
        <f>"1123732"</f>
        <v>1123732</v>
      </c>
      <c r="C848" s="3">
        <v>3412</v>
      </c>
      <c r="D848" s="3">
        <v>1123732</v>
      </c>
      <c r="E848" s="3">
        <v>20135807665</v>
      </c>
      <c r="F848" s="3" t="s">
        <v>1217</v>
      </c>
      <c r="G848" s="3" t="s">
        <v>3455</v>
      </c>
      <c r="H848" s="3" t="s">
        <v>202</v>
      </c>
      <c r="I848" s="3" t="s">
        <v>202</v>
      </c>
      <c r="J848" s="3" t="s">
        <v>203</v>
      </c>
      <c r="K848" s="3" t="s">
        <v>3467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 t="s">
        <v>81</v>
      </c>
      <c r="AL848" s="4">
        <v>35564</v>
      </c>
      <c r="AM848" s="3"/>
      <c r="AN848" s="3"/>
    </row>
    <row r="849" spans="1:40" ht="27.95" x14ac:dyDescent="0.3">
      <c r="A849" s="3">
        <v>843</v>
      </c>
      <c r="B849" s="3" t="str">
        <f>"201200164820"</f>
        <v>201200164820</v>
      </c>
      <c r="C849" s="3">
        <v>98155</v>
      </c>
      <c r="D849" s="3" t="s">
        <v>3468</v>
      </c>
      <c r="E849" s="3">
        <v>10293703669</v>
      </c>
      <c r="F849" s="3" t="s">
        <v>3413</v>
      </c>
      <c r="G849" s="3" t="s">
        <v>3469</v>
      </c>
      <c r="H849" s="3" t="s">
        <v>97</v>
      </c>
      <c r="I849" s="3" t="s">
        <v>97</v>
      </c>
      <c r="J849" s="3" t="s">
        <v>417</v>
      </c>
      <c r="K849" s="3" t="s">
        <v>3470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 t="s">
        <v>167</v>
      </c>
      <c r="AL849" s="4">
        <v>41169</v>
      </c>
      <c r="AM849" s="3"/>
      <c r="AN849" s="3" t="s">
        <v>3413</v>
      </c>
    </row>
    <row r="850" spans="1:40" x14ac:dyDescent="0.3">
      <c r="A850" s="3">
        <v>844</v>
      </c>
      <c r="B850" s="3" t="str">
        <f>"1123733"</f>
        <v>1123733</v>
      </c>
      <c r="C850" s="3">
        <v>3419</v>
      </c>
      <c r="D850" s="3">
        <v>1123733</v>
      </c>
      <c r="E850" s="3">
        <v>20534895241</v>
      </c>
      <c r="F850" s="3" t="s">
        <v>3409</v>
      </c>
      <c r="G850" s="3" t="s">
        <v>3410</v>
      </c>
      <c r="H850" s="3" t="s">
        <v>202</v>
      </c>
      <c r="I850" s="3" t="s">
        <v>202</v>
      </c>
      <c r="J850" s="3" t="s">
        <v>202</v>
      </c>
      <c r="K850" s="3" t="s">
        <v>3471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 t="s">
        <v>167</v>
      </c>
      <c r="AL850" s="4">
        <v>35564</v>
      </c>
      <c r="AM850" s="3"/>
      <c r="AN850" s="3"/>
    </row>
    <row r="851" spans="1:40" ht="27.95" x14ac:dyDescent="0.3">
      <c r="A851" s="3">
        <v>845</v>
      </c>
      <c r="B851" s="3" t="str">
        <f>"201300197096"</f>
        <v>201300197096</v>
      </c>
      <c r="C851" s="3">
        <v>105211</v>
      </c>
      <c r="D851" s="3" t="s">
        <v>3472</v>
      </c>
      <c r="E851" s="3">
        <v>10806688903</v>
      </c>
      <c r="F851" s="3" t="s">
        <v>3473</v>
      </c>
      <c r="G851" s="3" t="s">
        <v>3474</v>
      </c>
      <c r="H851" s="3" t="s">
        <v>222</v>
      </c>
      <c r="I851" s="3" t="s">
        <v>223</v>
      </c>
      <c r="J851" s="3" t="s">
        <v>224</v>
      </c>
      <c r="K851" s="3" t="s">
        <v>3475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 t="s">
        <v>546</v>
      </c>
      <c r="AL851" s="4">
        <v>41661</v>
      </c>
      <c r="AM851" s="3"/>
      <c r="AN851" s="3" t="s">
        <v>3473</v>
      </c>
    </row>
    <row r="852" spans="1:40" x14ac:dyDescent="0.3">
      <c r="A852" s="3">
        <v>846</v>
      </c>
      <c r="B852" s="3" t="str">
        <f>"201200124809"</f>
        <v>201200124809</v>
      </c>
      <c r="C852" s="3">
        <v>97171</v>
      </c>
      <c r="D852" s="3" t="s">
        <v>3476</v>
      </c>
      <c r="E852" s="3">
        <v>20525800050</v>
      </c>
      <c r="F852" s="3" t="s">
        <v>2048</v>
      </c>
      <c r="G852" s="3" t="s">
        <v>3477</v>
      </c>
      <c r="H852" s="3" t="s">
        <v>50</v>
      </c>
      <c r="I852" s="3" t="s">
        <v>2050</v>
      </c>
      <c r="J852" s="3" t="s">
        <v>2050</v>
      </c>
      <c r="K852" s="3" t="s">
        <v>3478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 t="s">
        <v>3479</v>
      </c>
      <c r="AL852" s="4">
        <v>41075</v>
      </c>
      <c r="AM852" s="3"/>
      <c r="AN852" s="3" t="s">
        <v>2053</v>
      </c>
    </row>
    <row r="853" spans="1:40" x14ac:dyDescent="0.3">
      <c r="A853" s="3">
        <v>847</v>
      </c>
      <c r="B853" s="3" t="str">
        <f>"201800029669"</f>
        <v>201800029669</v>
      </c>
      <c r="C853" s="3">
        <v>134635</v>
      </c>
      <c r="D853" s="3" t="s">
        <v>3480</v>
      </c>
      <c r="E853" s="3">
        <v>20601661552</v>
      </c>
      <c r="F853" s="3" t="s">
        <v>3481</v>
      </c>
      <c r="G853" s="3" t="s">
        <v>3482</v>
      </c>
      <c r="H853" s="3" t="s">
        <v>172</v>
      </c>
      <c r="I853" s="3" t="s">
        <v>172</v>
      </c>
      <c r="J853" s="3" t="s">
        <v>173</v>
      </c>
      <c r="K853" s="3" t="s">
        <v>3483</v>
      </c>
      <c r="L853" s="3" t="s">
        <v>458</v>
      </c>
      <c r="M853" s="3" t="s">
        <v>3484</v>
      </c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 t="s">
        <v>3485</v>
      </c>
      <c r="AL853" s="4">
        <v>43157</v>
      </c>
      <c r="AM853" s="3"/>
      <c r="AN853" s="3" t="s">
        <v>3486</v>
      </c>
    </row>
    <row r="854" spans="1:40" ht="27.95" x14ac:dyDescent="0.3">
      <c r="A854" s="3">
        <v>848</v>
      </c>
      <c r="B854" s="3" t="str">
        <f>"201900087389"</f>
        <v>201900087389</v>
      </c>
      <c r="C854" s="3">
        <v>144378</v>
      </c>
      <c r="D854" s="3" t="s">
        <v>3487</v>
      </c>
      <c r="E854" s="3">
        <v>10336680196</v>
      </c>
      <c r="F854" s="3" t="s">
        <v>3488</v>
      </c>
      <c r="G854" s="3" t="s">
        <v>3489</v>
      </c>
      <c r="H854" s="3" t="s">
        <v>318</v>
      </c>
      <c r="I854" s="3" t="s">
        <v>319</v>
      </c>
      <c r="J854" s="3" t="s">
        <v>495</v>
      </c>
      <c r="K854" s="3" t="s">
        <v>3490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 t="s">
        <v>3491</v>
      </c>
      <c r="AL854" s="4">
        <v>43620</v>
      </c>
      <c r="AM854" s="3"/>
      <c r="AN854" s="3" t="s">
        <v>3488</v>
      </c>
    </row>
    <row r="855" spans="1:40" x14ac:dyDescent="0.3">
      <c r="A855" s="3">
        <v>849</v>
      </c>
      <c r="B855" s="3" t="str">
        <f>"1123730"</f>
        <v>1123730</v>
      </c>
      <c r="C855" s="3">
        <v>3420</v>
      </c>
      <c r="D855" s="3">
        <v>1123730</v>
      </c>
      <c r="E855" s="3">
        <v>20178579674</v>
      </c>
      <c r="F855" s="3" t="s">
        <v>3492</v>
      </c>
      <c r="G855" s="3" t="s">
        <v>3493</v>
      </c>
      <c r="H855" s="3" t="s">
        <v>202</v>
      </c>
      <c r="I855" s="3" t="s">
        <v>202</v>
      </c>
      <c r="J855" s="3" t="s">
        <v>202</v>
      </c>
      <c r="K855" s="3" t="s">
        <v>3494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 t="s">
        <v>614</v>
      </c>
      <c r="AL855" s="4">
        <v>35564</v>
      </c>
      <c r="AM855" s="3"/>
      <c r="AN855" s="3"/>
    </row>
    <row r="856" spans="1:40" x14ac:dyDescent="0.3">
      <c r="A856" s="3">
        <v>850</v>
      </c>
      <c r="B856" s="3" t="str">
        <f>"1150879"</f>
        <v>1150879</v>
      </c>
      <c r="C856" s="3">
        <v>3378</v>
      </c>
      <c r="D856" s="3">
        <v>1150879</v>
      </c>
      <c r="E856" s="3">
        <v>20510740760</v>
      </c>
      <c r="F856" s="3" t="s">
        <v>3495</v>
      </c>
      <c r="G856" s="3" t="s">
        <v>3496</v>
      </c>
      <c r="H856" s="3" t="s">
        <v>56</v>
      </c>
      <c r="I856" s="3" t="s">
        <v>56</v>
      </c>
      <c r="J856" s="3" t="s">
        <v>432</v>
      </c>
      <c r="K856" s="3" t="s">
        <v>3497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 t="s">
        <v>842</v>
      </c>
      <c r="AL856" s="4">
        <v>35690</v>
      </c>
      <c r="AM856" s="3"/>
      <c r="AN856" s="3"/>
    </row>
    <row r="857" spans="1:40" ht="27.95" x14ac:dyDescent="0.3">
      <c r="A857" s="3">
        <v>851</v>
      </c>
      <c r="B857" s="3" t="str">
        <f>"202000144030"</f>
        <v>202000144030</v>
      </c>
      <c r="C857" s="3">
        <v>151902</v>
      </c>
      <c r="D857" s="3" t="s">
        <v>3498</v>
      </c>
      <c r="E857" s="3">
        <v>20490379291</v>
      </c>
      <c r="F857" s="3" t="s">
        <v>3499</v>
      </c>
      <c r="G857" s="3" t="s">
        <v>3500</v>
      </c>
      <c r="H857" s="3" t="s">
        <v>446</v>
      </c>
      <c r="I857" s="3" t="s">
        <v>3501</v>
      </c>
      <c r="J857" s="3" t="s">
        <v>3501</v>
      </c>
      <c r="K857" s="3" t="s">
        <v>3502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 t="s">
        <v>1341</v>
      </c>
      <c r="AL857" s="4">
        <v>44123</v>
      </c>
      <c r="AM857" s="3"/>
      <c r="AN857" s="3" t="s">
        <v>3503</v>
      </c>
    </row>
    <row r="858" spans="1:40" x14ac:dyDescent="0.3">
      <c r="A858" s="3">
        <v>852</v>
      </c>
      <c r="B858" s="3" t="str">
        <f>"201700194956"</f>
        <v>201700194956</v>
      </c>
      <c r="C858" s="3">
        <v>132955</v>
      </c>
      <c r="D858" s="3" t="s">
        <v>3504</v>
      </c>
      <c r="E858" s="3">
        <v>20569021392</v>
      </c>
      <c r="F858" s="3" t="s">
        <v>3505</v>
      </c>
      <c r="G858" s="3" t="s">
        <v>3506</v>
      </c>
      <c r="H858" s="3" t="s">
        <v>56</v>
      </c>
      <c r="I858" s="3" t="s">
        <v>56</v>
      </c>
      <c r="J858" s="3" t="s">
        <v>363</v>
      </c>
      <c r="K858" s="3" t="s">
        <v>3507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 t="s">
        <v>3508</v>
      </c>
      <c r="AL858" s="4">
        <v>43066</v>
      </c>
      <c r="AM858" s="3"/>
      <c r="AN858" s="3" t="s">
        <v>3509</v>
      </c>
    </row>
    <row r="859" spans="1:40" x14ac:dyDescent="0.3">
      <c r="A859" s="3">
        <v>853</v>
      </c>
      <c r="B859" s="3" t="str">
        <f>"201800209650"</f>
        <v>201800209650</v>
      </c>
      <c r="C859" s="3">
        <v>140171</v>
      </c>
      <c r="D859" s="3" t="s">
        <v>3510</v>
      </c>
      <c r="E859" s="3">
        <v>20538512584</v>
      </c>
      <c r="F859" s="3" t="s">
        <v>3511</v>
      </c>
      <c r="G859" s="3" t="s">
        <v>3512</v>
      </c>
      <c r="H859" s="3" t="s">
        <v>237</v>
      </c>
      <c r="I859" s="3" t="s">
        <v>868</v>
      </c>
      <c r="J859" s="3" t="s">
        <v>2537</v>
      </c>
      <c r="K859" s="3" t="s">
        <v>3513</v>
      </c>
      <c r="L859" s="3" t="s">
        <v>3514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 t="s">
        <v>3515</v>
      </c>
      <c r="AL859" s="4">
        <v>43461</v>
      </c>
      <c r="AM859" s="3"/>
      <c r="AN859" s="3" t="s">
        <v>3516</v>
      </c>
    </row>
    <row r="860" spans="1:40" x14ac:dyDescent="0.3">
      <c r="A860" s="3">
        <v>854</v>
      </c>
      <c r="B860" s="3" t="str">
        <f>"201800160088"</f>
        <v>201800160088</v>
      </c>
      <c r="C860" s="3">
        <v>112164</v>
      </c>
      <c r="D860" s="3" t="s">
        <v>3517</v>
      </c>
      <c r="E860" s="3">
        <v>20565208561</v>
      </c>
      <c r="F860" s="3" t="s">
        <v>3518</v>
      </c>
      <c r="G860" s="3" t="s">
        <v>3519</v>
      </c>
      <c r="H860" s="3" t="s">
        <v>56</v>
      </c>
      <c r="I860" s="3" t="s">
        <v>56</v>
      </c>
      <c r="J860" s="3" t="s">
        <v>1778</v>
      </c>
      <c r="K860" s="3" t="s">
        <v>3520</v>
      </c>
      <c r="L860" s="3" t="s">
        <v>3521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 t="s">
        <v>3522</v>
      </c>
      <c r="AL860" s="4">
        <v>43375</v>
      </c>
      <c r="AM860" s="3"/>
      <c r="AN860" s="3" t="s">
        <v>1781</v>
      </c>
    </row>
    <row r="861" spans="1:40" x14ac:dyDescent="0.3">
      <c r="A861" s="3">
        <v>855</v>
      </c>
      <c r="B861" s="3" t="str">
        <f>"1123727"</f>
        <v>1123727</v>
      </c>
      <c r="C861" s="3">
        <v>3411</v>
      </c>
      <c r="D861" s="3">
        <v>1123727</v>
      </c>
      <c r="E861" s="3">
        <v>20135807665</v>
      </c>
      <c r="F861" s="3" t="s">
        <v>1217</v>
      </c>
      <c r="G861" s="3" t="s">
        <v>3455</v>
      </c>
      <c r="H861" s="3" t="s">
        <v>202</v>
      </c>
      <c r="I861" s="3" t="s">
        <v>202</v>
      </c>
      <c r="J861" s="3" t="s">
        <v>203</v>
      </c>
      <c r="K861" s="3" t="s">
        <v>3523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 t="s">
        <v>118</v>
      </c>
      <c r="AL861" s="4">
        <v>35564</v>
      </c>
      <c r="AM861" s="3"/>
      <c r="AN861" s="3"/>
    </row>
    <row r="862" spans="1:40" x14ac:dyDescent="0.3">
      <c r="A862" s="3">
        <v>856</v>
      </c>
      <c r="B862" s="3" t="str">
        <f>"201500092216"</f>
        <v>201500092216</v>
      </c>
      <c r="C862" s="3">
        <v>116399</v>
      </c>
      <c r="D862" s="3" t="s">
        <v>3524</v>
      </c>
      <c r="E862" s="3">
        <v>10032028573</v>
      </c>
      <c r="F862" s="3" t="s">
        <v>2589</v>
      </c>
      <c r="G862" s="3" t="s">
        <v>3525</v>
      </c>
      <c r="H862" s="3" t="s">
        <v>50</v>
      </c>
      <c r="I862" s="3" t="s">
        <v>2591</v>
      </c>
      <c r="J862" s="3" t="s">
        <v>2591</v>
      </c>
      <c r="K862" s="3" t="s">
        <v>3526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 t="s">
        <v>1014</v>
      </c>
      <c r="AL862" s="4">
        <v>42219</v>
      </c>
      <c r="AM862" s="3"/>
      <c r="AN862" s="3" t="s">
        <v>2589</v>
      </c>
    </row>
    <row r="863" spans="1:40" x14ac:dyDescent="0.3">
      <c r="A863" s="3">
        <v>857</v>
      </c>
      <c r="B863" s="3" t="str">
        <f>"1429929"</f>
        <v>1429929</v>
      </c>
      <c r="C863" s="3">
        <v>89284</v>
      </c>
      <c r="D863" s="3" t="s">
        <v>3527</v>
      </c>
      <c r="E863" s="3">
        <v>20525521509</v>
      </c>
      <c r="F863" s="3" t="s">
        <v>189</v>
      </c>
      <c r="G863" s="3" t="s">
        <v>190</v>
      </c>
      <c r="H863" s="3" t="s">
        <v>50</v>
      </c>
      <c r="I863" s="3" t="s">
        <v>50</v>
      </c>
      <c r="J863" s="3" t="s">
        <v>98</v>
      </c>
      <c r="K863" s="3" t="s">
        <v>3528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 t="s">
        <v>1087</v>
      </c>
      <c r="AL863" s="4">
        <v>40471</v>
      </c>
      <c r="AM863" s="3"/>
      <c r="AN863" s="3" t="s">
        <v>885</v>
      </c>
    </row>
    <row r="864" spans="1:40" x14ac:dyDescent="0.3">
      <c r="A864" s="3">
        <v>858</v>
      </c>
      <c r="B864" s="3" t="str">
        <f>"201300125108"</f>
        <v>201300125108</v>
      </c>
      <c r="C864" s="3">
        <v>103862</v>
      </c>
      <c r="D864" s="3" t="s">
        <v>3529</v>
      </c>
      <c r="E864" s="3">
        <v>10239579324</v>
      </c>
      <c r="F864" s="3" t="s">
        <v>3530</v>
      </c>
      <c r="G864" s="3" t="s">
        <v>3531</v>
      </c>
      <c r="H864" s="3" t="s">
        <v>446</v>
      </c>
      <c r="I864" s="3" t="s">
        <v>3532</v>
      </c>
      <c r="J864" s="3" t="s">
        <v>3533</v>
      </c>
      <c r="K864" s="3" t="s">
        <v>3534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 t="s">
        <v>218</v>
      </c>
      <c r="AL864" s="3" t="s">
        <v>290</v>
      </c>
      <c r="AM864" s="3"/>
      <c r="AN864" s="3" t="s">
        <v>3530</v>
      </c>
    </row>
    <row r="865" spans="1:40" x14ac:dyDescent="0.3">
      <c r="A865" s="3">
        <v>859</v>
      </c>
      <c r="B865" s="3" t="str">
        <f>"201500009060"</f>
        <v>201500009060</v>
      </c>
      <c r="C865" s="3">
        <v>102548</v>
      </c>
      <c r="D865" s="3" t="s">
        <v>3535</v>
      </c>
      <c r="E865" s="3">
        <v>20349264413</v>
      </c>
      <c r="F865" s="3" t="s">
        <v>287</v>
      </c>
      <c r="G865" s="3" t="s">
        <v>288</v>
      </c>
      <c r="H865" s="3" t="s">
        <v>56</v>
      </c>
      <c r="I865" s="3" t="s">
        <v>56</v>
      </c>
      <c r="J865" s="3" t="s">
        <v>105</v>
      </c>
      <c r="K865" s="3" t="s">
        <v>3536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 t="s">
        <v>1248</v>
      </c>
      <c r="AL865" s="4">
        <v>42051</v>
      </c>
      <c r="AM865" s="3"/>
      <c r="AN865" s="3" t="s">
        <v>291</v>
      </c>
    </row>
    <row r="866" spans="1:40" ht="27.95" x14ac:dyDescent="0.3">
      <c r="A866" s="3">
        <v>860</v>
      </c>
      <c r="B866" s="3" t="str">
        <f>"201900137762"</f>
        <v>201900137762</v>
      </c>
      <c r="C866" s="3">
        <v>146140</v>
      </c>
      <c r="D866" s="3" t="s">
        <v>3537</v>
      </c>
      <c r="E866" s="3">
        <v>20478005289</v>
      </c>
      <c r="F866" s="3" t="s">
        <v>366</v>
      </c>
      <c r="G866" s="3" t="s">
        <v>1933</v>
      </c>
      <c r="H866" s="3" t="s">
        <v>56</v>
      </c>
      <c r="I866" s="3" t="s">
        <v>56</v>
      </c>
      <c r="J866" s="3" t="s">
        <v>363</v>
      </c>
      <c r="K866" s="3" t="s">
        <v>3538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 t="s">
        <v>3539</v>
      </c>
      <c r="AL866" s="4">
        <v>43705</v>
      </c>
      <c r="AM866" s="3"/>
      <c r="AN866" s="3" t="s">
        <v>372</v>
      </c>
    </row>
    <row r="867" spans="1:40" x14ac:dyDescent="0.3">
      <c r="A867" s="3">
        <v>861</v>
      </c>
      <c r="B867" s="3" t="str">
        <f>"201700192800"</f>
        <v>201700192800</v>
      </c>
      <c r="C867" s="3">
        <v>132914</v>
      </c>
      <c r="D867" s="3" t="s">
        <v>3540</v>
      </c>
      <c r="E867" s="3">
        <v>20510976887</v>
      </c>
      <c r="F867" s="3" t="s">
        <v>693</v>
      </c>
      <c r="G867" s="3" t="s">
        <v>2547</v>
      </c>
      <c r="H867" s="3" t="s">
        <v>56</v>
      </c>
      <c r="I867" s="3" t="s">
        <v>56</v>
      </c>
      <c r="J867" s="3" t="s">
        <v>131</v>
      </c>
      <c r="K867" s="3" t="s">
        <v>3541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 t="s">
        <v>1003</v>
      </c>
      <c r="AL867" s="4">
        <v>43060</v>
      </c>
      <c r="AM867" s="3"/>
      <c r="AN867" s="3" t="s">
        <v>671</v>
      </c>
    </row>
    <row r="868" spans="1:40" ht="27.95" x14ac:dyDescent="0.3">
      <c r="A868" s="3">
        <v>862</v>
      </c>
      <c r="B868" s="3" t="str">
        <f>"201200038704"</f>
        <v>201200038704</v>
      </c>
      <c r="C868" s="3">
        <v>96221</v>
      </c>
      <c r="D868" s="3" t="s">
        <v>3542</v>
      </c>
      <c r="E868" s="3">
        <v>20462279991</v>
      </c>
      <c r="F868" s="3" t="s">
        <v>3543</v>
      </c>
      <c r="G868" s="3" t="s">
        <v>3544</v>
      </c>
      <c r="H868" s="3" t="s">
        <v>56</v>
      </c>
      <c r="I868" s="3" t="s">
        <v>56</v>
      </c>
      <c r="J868" s="3" t="s">
        <v>432</v>
      </c>
      <c r="K868" s="3" t="s">
        <v>3545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 t="s">
        <v>3546</v>
      </c>
      <c r="AL868" s="4">
        <v>40990</v>
      </c>
      <c r="AM868" s="3"/>
      <c r="AN868" s="3" t="s">
        <v>3547</v>
      </c>
    </row>
    <row r="869" spans="1:40" x14ac:dyDescent="0.3">
      <c r="A869" s="3">
        <v>863</v>
      </c>
      <c r="B869" s="3" t="str">
        <f>"201900154961"</f>
        <v>201900154961</v>
      </c>
      <c r="C869" s="3">
        <v>139042</v>
      </c>
      <c r="D869" s="3" t="s">
        <v>3548</v>
      </c>
      <c r="E869" s="3">
        <v>20601164214</v>
      </c>
      <c r="F869" s="3" t="s">
        <v>3549</v>
      </c>
      <c r="G869" s="3" t="s">
        <v>3550</v>
      </c>
      <c r="H869" s="3" t="s">
        <v>172</v>
      </c>
      <c r="I869" s="3" t="s">
        <v>2698</v>
      </c>
      <c r="J869" s="3" t="s">
        <v>2698</v>
      </c>
      <c r="K869" s="3" t="s">
        <v>3551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 t="s">
        <v>768</v>
      </c>
      <c r="AL869" s="4">
        <v>43734</v>
      </c>
      <c r="AM869" s="3"/>
      <c r="AN869" s="3" t="s">
        <v>3552</v>
      </c>
    </row>
    <row r="870" spans="1:40" x14ac:dyDescent="0.3">
      <c r="A870" s="3">
        <v>864</v>
      </c>
      <c r="B870" s="3" t="str">
        <f>"1966042"</f>
        <v>1966042</v>
      </c>
      <c r="C870" s="3">
        <v>85552</v>
      </c>
      <c r="D870" s="3" t="s">
        <v>3553</v>
      </c>
      <c r="E870" s="3">
        <v>20415747986</v>
      </c>
      <c r="F870" s="3" t="s">
        <v>3554</v>
      </c>
      <c r="G870" s="3" t="s">
        <v>3555</v>
      </c>
      <c r="H870" s="3" t="s">
        <v>56</v>
      </c>
      <c r="I870" s="3" t="s">
        <v>56</v>
      </c>
      <c r="J870" s="3" t="s">
        <v>331</v>
      </c>
      <c r="K870" s="3" t="s">
        <v>3556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 t="s">
        <v>3557</v>
      </c>
      <c r="AL870" s="4">
        <v>40239</v>
      </c>
      <c r="AM870" s="3"/>
      <c r="AN870" s="3"/>
    </row>
    <row r="871" spans="1:40" ht="27.95" x14ac:dyDescent="0.3">
      <c r="A871" s="3">
        <v>865</v>
      </c>
      <c r="B871" s="3" t="str">
        <f>"1966049"</f>
        <v>1966049</v>
      </c>
      <c r="C871" s="3">
        <v>85536</v>
      </c>
      <c r="D871" s="3" t="s">
        <v>3558</v>
      </c>
      <c r="E871" s="3">
        <v>20415747986</v>
      </c>
      <c r="F871" s="3" t="s">
        <v>3554</v>
      </c>
      <c r="G871" s="3" t="s">
        <v>3559</v>
      </c>
      <c r="H871" s="3" t="s">
        <v>56</v>
      </c>
      <c r="I871" s="3" t="s">
        <v>56</v>
      </c>
      <c r="J871" s="3" t="s">
        <v>331</v>
      </c>
      <c r="K871" s="3" t="s">
        <v>3560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 t="s">
        <v>187</v>
      </c>
      <c r="AL871" s="4">
        <v>40238</v>
      </c>
      <c r="AM871" s="3"/>
      <c r="AN871" s="3"/>
    </row>
    <row r="872" spans="1:40" x14ac:dyDescent="0.3">
      <c r="A872" s="3">
        <v>866</v>
      </c>
      <c r="B872" s="3" t="str">
        <f>"201600141452"</f>
        <v>201600141452</v>
      </c>
      <c r="C872" s="3">
        <v>61539</v>
      </c>
      <c r="D872" s="3" t="s">
        <v>3561</v>
      </c>
      <c r="E872" s="3">
        <v>20551516560</v>
      </c>
      <c r="F872" s="3" t="s">
        <v>3562</v>
      </c>
      <c r="G872" s="3" t="s">
        <v>3563</v>
      </c>
      <c r="H872" s="3" t="s">
        <v>56</v>
      </c>
      <c r="I872" s="3" t="s">
        <v>56</v>
      </c>
      <c r="J872" s="3" t="s">
        <v>185</v>
      </c>
      <c r="K872" s="3" t="s">
        <v>3564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 t="s">
        <v>157</v>
      </c>
      <c r="AL872" s="4">
        <v>42791</v>
      </c>
      <c r="AM872" s="3"/>
      <c r="AN872" s="3"/>
    </row>
    <row r="873" spans="1:40" x14ac:dyDescent="0.3">
      <c r="A873" s="3">
        <v>867</v>
      </c>
      <c r="B873" s="3" t="str">
        <f>"201300125113"</f>
        <v>201300125113</v>
      </c>
      <c r="C873" s="3">
        <v>103857</v>
      </c>
      <c r="D873" s="3" t="s">
        <v>3565</v>
      </c>
      <c r="E873" s="3">
        <v>10239809273</v>
      </c>
      <c r="F873" s="3" t="s">
        <v>3566</v>
      </c>
      <c r="G873" s="3" t="s">
        <v>3531</v>
      </c>
      <c r="H873" s="3" t="s">
        <v>446</v>
      </c>
      <c r="I873" s="3" t="s">
        <v>3532</v>
      </c>
      <c r="J873" s="3" t="s">
        <v>3533</v>
      </c>
      <c r="K873" s="3" t="s">
        <v>3567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 t="s">
        <v>218</v>
      </c>
      <c r="AL873" s="3" t="s">
        <v>290</v>
      </c>
      <c r="AM873" s="3"/>
      <c r="AN873" s="3" t="s">
        <v>3566</v>
      </c>
    </row>
    <row r="874" spans="1:40" x14ac:dyDescent="0.3">
      <c r="A874" s="3">
        <v>868</v>
      </c>
      <c r="B874" s="3" t="str">
        <f>"201300191623"</f>
        <v>201300191623</v>
      </c>
      <c r="C874" s="3">
        <v>45713</v>
      </c>
      <c r="D874" s="3" t="s">
        <v>3568</v>
      </c>
      <c r="E874" s="3">
        <v>10296954077</v>
      </c>
      <c r="F874" s="3" t="s">
        <v>1131</v>
      </c>
      <c r="G874" s="3" t="s">
        <v>2335</v>
      </c>
      <c r="H874" s="3" t="s">
        <v>97</v>
      </c>
      <c r="I874" s="3" t="s">
        <v>97</v>
      </c>
      <c r="J874" s="3" t="s">
        <v>254</v>
      </c>
      <c r="K874" s="3" t="s">
        <v>3569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 t="s">
        <v>3570</v>
      </c>
      <c r="AL874" s="4">
        <v>41653</v>
      </c>
      <c r="AM874" s="3"/>
      <c r="AN874" s="3" t="s">
        <v>1131</v>
      </c>
    </row>
    <row r="875" spans="1:40" x14ac:dyDescent="0.3">
      <c r="A875" s="3">
        <v>869</v>
      </c>
      <c r="B875" s="3" t="str">
        <f>"201300191624"</f>
        <v>201300191624</v>
      </c>
      <c r="C875" s="3">
        <v>63182</v>
      </c>
      <c r="D875" s="3" t="s">
        <v>3571</v>
      </c>
      <c r="E875" s="3">
        <v>10296954077</v>
      </c>
      <c r="F875" s="3" t="s">
        <v>1131</v>
      </c>
      <c r="G875" s="3" t="s">
        <v>3572</v>
      </c>
      <c r="H875" s="3" t="s">
        <v>97</v>
      </c>
      <c r="I875" s="3" t="s">
        <v>97</v>
      </c>
      <c r="J875" s="3" t="s">
        <v>254</v>
      </c>
      <c r="K875" s="3" t="s">
        <v>3573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 t="s">
        <v>3574</v>
      </c>
      <c r="AL875" s="4">
        <v>41653</v>
      </c>
      <c r="AM875" s="3"/>
      <c r="AN875" s="3" t="s">
        <v>1131</v>
      </c>
    </row>
    <row r="876" spans="1:40" x14ac:dyDescent="0.3">
      <c r="A876" s="3">
        <v>870</v>
      </c>
      <c r="B876" s="3" t="str">
        <f>"201600163268"</f>
        <v>201600163268</v>
      </c>
      <c r="C876" s="3">
        <v>91684</v>
      </c>
      <c r="D876" s="3" t="s">
        <v>3575</v>
      </c>
      <c r="E876" s="3">
        <v>20525521509</v>
      </c>
      <c r="F876" s="3" t="s">
        <v>189</v>
      </c>
      <c r="G876" s="3" t="s">
        <v>3576</v>
      </c>
      <c r="H876" s="3" t="s">
        <v>50</v>
      </c>
      <c r="I876" s="3" t="s">
        <v>50</v>
      </c>
      <c r="J876" s="3" t="s">
        <v>50</v>
      </c>
      <c r="K876" s="3" t="s">
        <v>3577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 t="s">
        <v>1014</v>
      </c>
      <c r="AL876" s="4">
        <v>42698</v>
      </c>
      <c r="AM876" s="3"/>
      <c r="AN876" s="3" t="s">
        <v>885</v>
      </c>
    </row>
    <row r="877" spans="1:40" x14ac:dyDescent="0.3">
      <c r="A877" s="3">
        <v>871</v>
      </c>
      <c r="B877" s="3" t="str">
        <f>"201400034620"</f>
        <v>201400034620</v>
      </c>
      <c r="C877" s="3">
        <v>15947</v>
      </c>
      <c r="D877" s="3" t="s">
        <v>3578</v>
      </c>
      <c r="E877" s="3">
        <v>20262254268</v>
      </c>
      <c r="F877" s="3" t="s">
        <v>103</v>
      </c>
      <c r="G877" s="3" t="s">
        <v>104</v>
      </c>
      <c r="H877" s="3" t="s">
        <v>56</v>
      </c>
      <c r="I877" s="3" t="s">
        <v>56</v>
      </c>
      <c r="J877" s="3" t="s">
        <v>105</v>
      </c>
      <c r="K877" s="3" t="s">
        <v>3579</v>
      </c>
      <c r="L877" s="3" t="s">
        <v>863</v>
      </c>
      <c r="M877" s="3" t="s">
        <v>111</v>
      </c>
      <c r="N877" s="3" t="s">
        <v>861</v>
      </c>
      <c r="O877" s="3" t="s">
        <v>109</v>
      </c>
      <c r="P877" s="3" t="s">
        <v>862</v>
      </c>
      <c r="Q877" s="3" t="s">
        <v>107</v>
      </c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 t="s">
        <v>3580</v>
      </c>
      <c r="AL877" s="4">
        <v>41733</v>
      </c>
      <c r="AM877" s="3"/>
      <c r="AN877" s="3" t="s">
        <v>113</v>
      </c>
    </row>
    <row r="878" spans="1:40" x14ac:dyDescent="0.3">
      <c r="A878" s="3">
        <v>872</v>
      </c>
      <c r="B878" s="3" t="str">
        <f>"1415407"</f>
        <v>1415407</v>
      </c>
      <c r="C878" s="3">
        <v>34020</v>
      </c>
      <c r="D878" s="3" t="s">
        <v>3581</v>
      </c>
      <c r="E878" s="3">
        <v>20262254268</v>
      </c>
      <c r="F878" s="3" t="s">
        <v>103</v>
      </c>
      <c r="G878" s="3" t="s">
        <v>104</v>
      </c>
      <c r="H878" s="3" t="s">
        <v>97</v>
      </c>
      <c r="I878" s="3" t="s">
        <v>97</v>
      </c>
      <c r="J878" s="3" t="s">
        <v>105</v>
      </c>
      <c r="K878" s="3" t="s">
        <v>3582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 t="s">
        <v>1721</v>
      </c>
      <c r="AL878" s="4">
        <v>37789</v>
      </c>
      <c r="AM878" s="3"/>
      <c r="AN878" s="3"/>
    </row>
    <row r="879" spans="1:40" x14ac:dyDescent="0.3">
      <c r="A879" s="3">
        <v>873</v>
      </c>
      <c r="B879" s="3" t="str">
        <f>"1283233"</f>
        <v>1283233</v>
      </c>
      <c r="C879" s="3">
        <v>19605</v>
      </c>
      <c r="D879" s="3">
        <v>1111817</v>
      </c>
      <c r="E879" s="3">
        <v>10086095675</v>
      </c>
      <c r="F879" s="3" t="s">
        <v>3583</v>
      </c>
      <c r="G879" s="3" t="s">
        <v>3584</v>
      </c>
      <c r="H879" s="3" t="s">
        <v>56</v>
      </c>
      <c r="I879" s="3" t="s">
        <v>56</v>
      </c>
      <c r="J879" s="3" t="s">
        <v>481</v>
      </c>
      <c r="K879" s="3" t="s">
        <v>3585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 t="s">
        <v>842</v>
      </c>
      <c r="AL879" s="4">
        <v>36705</v>
      </c>
      <c r="AM879" s="3"/>
      <c r="AN879" s="3"/>
    </row>
    <row r="880" spans="1:40" x14ac:dyDescent="0.3">
      <c r="A880" s="3">
        <v>874</v>
      </c>
      <c r="B880" s="3" t="str">
        <f>"201300026116"</f>
        <v>201300026116</v>
      </c>
      <c r="C880" s="3">
        <v>85902</v>
      </c>
      <c r="D880" s="3" t="s">
        <v>3586</v>
      </c>
      <c r="E880" s="3">
        <v>20262254268</v>
      </c>
      <c r="F880" s="3" t="s">
        <v>103</v>
      </c>
      <c r="G880" s="3" t="s">
        <v>3587</v>
      </c>
      <c r="H880" s="3" t="s">
        <v>56</v>
      </c>
      <c r="I880" s="3" t="s">
        <v>56</v>
      </c>
      <c r="J880" s="3" t="s">
        <v>105</v>
      </c>
      <c r="K880" s="3" t="s">
        <v>3588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 t="s">
        <v>3589</v>
      </c>
      <c r="AL880" s="3" t="s">
        <v>290</v>
      </c>
      <c r="AM880" s="3"/>
      <c r="AN880" s="3" t="s">
        <v>113</v>
      </c>
    </row>
    <row r="881" spans="1:40" x14ac:dyDescent="0.3">
      <c r="A881" s="3">
        <v>875</v>
      </c>
      <c r="B881" s="3" t="str">
        <f>"201900109829"</f>
        <v>201900109829</v>
      </c>
      <c r="C881" s="3">
        <v>145112</v>
      </c>
      <c r="D881" s="3" t="s">
        <v>3590</v>
      </c>
      <c r="E881" s="3">
        <v>20393248654</v>
      </c>
      <c r="F881" s="3" t="s">
        <v>3591</v>
      </c>
      <c r="G881" s="3" t="s">
        <v>3592</v>
      </c>
      <c r="H881" s="3" t="s">
        <v>395</v>
      </c>
      <c r="I881" s="3" t="s">
        <v>396</v>
      </c>
      <c r="J881" s="3" t="s">
        <v>490</v>
      </c>
      <c r="K881" s="3" t="s">
        <v>3593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 t="s">
        <v>3594</v>
      </c>
      <c r="AL881" s="4">
        <v>43657</v>
      </c>
      <c r="AM881" s="3"/>
      <c r="AN881" s="3" t="s">
        <v>1152</v>
      </c>
    </row>
    <row r="882" spans="1:40" x14ac:dyDescent="0.3">
      <c r="A882" s="3">
        <v>876</v>
      </c>
      <c r="B882" s="3" t="str">
        <f>"1969286"</f>
        <v>1969286</v>
      </c>
      <c r="C882" s="3">
        <v>83625</v>
      </c>
      <c r="D882" s="3" t="s">
        <v>3595</v>
      </c>
      <c r="E882" s="3">
        <v>20454210230</v>
      </c>
      <c r="F882" s="3" t="s">
        <v>3596</v>
      </c>
      <c r="G882" s="3" t="s">
        <v>3597</v>
      </c>
      <c r="H882" s="3" t="s">
        <v>97</v>
      </c>
      <c r="I882" s="3" t="s">
        <v>97</v>
      </c>
      <c r="J882" s="3" t="s">
        <v>341</v>
      </c>
      <c r="K882" s="3" t="s">
        <v>3598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 t="s">
        <v>3599</v>
      </c>
      <c r="AL882" s="4">
        <v>40231</v>
      </c>
      <c r="AM882" s="3"/>
      <c r="AN882" s="3"/>
    </row>
    <row r="883" spans="1:40" x14ac:dyDescent="0.3">
      <c r="A883" s="3">
        <v>877</v>
      </c>
      <c r="B883" s="3" t="str">
        <f>"1351387"</f>
        <v>1351387</v>
      </c>
      <c r="C883" s="3">
        <v>21577</v>
      </c>
      <c r="D883" s="3" t="s">
        <v>3600</v>
      </c>
      <c r="E883" s="3">
        <v>20262254268</v>
      </c>
      <c r="F883" s="3" t="s">
        <v>103</v>
      </c>
      <c r="G883" s="3" t="s">
        <v>104</v>
      </c>
      <c r="H883" s="3" t="s">
        <v>56</v>
      </c>
      <c r="I883" s="3" t="s">
        <v>56</v>
      </c>
      <c r="J883" s="3" t="s">
        <v>105</v>
      </c>
      <c r="K883" s="3" t="s">
        <v>3601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 t="s">
        <v>1586</v>
      </c>
      <c r="AL883" s="4">
        <v>37295</v>
      </c>
      <c r="AM883" s="3"/>
      <c r="AN883" s="3"/>
    </row>
    <row r="884" spans="1:40" x14ac:dyDescent="0.3">
      <c r="A884" s="3">
        <v>878</v>
      </c>
      <c r="B884" s="3" t="str">
        <f>"1969287"</f>
        <v>1969287</v>
      </c>
      <c r="C884" s="3">
        <v>83627</v>
      </c>
      <c r="D884" s="3" t="s">
        <v>3602</v>
      </c>
      <c r="E884" s="3">
        <v>20454210230</v>
      </c>
      <c r="F884" s="3" t="s">
        <v>1710</v>
      </c>
      <c r="G884" s="3" t="s">
        <v>3597</v>
      </c>
      <c r="H884" s="3" t="s">
        <v>97</v>
      </c>
      <c r="I884" s="3" t="s">
        <v>97</v>
      </c>
      <c r="J884" s="3" t="s">
        <v>341</v>
      </c>
      <c r="K884" s="3" t="s">
        <v>3603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 t="s">
        <v>3604</v>
      </c>
      <c r="AL884" s="4">
        <v>40231</v>
      </c>
      <c r="AM884" s="3"/>
      <c r="AN884" s="3"/>
    </row>
    <row r="885" spans="1:40" x14ac:dyDescent="0.3">
      <c r="A885" s="3">
        <v>879</v>
      </c>
      <c r="B885" s="3" t="str">
        <f>"201700120853"</f>
        <v>201700120853</v>
      </c>
      <c r="C885" s="3">
        <v>130866</v>
      </c>
      <c r="D885" s="3" t="s">
        <v>3605</v>
      </c>
      <c r="E885" s="3">
        <v>20451060393</v>
      </c>
      <c r="F885" s="3" t="s">
        <v>3606</v>
      </c>
      <c r="G885" s="3" t="s">
        <v>3607</v>
      </c>
      <c r="H885" s="3" t="s">
        <v>245</v>
      </c>
      <c r="I885" s="3" t="s">
        <v>246</v>
      </c>
      <c r="J885" s="3" t="s">
        <v>2513</v>
      </c>
      <c r="K885" s="3" t="s">
        <v>3608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 t="s">
        <v>306</v>
      </c>
      <c r="AL885" s="4">
        <v>42956</v>
      </c>
      <c r="AM885" s="3"/>
      <c r="AN885" s="3" t="s">
        <v>3609</v>
      </c>
    </row>
    <row r="886" spans="1:40" x14ac:dyDescent="0.3">
      <c r="A886" s="3">
        <v>880</v>
      </c>
      <c r="B886" s="3" t="str">
        <f>"1351388"</f>
        <v>1351388</v>
      </c>
      <c r="C886" s="3">
        <v>21594</v>
      </c>
      <c r="D886" s="3" t="s">
        <v>3610</v>
      </c>
      <c r="E886" s="3">
        <v>20262254268</v>
      </c>
      <c r="F886" s="3" t="s">
        <v>103</v>
      </c>
      <c r="G886" s="3" t="s">
        <v>104</v>
      </c>
      <c r="H886" s="3" t="s">
        <v>56</v>
      </c>
      <c r="I886" s="3" t="s">
        <v>56</v>
      </c>
      <c r="J886" s="3" t="s">
        <v>105</v>
      </c>
      <c r="K886" s="3" t="s">
        <v>3611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 t="s">
        <v>1586</v>
      </c>
      <c r="AL886" s="4">
        <v>37295</v>
      </c>
      <c r="AM886" s="3"/>
      <c r="AN886" s="3"/>
    </row>
    <row r="887" spans="1:40" ht="27.95" x14ac:dyDescent="0.3">
      <c r="A887" s="3">
        <v>881</v>
      </c>
      <c r="B887" s="3" t="str">
        <f>"201300191629"</f>
        <v>201300191629</v>
      </c>
      <c r="C887" s="3">
        <v>84067</v>
      </c>
      <c r="D887" s="3" t="s">
        <v>3612</v>
      </c>
      <c r="E887" s="3">
        <v>10296954077</v>
      </c>
      <c r="F887" s="3" t="s">
        <v>1131</v>
      </c>
      <c r="G887" s="3" t="s">
        <v>3613</v>
      </c>
      <c r="H887" s="3" t="s">
        <v>97</v>
      </c>
      <c r="I887" s="3" t="s">
        <v>97</v>
      </c>
      <c r="J887" s="3" t="s">
        <v>254</v>
      </c>
      <c r="K887" s="3" t="s">
        <v>3614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 t="s">
        <v>1341</v>
      </c>
      <c r="AL887" s="3" t="s">
        <v>290</v>
      </c>
      <c r="AM887" s="3"/>
      <c r="AN887" s="3" t="s">
        <v>1131</v>
      </c>
    </row>
    <row r="888" spans="1:40" x14ac:dyDescent="0.3">
      <c r="A888" s="3">
        <v>882</v>
      </c>
      <c r="B888" s="3" t="str">
        <f>"201800132314"</f>
        <v>201800132314</v>
      </c>
      <c r="C888" s="3">
        <v>137978</v>
      </c>
      <c r="D888" s="3" t="s">
        <v>3615</v>
      </c>
      <c r="E888" s="3">
        <v>20603115172</v>
      </c>
      <c r="F888" s="3" t="s">
        <v>3616</v>
      </c>
      <c r="G888" s="3" t="s">
        <v>3617</v>
      </c>
      <c r="H888" s="3" t="s">
        <v>357</v>
      </c>
      <c r="I888" s="3" t="s">
        <v>3618</v>
      </c>
      <c r="J888" s="3" t="s">
        <v>3618</v>
      </c>
      <c r="K888" s="3" t="s">
        <v>3619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 t="s">
        <v>1087</v>
      </c>
      <c r="AL888" s="4">
        <v>43322</v>
      </c>
      <c r="AM888" s="3"/>
      <c r="AN888" s="3" t="s">
        <v>3620</v>
      </c>
    </row>
    <row r="889" spans="1:40" x14ac:dyDescent="0.3">
      <c r="A889" s="3">
        <v>883</v>
      </c>
      <c r="B889" s="3" t="str">
        <f>"201300191627"</f>
        <v>201300191627</v>
      </c>
      <c r="C889" s="3">
        <v>62029</v>
      </c>
      <c r="D889" s="3" t="s">
        <v>3621</v>
      </c>
      <c r="E889" s="3">
        <v>10296954077</v>
      </c>
      <c r="F889" s="3" t="s">
        <v>1131</v>
      </c>
      <c r="G889" s="3" t="s">
        <v>2335</v>
      </c>
      <c r="H889" s="3" t="s">
        <v>97</v>
      </c>
      <c r="I889" s="3" t="s">
        <v>97</v>
      </c>
      <c r="J889" s="3" t="s">
        <v>254</v>
      </c>
      <c r="K889" s="3" t="s">
        <v>3622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 t="s">
        <v>3623</v>
      </c>
      <c r="AL889" s="4">
        <v>41653</v>
      </c>
      <c r="AM889" s="3"/>
      <c r="AN889" s="3" t="s">
        <v>1131</v>
      </c>
    </row>
    <row r="890" spans="1:40" x14ac:dyDescent="0.3">
      <c r="A890" s="3">
        <v>884</v>
      </c>
      <c r="B890" s="3" t="str">
        <f>"201400148120"</f>
        <v>201400148120</v>
      </c>
      <c r="C890" s="3">
        <v>112441</v>
      </c>
      <c r="D890" s="3" t="s">
        <v>3624</v>
      </c>
      <c r="E890" s="3">
        <v>20448068600</v>
      </c>
      <c r="F890" s="3" t="s">
        <v>3625</v>
      </c>
      <c r="G890" s="3" t="s">
        <v>3626</v>
      </c>
      <c r="H890" s="3" t="s">
        <v>222</v>
      </c>
      <c r="I890" s="3" t="s">
        <v>222</v>
      </c>
      <c r="J890" s="3" t="s">
        <v>222</v>
      </c>
      <c r="K890" s="3" t="s">
        <v>3627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 t="s">
        <v>3628</v>
      </c>
      <c r="AL890" s="4">
        <v>41972</v>
      </c>
      <c r="AM890" s="3"/>
      <c r="AN890" s="3" t="s">
        <v>3629</v>
      </c>
    </row>
    <row r="891" spans="1:40" x14ac:dyDescent="0.3">
      <c r="A891" s="3">
        <v>885</v>
      </c>
      <c r="B891" s="3" t="str">
        <f>"1392806"</f>
        <v>1392806</v>
      </c>
      <c r="C891" s="3">
        <v>33863</v>
      </c>
      <c r="D891" s="3" t="s">
        <v>3630</v>
      </c>
      <c r="E891" s="3">
        <v>10060304489</v>
      </c>
      <c r="F891" s="3" t="s">
        <v>3631</v>
      </c>
      <c r="G891" s="3" t="s">
        <v>3632</v>
      </c>
      <c r="H891" s="3" t="s">
        <v>56</v>
      </c>
      <c r="I891" s="3" t="s">
        <v>56</v>
      </c>
      <c r="J891" s="3" t="s">
        <v>309</v>
      </c>
      <c r="K891" s="3" t="s">
        <v>3633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 t="s">
        <v>3589</v>
      </c>
      <c r="AL891" s="4">
        <v>37601</v>
      </c>
      <c r="AM891" s="3"/>
      <c r="AN891" s="3"/>
    </row>
    <row r="892" spans="1:40" x14ac:dyDescent="0.3">
      <c r="A892" s="3">
        <v>886</v>
      </c>
      <c r="B892" s="3" t="str">
        <f>"1392800"</f>
        <v>1392800</v>
      </c>
      <c r="C892" s="3">
        <v>33603</v>
      </c>
      <c r="D892" s="3" t="s">
        <v>3634</v>
      </c>
      <c r="E892" s="3">
        <v>20362013802</v>
      </c>
      <c r="F892" s="3" t="s">
        <v>3635</v>
      </c>
      <c r="G892" s="3" t="s">
        <v>2291</v>
      </c>
      <c r="H892" s="3" t="s">
        <v>172</v>
      </c>
      <c r="I892" s="3" t="s">
        <v>172</v>
      </c>
      <c r="J892" s="3" t="s">
        <v>1719</v>
      </c>
      <c r="K892" s="3" t="s">
        <v>3636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 t="s">
        <v>337</v>
      </c>
      <c r="AL892" s="4">
        <v>37566</v>
      </c>
      <c r="AM892" s="3"/>
      <c r="AN892" s="3"/>
    </row>
    <row r="893" spans="1:40" x14ac:dyDescent="0.3">
      <c r="A893" s="3">
        <v>887</v>
      </c>
      <c r="B893" s="3" t="str">
        <f>"1351370"</f>
        <v>1351370</v>
      </c>
      <c r="C893" s="3">
        <v>21603</v>
      </c>
      <c r="D893" s="3" t="s">
        <v>3637</v>
      </c>
      <c r="E893" s="3">
        <v>20262254268</v>
      </c>
      <c r="F893" s="3" t="s">
        <v>103</v>
      </c>
      <c r="G893" s="3" t="s">
        <v>104</v>
      </c>
      <c r="H893" s="3" t="s">
        <v>56</v>
      </c>
      <c r="I893" s="3" t="s">
        <v>56</v>
      </c>
      <c r="J893" s="3" t="s">
        <v>105</v>
      </c>
      <c r="K893" s="3" t="s">
        <v>3638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 t="s">
        <v>1586</v>
      </c>
      <c r="AL893" s="4">
        <v>37294</v>
      </c>
      <c r="AM893" s="3"/>
      <c r="AN893" s="3"/>
    </row>
    <row r="894" spans="1:40" x14ac:dyDescent="0.3">
      <c r="A894" s="3">
        <v>888</v>
      </c>
      <c r="B894" s="3" t="str">
        <f>"1138039"</f>
        <v>1138039</v>
      </c>
      <c r="C894" s="3">
        <v>3391</v>
      </c>
      <c r="D894" s="3">
        <v>1138039</v>
      </c>
      <c r="E894" s="3">
        <v>10328362061</v>
      </c>
      <c r="F894" s="3" t="s">
        <v>3639</v>
      </c>
      <c r="G894" s="3" t="s">
        <v>3640</v>
      </c>
      <c r="H894" s="3" t="s">
        <v>44</v>
      </c>
      <c r="I894" s="3" t="s">
        <v>45</v>
      </c>
      <c r="J894" s="3" t="s">
        <v>726</v>
      </c>
      <c r="K894" s="3" t="s">
        <v>3641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 t="s">
        <v>157</v>
      </c>
      <c r="AL894" s="4">
        <v>35619</v>
      </c>
      <c r="AM894" s="3"/>
      <c r="AN894" s="3"/>
    </row>
    <row r="895" spans="1:40" x14ac:dyDescent="0.3">
      <c r="A895" s="3">
        <v>889</v>
      </c>
      <c r="B895" s="3" t="str">
        <f>"1351378"</f>
        <v>1351378</v>
      </c>
      <c r="C895" s="3">
        <v>21592</v>
      </c>
      <c r="D895" s="3" t="s">
        <v>3642</v>
      </c>
      <c r="E895" s="3">
        <v>20262254268</v>
      </c>
      <c r="F895" s="3" t="s">
        <v>103</v>
      </c>
      <c r="G895" s="3" t="s">
        <v>104</v>
      </c>
      <c r="H895" s="3" t="s">
        <v>56</v>
      </c>
      <c r="I895" s="3" t="s">
        <v>56</v>
      </c>
      <c r="J895" s="3" t="s">
        <v>105</v>
      </c>
      <c r="K895" s="3" t="s">
        <v>3643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 t="s">
        <v>1586</v>
      </c>
      <c r="AL895" s="4">
        <v>37294</v>
      </c>
      <c r="AM895" s="3"/>
      <c r="AN895" s="3"/>
    </row>
    <row r="896" spans="1:40" ht="27.95" x14ac:dyDescent="0.3">
      <c r="A896" s="3">
        <v>890</v>
      </c>
      <c r="B896" s="3" t="str">
        <f>"1513948"</f>
        <v>1513948</v>
      </c>
      <c r="C896" s="3">
        <v>39784</v>
      </c>
      <c r="D896" s="3" t="s">
        <v>3644</v>
      </c>
      <c r="E896" s="3">
        <v>20486091712</v>
      </c>
      <c r="F896" s="3" t="s">
        <v>3645</v>
      </c>
      <c r="G896" s="3" t="s">
        <v>3646</v>
      </c>
      <c r="H896" s="3" t="s">
        <v>237</v>
      </c>
      <c r="I896" s="3" t="s">
        <v>2842</v>
      </c>
      <c r="J896" s="3" t="s">
        <v>2842</v>
      </c>
      <c r="K896" s="3" t="s">
        <v>3647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 t="s">
        <v>607</v>
      </c>
      <c r="AL896" s="4">
        <v>38376</v>
      </c>
      <c r="AM896" s="3"/>
      <c r="AN896" s="3"/>
    </row>
    <row r="897" spans="1:40" x14ac:dyDescent="0.3">
      <c r="A897" s="3">
        <v>891</v>
      </c>
      <c r="B897" s="3" t="str">
        <f>"201600117689"</f>
        <v>201600117689</v>
      </c>
      <c r="C897" s="3">
        <v>117020</v>
      </c>
      <c r="D897" s="3" t="s">
        <v>3648</v>
      </c>
      <c r="E897" s="3">
        <v>10296085494</v>
      </c>
      <c r="F897" s="3" t="s">
        <v>3649</v>
      </c>
      <c r="G897" s="3" t="s">
        <v>3650</v>
      </c>
      <c r="H897" s="3" t="s">
        <v>97</v>
      </c>
      <c r="I897" s="3" t="s">
        <v>98</v>
      </c>
      <c r="J897" s="3" t="s">
        <v>99</v>
      </c>
      <c r="K897" s="3" t="s">
        <v>3651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 t="s">
        <v>1432</v>
      </c>
      <c r="AL897" s="4">
        <v>42626</v>
      </c>
      <c r="AM897" s="3"/>
      <c r="AN897" s="3" t="s">
        <v>3649</v>
      </c>
    </row>
    <row r="898" spans="1:40" ht="41.95" x14ac:dyDescent="0.3">
      <c r="A898" s="3">
        <v>892</v>
      </c>
      <c r="B898" s="3" t="str">
        <f>"201900138409"</f>
        <v>201900138409</v>
      </c>
      <c r="C898" s="3">
        <v>146162</v>
      </c>
      <c r="D898" s="3" t="s">
        <v>3652</v>
      </c>
      <c r="E898" s="3">
        <v>20605094792</v>
      </c>
      <c r="F898" s="3" t="s">
        <v>3366</v>
      </c>
      <c r="G898" s="3" t="s">
        <v>3653</v>
      </c>
      <c r="H898" s="3" t="s">
        <v>56</v>
      </c>
      <c r="I898" s="3" t="s">
        <v>56</v>
      </c>
      <c r="J898" s="3" t="s">
        <v>69</v>
      </c>
      <c r="K898" s="3" t="s">
        <v>3654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 t="s">
        <v>3655</v>
      </c>
      <c r="AL898" s="4">
        <v>43705</v>
      </c>
      <c r="AM898" s="3"/>
      <c r="AN898" s="3" t="s">
        <v>3370</v>
      </c>
    </row>
    <row r="899" spans="1:40" x14ac:dyDescent="0.3">
      <c r="A899" s="3">
        <v>893</v>
      </c>
      <c r="B899" s="3" t="str">
        <f>"201900132124"</f>
        <v>201900132124</v>
      </c>
      <c r="C899" s="3">
        <v>145879</v>
      </c>
      <c r="D899" s="3" t="s">
        <v>3656</v>
      </c>
      <c r="E899" s="3">
        <v>10451080721</v>
      </c>
      <c r="F899" s="3" t="s">
        <v>3657</v>
      </c>
      <c r="G899" s="3" t="s">
        <v>3658</v>
      </c>
      <c r="H899" s="3" t="s">
        <v>1946</v>
      </c>
      <c r="I899" s="3" t="s">
        <v>1946</v>
      </c>
      <c r="J899" s="3" t="s">
        <v>3532</v>
      </c>
      <c r="K899" s="3" t="s">
        <v>3659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 t="s">
        <v>3660</v>
      </c>
      <c r="AL899" s="4">
        <v>43704</v>
      </c>
      <c r="AM899" s="3"/>
      <c r="AN899" s="3" t="s">
        <v>3657</v>
      </c>
    </row>
    <row r="900" spans="1:40" x14ac:dyDescent="0.3">
      <c r="A900" s="3">
        <v>894</v>
      </c>
      <c r="B900" s="3" t="str">
        <f>"1155505"</f>
        <v>1155505</v>
      </c>
      <c r="C900" s="3">
        <v>6120</v>
      </c>
      <c r="D900" s="3">
        <v>1155505</v>
      </c>
      <c r="E900" s="3">
        <v>20115691962</v>
      </c>
      <c r="F900" s="3" t="s">
        <v>3661</v>
      </c>
      <c r="G900" s="3" t="s">
        <v>3662</v>
      </c>
      <c r="H900" s="3" t="s">
        <v>743</v>
      </c>
      <c r="I900" s="3" t="s">
        <v>1031</v>
      </c>
      <c r="J900" s="3" t="s">
        <v>1031</v>
      </c>
      <c r="K900" s="3" t="s">
        <v>3663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 t="s">
        <v>1979</v>
      </c>
      <c r="AL900" s="4">
        <v>35746</v>
      </c>
      <c r="AM900" s="3"/>
      <c r="AN900" s="3"/>
    </row>
    <row r="901" spans="1:40" ht="27.95" x14ac:dyDescent="0.3">
      <c r="A901" s="3">
        <v>895</v>
      </c>
      <c r="B901" s="3" t="str">
        <f>"201700137281"</f>
        <v>201700137281</v>
      </c>
      <c r="C901" s="3">
        <v>131466</v>
      </c>
      <c r="D901" s="3" t="s">
        <v>3664</v>
      </c>
      <c r="E901" s="3">
        <v>10053949971</v>
      </c>
      <c r="F901" s="3" t="s">
        <v>3665</v>
      </c>
      <c r="G901" s="3" t="s">
        <v>3666</v>
      </c>
      <c r="H901" s="3" t="s">
        <v>245</v>
      </c>
      <c r="I901" s="3" t="s">
        <v>246</v>
      </c>
      <c r="J901" s="3" t="s">
        <v>659</v>
      </c>
      <c r="K901" s="3" t="s">
        <v>3667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 t="s">
        <v>1768</v>
      </c>
      <c r="AL901" s="4">
        <v>42993</v>
      </c>
      <c r="AM901" s="3"/>
      <c r="AN901" s="3" t="s">
        <v>3665</v>
      </c>
    </row>
    <row r="902" spans="1:40" ht="27.95" x14ac:dyDescent="0.3">
      <c r="A902" s="3">
        <v>896</v>
      </c>
      <c r="B902" s="3" t="str">
        <f>"1753058"</f>
        <v>1753058</v>
      </c>
      <c r="C902" s="3">
        <v>15470</v>
      </c>
      <c r="D902" s="3" t="s">
        <v>3668</v>
      </c>
      <c r="E902" s="3">
        <v>10279067954</v>
      </c>
      <c r="F902" s="3" t="s">
        <v>3669</v>
      </c>
      <c r="G902" s="3" t="s">
        <v>3670</v>
      </c>
      <c r="H902" s="3" t="s">
        <v>56</v>
      </c>
      <c r="I902" s="3" t="s">
        <v>56</v>
      </c>
      <c r="J902" s="3" t="s">
        <v>1043</v>
      </c>
      <c r="K902" s="3" t="s">
        <v>3671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 t="s">
        <v>546</v>
      </c>
      <c r="AL902" s="4">
        <v>39475</v>
      </c>
      <c r="AM902" s="3"/>
      <c r="AN902" s="3"/>
    </row>
    <row r="903" spans="1:40" x14ac:dyDescent="0.3">
      <c r="A903" s="3">
        <v>897</v>
      </c>
      <c r="B903" s="3" t="str">
        <f>"1563993"</f>
        <v>1563993</v>
      </c>
      <c r="C903" s="3">
        <v>41836</v>
      </c>
      <c r="D903" s="3" t="s">
        <v>3672</v>
      </c>
      <c r="E903" s="3">
        <v>20527437378</v>
      </c>
      <c r="F903" s="3" t="s">
        <v>3673</v>
      </c>
      <c r="G903" s="3" t="s">
        <v>3674</v>
      </c>
      <c r="H903" s="3" t="s">
        <v>446</v>
      </c>
      <c r="I903" s="3" t="s">
        <v>446</v>
      </c>
      <c r="J903" s="3" t="s">
        <v>2611</v>
      </c>
      <c r="K903" s="3" t="s">
        <v>3675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 t="s">
        <v>3676</v>
      </c>
      <c r="AL903" s="4">
        <v>38623</v>
      </c>
      <c r="AM903" s="3"/>
      <c r="AN903" s="3"/>
    </row>
    <row r="904" spans="1:40" x14ac:dyDescent="0.3">
      <c r="A904" s="3">
        <v>898</v>
      </c>
      <c r="B904" s="3" t="str">
        <f>"1563992"</f>
        <v>1563992</v>
      </c>
      <c r="C904" s="3">
        <v>41840</v>
      </c>
      <c r="D904" s="3" t="s">
        <v>3677</v>
      </c>
      <c r="E904" s="3">
        <v>20527437378</v>
      </c>
      <c r="F904" s="3" t="s">
        <v>3673</v>
      </c>
      <c r="G904" s="3" t="s">
        <v>3678</v>
      </c>
      <c r="H904" s="3" t="s">
        <v>446</v>
      </c>
      <c r="I904" s="3" t="s">
        <v>446</v>
      </c>
      <c r="J904" s="3" t="s">
        <v>2611</v>
      </c>
      <c r="K904" s="3" t="s">
        <v>3679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 t="s">
        <v>802</v>
      </c>
      <c r="AL904" s="4">
        <v>38623</v>
      </c>
      <c r="AM904" s="3"/>
      <c r="AN904" s="3"/>
    </row>
    <row r="905" spans="1:40" x14ac:dyDescent="0.3">
      <c r="A905" s="3">
        <v>899</v>
      </c>
      <c r="B905" s="3" t="str">
        <f>"1384530"</f>
        <v>1384530</v>
      </c>
      <c r="C905" s="3">
        <v>42649</v>
      </c>
      <c r="D905" s="3" t="s">
        <v>3680</v>
      </c>
      <c r="E905" s="3">
        <v>10239775239</v>
      </c>
      <c r="F905" s="3" t="s">
        <v>3681</v>
      </c>
      <c r="G905" s="3" t="s">
        <v>3682</v>
      </c>
      <c r="H905" s="3" t="s">
        <v>446</v>
      </c>
      <c r="I905" s="3" t="s">
        <v>446</v>
      </c>
      <c r="J905" s="3" t="s">
        <v>446</v>
      </c>
      <c r="K905" s="3" t="s">
        <v>3683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 t="s">
        <v>81</v>
      </c>
      <c r="AL905" s="4">
        <v>37490</v>
      </c>
      <c r="AM905" s="3"/>
      <c r="AN905" s="3"/>
    </row>
    <row r="906" spans="1:40" x14ac:dyDescent="0.3">
      <c r="A906" s="3">
        <v>900</v>
      </c>
      <c r="B906" s="3" t="str">
        <f>"1118923"</f>
        <v>1118923</v>
      </c>
      <c r="C906" s="3">
        <v>2732</v>
      </c>
      <c r="D906" s="3">
        <v>1092250</v>
      </c>
      <c r="E906" s="3">
        <v>33274599</v>
      </c>
      <c r="F906" s="3" t="s">
        <v>3684</v>
      </c>
      <c r="G906" s="3" t="s">
        <v>3685</v>
      </c>
      <c r="H906" s="3" t="s">
        <v>56</v>
      </c>
      <c r="I906" s="3" t="s">
        <v>56</v>
      </c>
      <c r="J906" s="3" t="s">
        <v>313</v>
      </c>
      <c r="K906" s="3" t="s">
        <v>3686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 t="s">
        <v>81</v>
      </c>
      <c r="AL906" s="4">
        <v>35550</v>
      </c>
      <c r="AM906" s="3"/>
      <c r="AN906" s="3"/>
    </row>
    <row r="907" spans="1:40" x14ac:dyDescent="0.3">
      <c r="A907" s="3">
        <v>901</v>
      </c>
      <c r="B907" s="3" t="str">
        <f>"1118920"</f>
        <v>1118920</v>
      </c>
      <c r="C907" s="3">
        <v>2481</v>
      </c>
      <c r="D907" s="3">
        <v>1004186</v>
      </c>
      <c r="E907" s="3">
        <v>20260967585</v>
      </c>
      <c r="F907" s="3" t="s">
        <v>3687</v>
      </c>
      <c r="G907" s="3" t="s">
        <v>3688</v>
      </c>
      <c r="H907" s="3" t="s">
        <v>56</v>
      </c>
      <c r="I907" s="3" t="s">
        <v>56</v>
      </c>
      <c r="J907" s="3" t="s">
        <v>84</v>
      </c>
      <c r="K907" s="3" t="s">
        <v>3689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 t="s">
        <v>118</v>
      </c>
      <c r="AL907" s="4">
        <v>35550</v>
      </c>
      <c r="AM907" s="3"/>
      <c r="AN907" s="3"/>
    </row>
    <row r="908" spans="1:40" x14ac:dyDescent="0.3">
      <c r="A908" s="3">
        <v>902</v>
      </c>
      <c r="B908" s="3" t="str">
        <f>"1351362"</f>
        <v>1351362</v>
      </c>
      <c r="C908" s="3">
        <v>21600</v>
      </c>
      <c r="D908" s="3" t="s">
        <v>3690</v>
      </c>
      <c r="E908" s="3">
        <v>20262254268</v>
      </c>
      <c r="F908" s="3" t="s">
        <v>103</v>
      </c>
      <c r="G908" s="3" t="s">
        <v>104</v>
      </c>
      <c r="H908" s="3" t="s">
        <v>56</v>
      </c>
      <c r="I908" s="3" t="s">
        <v>56</v>
      </c>
      <c r="J908" s="3" t="s">
        <v>105</v>
      </c>
      <c r="K908" s="3" t="s">
        <v>3691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 t="s">
        <v>1586</v>
      </c>
      <c r="AL908" s="4">
        <v>37293</v>
      </c>
      <c r="AM908" s="3"/>
      <c r="AN908" s="3"/>
    </row>
    <row r="909" spans="1:40" ht="27.95" x14ac:dyDescent="0.3">
      <c r="A909" s="3">
        <v>903</v>
      </c>
      <c r="B909" s="3" t="str">
        <f>"201200025583"</f>
        <v>201200025583</v>
      </c>
      <c r="C909" s="3">
        <v>86970</v>
      </c>
      <c r="D909" s="3" t="s">
        <v>3692</v>
      </c>
      <c r="E909" s="3">
        <v>10091686894</v>
      </c>
      <c r="F909" s="3" t="s">
        <v>3693</v>
      </c>
      <c r="G909" s="3" t="s">
        <v>3694</v>
      </c>
      <c r="H909" s="3" t="s">
        <v>56</v>
      </c>
      <c r="I909" s="3" t="s">
        <v>56</v>
      </c>
      <c r="J909" s="3" t="s">
        <v>116</v>
      </c>
      <c r="K909" s="3" t="s">
        <v>3695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 t="s">
        <v>3696</v>
      </c>
      <c r="AL909" s="4">
        <v>40973</v>
      </c>
      <c r="AM909" s="3"/>
      <c r="AN909" s="3" t="s">
        <v>3693</v>
      </c>
    </row>
    <row r="910" spans="1:40" ht="27.95" x14ac:dyDescent="0.3">
      <c r="A910" s="3">
        <v>904</v>
      </c>
      <c r="B910" s="3" t="str">
        <f>"201900132135"</f>
        <v>201900132135</v>
      </c>
      <c r="C910" s="3">
        <v>145878</v>
      </c>
      <c r="D910" s="3" t="s">
        <v>3697</v>
      </c>
      <c r="E910" s="3">
        <v>20601995451</v>
      </c>
      <c r="F910" s="3" t="s">
        <v>3698</v>
      </c>
      <c r="G910" s="3" t="s">
        <v>3699</v>
      </c>
      <c r="H910" s="3" t="s">
        <v>56</v>
      </c>
      <c r="I910" s="3" t="s">
        <v>56</v>
      </c>
      <c r="J910" s="3" t="s">
        <v>331</v>
      </c>
      <c r="K910" s="3" t="s">
        <v>3700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 t="s">
        <v>47</v>
      </c>
      <c r="AL910" s="4">
        <v>43699</v>
      </c>
      <c r="AM910" s="3"/>
      <c r="AN910" s="3" t="s">
        <v>3701</v>
      </c>
    </row>
    <row r="911" spans="1:40" ht="27.95" x14ac:dyDescent="0.3">
      <c r="A911" s="3">
        <v>905</v>
      </c>
      <c r="B911" s="3" t="str">
        <f>"201600128713"</f>
        <v>201600128713</v>
      </c>
      <c r="C911" s="3">
        <v>123697</v>
      </c>
      <c r="D911" s="3" t="s">
        <v>3702</v>
      </c>
      <c r="E911" s="3">
        <v>10412714909</v>
      </c>
      <c r="F911" s="3" t="s">
        <v>3703</v>
      </c>
      <c r="G911" s="3" t="s">
        <v>3704</v>
      </c>
      <c r="H911" s="3" t="s">
        <v>56</v>
      </c>
      <c r="I911" s="3" t="s">
        <v>56</v>
      </c>
      <c r="J911" s="3" t="s">
        <v>121</v>
      </c>
      <c r="K911" s="3" t="s">
        <v>3705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 t="s">
        <v>3706</v>
      </c>
      <c r="AL911" s="4">
        <v>42621</v>
      </c>
      <c r="AM911" s="3"/>
      <c r="AN911" s="3" t="s">
        <v>3703</v>
      </c>
    </row>
    <row r="912" spans="1:40" x14ac:dyDescent="0.3">
      <c r="A912" s="3">
        <v>906</v>
      </c>
      <c r="B912" s="3" t="str">
        <f>"1351359"</f>
        <v>1351359</v>
      </c>
      <c r="C912" s="3">
        <v>21657</v>
      </c>
      <c r="D912" s="3" t="s">
        <v>3707</v>
      </c>
      <c r="E912" s="3">
        <v>20262254268</v>
      </c>
      <c r="F912" s="3" t="s">
        <v>103</v>
      </c>
      <c r="G912" s="3" t="s">
        <v>104</v>
      </c>
      <c r="H912" s="3" t="s">
        <v>56</v>
      </c>
      <c r="I912" s="3" t="s">
        <v>56</v>
      </c>
      <c r="J912" s="3" t="s">
        <v>105</v>
      </c>
      <c r="K912" s="3" t="s">
        <v>3708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 t="s">
        <v>1586</v>
      </c>
      <c r="AL912" s="4">
        <v>37293</v>
      </c>
      <c r="AM912" s="3"/>
      <c r="AN912" s="3"/>
    </row>
    <row r="913" spans="1:40" x14ac:dyDescent="0.3">
      <c r="A913" s="3">
        <v>907</v>
      </c>
      <c r="B913" s="3" t="str">
        <f>"1379700"</f>
        <v>1379700</v>
      </c>
      <c r="C913" s="3">
        <v>42592</v>
      </c>
      <c r="D913" s="3" t="s">
        <v>3709</v>
      </c>
      <c r="E913" s="3">
        <v>10293583540</v>
      </c>
      <c r="F913" s="3" t="s">
        <v>3710</v>
      </c>
      <c r="G913" s="3" t="s">
        <v>3711</v>
      </c>
      <c r="H913" s="3" t="s">
        <v>56</v>
      </c>
      <c r="I913" s="3" t="s">
        <v>56</v>
      </c>
      <c r="J913" s="3" t="s">
        <v>56</v>
      </c>
      <c r="K913" s="3" t="s">
        <v>3712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 t="s">
        <v>3539</v>
      </c>
      <c r="AL913" s="4">
        <v>37502</v>
      </c>
      <c r="AM913" s="3"/>
      <c r="AN913" s="3"/>
    </row>
    <row r="914" spans="1:40" x14ac:dyDescent="0.3">
      <c r="A914" s="3">
        <v>908</v>
      </c>
      <c r="B914" s="3" t="str">
        <f>"1782831"</f>
        <v>1782831</v>
      </c>
      <c r="C914" s="3">
        <v>41873</v>
      </c>
      <c r="D914" s="3" t="s">
        <v>3713</v>
      </c>
      <c r="E914" s="3">
        <v>20509916102</v>
      </c>
      <c r="F914" s="3" t="s">
        <v>3714</v>
      </c>
      <c r="G914" s="3" t="s">
        <v>3715</v>
      </c>
      <c r="H914" s="3" t="s">
        <v>97</v>
      </c>
      <c r="I914" s="3" t="s">
        <v>97</v>
      </c>
      <c r="J914" s="3" t="s">
        <v>417</v>
      </c>
      <c r="K914" s="3" t="s">
        <v>3716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 t="s">
        <v>645</v>
      </c>
      <c r="AL914" s="4">
        <v>39559</v>
      </c>
      <c r="AM914" s="3"/>
      <c r="AN914" s="3"/>
    </row>
    <row r="915" spans="1:40" ht="27.95" x14ac:dyDescent="0.3">
      <c r="A915" s="3">
        <v>909</v>
      </c>
      <c r="B915" s="3" t="str">
        <f>"201400057846"</f>
        <v>201400057846</v>
      </c>
      <c r="C915" s="3">
        <v>105686</v>
      </c>
      <c r="D915" s="3" t="s">
        <v>3717</v>
      </c>
      <c r="E915" s="3">
        <v>10004462217</v>
      </c>
      <c r="F915" s="3" t="s">
        <v>3718</v>
      </c>
      <c r="G915" s="3" t="s">
        <v>3719</v>
      </c>
      <c r="H915" s="3" t="s">
        <v>202</v>
      </c>
      <c r="I915" s="3" t="s">
        <v>202</v>
      </c>
      <c r="J915" s="3" t="s">
        <v>904</v>
      </c>
      <c r="K915" s="3" t="s">
        <v>3720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 t="s">
        <v>218</v>
      </c>
      <c r="AL915" s="4">
        <v>41791</v>
      </c>
      <c r="AM915" s="3"/>
      <c r="AN915" s="3" t="s">
        <v>3718</v>
      </c>
    </row>
    <row r="916" spans="1:40" x14ac:dyDescent="0.3">
      <c r="A916" s="3">
        <v>910</v>
      </c>
      <c r="B916" s="3" t="str">
        <f>"201900095883"</f>
        <v>201900095883</v>
      </c>
      <c r="C916" s="3">
        <v>144702</v>
      </c>
      <c r="D916" s="3" t="s">
        <v>3721</v>
      </c>
      <c r="E916" s="3">
        <v>20454723610</v>
      </c>
      <c r="F916" s="3" t="s">
        <v>3722</v>
      </c>
      <c r="G916" s="3" t="s">
        <v>3723</v>
      </c>
      <c r="H916" s="3" t="s">
        <v>97</v>
      </c>
      <c r="I916" s="3" t="s">
        <v>97</v>
      </c>
      <c r="J916" s="3" t="s">
        <v>144</v>
      </c>
      <c r="K916" s="3" t="s">
        <v>3724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 t="s">
        <v>525</v>
      </c>
      <c r="AL916" s="4">
        <v>43636</v>
      </c>
      <c r="AM916" s="3"/>
      <c r="AN916" s="3" t="s">
        <v>3725</v>
      </c>
    </row>
    <row r="917" spans="1:40" x14ac:dyDescent="0.3">
      <c r="A917" s="3">
        <v>911</v>
      </c>
      <c r="B917" s="3" t="str">
        <f>"1119694"</f>
        <v>1119694</v>
      </c>
      <c r="C917" s="3">
        <v>3676</v>
      </c>
      <c r="D917" s="3">
        <v>955416</v>
      </c>
      <c r="E917" s="3">
        <v>20293658146</v>
      </c>
      <c r="F917" s="3" t="s">
        <v>3726</v>
      </c>
      <c r="G917" s="3" t="s">
        <v>3727</v>
      </c>
      <c r="H917" s="3" t="s">
        <v>56</v>
      </c>
      <c r="I917" s="3" t="s">
        <v>56</v>
      </c>
      <c r="J917" s="3" t="s">
        <v>63</v>
      </c>
      <c r="K917" s="3" t="s">
        <v>3728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 t="s">
        <v>81</v>
      </c>
      <c r="AL917" s="4">
        <v>35569</v>
      </c>
      <c r="AM917" s="3"/>
      <c r="AN917" s="3"/>
    </row>
    <row r="918" spans="1:40" x14ac:dyDescent="0.3">
      <c r="A918" s="3">
        <v>912</v>
      </c>
      <c r="B918" s="3" t="str">
        <f>"1119245"</f>
        <v>1119245</v>
      </c>
      <c r="C918" s="3">
        <v>2510</v>
      </c>
      <c r="D918" s="3">
        <v>1025102</v>
      </c>
      <c r="E918" s="3">
        <v>20100366747</v>
      </c>
      <c r="F918" s="3" t="s">
        <v>258</v>
      </c>
      <c r="G918" s="3" t="s">
        <v>1055</v>
      </c>
      <c r="H918" s="3" t="s">
        <v>56</v>
      </c>
      <c r="I918" s="3" t="s">
        <v>56</v>
      </c>
      <c r="J918" s="3" t="s">
        <v>185</v>
      </c>
      <c r="K918" s="3" t="s">
        <v>3729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 t="s">
        <v>634</v>
      </c>
      <c r="AL918" s="4">
        <v>35550</v>
      </c>
      <c r="AM918" s="3"/>
      <c r="AN918" s="3"/>
    </row>
    <row r="919" spans="1:40" ht="27.95" x14ac:dyDescent="0.3">
      <c r="A919" s="3">
        <v>913</v>
      </c>
      <c r="B919" s="3" t="str">
        <f>"1508876"</f>
        <v>1508876</v>
      </c>
      <c r="C919" s="3">
        <v>92996</v>
      </c>
      <c r="D919" s="3" t="s">
        <v>3730</v>
      </c>
      <c r="E919" s="3">
        <v>10294845556</v>
      </c>
      <c r="F919" s="3" t="s">
        <v>3731</v>
      </c>
      <c r="G919" s="3" t="s">
        <v>3732</v>
      </c>
      <c r="H919" s="3" t="s">
        <v>97</v>
      </c>
      <c r="I919" s="3" t="s">
        <v>97</v>
      </c>
      <c r="J919" s="3" t="s">
        <v>688</v>
      </c>
      <c r="K919" s="3" t="s">
        <v>3733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 t="s">
        <v>614</v>
      </c>
      <c r="AL919" s="4">
        <v>40854</v>
      </c>
      <c r="AM919" s="3"/>
      <c r="AN919" s="3" t="s">
        <v>3731</v>
      </c>
    </row>
    <row r="920" spans="1:40" ht="27.95" x14ac:dyDescent="0.3">
      <c r="A920" s="3">
        <v>914</v>
      </c>
      <c r="B920" s="3" t="str">
        <f>"201700021073"</f>
        <v>201700021073</v>
      </c>
      <c r="C920" s="3">
        <v>126538</v>
      </c>
      <c r="D920" s="3" t="s">
        <v>3734</v>
      </c>
      <c r="E920" s="3">
        <v>10090971650</v>
      </c>
      <c r="F920" s="3" t="s">
        <v>3735</v>
      </c>
      <c r="G920" s="3" t="s">
        <v>3736</v>
      </c>
      <c r="H920" s="3" t="s">
        <v>56</v>
      </c>
      <c r="I920" s="3" t="s">
        <v>56</v>
      </c>
      <c r="J920" s="3" t="s">
        <v>277</v>
      </c>
      <c r="K920" s="3" t="s">
        <v>3737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 t="s">
        <v>3738</v>
      </c>
      <c r="AL920" s="4">
        <v>42788</v>
      </c>
      <c r="AM920" s="3"/>
      <c r="AN920" s="3" t="s">
        <v>3735</v>
      </c>
    </row>
    <row r="921" spans="1:40" ht="27.95" x14ac:dyDescent="0.3">
      <c r="A921" s="3">
        <v>915</v>
      </c>
      <c r="B921" s="3" t="str">
        <f>"201800192344"</f>
        <v>201800192344</v>
      </c>
      <c r="C921" s="3">
        <v>139779</v>
      </c>
      <c r="D921" s="3" t="s">
        <v>3739</v>
      </c>
      <c r="E921" s="3">
        <v>20455751528</v>
      </c>
      <c r="F921" s="3" t="s">
        <v>3740</v>
      </c>
      <c r="G921" s="3" t="s">
        <v>3741</v>
      </c>
      <c r="H921" s="3" t="s">
        <v>97</v>
      </c>
      <c r="I921" s="3" t="s">
        <v>97</v>
      </c>
      <c r="J921" s="3" t="s">
        <v>144</v>
      </c>
      <c r="K921" s="3" t="s">
        <v>3742</v>
      </c>
      <c r="L921" s="3" t="s">
        <v>3743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 t="s">
        <v>150</v>
      </c>
      <c r="AL921" s="4">
        <v>43437</v>
      </c>
      <c r="AM921" s="3"/>
      <c r="AN921" s="3" t="s">
        <v>151</v>
      </c>
    </row>
    <row r="922" spans="1:40" x14ac:dyDescent="0.3">
      <c r="A922" s="3">
        <v>916</v>
      </c>
      <c r="B922" s="3" t="str">
        <f>"1415449"</f>
        <v>1415449</v>
      </c>
      <c r="C922" s="3">
        <v>88892</v>
      </c>
      <c r="D922" s="3" t="s">
        <v>3744</v>
      </c>
      <c r="E922" s="3">
        <v>10102560782</v>
      </c>
      <c r="F922" s="3" t="s">
        <v>2853</v>
      </c>
      <c r="G922" s="3" t="s">
        <v>3745</v>
      </c>
      <c r="H922" s="3" t="s">
        <v>56</v>
      </c>
      <c r="I922" s="3" t="s">
        <v>56</v>
      </c>
      <c r="J922" s="3" t="s">
        <v>363</v>
      </c>
      <c r="K922" s="3" t="s">
        <v>3746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 t="s">
        <v>2856</v>
      </c>
      <c r="AL922" s="4">
        <v>40444</v>
      </c>
      <c r="AM922" s="3"/>
      <c r="AN922" s="3" t="s">
        <v>2853</v>
      </c>
    </row>
    <row r="923" spans="1:40" ht="27.95" x14ac:dyDescent="0.3">
      <c r="A923" s="3">
        <v>917</v>
      </c>
      <c r="B923" s="3" t="str">
        <f>"201800192341"</f>
        <v>201800192341</v>
      </c>
      <c r="C923" s="3">
        <v>139785</v>
      </c>
      <c r="D923" s="3" t="s">
        <v>3747</v>
      </c>
      <c r="E923" s="3">
        <v>20455751528</v>
      </c>
      <c r="F923" s="3" t="s">
        <v>3748</v>
      </c>
      <c r="G923" s="3" t="s">
        <v>3749</v>
      </c>
      <c r="H923" s="3" t="s">
        <v>97</v>
      </c>
      <c r="I923" s="3" t="s">
        <v>97</v>
      </c>
      <c r="J923" s="3" t="s">
        <v>144</v>
      </c>
      <c r="K923" s="3" t="s">
        <v>3750</v>
      </c>
      <c r="L923" s="3" t="s">
        <v>3751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 t="s">
        <v>2281</v>
      </c>
      <c r="AL923" s="4">
        <v>43454</v>
      </c>
      <c r="AM923" s="3"/>
      <c r="AN923" s="3" t="s">
        <v>151</v>
      </c>
    </row>
    <row r="924" spans="1:40" x14ac:dyDescent="0.3">
      <c r="A924" s="3">
        <v>918</v>
      </c>
      <c r="B924" s="3" t="str">
        <f>"201400103099"</f>
        <v>201400103099</v>
      </c>
      <c r="C924" s="3">
        <v>56046</v>
      </c>
      <c r="D924" s="3" t="s">
        <v>3752</v>
      </c>
      <c r="E924" s="3">
        <v>20507840613</v>
      </c>
      <c r="F924" s="3" t="s">
        <v>298</v>
      </c>
      <c r="G924" s="3" t="s">
        <v>3753</v>
      </c>
      <c r="H924" s="3" t="s">
        <v>56</v>
      </c>
      <c r="I924" s="3" t="s">
        <v>56</v>
      </c>
      <c r="J924" s="3" t="s">
        <v>57</v>
      </c>
      <c r="K924" s="3" t="s">
        <v>3754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 t="s">
        <v>300</v>
      </c>
      <c r="AL924" s="4">
        <v>41866</v>
      </c>
      <c r="AM924" s="3"/>
      <c r="AN924" s="3" t="s">
        <v>60</v>
      </c>
    </row>
    <row r="925" spans="1:40" ht="27.95" x14ac:dyDescent="0.3">
      <c r="A925" s="3">
        <v>919</v>
      </c>
      <c r="B925" s="3" t="str">
        <f>"201900183494"</f>
        <v>201900183494</v>
      </c>
      <c r="C925" s="3">
        <v>147640</v>
      </c>
      <c r="D925" s="3" t="s">
        <v>3755</v>
      </c>
      <c r="E925" s="3">
        <v>20404723392</v>
      </c>
      <c r="F925" s="3" t="s">
        <v>1701</v>
      </c>
      <c r="G925" s="3" t="s">
        <v>3756</v>
      </c>
      <c r="H925" s="3" t="s">
        <v>89</v>
      </c>
      <c r="I925" s="3" t="s">
        <v>89</v>
      </c>
      <c r="J925" s="3" t="s">
        <v>90</v>
      </c>
      <c r="K925" s="3" t="s">
        <v>3757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 t="s">
        <v>256</v>
      </c>
      <c r="AL925" s="4">
        <v>43794</v>
      </c>
      <c r="AM925" s="3"/>
      <c r="AN925" s="3" t="s">
        <v>93</v>
      </c>
    </row>
    <row r="926" spans="1:40" x14ac:dyDescent="0.3">
      <c r="A926" s="3">
        <v>920</v>
      </c>
      <c r="B926" s="3" t="str">
        <f>"1631169"</f>
        <v>1631169</v>
      </c>
      <c r="C926" s="3">
        <v>43967</v>
      </c>
      <c r="D926" s="3" t="s">
        <v>3758</v>
      </c>
      <c r="E926" s="3">
        <v>20121837634</v>
      </c>
      <c r="F926" s="3" t="s">
        <v>866</v>
      </c>
      <c r="G926" s="3" t="s">
        <v>3759</v>
      </c>
      <c r="H926" s="3" t="s">
        <v>237</v>
      </c>
      <c r="I926" s="3" t="s">
        <v>868</v>
      </c>
      <c r="J926" s="3" t="s">
        <v>869</v>
      </c>
      <c r="K926" s="3" t="s">
        <v>3760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 t="s">
        <v>3761</v>
      </c>
      <c r="AL926" s="4">
        <v>38952</v>
      </c>
      <c r="AM926" s="3"/>
      <c r="AN926" s="3"/>
    </row>
    <row r="927" spans="1:40" x14ac:dyDescent="0.3">
      <c r="A927" s="3">
        <v>921</v>
      </c>
      <c r="B927" s="3" t="str">
        <f>"1221742"</f>
        <v>1221742</v>
      </c>
      <c r="C927" s="3">
        <v>15955</v>
      </c>
      <c r="D927" s="3">
        <v>1221742</v>
      </c>
      <c r="E927" s="3">
        <v>10076028082</v>
      </c>
      <c r="F927" s="3" t="s">
        <v>3762</v>
      </c>
      <c r="G927" s="3" t="s">
        <v>3763</v>
      </c>
      <c r="H927" s="3" t="s">
        <v>56</v>
      </c>
      <c r="I927" s="3" t="s">
        <v>56</v>
      </c>
      <c r="J927" s="3" t="s">
        <v>185</v>
      </c>
      <c r="K927" s="3" t="s">
        <v>3764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 t="s">
        <v>65</v>
      </c>
      <c r="AL927" s="4">
        <v>36209</v>
      </c>
      <c r="AM927" s="3"/>
      <c r="AN927" s="3"/>
    </row>
    <row r="928" spans="1:40" x14ac:dyDescent="0.3">
      <c r="A928" s="3">
        <v>922</v>
      </c>
      <c r="B928" s="3" t="str">
        <f>"201400070704"</f>
        <v>201400070704</v>
      </c>
      <c r="C928" s="3">
        <v>107994</v>
      </c>
      <c r="D928" s="3" t="s">
        <v>3765</v>
      </c>
      <c r="E928" s="3">
        <v>10421691598</v>
      </c>
      <c r="F928" s="3" t="s">
        <v>3766</v>
      </c>
      <c r="G928" s="3" t="s">
        <v>3767</v>
      </c>
      <c r="H928" s="3" t="s">
        <v>446</v>
      </c>
      <c r="I928" s="3" t="s">
        <v>446</v>
      </c>
      <c r="J928" s="3" t="s">
        <v>830</v>
      </c>
      <c r="K928" s="3" t="s">
        <v>3768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 t="s">
        <v>3769</v>
      </c>
      <c r="AL928" s="4">
        <v>41808</v>
      </c>
      <c r="AM928" s="3"/>
      <c r="AN928" s="3" t="s">
        <v>3766</v>
      </c>
    </row>
    <row r="929" spans="1:40" ht="27.95" x14ac:dyDescent="0.3">
      <c r="A929" s="3">
        <v>923</v>
      </c>
      <c r="B929" s="3" t="str">
        <f>"202000108157"</f>
        <v>202000108157</v>
      </c>
      <c r="C929" s="3">
        <v>150690</v>
      </c>
      <c r="D929" s="3" t="s">
        <v>3770</v>
      </c>
      <c r="E929" s="3">
        <v>20541244817</v>
      </c>
      <c r="F929" s="3" t="s">
        <v>3771</v>
      </c>
      <c r="G929" s="3" t="s">
        <v>3772</v>
      </c>
      <c r="H929" s="3" t="s">
        <v>245</v>
      </c>
      <c r="I929" s="3" t="s">
        <v>246</v>
      </c>
      <c r="J929" s="3" t="s">
        <v>2499</v>
      </c>
      <c r="K929" s="3" t="s">
        <v>3773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 t="s">
        <v>218</v>
      </c>
      <c r="AL929" s="4">
        <v>44069</v>
      </c>
      <c r="AM929" s="3"/>
      <c r="AN929" s="3" t="s">
        <v>3774</v>
      </c>
    </row>
    <row r="930" spans="1:40" x14ac:dyDescent="0.3">
      <c r="A930" s="3">
        <v>924</v>
      </c>
      <c r="B930" s="3" t="str">
        <f>"1872641"</f>
        <v>1872641</v>
      </c>
      <c r="C930" s="3">
        <v>82964</v>
      </c>
      <c r="D930" s="3" t="s">
        <v>3775</v>
      </c>
      <c r="E930" s="3">
        <v>10257259795</v>
      </c>
      <c r="F930" s="3" t="s">
        <v>3776</v>
      </c>
      <c r="G930" s="3" t="s">
        <v>3777</v>
      </c>
      <c r="H930" s="3" t="s">
        <v>75</v>
      </c>
      <c r="I930" s="3" t="s">
        <v>75</v>
      </c>
      <c r="J930" s="3" t="s">
        <v>1358</v>
      </c>
      <c r="K930" s="3" t="s">
        <v>3778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 t="s">
        <v>3779</v>
      </c>
      <c r="AL930" s="4">
        <v>39909</v>
      </c>
      <c r="AM930" s="3"/>
      <c r="AN930" s="3"/>
    </row>
    <row r="931" spans="1:40" x14ac:dyDescent="0.3">
      <c r="A931" s="3">
        <v>925</v>
      </c>
      <c r="B931" s="3" t="str">
        <f>"201800048894"</f>
        <v>201800048894</v>
      </c>
      <c r="C931" s="3">
        <v>135232</v>
      </c>
      <c r="D931" s="3" t="s">
        <v>3780</v>
      </c>
      <c r="E931" s="3">
        <v>20231266993</v>
      </c>
      <c r="F931" s="3" t="s">
        <v>3781</v>
      </c>
      <c r="G931" s="3" t="s">
        <v>1504</v>
      </c>
      <c r="H931" s="3" t="s">
        <v>172</v>
      </c>
      <c r="I931" s="3" t="s">
        <v>172</v>
      </c>
      <c r="J931" s="3" t="s">
        <v>1505</v>
      </c>
      <c r="K931" s="3" t="s">
        <v>3782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 t="s">
        <v>568</v>
      </c>
      <c r="AL931" s="4">
        <v>43185</v>
      </c>
      <c r="AM931" s="3"/>
      <c r="AN931" s="3" t="s">
        <v>1509</v>
      </c>
    </row>
    <row r="932" spans="1:40" ht="27.95" x14ac:dyDescent="0.3">
      <c r="A932" s="3">
        <v>926</v>
      </c>
      <c r="B932" s="3" t="str">
        <f>"1257356"</f>
        <v>1257356</v>
      </c>
      <c r="C932" s="3">
        <v>16435</v>
      </c>
      <c r="D932" s="3">
        <v>1257356</v>
      </c>
      <c r="E932" s="3">
        <v>10081583396</v>
      </c>
      <c r="F932" s="3" t="s">
        <v>3783</v>
      </c>
      <c r="G932" s="3" t="s">
        <v>3784</v>
      </c>
      <c r="H932" s="3" t="s">
        <v>56</v>
      </c>
      <c r="I932" s="3" t="s">
        <v>56</v>
      </c>
      <c r="J932" s="3" t="s">
        <v>277</v>
      </c>
      <c r="K932" s="3" t="s">
        <v>3785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 t="s">
        <v>81</v>
      </c>
      <c r="AL932" s="4">
        <v>36452</v>
      </c>
      <c r="AM932" s="3"/>
      <c r="AN932" s="3"/>
    </row>
    <row r="933" spans="1:40" x14ac:dyDescent="0.3">
      <c r="A933" s="3">
        <v>927</v>
      </c>
      <c r="B933" s="3" t="str">
        <f>"1472539"</f>
        <v>1472539</v>
      </c>
      <c r="C933" s="3">
        <v>90579</v>
      </c>
      <c r="D933" s="3" t="s">
        <v>3786</v>
      </c>
      <c r="E933" s="3">
        <v>20535704539</v>
      </c>
      <c r="F933" s="3" t="s">
        <v>3787</v>
      </c>
      <c r="G933" s="3" t="s">
        <v>3788</v>
      </c>
      <c r="H933" s="3" t="s">
        <v>97</v>
      </c>
      <c r="I933" s="3" t="s">
        <v>97</v>
      </c>
      <c r="J933" s="3" t="s">
        <v>970</v>
      </c>
      <c r="K933" s="3" t="s">
        <v>3789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 t="s">
        <v>2386</v>
      </c>
      <c r="AL933" s="4">
        <v>40624</v>
      </c>
      <c r="AM933" s="3"/>
      <c r="AN933" s="3" t="s">
        <v>3790</v>
      </c>
    </row>
    <row r="934" spans="1:40" x14ac:dyDescent="0.3">
      <c r="A934" s="3">
        <v>928</v>
      </c>
      <c r="B934" s="3" t="str">
        <f>"1472538"</f>
        <v>1472538</v>
      </c>
      <c r="C934" s="3">
        <v>90581</v>
      </c>
      <c r="D934" s="3" t="s">
        <v>3791</v>
      </c>
      <c r="E934" s="3">
        <v>20535704539</v>
      </c>
      <c r="F934" s="3" t="s">
        <v>3787</v>
      </c>
      <c r="G934" s="3" t="s">
        <v>3788</v>
      </c>
      <c r="H934" s="3" t="s">
        <v>97</v>
      </c>
      <c r="I934" s="3" t="s">
        <v>97</v>
      </c>
      <c r="J934" s="3" t="s">
        <v>970</v>
      </c>
      <c r="K934" s="3" t="s">
        <v>3792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 t="s">
        <v>2386</v>
      </c>
      <c r="AL934" s="3" t="s">
        <v>290</v>
      </c>
      <c r="AM934" s="3"/>
      <c r="AN934" s="3" t="s">
        <v>925</v>
      </c>
    </row>
    <row r="935" spans="1:40" x14ac:dyDescent="0.3">
      <c r="A935" s="3">
        <v>929</v>
      </c>
      <c r="B935" s="3" t="str">
        <f>"1620133"</f>
        <v>1620133</v>
      </c>
      <c r="C935" s="3">
        <v>41848</v>
      </c>
      <c r="D935" s="3" t="s">
        <v>3793</v>
      </c>
      <c r="E935" s="3">
        <v>10295056067</v>
      </c>
      <c r="F935" s="3" t="s">
        <v>3794</v>
      </c>
      <c r="G935" s="3" t="s">
        <v>3795</v>
      </c>
      <c r="H935" s="3" t="s">
        <v>97</v>
      </c>
      <c r="I935" s="3" t="s">
        <v>97</v>
      </c>
      <c r="J935" s="3" t="s">
        <v>3210</v>
      </c>
      <c r="K935" s="3" t="s">
        <v>3796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 t="s">
        <v>81</v>
      </c>
      <c r="AL935" s="4">
        <v>38904</v>
      </c>
      <c r="AM935" s="3"/>
      <c r="AN935" s="3"/>
    </row>
    <row r="936" spans="1:40" x14ac:dyDescent="0.3">
      <c r="A936" s="3">
        <v>930</v>
      </c>
      <c r="B936" s="3" t="str">
        <f>"1472534"</f>
        <v>1472534</v>
      </c>
      <c r="C936" s="3">
        <v>90577</v>
      </c>
      <c r="D936" s="3" t="s">
        <v>3797</v>
      </c>
      <c r="E936" s="3">
        <v>20535704539</v>
      </c>
      <c r="F936" s="3" t="s">
        <v>3787</v>
      </c>
      <c r="G936" s="3" t="s">
        <v>3798</v>
      </c>
      <c r="H936" s="3" t="s">
        <v>97</v>
      </c>
      <c r="I936" s="3" t="s">
        <v>97</v>
      </c>
      <c r="J936" s="3" t="s">
        <v>970</v>
      </c>
      <c r="K936" s="3" t="s">
        <v>3799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 t="s">
        <v>2386</v>
      </c>
      <c r="AL936" s="4">
        <v>40625</v>
      </c>
      <c r="AM936" s="3"/>
      <c r="AN936" s="3" t="s">
        <v>925</v>
      </c>
    </row>
    <row r="937" spans="1:40" ht="27.95" x14ac:dyDescent="0.3">
      <c r="A937" s="3">
        <v>931</v>
      </c>
      <c r="B937" s="3" t="str">
        <f>"201800192350"</f>
        <v>201800192350</v>
      </c>
      <c r="C937" s="3">
        <v>139784</v>
      </c>
      <c r="D937" s="3" t="s">
        <v>3800</v>
      </c>
      <c r="E937" s="3">
        <v>20455751528</v>
      </c>
      <c r="F937" s="3" t="s">
        <v>3748</v>
      </c>
      <c r="G937" s="3" t="s">
        <v>3801</v>
      </c>
      <c r="H937" s="3" t="s">
        <v>97</v>
      </c>
      <c r="I937" s="3" t="s">
        <v>97</v>
      </c>
      <c r="J937" s="3" t="s">
        <v>144</v>
      </c>
      <c r="K937" s="3" t="s">
        <v>3802</v>
      </c>
      <c r="L937" s="3" t="s">
        <v>149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 t="s">
        <v>150</v>
      </c>
      <c r="AL937" s="4">
        <v>43448</v>
      </c>
      <c r="AM937" s="3"/>
      <c r="AN937" s="3" t="s">
        <v>151</v>
      </c>
    </row>
    <row r="938" spans="1:40" x14ac:dyDescent="0.3">
      <c r="A938" s="3">
        <v>932</v>
      </c>
      <c r="B938" s="3" t="str">
        <f>"1472533"</f>
        <v>1472533</v>
      </c>
      <c r="C938" s="3">
        <v>90575</v>
      </c>
      <c r="D938" s="3" t="s">
        <v>3803</v>
      </c>
      <c r="E938" s="3">
        <v>20535704539</v>
      </c>
      <c r="F938" s="3" t="s">
        <v>3787</v>
      </c>
      <c r="G938" s="3" t="s">
        <v>3804</v>
      </c>
      <c r="H938" s="3" t="s">
        <v>97</v>
      </c>
      <c r="I938" s="3" t="s">
        <v>97</v>
      </c>
      <c r="J938" s="3" t="s">
        <v>970</v>
      </c>
      <c r="K938" s="3" t="s">
        <v>3805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 t="s">
        <v>2386</v>
      </c>
      <c r="AL938" s="4">
        <v>40624</v>
      </c>
      <c r="AM938" s="3"/>
      <c r="AN938" s="3" t="s">
        <v>925</v>
      </c>
    </row>
    <row r="939" spans="1:40" x14ac:dyDescent="0.3">
      <c r="A939" s="3">
        <v>933</v>
      </c>
      <c r="B939" s="3" t="str">
        <f>"201600185067"</f>
        <v>201600185067</v>
      </c>
      <c r="C939" s="3">
        <v>86585</v>
      </c>
      <c r="D939" s="3" t="s">
        <v>3806</v>
      </c>
      <c r="E939" s="3">
        <v>20100366747</v>
      </c>
      <c r="F939" s="3" t="s">
        <v>334</v>
      </c>
      <c r="G939" s="3" t="s">
        <v>335</v>
      </c>
      <c r="H939" s="3" t="s">
        <v>56</v>
      </c>
      <c r="I939" s="3" t="s">
        <v>56</v>
      </c>
      <c r="J939" s="3" t="s">
        <v>185</v>
      </c>
      <c r="K939" s="3" t="s">
        <v>3807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 t="s">
        <v>118</v>
      </c>
      <c r="AL939" s="4">
        <v>42737</v>
      </c>
      <c r="AM939" s="3"/>
      <c r="AN939" s="3" t="s">
        <v>3808</v>
      </c>
    </row>
    <row r="940" spans="1:40" x14ac:dyDescent="0.3">
      <c r="A940" s="3">
        <v>934</v>
      </c>
      <c r="B940" s="3" t="str">
        <f>"1322153"</f>
        <v>1322153</v>
      </c>
      <c r="C940" s="3">
        <v>21119</v>
      </c>
      <c r="D940" s="3" t="s">
        <v>3809</v>
      </c>
      <c r="E940" s="3">
        <v>20119204896</v>
      </c>
      <c r="F940" s="3" t="s">
        <v>3810</v>
      </c>
      <c r="G940" s="3" t="s">
        <v>849</v>
      </c>
      <c r="H940" s="3" t="s">
        <v>202</v>
      </c>
      <c r="I940" s="3" t="s">
        <v>202</v>
      </c>
      <c r="J940" s="3" t="s">
        <v>202</v>
      </c>
      <c r="K940" s="3" t="s">
        <v>3811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 t="s">
        <v>3812</v>
      </c>
      <c r="AL940" s="4">
        <v>37034</v>
      </c>
      <c r="AM940" s="3"/>
      <c r="AN940" s="3"/>
    </row>
    <row r="941" spans="1:40" x14ac:dyDescent="0.3">
      <c r="A941" s="3">
        <v>935</v>
      </c>
      <c r="B941" s="3" t="str">
        <f>"1472530"</f>
        <v>1472530</v>
      </c>
      <c r="C941" s="3">
        <v>90594</v>
      </c>
      <c r="D941" s="3" t="s">
        <v>3813</v>
      </c>
      <c r="E941" s="3">
        <v>20535704539</v>
      </c>
      <c r="F941" s="3" t="s">
        <v>3787</v>
      </c>
      <c r="G941" s="3" t="s">
        <v>3814</v>
      </c>
      <c r="H941" s="3" t="s">
        <v>97</v>
      </c>
      <c r="I941" s="3" t="s">
        <v>97</v>
      </c>
      <c r="J941" s="3" t="s">
        <v>970</v>
      </c>
      <c r="K941" s="3" t="s">
        <v>3815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 t="s">
        <v>2386</v>
      </c>
      <c r="AL941" s="4">
        <v>40625</v>
      </c>
      <c r="AM941" s="3"/>
      <c r="AN941" s="3" t="s">
        <v>925</v>
      </c>
    </row>
    <row r="942" spans="1:40" x14ac:dyDescent="0.3">
      <c r="A942" s="3">
        <v>936</v>
      </c>
      <c r="B942" s="3" t="str">
        <f>"201200045287"</f>
        <v>201200045287</v>
      </c>
      <c r="C942" s="3">
        <v>96368</v>
      </c>
      <c r="D942" s="3" t="s">
        <v>3816</v>
      </c>
      <c r="E942" s="3">
        <v>10167165201</v>
      </c>
      <c r="F942" s="3" t="s">
        <v>2053</v>
      </c>
      <c r="G942" s="3" t="s">
        <v>3817</v>
      </c>
      <c r="H942" s="3" t="s">
        <v>50</v>
      </c>
      <c r="I942" s="3" t="s">
        <v>2050</v>
      </c>
      <c r="J942" s="3" t="s">
        <v>2050</v>
      </c>
      <c r="K942" s="3" t="s">
        <v>3818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 t="s">
        <v>583</v>
      </c>
      <c r="AL942" s="4">
        <v>41010</v>
      </c>
      <c r="AM942" s="3"/>
      <c r="AN942" s="3" t="s">
        <v>2053</v>
      </c>
    </row>
    <row r="943" spans="1:40" ht="27.95" x14ac:dyDescent="0.3">
      <c r="A943" s="3">
        <v>937</v>
      </c>
      <c r="B943" s="3" t="str">
        <f>"1508860"</f>
        <v>1508860</v>
      </c>
      <c r="C943" s="3">
        <v>36950</v>
      </c>
      <c r="D943" s="3" t="s">
        <v>3819</v>
      </c>
      <c r="E943" s="3">
        <v>20100076749</v>
      </c>
      <c r="F943" s="3" t="s">
        <v>159</v>
      </c>
      <c r="G943" s="3" t="s">
        <v>2636</v>
      </c>
      <c r="H943" s="3" t="s">
        <v>56</v>
      </c>
      <c r="I943" s="3" t="s">
        <v>56</v>
      </c>
      <c r="J943" s="3" t="s">
        <v>121</v>
      </c>
      <c r="K943" s="3" t="s">
        <v>3820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 t="s">
        <v>602</v>
      </c>
      <c r="AL943" s="4">
        <v>38362</v>
      </c>
      <c r="AM943" s="3"/>
      <c r="AN943" s="3"/>
    </row>
    <row r="944" spans="1:40" x14ac:dyDescent="0.3">
      <c r="A944" s="3">
        <v>938</v>
      </c>
      <c r="B944" s="3" t="str">
        <f>"1118918"</f>
        <v>1118918</v>
      </c>
      <c r="C944" s="3">
        <v>2721</v>
      </c>
      <c r="D944" s="3">
        <v>1088228</v>
      </c>
      <c r="E944" s="3">
        <v>10067129135</v>
      </c>
      <c r="F944" s="3" t="s">
        <v>3821</v>
      </c>
      <c r="G944" s="3" t="s">
        <v>3822</v>
      </c>
      <c r="H944" s="3" t="s">
        <v>56</v>
      </c>
      <c r="I944" s="3" t="s">
        <v>56</v>
      </c>
      <c r="J944" s="3" t="s">
        <v>84</v>
      </c>
      <c r="K944" s="3" t="s">
        <v>3823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 t="s">
        <v>81</v>
      </c>
      <c r="AL944" s="4">
        <v>35550</v>
      </c>
      <c r="AM944" s="3"/>
      <c r="AN944" s="3"/>
    </row>
    <row r="945" spans="1:40" x14ac:dyDescent="0.3">
      <c r="A945" s="3">
        <v>939</v>
      </c>
      <c r="B945" s="3" t="str">
        <f>"1201231"</f>
        <v>1201231</v>
      </c>
      <c r="C945" s="3">
        <v>14662</v>
      </c>
      <c r="D945" s="3">
        <v>1201231</v>
      </c>
      <c r="E945" s="3">
        <v>20362013802</v>
      </c>
      <c r="F945" s="3" t="s">
        <v>3635</v>
      </c>
      <c r="G945" s="3" t="s">
        <v>3824</v>
      </c>
      <c r="H945" s="3" t="s">
        <v>56</v>
      </c>
      <c r="I945" s="3" t="s">
        <v>56</v>
      </c>
      <c r="J945" s="3" t="s">
        <v>56</v>
      </c>
      <c r="K945" s="3" t="s">
        <v>3825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 t="s">
        <v>1812</v>
      </c>
      <c r="AL945" s="4">
        <v>36034</v>
      </c>
      <c r="AM945" s="3"/>
      <c r="AN945" s="3"/>
    </row>
    <row r="946" spans="1:40" x14ac:dyDescent="0.3">
      <c r="A946" s="3">
        <v>940</v>
      </c>
      <c r="B946" s="3" t="str">
        <f>"201900143928"</f>
        <v>201900143928</v>
      </c>
      <c r="C946" s="3">
        <v>146390</v>
      </c>
      <c r="D946" s="3" t="s">
        <v>3826</v>
      </c>
      <c r="E946" s="3">
        <v>10409615479</v>
      </c>
      <c r="F946" s="3" t="s">
        <v>3827</v>
      </c>
      <c r="G946" s="3" t="s">
        <v>3828</v>
      </c>
      <c r="H946" s="3" t="s">
        <v>1208</v>
      </c>
      <c r="I946" s="3" t="s">
        <v>1209</v>
      </c>
      <c r="J946" s="3" t="s">
        <v>1209</v>
      </c>
      <c r="K946" s="3" t="s">
        <v>3829</v>
      </c>
      <c r="L946" s="3" t="s">
        <v>3830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 t="s">
        <v>3831</v>
      </c>
      <c r="AL946" s="4">
        <v>43721</v>
      </c>
      <c r="AM946" s="3"/>
      <c r="AN946" s="3" t="s">
        <v>3827</v>
      </c>
    </row>
    <row r="947" spans="1:40" x14ac:dyDescent="0.3">
      <c r="A947" s="3">
        <v>941</v>
      </c>
      <c r="B947" s="3" t="str">
        <f>"201400092696"</f>
        <v>201400092696</v>
      </c>
      <c r="C947" s="3">
        <v>84819</v>
      </c>
      <c r="D947" s="3" t="s">
        <v>3832</v>
      </c>
      <c r="E947" s="3">
        <v>20572157394</v>
      </c>
      <c r="F947" s="3" t="s">
        <v>170</v>
      </c>
      <c r="G947" s="3" t="s">
        <v>171</v>
      </c>
      <c r="H947" s="3" t="s">
        <v>172</v>
      </c>
      <c r="I947" s="3" t="s">
        <v>172</v>
      </c>
      <c r="J947" s="3" t="s">
        <v>173</v>
      </c>
      <c r="K947" s="3" t="s">
        <v>3833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 t="s">
        <v>546</v>
      </c>
      <c r="AL947" s="4">
        <v>41843</v>
      </c>
      <c r="AM947" s="3"/>
      <c r="AN947" s="3" t="s">
        <v>178</v>
      </c>
    </row>
    <row r="948" spans="1:40" ht="27.95" x14ac:dyDescent="0.3">
      <c r="A948" s="3">
        <v>942</v>
      </c>
      <c r="B948" s="3" t="str">
        <f>"201400109390"</f>
        <v>201400109390</v>
      </c>
      <c r="C948" s="3">
        <v>110910</v>
      </c>
      <c r="D948" s="3" t="s">
        <v>3834</v>
      </c>
      <c r="E948" s="3">
        <v>20450732622</v>
      </c>
      <c r="F948" s="3" t="s">
        <v>3835</v>
      </c>
      <c r="G948" s="3" t="s">
        <v>3836</v>
      </c>
      <c r="H948" s="3" t="s">
        <v>3837</v>
      </c>
      <c r="I948" s="3" t="s">
        <v>3838</v>
      </c>
      <c r="J948" s="3" t="s">
        <v>3837</v>
      </c>
      <c r="K948" s="3" t="s">
        <v>3839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 t="s">
        <v>759</v>
      </c>
      <c r="AL948" s="4">
        <v>41880</v>
      </c>
      <c r="AM948" s="3"/>
      <c r="AN948" s="3" t="s">
        <v>3840</v>
      </c>
    </row>
    <row r="949" spans="1:40" x14ac:dyDescent="0.3">
      <c r="A949" s="3">
        <v>943</v>
      </c>
      <c r="B949" s="3" t="str">
        <f>"201900034144"</f>
        <v>201900034144</v>
      </c>
      <c r="C949" s="3">
        <v>141674</v>
      </c>
      <c r="D949" s="3" t="s">
        <v>3841</v>
      </c>
      <c r="E949" s="3">
        <v>10316019949</v>
      </c>
      <c r="F949" s="3" t="s">
        <v>3842</v>
      </c>
      <c r="G949" s="3" t="s">
        <v>3843</v>
      </c>
      <c r="H949" s="3" t="s">
        <v>271</v>
      </c>
      <c r="I949" s="3" t="s">
        <v>272</v>
      </c>
      <c r="J949" s="3" t="s">
        <v>273</v>
      </c>
      <c r="K949" s="3" t="s">
        <v>3844</v>
      </c>
      <c r="L949" s="3" t="s">
        <v>3845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 t="s">
        <v>3846</v>
      </c>
      <c r="AL949" s="4">
        <v>43530</v>
      </c>
      <c r="AM949" s="3"/>
      <c r="AN949" s="3" t="s">
        <v>3842</v>
      </c>
    </row>
    <row r="950" spans="1:40" x14ac:dyDescent="0.3">
      <c r="A950" s="3">
        <v>944</v>
      </c>
      <c r="B950" s="3" t="str">
        <f>"1472528"</f>
        <v>1472528</v>
      </c>
      <c r="C950" s="3">
        <v>90598</v>
      </c>
      <c r="D950" s="3" t="s">
        <v>3847</v>
      </c>
      <c r="E950" s="3">
        <v>20535704539</v>
      </c>
      <c r="F950" s="3" t="s">
        <v>3787</v>
      </c>
      <c r="G950" s="3" t="s">
        <v>3814</v>
      </c>
      <c r="H950" s="3" t="s">
        <v>97</v>
      </c>
      <c r="I950" s="3" t="s">
        <v>97</v>
      </c>
      <c r="J950" s="3" t="s">
        <v>970</v>
      </c>
      <c r="K950" s="3" t="s">
        <v>3848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 t="s">
        <v>614</v>
      </c>
      <c r="AL950" s="4">
        <v>40625</v>
      </c>
      <c r="AM950" s="3"/>
      <c r="AN950" s="3" t="s">
        <v>3849</v>
      </c>
    </row>
    <row r="951" spans="1:40" ht="27.95" x14ac:dyDescent="0.3">
      <c r="A951" s="3">
        <v>945</v>
      </c>
      <c r="B951" s="3" t="str">
        <f>"1115200"</f>
        <v>1115200</v>
      </c>
      <c r="C951" s="3">
        <v>2547</v>
      </c>
      <c r="D951" s="3">
        <v>1046341</v>
      </c>
      <c r="E951" s="3">
        <v>20122113761</v>
      </c>
      <c r="F951" s="3" t="s">
        <v>3850</v>
      </c>
      <c r="G951" s="3" t="s">
        <v>3851</v>
      </c>
      <c r="H951" s="3" t="s">
        <v>56</v>
      </c>
      <c r="I951" s="3" t="s">
        <v>56</v>
      </c>
      <c r="J951" s="3" t="s">
        <v>63</v>
      </c>
      <c r="K951" s="3" t="s">
        <v>3852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 t="s">
        <v>634</v>
      </c>
      <c r="AL951" s="4">
        <v>35520</v>
      </c>
      <c r="AM951" s="3"/>
      <c r="AN951" s="3"/>
    </row>
    <row r="952" spans="1:40" x14ac:dyDescent="0.3">
      <c r="A952" s="3">
        <v>946</v>
      </c>
      <c r="B952" s="3" t="str">
        <f>"1472527"</f>
        <v>1472527</v>
      </c>
      <c r="C952" s="3">
        <v>90596</v>
      </c>
      <c r="D952" s="3" t="s">
        <v>3853</v>
      </c>
      <c r="E952" s="3">
        <v>20535704539</v>
      </c>
      <c r="F952" s="3" t="s">
        <v>3787</v>
      </c>
      <c r="G952" s="3" t="s">
        <v>3814</v>
      </c>
      <c r="H952" s="3" t="s">
        <v>97</v>
      </c>
      <c r="I952" s="3" t="s">
        <v>97</v>
      </c>
      <c r="J952" s="3" t="s">
        <v>970</v>
      </c>
      <c r="K952" s="3" t="s">
        <v>3854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 t="s">
        <v>3855</v>
      </c>
      <c r="AL952" s="4">
        <v>40625</v>
      </c>
      <c r="AM952" s="3"/>
      <c r="AN952" s="3" t="s">
        <v>925</v>
      </c>
    </row>
    <row r="953" spans="1:40" x14ac:dyDescent="0.3">
      <c r="A953" s="3">
        <v>947</v>
      </c>
      <c r="B953" s="3" t="str">
        <f>"1798774"</f>
        <v>1798774</v>
      </c>
      <c r="C953" s="3">
        <v>63085</v>
      </c>
      <c r="D953" s="3" t="s">
        <v>3856</v>
      </c>
      <c r="E953" s="3">
        <v>20230085138</v>
      </c>
      <c r="F953" s="3" t="s">
        <v>3857</v>
      </c>
      <c r="G953" s="3" t="s">
        <v>3858</v>
      </c>
      <c r="H953" s="3" t="s">
        <v>237</v>
      </c>
      <c r="I953" s="3" t="s">
        <v>868</v>
      </c>
      <c r="J953" s="3" t="s">
        <v>868</v>
      </c>
      <c r="K953" s="3" t="s">
        <v>3859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 t="s">
        <v>3860</v>
      </c>
      <c r="AL953" s="4">
        <v>39629</v>
      </c>
      <c r="AM953" s="3"/>
      <c r="AN953" s="3"/>
    </row>
    <row r="954" spans="1:40" x14ac:dyDescent="0.3">
      <c r="A954" s="3">
        <v>948</v>
      </c>
      <c r="B954" s="3" t="str">
        <f>"1798777"</f>
        <v>1798777</v>
      </c>
      <c r="C954" s="3">
        <v>63088</v>
      </c>
      <c r="D954" s="3" t="s">
        <v>3861</v>
      </c>
      <c r="E954" s="3">
        <v>20486514028</v>
      </c>
      <c r="F954" s="3" t="s">
        <v>3862</v>
      </c>
      <c r="G954" s="3" t="s">
        <v>3863</v>
      </c>
      <c r="H954" s="3" t="s">
        <v>237</v>
      </c>
      <c r="I954" s="3" t="s">
        <v>868</v>
      </c>
      <c r="J954" s="3" t="s">
        <v>868</v>
      </c>
      <c r="K954" s="3" t="s">
        <v>3864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 t="s">
        <v>3865</v>
      </c>
      <c r="AL954" s="4">
        <v>39629</v>
      </c>
      <c r="AM954" s="3"/>
      <c r="AN954" s="3"/>
    </row>
    <row r="955" spans="1:40" x14ac:dyDescent="0.3">
      <c r="A955" s="3">
        <v>949</v>
      </c>
      <c r="B955" s="3" t="str">
        <f>"1690624"</f>
        <v>1690624</v>
      </c>
      <c r="C955" s="3">
        <v>40363</v>
      </c>
      <c r="D955" s="3" t="s">
        <v>3866</v>
      </c>
      <c r="E955" s="3">
        <v>10401965993</v>
      </c>
      <c r="F955" s="3" t="s">
        <v>2757</v>
      </c>
      <c r="G955" s="3" t="s">
        <v>3867</v>
      </c>
      <c r="H955" s="3" t="s">
        <v>237</v>
      </c>
      <c r="I955" s="3" t="s">
        <v>3868</v>
      </c>
      <c r="J955" s="3" t="s">
        <v>3869</v>
      </c>
      <c r="K955" s="3" t="s">
        <v>3870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 t="s">
        <v>634</v>
      </c>
      <c r="AL955" s="4">
        <v>39239</v>
      </c>
      <c r="AM955" s="3"/>
      <c r="AN955" s="3"/>
    </row>
    <row r="956" spans="1:40" x14ac:dyDescent="0.3">
      <c r="A956" s="3">
        <v>950</v>
      </c>
      <c r="B956" s="3" t="str">
        <f>"1690623"</f>
        <v>1690623</v>
      </c>
      <c r="C956" s="3">
        <v>37586</v>
      </c>
      <c r="D956" s="3" t="s">
        <v>3871</v>
      </c>
      <c r="E956" s="3">
        <v>20443435680</v>
      </c>
      <c r="F956" s="3" t="s">
        <v>3872</v>
      </c>
      <c r="G956" s="3" t="s">
        <v>3873</v>
      </c>
      <c r="H956" s="3" t="s">
        <v>75</v>
      </c>
      <c r="I956" s="3" t="s">
        <v>75</v>
      </c>
      <c r="J956" s="3" t="s">
        <v>3874</v>
      </c>
      <c r="K956" s="3" t="s">
        <v>3875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 t="s">
        <v>3432</v>
      </c>
      <c r="AL956" s="4">
        <v>39216</v>
      </c>
      <c r="AM956" s="3"/>
      <c r="AN956" s="3"/>
    </row>
    <row r="957" spans="1:40" x14ac:dyDescent="0.3">
      <c r="A957" s="3">
        <v>951</v>
      </c>
      <c r="B957" s="3" t="str">
        <f>"1379736"</f>
        <v>1379736</v>
      </c>
      <c r="C957" s="3">
        <v>33339</v>
      </c>
      <c r="D957" s="3" t="s">
        <v>3876</v>
      </c>
      <c r="E957" s="3">
        <v>10212854463</v>
      </c>
      <c r="F957" s="3" t="s">
        <v>3877</v>
      </c>
      <c r="G957" s="3" t="s">
        <v>3878</v>
      </c>
      <c r="H957" s="3" t="s">
        <v>56</v>
      </c>
      <c r="I957" s="3" t="s">
        <v>56</v>
      </c>
      <c r="J957" s="3" t="s">
        <v>363</v>
      </c>
      <c r="K957" s="3" t="s">
        <v>3879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 t="s">
        <v>3880</v>
      </c>
      <c r="AL957" s="4">
        <v>37502</v>
      </c>
      <c r="AM957" s="3"/>
      <c r="AN957" s="3"/>
    </row>
    <row r="958" spans="1:40" ht="27.95" x14ac:dyDescent="0.3">
      <c r="A958" s="3">
        <v>952</v>
      </c>
      <c r="B958" s="3" t="str">
        <f>"1115205"</f>
        <v>1115205</v>
      </c>
      <c r="C958" s="3">
        <v>2423</v>
      </c>
      <c r="D958" s="3">
        <v>990730</v>
      </c>
      <c r="E958" s="3">
        <v>20122113761</v>
      </c>
      <c r="F958" s="3" t="s">
        <v>3850</v>
      </c>
      <c r="G958" s="3" t="s">
        <v>3881</v>
      </c>
      <c r="H958" s="3" t="s">
        <v>56</v>
      </c>
      <c r="I958" s="3" t="s">
        <v>56</v>
      </c>
      <c r="J958" s="3" t="s">
        <v>63</v>
      </c>
      <c r="K958" s="3" t="s">
        <v>3882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 t="s">
        <v>634</v>
      </c>
      <c r="AL958" s="4">
        <v>35520</v>
      </c>
      <c r="AM958" s="3"/>
      <c r="AN958" s="3"/>
    </row>
    <row r="959" spans="1:40" x14ac:dyDescent="0.3">
      <c r="A959" s="3">
        <v>953</v>
      </c>
      <c r="B959" s="3" t="str">
        <f>"1330233"</f>
        <v>1330233</v>
      </c>
      <c r="C959" s="3">
        <v>21115</v>
      </c>
      <c r="D959" s="3" t="s">
        <v>3883</v>
      </c>
      <c r="E959" s="3">
        <v>20100366747</v>
      </c>
      <c r="F959" s="3" t="s">
        <v>258</v>
      </c>
      <c r="G959" s="3" t="s">
        <v>1055</v>
      </c>
      <c r="H959" s="3" t="s">
        <v>56</v>
      </c>
      <c r="I959" s="3" t="s">
        <v>56</v>
      </c>
      <c r="J959" s="3" t="s">
        <v>185</v>
      </c>
      <c r="K959" s="3" t="s">
        <v>3884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 t="s">
        <v>81</v>
      </c>
      <c r="AL959" s="4">
        <v>37103</v>
      </c>
      <c r="AM959" s="3"/>
      <c r="AN959" s="3"/>
    </row>
    <row r="960" spans="1:40" x14ac:dyDescent="0.3">
      <c r="A960" s="3">
        <v>954</v>
      </c>
      <c r="B960" s="3" t="str">
        <f>"1330232"</f>
        <v>1330232</v>
      </c>
      <c r="C960" s="3">
        <v>21114</v>
      </c>
      <c r="D960" s="3" t="s">
        <v>3885</v>
      </c>
      <c r="E960" s="3">
        <v>20100366747</v>
      </c>
      <c r="F960" s="3" t="s">
        <v>258</v>
      </c>
      <c r="G960" s="3" t="s">
        <v>1055</v>
      </c>
      <c r="H960" s="3" t="s">
        <v>56</v>
      </c>
      <c r="I960" s="3" t="s">
        <v>56</v>
      </c>
      <c r="J960" s="3" t="s">
        <v>185</v>
      </c>
      <c r="K960" s="3" t="s">
        <v>3886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 t="s">
        <v>81</v>
      </c>
      <c r="AL960" s="4">
        <v>37103</v>
      </c>
      <c r="AM960" s="3"/>
      <c r="AN960" s="3"/>
    </row>
    <row r="961" spans="1:40" x14ac:dyDescent="0.3">
      <c r="A961" s="3">
        <v>955</v>
      </c>
      <c r="B961" s="3" t="str">
        <f>"1115209"</f>
        <v>1115209</v>
      </c>
      <c r="C961" s="3">
        <v>3678</v>
      </c>
      <c r="D961" s="3">
        <v>1046336</v>
      </c>
      <c r="E961" s="3">
        <v>10084664729</v>
      </c>
      <c r="F961" s="3" t="s">
        <v>3887</v>
      </c>
      <c r="G961" s="3" t="s">
        <v>3888</v>
      </c>
      <c r="H961" s="3" t="s">
        <v>56</v>
      </c>
      <c r="I961" s="3" t="s">
        <v>56</v>
      </c>
      <c r="J961" s="3" t="s">
        <v>63</v>
      </c>
      <c r="K961" s="3" t="s">
        <v>3889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 t="s">
        <v>634</v>
      </c>
      <c r="AL961" s="4">
        <v>35520</v>
      </c>
      <c r="AM961" s="3"/>
      <c r="AN961" s="3"/>
    </row>
    <row r="962" spans="1:40" x14ac:dyDescent="0.3">
      <c r="A962" s="3">
        <v>956</v>
      </c>
      <c r="B962" s="3" t="str">
        <f>"1330230"</f>
        <v>1330230</v>
      </c>
      <c r="C962" s="3">
        <v>21116</v>
      </c>
      <c r="D962" s="3" t="s">
        <v>3890</v>
      </c>
      <c r="E962" s="3">
        <v>20100366747</v>
      </c>
      <c r="F962" s="3" t="s">
        <v>258</v>
      </c>
      <c r="G962" s="3" t="s">
        <v>1055</v>
      </c>
      <c r="H962" s="3" t="s">
        <v>56</v>
      </c>
      <c r="I962" s="3" t="s">
        <v>56</v>
      </c>
      <c r="J962" s="3" t="s">
        <v>185</v>
      </c>
      <c r="K962" s="3" t="s">
        <v>3891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 t="s">
        <v>81</v>
      </c>
      <c r="AL962" s="4">
        <v>37103</v>
      </c>
      <c r="AM962" s="3"/>
      <c r="AN962" s="3"/>
    </row>
    <row r="963" spans="1:40" x14ac:dyDescent="0.3">
      <c r="A963" s="3">
        <v>957</v>
      </c>
      <c r="B963" s="3" t="str">
        <f>"1311175"</f>
        <v>1311175</v>
      </c>
      <c r="C963" s="3">
        <v>3574</v>
      </c>
      <c r="D963" s="3" t="s">
        <v>3892</v>
      </c>
      <c r="E963" s="3">
        <v>20100366747</v>
      </c>
      <c r="F963" s="3" t="s">
        <v>258</v>
      </c>
      <c r="G963" s="3" t="s">
        <v>1055</v>
      </c>
      <c r="H963" s="3" t="s">
        <v>56</v>
      </c>
      <c r="I963" s="3" t="s">
        <v>56</v>
      </c>
      <c r="J963" s="3" t="s">
        <v>572</v>
      </c>
      <c r="K963" s="3" t="s">
        <v>3893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 t="s">
        <v>47</v>
      </c>
      <c r="AL963" s="4">
        <v>36943</v>
      </c>
      <c r="AM963" s="3"/>
      <c r="AN963" s="3"/>
    </row>
    <row r="964" spans="1:40" x14ac:dyDescent="0.3">
      <c r="A964" s="3">
        <v>958</v>
      </c>
      <c r="B964" s="3" t="str">
        <f>"1117445"</f>
        <v>1117445</v>
      </c>
      <c r="C964" s="3">
        <v>2615</v>
      </c>
      <c r="D964" s="3">
        <v>1055576</v>
      </c>
      <c r="E964" s="3">
        <v>10079854994</v>
      </c>
      <c r="F964" s="3" t="s">
        <v>3894</v>
      </c>
      <c r="G964" s="3" t="s">
        <v>3895</v>
      </c>
      <c r="H964" s="3" t="s">
        <v>56</v>
      </c>
      <c r="I964" s="3" t="s">
        <v>56</v>
      </c>
      <c r="J964" s="3" t="s">
        <v>529</v>
      </c>
      <c r="K964" s="3" t="s">
        <v>3896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 t="s">
        <v>81</v>
      </c>
      <c r="AL964" s="4">
        <v>35543</v>
      </c>
      <c r="AM964" s="3"/>
      <c r="AN964" s="3"/>
    </row>
    <row r="965" spans="1:40" x14ac:dyDescent="0.3">
      <c r="A965" s="3">
        <v>959</v>
      </c>
      <c r="B965" s="3" t="str">
        <f>"201700073844"</f>
        <v>201700073844</v>
      </c>
      <c r="C965" s="3">
        <v>20642</v>
      </c>
      <c r="D965" s="3" t="s">
        <v>3897</v>
      </c>
      <c r="E965" s="3">
        <v>20262254268</v>
      </c>
      <c r="F965" s="3" t="s">
        <v>103</v>
      </c>
      <c r="G965" s="3" t="s">
        <v>3898</v>
      </c>
      <c r="H965" s="3" t="s">
        <v>56</v>
      </c>
      <c r="I965" s="3" t="s">
        <v>56</v>
      </c>
      <c r="J965" s="3" t="s">
        <v>105</v>
      </c>
      <c r="K965" s="3" t="s">
        <v>3899</v>
      </c>
      <c r="L965" s="3" t="s">
        <v>3900</v>
      </c>
      <c r="M965" s="3" t="s">
        <v>3901</v>
      </c>
      <c r="N965" s="3" t="s">
        <v>1076</v>
      </c>
      <c r="O965" s="3" t="s">
        <v>1072</v>
      </c>
      <c r="P965" s="3" t="s">
        <v>1073</v>
      </c>
      <c r="Q965" s="3" t="s">
        <v>1074</v>
      </c>
      <c r="R965" s="3" t="s">
        <v>1078</v>
      </c>
      <c r="S965" s="3" t="s">
        <v>107</v>
      </c>
      <c r="T965" s="3" t="s">
        <v>861</v>
      </c>
      <c r="U965" s="3" t="s">
        <v>111</v>
      </c>
      <c r="V965" s="3" t="s">
        <v>109</v>
      </c>
      <c r="W965" s="3" t="s">
        <v>862</v>
      </c>
      <c r="X965" s="3" t="s">
        <v>863</v>
      </c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 t="s">
        <v>864</v>
      </c>
      <c r="AL965" s="4">
        <v>42878</v>
      </c>
      <c r="AM965" s="3"/>
      <c r="AN965" s="3" t="s">
        <v>113</v>
      </c>
    </row>
    <row r="966" spans="1:40" x14ac:dyDescent="0.3">
      <c r="A966" s="3">
        <v>960</v>
      </c>
      <c r="B966" s="3" t="str">
        <f>"1351391"</f>
        <v>1351391</v>
      </c>
      <c r="C966" s="3">
        <v>21647</v>
      </c>
      <c r="D966" s="3" t="s">
        <v>3902</v>
      </c>
      <c r="E966" s="3">
        <v>20262254268</v>
      </c>
      <c r="F966" s="3" t="s">
        <v>103</v>
      </c>
      <c r="G966" s="3" t="s">
        <v>104</v>
      </c>
      <c r="H966" s="3" t="s">
        <v>56</v>
      </c>
      <c r="I966" s="3" t="s">
        <v>56</v>
      </c>
      <c r="J966" s="3" t="s">
        <v>105</v>
      </c>
      <c r="K966" s="3" t="s">
        <v>3903</v>
      </c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 t="s">
        <v>1586</v>
      </c>
      <c r="AL966" s="4">
        <v>37295</v>
      </c>
      <c r="AM966" s="3"/>
      <c r="AN966" s="3"/>
    </row>
    <row r="967" spans="1:40" ht="27.95" x14ac:dyDescent="0.3">
      <c r="A967" s="3">
        <v>961</v>
      </c>
      <c r="B967" s="3" t="str">
        <f>"201400029409"</f>
        <v>201400029409</v>
      </c>
      <c r="C967" s="3">
        <v>108059</v>
      </c>
      <c r="D967" s="3" t="s">
        <v>3904</v>
      </c>
      <c r="E967" s="3">
        <v>10415486478</v>
      </c>
      <c r="F967" s="3" t="s">
        <v>3905</v>
      </c>
      <c r="G967" s="3" t="s">
        <v>3906</v>
      </c>
      <c r="H967" s="3" t="s">
        <v>587</v>
      </c>
      <c r="I967" s="3" t="s">
        <v>3907</v>
      </c>
      <c r="J967" s="3" t="s">
        <v>3908</v>
      </c>
      <c r="K967" s="3" t="s">
        <v>3909</v>
      </c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 t="s">
        <v>321</v>
      </c>
      <c r="AL967" s="4">
        <v>41715</v>
      </c>
      <c r="AM967" s="3"/>
      <c r="AN967" s="3" t="s">
        <v>3905</v>
      </c>
    </row>
    <row r="968" spans="1:40" x14ac:dyDescent="0.3">
      <c r="A968" s="3">
        <v>962</v>
      </c>
      <c r="B968" s="3" t="str">
        <f>"1351395"</f>
        <v>1351395</v>
      </c>
      <c r="C968" s="3">
        <v>21648</v>
      </c>
      <c r="D968" s="3" t="s">
        <v>3910</v>
      </c>
      <c r="E968" s="3">
        <v>20262254268</v>
      </c>
      <c r="F968" s="3" t="s">
        <v>103</v>
      </c>
      <c r="G968" s="3" t="s">
        <v>104</v>
      </c>
      <c r="H968" s="3" t="s">
        <v>56</v>
      </c>
      <c r="I968" s="3" t="s">
        <v>56</v>
      </c>
      <c r="J968" s="3" t="s">
        <v>105</v>
      </c>
      <c r="K968" s="3" t="s">
        <v>3911</v>
      </c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 t="s">
        <v>1586</v>
      </c>
      <c r="AL968" s="4">
        <v>37295</v>
      </c>
      <c r="AM968" s="3"/>
      <c r="AN968" s="3"/>
    </row>
    <row r="969" spans="1:40" x14ac:dyDescent="0.3">
      <c r="A969" s="3">
        <v>963</v>
      </c>
      <c r="B969" s="3" t="str">
        <f>"1351397"</f>
        <v>1351397</v>
      </c>
      <c r="C969" s="3">
        <v>21604</v>
      </c>
      <c r="D969" s="3" t="s">
        <v>3912</v>
      </c>
      <c r="E969" s="3">
        <v>20262254268</v>
      </c>
      <c r="F969" s="3" t="s">
        <v>103</v>
      </c>
      <c r="G969" s="3" t="s">
        <v>104</v>
      </c>
      <c r="H969" s="3" t="s">
        <v>56</v>
      </c>
      <c r="I969" s="3" t="s">
        <v>56</v>
      </c>
      <c r="J969" s="3" t="s">
        <v>105</v>
      </c>
      <c r="K969" s="3" t="s">
        <v>3913</v>
      </c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 t="s">
        <v>1586</v>
      </c>
      <c r="AL969" s="4">
        <v>37295</v>
      </c>
      <c r="AM969" s="3"/>
      <c r="AN969" s="3"/>
    </row>
    <row r="970" spans="1:40" x14ac:dyDescent="0.3">
      <c r="A970" s="3">
        <v>964</v>
      </c>
      <c r="B970" s="3" t="str">
        <f>"1676681"</f>
        <v>1676681</v>
      </c>
      <c r="C970" s="3">
        <v>45032</v>
      </c>
      <c r="D970" s="3" t="s">
        <v>3914</v>
      </c>
      <c r="E970" s="3">
        <v>10032028573</v>
      </c>
      <c r="F970" s="3" t="s">
        <v>2589</v>
      </c>
      <c r="G970" s="3" t="s">
        <v>3915</v>
      </c>
      <c r="H970" s="3" t="s">
        <v>50</v>
      </c>
      <c r="I970" s="3" t="s">
        <v>2591</v>
      </c>
      <c r="J970" s="3" t="s">
        <v>2591</v>
      </c>
      <c r="K970" s="3" t="s">
        <v>3916</v>
      </c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 t="s">
        <v>306</v>
      </c>
      <c r="AL970" s="4">
        <v>39135</v>
      </c>
      <c r="AM970" s="3"/>
      <c r="AN970" s="3"/>
    </row>
    <row r="971" spans="1:40" x14ac:dyDescent="0.3">
      <c r="A971" s="3">
        <v>965</v>
      </c>
      <c r="B971" s="3" t="str">
        <f>"1351398"</f>
        <v>1351398</v>
      </c>
      <c r="C971" s="3">
        <v>21650</v>
      </c>
      <c r="D971" s="3" t="s">
        <v>3917</v>
      </c>
      <c r="E971" s="3">
        <v>20262254268</v>
      </c>
      <c r="F971" s="3" t="s">
        <v>103</v>
      </c>
      <c r="G971" s="3" t="s">
        <v>104</v>
      </c>
      <c r="H971" s="3" t="s">
        <v>56</v>
      </c>
      <c r="I971" s="3" t="s">
        <v>56</v>
      </c>
      <c r="J971" s="3" t="s">
        <v>105</v>
      </c>
      <c r="K971" s="3" t="s">
        <v>3918</v>
      </c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 t="s">
        <v>1586</v>
      </c>
      <c r="AL971" s="4">
        <v>37295</v>
      </c>
      <c r="AM971" s="3"/>
      <c r="AN971" s="3"/>
    </row>
    <row r="972" spans="1:40" x14ac:dyDescent="0.3">
      <c r="A972" s="3">
        <v>966</v>
      </c>
      <c r="B972" s="3" t="str">
        <f>"1330229"</f>
        <v>1330229</v>
      </c>
      <c r="C972" s="3">
        <v>21117</v>
      </c>
      <c r="D972" s="3" t="s">
        <v>3919</v>
      </c>
      <c r="E972" s="3">
        <v>20100366747</v>
      </c>
      <c r="F972" s="3" t="s">
        <v>258</v>
      </c>
      <c r="G972" s="3" t="s">
        <v>1055</v>
      </c>
      <c r="H972" s="3" t="s">
        <v>56</v>
      </c>
      <c r="I972" s="3" t="s">
        <v>56</v>
      </c>
      <c r="J972" s="3" t="s">
        <v>185</v>
      </c>
      <c r="K972" s="3" t="s">
        <v>3920</v>
      </c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 t="s">
        <v>81</v>
      </c>
      <c r="AL972" s="4">
        <v>37103</v>
      </c>
      <c r="AM972" s="3"/>
      <c r="AN972" s="3"/>
    </row>
    <row r="973" spans="1:40" x14ac:dyDescent="0.3">
      <c r="A973" s="3">
        <v>967</v>
      </c>
      <c r="B973" s="3" t="str">
        <f>"1353537"</f>
        <v>1353537</v>
      </c>
      <c r="C973" s="3">
        <v>86935</v>
      </c>
      <c r="D973" s="3" t="s">
        <v>3921</v>
      </c>
      <c r="E973" s="3">
        <v>10104267349</v>
      </c>
      <c r="F973" s="3" t="s">
        <v>1026</v>
      </c>
      <c r="G973" s="3" t="s">
        <v>3922</v>
      </c>
      <c r="H973" s="3" t="s">
        <v>56</v>
      </c>
      <c r="I973" s="3" t="s">
        <v>56</v>
      </c>
      <c r="J973" s="3" t="s">
        <v>277</v>
      </c>
      <c r="K973" s="3" t="s">
        <v>3923</v>
      </c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 t="s">
        <v>3924</v>
      </c>
      <c r="AL973" s="4">
        <v>40318</v>
      </c>
      <c r="AM973" s="3"/>
      <c r="AN973" s="3" t="s">
        <v>1026</v>
      </c>
    </row>
    <row r="974" spans="1:40" x14ac:dyDescent="0.3">
      <c r="A974" s="3">
        <v>968</v>
      </c>
      <c r="B974" s="3" t="str">
        <f>"1276899"</f>
        <v>1276899</v>
      </c>
      <c r="C974" s="3">
        <v>18196</v>
      </c>
      <c r="D974" s="3">
        <v>1276899</v>
      </c>
      <c r="E974" s="3">
        <v>10090685126</v>
      </c>
      <c r="F974" s="3" t="s">
        <v>3925</v>
      </c>
      <c r="G974" s="3" t="s">
        <v>3926</v>
      </c>
      <c r="H974" s="3" t="s">
        <v>56</v>
      </c>
      <c r="I974" s="3" t="s">
        <v>56</v>
      </c>
      <c r="J974" s="3" t="s">
        <v>481</v>
      </c>
      <c r="K974" s="3" t="s">
        <v>3927</v>
      </c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 t="s">
        <v>81</v>
      </c>
      <c r="AL974" s="4">
        <v>36641</v>
      </c>
      <c r="AM974" s="3"/>
      <c r="AN974" s="3"/>
    </row>
    <row r="975" spans="1:40" ht="27.95" x14ac:dyDescent="0.3">
      <c r="A975" s="3">
        <v>969</v>
      </c>
      <c r="B975" s="3" t="str">
        <f>"201500086773"</f>
        <v>201500086773</v>
      </c>
      <c r="C975" s="3">
        <v>116242</v>
      </c>
      <c r="D975" s="3" t="s">
        <v>3928</v>
      </c>
      <c r="E975" s="3">
        <v>20455665796</v>
      </c>
      <c r="F975" s="3" t="s">
        <v>3929</v>
      </c>
      <c r="G975" s="3" t="s">
        <v>3930</v>
      </c>
      <c r="H975" s="3" t="s">
        <v>97</v>
      </c>
      <c r="I975" s="3" t="s">
        <v>208</v>
      </c>
      <c r="J975" s="3" t="s">
        <v>779</v>
      </c>
      <c r="K975" s="3" t="s">
        <v>3931</v>
      </c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 t="s">
        <v>337</v>
      </c>
      <c r="AL975" s="4">
        <v>42227</v>
      </c>
      <c r="AM975" s="3"/>
      <c r="AN975" s="3" t="s">
        <v>3932</v>
      </c>
    </row>
    <row r="976" spans="1:40" x14ac:dyDescent="0.3">
      <c r="A976" s="3">
        <v>970</v>
      </c>
      <c r="B976" s="3" t="str">
        <f>"1116747"</f>
        <v>1116747</v>
      </c>
      <c r="C976" s="3">
        <v>3567</v>
      </c>
      <c r="D976" s="3">
        <v>1116347</v>
      </c>
      <c r="E976" s="3">
        <v>10224060187</v>
      </c>
      <c r="F976" s="3" t="s">
        <v>3933</v>
      </c>
      <c r="G976" s="3" t="s">
        <v>3934</v>
      </c>
      <c r="H976" s="3" t="s">
        <v>56</v>
      </c>
      <c r="I976" s="3" t="s">
        <v>56</v>
      </c>
      <c r="J976" s="3" t="s">
        <v>715</v>
      </c>
      <c r="K976" s="3" t="s">
        <v>3935</v>
      </c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 t="s">
        <v>602</v>
      </c>
      <c r="AL976" s="4">
        <v>35521</v>
      </c>
      <c r="AM976" s="3"/>
      <c r="AN976" s="3"/>
    </row>
    <row r="977" spans="1:40" x14ac:dyDescent="0.3">
      <c r="A977" s="3">
        <v>971</v>
      </c>
      <c r="B977" s="3" t="str">
        <f>"201400091127"</f>
        <v>201400091127</v>
      </c>
      <c r="C977" s="3">
        <v>110580</v>
      </c>
      <c r="D977" s="3" t="s">
        <v>3936</v>
      </c>
      <c r="E977" s="3">
        <v>20456139923</v>
      </c>
      <c r="F977" s="3" t="s">
        <v>2062</v>
      </c>
      <c r="G977" s="3" t="s">
        <v>3937</v>
      </c>
      <c r="H977" s="3" t="s">
        <v>97</v>
      </c>
      <c r="I977" s="3" t="s">
        <v>97</v>
      </c>
      <c r="J977" s="3" t="s">
        <v>2064</v>
      </c>
      <c r="K977" s="3" t="s">
        <v>3938</v>
      </c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 t="s">
        <v>3939</v>
      </c>
      <c r="AL977" s="4">
        <v>41883</v>
      </c>
      <c r="AM977" s="3"/>
      <c r="AN977" s="3" t="s">
        <v>2067</v>
      </c>
    </row>
    <row r="978" spans="1:40" x14ac:dyDescent="0.3">
      <c r="A978" s="3">
        <v>972</v>
      </c>
      <c r="B978" s="3" t="str">
        <f>"1116749"</f>
        <v>1116749</v>
      </c>
      <c r="C978" s="3">
        <v>2465</v>
      </c>
      <c r="D978" s="3">
        <v>996243</v>
      </c>
      <c r="E978" s="3">
        <v>10100602941</v>
      </c>
      <c r="F978" s="3" t="s">
        <v>3940</v>
      </c>
      <c r="G978" s="3" t="s">
        <v>3941</v>
      </c>
      <c r="H978" s="3" t="s">
        <v>56</v>
      </c>
      <c r="I978" s="3" t="s">
        <v>56</v>
      </c>
      <c r="J978" s="3" t="s">
        <v>3942</v>
      </c>
      <c r="K978" s="3" t="s">
        <v>3943</v>
      </c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 t="s">
        <v>65</v>
      </c>
      <c r="AL978" s="4">
        <v>35537</v>
      </c>
      <c r="AM978" s="3"/>
      <c r="AN978" s="3"/>
    </row>
    <row r="979" spans="1:40" x14ac:dyDescent="0.3">
      <c r="A979" s="3">
        <v>973</v>
      </c>
      <c r="B979" s="3" t="str">
        <f>"201700193095"</f>
        <v>201700193095</v>
      </c>
      <c r="C979" s="3">
        <v>132901</v>
      </c>
      <c r="D979" s="3" t="s">
        <v>3944</v>
      </c>
      <c r="E979" s="3">
        <v>20502846206</v>
      </c>
      <c r="F979" s="3" t="s">
        <v>1174</v>
      </c>
      <c r="G979" s="3" t="s">
        <v>3945</v>
      </c>
      <c r="H979" s="3" t="s">
        <v>56</v>
      </c>
      <c r="I979" s="3" t="s">
        <v>56</v>
      </c>
      <c r="J979" s="3" t="s">
        <v>715</v>
      </c>
      <c r="K979" s="3" t="s">
        <v>3946</v>
      </c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 t="s">
        <v>3947</v>
      </c>
      <c r="AL979" s="4">
        <v>43060</v>
      </c>
      <c r="AM979" s="3"/>
      <c r="AN979" s="3" t="s">
        <v>1177</v>
      </c>
    </row>
    <row r="980" spans="1:40" x14ac:dyDescent="0.3">
      <c r="A980" s="3">
        <v>974</v>
      </c>
      <c r="B980" s="3" t="str">
        <f>"1308168"</f>
        <v>1308168</v>
      </c>
      <c r="C980" s="3">
        <v>2393</v>
      </c>
      <c r="D980" s="3" t="s">
        <v>3948</v>
      </c>
      <c r="E980" s="3">
        <v>10103693956</v>
      </c>
      <c r="F980" s="3" t="s">
        <v>3949</v>
      </c>
      <c r="G980" s="3" t="s">
        <v>3950</v>
      </c>
      <c r="H980" s="3" t="s">
        <v>56</v>
      </c>
      <c r="I980" s="3" t="s">
        <v>56</v>
      </c>
      <c r="J980" s="3" t="s">
        <v>277</v>
      </c>
      <c r="K980" s="3" t="s">
        <v>3951</v>
      </c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 t="s">
        <v>65</v>
      </c>
      <c r="AL980" s="4">
        <v>36915</v>
      </c>
      <c r="AM980" s="3"/>
      <c r="AN980" s="3"/>
    </row>
    <row r="981" spans="1:40" x14ac:dyDescent="0.3">
      <c r="A981" s="3">
        <v>975</v>
      </c>
      <c r="B981" s="3" t="str">
        <f>"1286130"</f>
        <v>1286130</v>
      </c>
      <c r="C981" s="3">
        <v>19698</v>
      </c>
      <c r="D981" s="3">
        <v>1286130</v>
      </c>
      <c r="E981" s="3">
        <v>10078390943</v>
      </c>
      <c r="F981" s="3" t="s">
        <v>3952</v>
      </c>
      <c r="G981" s="3" t="s">
        <v>3953</v>
      </c>
      <c r="H981" s="3" t="s">
        <v>56</v>
      </c>
      <c r="I981" s="3" t="s">
        <v>56</v>
      </c>
      <c r="J981" s="3" t="s">
        <v>309</v>
      </c>
      <c r="K981" s="3" t="s">
        <v>3954</v>
      </c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 t="s">
        <v>3955</v>
      </c>
      <c r="AL981" s="4">
        <v>36719</v>
      </c>
      <c r="AM981" s="3"/>
      <c r="AN981" s="3"/>
    </row>
    <row r="982" spans="1:40" x14ac:dyDescent="0.3">
      <c r="A982" s="3">
        <v>976</v>
      </c>
      <c r="B982" s="3" t="str">
        <f>"1532348"</f>
        <v>1532348</v>
      </c>
      <c r="C982" s="3">
        <v>39483</v>
      </c>
      <c r="D982" s="3" t="s">
        <v>3956</v>
      </c>
      <c r="E982" s="3">
        <v>10296799462</v>
      </c>
      <c r="F982" s="3" t="s">
        <v>324</v>
      </c>
      <c r="G982" s="3" t="s">
        <v>325</v>
      </c>
      <c r="H982" s="3" t="s">
        <v>97</v>
      </c>
      <c r="I982" s="3" t="s">
        <v>97</v>
      </c>
      <c r="J982" s="3" t="s">
        <v>326</v>
      </c>
      <c r="K982" s="3" t="s">
        <v>3957</v>
      </c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 t="s">
        <v>47</v>
      </c>
      <c r="AL982" s="4">
        <v>38461</v>
      </c>
      <c r="AM982" s="3"/>
      <c r="AN982" s="3"/>
    </row>
    <row r="983" spans="1:40" x14ac:dyDescent="0.3">
      <c r="A983" s="3">
        <v>977</v>
      </c>
      <c r="B983" s="3" t="str">
        <f>"201400072876"</f>
        <v>201400072876</v>
      </c>
      <c r="C983" s="3">
        <v>109869</v>
      </c>
      <c r="D983" s="3" t="s">
        <v>3958</v>
      </c>
      <c r="E983" s="3">
        <v>10418026231</v>
      </c>
      <c r="F983" s="3" t="s">
        <v>3959</v>
      </c>
      <c r="G983" s="3" t="s">
        <v>3960</v>
      </c>
      <c r="H983" s="3" t="s">
        <v>97</v>
      </c>
      <c r="I983" s="3" t="s">
        <v>97</v>
      </c>
      <c r="J983" s="3" t="s">
        <v>144</v>
      </c>
      <c r="K983" s="3" t="s">
        <v>3961</v>
      </c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 t="s">
        <v>473</v>
      </c>
      <c r="AL983" s="4">
        <v>41808</v>
      </c>
      <c r="AM983" s="3"/>
      <c r="AN983" s="3" t="s">
        <v>3959</v>
      </c>
    </row>
    <row r="984" spans="1:40" x14ac:dyDescent="0.3">
      <c r="A984" s="3">
        <v>978</v>
      </c>
      <c r="B984" s="3" t="str">
        <f>"201400021101"</f>
        <v>201400021101</v>
      </c>
      <c r="C984" s="3">
        <v>108078</v>
      </c>
      <c r="D984" s="3" t="s">
        <v>3962</v>
      </c>
      <c r="E984" s="3">
        <v>10428616516</v>
      </c>
      <c r="F984" s="3" t="s">
        <v>3963</v>
      </c>
      <c r="G984" s="3" t="s">
        <v>3964</v>
      </c>
      <c r="H984" s="3" t="s">
        <v>44</v>
      </c>
      <c r="I984" s="3" t="s">
        <v>45</v>
      </c>
      <c r="J984" s="3" t="s">
        <v>45</v>
      </c>
      <c r="K984" s="3" t="s">
        <v>3965</v>
      </c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 t="s">
        <v>546</v>
      </c>
      <c r="AL984" s="4">
        <v>41719</v>
      </c>
      <c r="AM984" s="3"/>
      <c r="AN984" s="3" t="s">
        <v>3963</v>
      </c>
    </row>
    <row r="985" spans="1:40" x14ac:dyDescent="0.3">
      <c r="A985" s="3">
        <v>979</v>
      </c>
      <c r="B985" s="3" t="str">
        <f>"1639405"</f>
        <v>1639405</v>
      </c>
      <c r="C985" s="3">
        <v>36420</v>
      </c>
      <c r="D985" s="3" t="s">
        <v>3966</v>
      </c>
      <c r="E985" s="3">
        <v>20293658146</v>
      </c>
      <c r="F985" s="3" t="s">
        <v>2826</v>
      </c>
      <c r="G985" s="3" t="s">
        <v>3967</v>
      </c>
      <c r="H985" s="3" t="s">
        <v>56</v>
      </c>
      <c r="I985" s="3" t="s">
        <v>56</v>
      </c>
      <c r="J985" s="3" t="s">
        <v>63</v>
      </c>
      <c r="K985" s="3" t="s">
        <v>3968</v>
      </c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 t="s">
        <v>81</v>
      </c>
      <c r="AL985" s="4">
        <v>38996</v>
      </c>
      <c r="AM985" s="3"/>
      <c r="AN985" s="3"/>
    </row>
    <row r="986" spans="1:40" x14ac:dyDescent="0.3">
      <c r="A986" s="3">
        <v>980</v>
      </c>
      <c r="B986" s="3" t="str">
        <f>"1128992"</f>
        <v>1128992</v>
      </c>
      <c r="C986" s="3">
        <v>3487</v>
      </c>
      <c r="D986" s="3">
        <v>1092019</v>
      </c>
      <c r="E986" s="3">
        <v>10211127592</v>
      </c>
      <c r="F986" s="3" t="s">
        <v>3969</v>
      </c>
      <c r="G986" s="3" t="s">
        <v>3970</v>
      </c>
      <c r="H986" s="3" t="s">
        <v>56</v>
      </c>
      <c r="I986" s="3" t="s">
        <v>56</v>
      </c>
      <c r="J986" s="3" t="s">
        <v>56</v>
      </c>
      <c r="K986" s="3" t="s">
        <v>3971</v>
      </c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 t="s">
        <v>157</v>
      </c>
      <c r="AL986" s="4">
        <v>35587</v>
      </c>
      <c r="AM986" s="3"/>
      <c r="AN986" s="3"/>
    </row>
    <row r="987" spans="1:40" x14ac:dyDescent="0.3">
      <c r="A987" s="3">
        <v>981</v>
      </c>
      <c r="B987" s="3" t="str">
        <f>"201400140930"</f>
        <v>201400140930</v>
      </c>
      <c r="C987" s="3">
        <v>87521</v>
      </c>
      <c r="D987" s="3" t="s">
        <v>3972</v>
      </c>
      <c r="E987" s="3">
        <v>10283130971</v>
      </c>
      <c r="F987" s="3" t="s">
        <v>3973</v>
      </c>
      <c r="G987" s="3" t="s">
        <v>3974</v>
      </c>
      <c r="H987" s="3" t="s">
        <v>386</v>
      </c>
      <c r="I987" s="3" t="s">
        <v>387</v>
      </c>
      <c r="J987" s="3" t="s">
        <v>2513</v>
      </c>
      <c r="K987" s="3" t="s">
        <v>3975</v>
      </c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 t="s">
        <v>3955</v>
      </c>
      <c r="AL987" s="4">
        <v>41943</v>
      </c>
      <c r="AM987" s="3"/>
      <c r="AN987" s="3" t="s">
        <v>3973</v>
      </c>
    </row>
    <row r="988" spans="1:40" ht="27.95" x14ac:dyDescent="0.3">
      <c r="A988" s="3">
        <v>982</v>
      </c>
      <c r="B988" s="3" t="str">
        <f>"201700094830"</f>
        <v>201700094830</v>
      </c>
      <c r="C988" s="3">
        <v>85537</v>
      </c>
      <c r="D988" s="3" t="s">
        <v>3976</v>
      </c>
      <c r="E988" s="3">
        <v>20349366330</v>
      </c>
      <c r="F988" s="3" t="s">
        <v>3977</v>
      </c>
      <c r="G988" s="3" t="s">
        <v>3978</v>
      </c>
      <c r="H988" s="3" t="s">
        <v>56</v>
      </c>
      <c r="I988" s="3" t="s">
        <v>56</v>
      </c>
      <c r="J988" s="3" t="s">
        <v>331</v>
      </c>
      <c r="K988" s="3" t="s">
        <v>3979</v>
      </c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 t="s">
        <v>802</v>
      </c>
      <c r="AL988" s="4">
        <v>42914</v>
      </c>
      <c r="AM988" s="3"/>
      <c r="AN988" s="3" t="s">
        <v>3980</v>
      </c>
    </row>
    <row r="989" spans="1:40" ht="27.95" x14ac:dyDescent="0.3">
      <c r="A989" s="3">
        <v>983</v>
      </c>
      <c r="B989" s="3" t="str">
        <f>"201400166481"</f>
        <v>201400166481</v>
      </c>
      <c r="C989" s="3">
        <v>112991</v>
      </c>
      <c r="D989" s="3" t="s">
        <v>3981</v>
      </c>
      <c r="E989" s="3">
        <v>20493808525</v>
      </c>
      <c r="F989" s="3" t="s">
        <v>3982</v>
      </c>
      <c r="G989" s="3" t="s">
        <v>3983</v>
      </c>
      <c r="H989" s="3" t="s">
        <v>172</v>
      </c>
      <c r="I989" s="3" t="s">
        <v>3984</v>
      </c>
      <c r="J989" s="3" t="s">
        <v>3985</v>
      </c>
      <c r="K989" s="3" t="s">
        <v>3986</v>
      </c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 t="s">
        <v>3987</v>
      </c>
      <c r="AL989" s="4">
        <v>42010</v>
      </c>
      <c r="AM989" s="3"/>
      <c r="AN989" s="3" t="s">
        <v>3988</v>
      </c>
    </row>
    <row r="990" spans="1:40" x14ac:dyDescent="0.3">
      <c r="A990" s="3">
        <v>984</v>
      </c>
      <c r="B990" s="3" t="str">
        <f>"1354606"</f>
        <v>1354606</v>
      </c>
      <c r="C990" s="3">
        <v>86841</v>
      </c>
      <c r="D990" s="3" t="s">
        <v>3989</v>
      </c>
      <c r="E990" s="3">
        <v>20518201264</v>
      </c>
      <c r="F990" s="3" t="s">
        <v>3990</v>
      </c>
      <c r="G990" s="3" t="s">
        <v>3991</v>
      </c>
      <c r="H990" s="3" t="s">
        <v>56</v>
      </c>
      <c r="I990" s="3" t="s">
        <v>56</v>
      </c>
      <c r="J990" s="3" t="s">
        <v>653</v>
      </c>
      <c r="K990" s="3" t="s">
        <v>3992</v>
      </c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 t="s">
        <v>1097</v>
      </c>
      <c r="AL990" s="4">
        <v>40319</v>
      </c>
      <c r="AM990" s="3"/>
      <c r="AN990" s="3" t="s">
        <v>3993</v>
      </c>
    </row>
    <row r="991" spans="1:40" x14ac:dyDescent="0.3">
      <c r="A991" s="3">
        <v>985</v>
      </c>
      <c r="B991" s="3" t="str">
        <f>"1977072"</f>
        <v>1977072</v>
      </c>
      <c r="C991" s="3">
        <v>85992</v>
      </c>
      <c r="D991" s="3" t="s">
        <v>3994</v>
      </c>
      <c r="E991" s="3">
        <v>20530817891</v>
      </c>
      <c r="F991" s="3" t="s">
        <v>3995</v>
      </c>
      <c r="G991" s="3" t="s">
        <v>3996</v>
      </c>
      <c r="H991" s="3" t="s">
        <v>56</v>
      </c>
      <c r="I991" s="3" t="s">
        <v>3997</v>
      </c>
      <c r="J991" s="3" t="s">
        <v>3997</v>
      </c>
      <c r="K991" s="3" t="s">
        <v>3998</v>
      </c>
      <c r="L991" s="3" t="s">
        <v>3999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 t="s">
        <v>621</v>
      </c>
      <c r="AL991" s="4">
        <v>40262</v>
      </c>
      <c r="AM991" s="3"/>
      <c r="AN991" s="3"/>
    </row>
    <row r="992" spans="1:40" ht="27.95" x14ac:dyDescent="0.3">
      <c r="A992" s="3">
        <v>986</v>
      </c>
      <c r="B992" s="3" t="str">
        <f>"1322911"</f>
        <v>1322911</v>
      </c>
      <c r="C992" s="3">
        <v>20859</v>
      </c>
      <c r="D992" s="3" t="s">
        <v>4000</v>
      </c>
      <c r="E992" s="3">
        <v>10042019718</v>
      </c>
      <c r="F992" s="3" t="s">
        <v>4001</v>
      </c>
      <c r="G992" s="3" t="s">
        <v>4002</v>
      </c>
      <c r="H992" s="3" t="s">
        <v>56</v>
      </c>
      <c r="I992" s="3" t="s">
        <v>56</v>
      </c>
      <c r="J992" s="3" t="s">
        <v>277</v>
      </c>
      <c r="K992" s="3" t="s">
        <v>4003</v>
      </c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 t="s">
        <v>1341</v>
      </c>
      <c r="AL992" s="4">
        <v>37056</v>
      </c>
      <c r="AM992" s="3"/>
      <c r="AN992" s="3"/>
    </row>
    <row r="993" spans="1:40" x14ac:dyDescent="0.3">
      <c r="A993" s="3">
        <v>987</v>
      </c>
      <c r="B993" s="3" t="str">
        <f>"201900084130"</f>
        <v>201900084130</v>
      </c>
      <c r="C993" s="3">
        <v>119005</v>
      </c>
      <c r="D993" s="3" t="s">
        <v>4004</v>
      </c>
      <c r="E993" s="3">
        <v>10756830436</v>
      </c>
      <c r="F993" s="3" t="s">
        <v>4005</v>
      </c>
      <c r="G993" s="3" t="s">
        <v>4006</v>
      </c>
      <c r="H993" s="3" t="s">
        <v>56</v>
      </c>
      <c r="I993" s="3" t="s">
        <v>56</v>
      </c>
      <c r="J993" s="3" t="s">
        <v>56</v>
      </c>
      <c r="K993" s="3" t="s">
        <v>4007</v>
      </c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 t="s">
        <v>157</v>
      </c>
      <c r="AL993" s="4">
        <v>43623</v>
      </c>
      <c r="AM993" s="3"/>
      <c r="AN993" s="3" t="s">
        <v>4005</v>
      </c>
    </row>
    <row r="994" spans="1:40" ht="27.95" x14ac:dyDescent="0.3">
      <c r="A994" s="3">
        <v>988</v>
      </c>
      <c r="B994" s="3" t="str">
        <f>"201900211037"</f>
        <v>201900211037</v>
      </c>
      <c r="C994" s="3">
        <v>146336</v>
      </c>
      <c r="D994" s="3" t="s">
        <v>4008</v>
      </c>
      <c r="E994" s="3">
        <v>20455486948</v>
      </c>
      <c r="F994" s="3" t="s">
        <v>1382</v>
      </c>
      <c r="G994" s="3" t="s">
        <v>4009</v>
      </c>
      <c r="H994" s="3" t="s">
        <v>97</v>
      </c>
      <c r="I994" s="3" t="s">
        <v>97</v>
      </c>
      <c r="J994" s="3" t="s">
        <v>144</v>
      </c>
      <c r="K994" s="3" t="s">
        <v>4010</v>
      </c>
      <c r="L994" s="3" t="s">
        <v>4011</v>
      </c>
      <c r="M994" s="3" t="s">
        <v>4012</v>
      </c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 t="s">
        <v>470</v>
      </c>
      <c r="AL994" s="4">
        <v>43837</v>
      </c>
      <c r="AM994" s="3"/>
      <c r="AN994" s="3" t="s">
        <v>1396</v>
      </c>
    </row>
    <row r="995" spans="1:40" ht="27.95" x14ac:dyDescent="0.3">
      <c r="A995" s="3">
        <v>989</v>
      </c>
      <c r="B995" s="3" t="str">
        <f>"201400065819"</f>
        <v>201400065819</v>
      </c>
      <c r="C995" s="3">
        <v>107765</v>
      </c>
      <c r="D995" s="3" t="s">
        <v>4013</v>
      </c>
      <c r="E995" s="3">
        <v>20516024985</v>
      </c>
      <c r="F995" s="3" t="s">
        <v>4014</v>
      </c>
      <c r="G995" s="3" t="s">
        <v>4015</v>
      </c>
      <c r="H995" s="3" t="s">
        <v>56</v>
      </c>
      <c r="I995" s="3" t="s">
        <v>56</v>
      </c>
      <c r="J995" s="3" t="s">
        <v>63</v>
      </c>
      <c r="K995" s="3" t="s">
        <v>4016</v>
      </c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 t="s">
        <v>1151</v>
      </c>
      <c r="AL995" s="4">
        <v>41800</v>
      </c>
      <c r="AM995" s="3"/>
      <c r="AN995" s="3" t="s">
        <v>4017</v>
      </c>
    </row>
    <row r="996" spans="1:40" x14ac:dyDescent="0.3">
      <c r="A996" s="3">
        <v>990</v>
      </c>
      <c r="B996" s="3" t="str">
        <f>"1281268"</f>
        <v>1281268</v>
      </c>
      <c r="C996" s="3">
        <v>19454</v>
      </c>
      <c r="D996" s="3">
        <v>1251670</v>
      </c>
      <c r="E996" s="3">
        <v>20100366747</v>
      </c>
      <c r="F996" s="3" t="s">
        <v>258</v>
      </c>
      <c r="G996" s="3" t="s">
        <v>1055</v>
      </c>
      <c r="H996" s="3" t="s">
        <v>56</v>
      </c>
      <c r="I996" s="3" t="s">
        <v>56</v>
      </c>
      <c r="J996" s="3" t="s">
        <v>185</v>
      </c>
      <c r="K996" s="3" t="s">
        <v>4018</v>
      </c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 t="s">
        <v>226</v>
      </c>
      <c r="AL996" s="4">
        <v>36691</v>
      </c>
      <c r="AM996" s="3"/>
      <c r="AN996" s="3"/>
    </row>
    <row r="997" spans="1:40" x14ac:dyDescent="0.3">
      <c r="A997" s="3">
        <v>991</v>
      </c>
      <c r="B997" s="3" t="str">
        <f>"1484155"</f>
        <v>1484155</v>
      </c>
      <c r="C997" s="3">
        <v>39663</v>
      </c>
      <c r="D997" s="3" t="s">
        <v>4019</v>
      </c>
      <c r="E997" s="3">
        <v>20100366747</v>
      </c>
      <c r="F997" s="3" t="s">
        <v>258</v>
      </c>
      <c r="G997" s="3" t="s">
        <v>4020</v>
      </c>
      <c r="H997" s="3" t="s">
        <v>56</v>
      </c>
      <c r="I997" s="3" t="s">
        <v>56</v>
      </c>
      <c r="J997" s="3" t="s">
        <v>185</v>
      </c>
      <c r="K997" s="3" t="s">
        <v>4021</v>
      </c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 t="s">
        <v>4022</v>
      </c>
      <c r="AL997" s="4">
        <v>38212</v>
      </c>
      <c r="AM997" s="3"/>
      <c r="AN997" s="3"/>
    </row>
    <row r="998" spans="1:40" ht="27.95" x14ac:dyDescent="0.3">
      <c r="A998" s="3">
        <v>992</v>
      </c>
      <c r="B998" s="3" t="str">
        <f>"201400119165"</f>
        <v>201400119165</v>
      </c>
      <c r="C998" s="3">
        <v>111554</v>
      </c>
      <c r="D998" s="3" t="s">
        <v>4023</v>
      </c>
      <c r="E998" s="3">
        <v>20448131492</v>
      </c>
      <c r="F998" s="3" t="s">
        <v>4024</v>
      </c>
      <c r="G998" s="3" t="s">
        <v>4025</v>
      </c>
      <c r="H998" s="3" t="s">
        <v>56</v>
      </c>
      <c r="I998" s="3" t="s">
        <v>56</v>
      </c>
      <c r="J998" s="3" t="s">
        <v>56</v>
      </c>
      <c r="K998" s="3" t="s">
        <v>4026</v>
      </c>
      <c r="L998" s="3" t="s">
        <v>4027</v>
      </c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 t="s">
        <v>4028</v>
      </c>
      <c r="AL998" s="4">
        <v>41908</v>
      </c>
      <c r="AM998" s="3"/>
      <c r="AN998" s="3" t="s">
        <v>350</v>
      </c>
    </row>
    <row r="999" spans="1:40" x14ac:dyDescent="0.3">
      <c r="A999" s="3">
        <v>993</v>
      </c>
      <c r="B999" s="3" t="str">
        <f>"1267097"</f>
        <v>1267097</v>
      </c>
      <c r="C999" s="3">
        <v>18053</v>
      </c>
      <c r="D999" s="3">
        <v>1267097</v>
      </c>
      <c r="E999" s="3">
        <v>20125646604</v>
      </c>
      <c r="F999" s="3" t="s">
        <v>4029</v>
      </c>
      <c r="G999" s="3" t="s">
        <v>4030</v>
      </c>
      <c r="H999" s="3" t="s">
        <v>75</v>
      </c>
      <c r="I999" s="3" t="s">
        <v>75</v>
      </c>
      <c r="J999" s="3" t="s">
        <v>76</v>
      </c>
      <c r="K999" s="3" t="s">
        <v>4031</v>
      </c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 t="s">
        <v>65</v>
      </c>
      <c r="AL999" s="4">
        <v>36544</v>
      </c>
      <c r="AM999" s="3"/>
      <c r="AN999" s="3"/>
    </row>
    <row r="1000" spans="1:40" x14ac:dyDescent="0.3">
      <c r="A1000" s="3">
        <v>994</v>
      </c>
      <c r="B1000" s="3" t="str">
        <f>"1175897"</f>
        <v>1175897</v>
      </c>
      <c r="C1000" s="3">
        <v>6554</v>
      </c>
      <c r="D1000" s="3">
        <v>1172606</v>
      </c>
      <c r="E1000" s="3">
        <v>10082541735</v>
      </c>
      <c r="F1000" s="3" t="s">
        <v>4032</v>
      </c>
      <c r="G1000" s="3" t="s">
        <v>4033</v>
      </c>
      <c r="H1000" s="3" t="s">
        <v>56</v>
      </c>
      <c r="I1000" s="3" t="s">
        <v>56</v>
      </c>
      <c r="J1000" s="3" t="s">
        <v>105</v>
      </c>
      <c r="K1000" s="3" t="s">
        <v>4034</v>
      </c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 t="s">
        <v>634</v>
      </c>
      <c r="AL1000" s="4">
        <v>35872</v>
      </c>
      <c r="AM1000" s="3"/>
      <c r="AN1000" s="3"/>
    </row>
    <row r="1001" spans="1:40" x14ac:dyDescent="0.3">
      <c r="A1001" s="3">
        <v>995</v>
      </c>
      <c r="B1001" s="3" t="str">
        <f>"201200129606"</f>
        <v>201200129606</v>
      </c>
      <c r="C1001" s="3">
        <v>97353</v>
      </c>
      <c r="D1001" s="3" t="s">
        <v>4035</v>
      </c>
      <c r="E1001" s="3">
        <v>20516822202</v>
      </c>
      <c r="F1001" s="3" t="s">
        <v>1850</v>
      </c>
      <c r="G1001" s="3" t="s">
        <v>4036</v>
      </c>
      <c r="H1001" s="3" t="s">
        <v>75</v>
      </c>
      <c r="I1001" s="3" t="s">
        <v>75</v>
      </c>
      <c r="J1001" s="3" t="s">
        <v>1358</v>
      </c>
      <c r="K1001" s="3" t="s">
        <v>4037</v>
      </c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 t="s">
        <v>4038</v>
      </c>
      <c r="AL1001" s="4">
        <v>41099</v>
      </c>
      <c r="AM1001" s="3"/>
      <c r="AN1001" s="3" t="s">
        <v>2748</v>
      </c>
    </row>
    <row r="1002" spans="1:40" x14ac:dyDescent="0.3">
      <c r="A1002" s="3">
        <v>996</v>
      </c>
      <c r="B1002" s="3" t="str">
        <f>"1873382"</f>
        <v>1873382</v>
      </c>
      <c r="C1002" s="3">
        <v>82519</v>
      </c>
      <c r="D1002" s="3" t="s">
        <v>4039</v>
      </c>
      <c r="E1002" s="3">
        <v>10296799462</v>
      </c>
      <c r="F1002" s="3" t="s">
        <v>324</v>
      </c>
      <c r="G1002" s="3" t="s">
        <v>4040</v>
      </c>
      <c r="H1002" s="3" t="s">
        <v>97</v>
      </c>
      <c r="I1002" s="3" t="s">
        <v>97</v>
      </c>
      <c r="J1002" s="3" t="s">
        <v>326</v>
      </c>
      <c r="K1002" s="3" t="s">
        <v>4041</v>
      </c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 t="s">
        <v>4042</v>
      </c>
      <c r="AL1002" s="4">
        <v>39885</v>
      </c>
      <c r="AM1002" s="3"/>
      <c r="AN1002" s="3"/>
    </row>
    <row r="1003" spans="1:40" ht="27.95" x14ac:dyDescent="0.3">
      <c r="A1003" s="3">
        <v>997</v>
      </c>
      <c r="B1003" s="3" t="str">
        <f>"1458098"</f>
        <v>1458098</v>
      </c>
      <c r="C1003" s="3">
        <v>83214</v>
      </c>
      <c r="D1003" s="3" t="s">
        <v>4043</v>
      </c>
      <c r="E1003" s="3">
        <v>10406239328</v>
      </c>
      <c r="F1003" s="3" t="s">
        <v>4044</v>
      </c>
      <c r="G1003" s="3" t="s">
        <v>4045</v>
      </c>
      <c r="H1003" s="3" t="s">
        <v>97</v>
      </c>
      <c r="I1003" s="3" t="s">
        <v>97</v>
      </c>
      <c r="J1003" s="3" t="s">
        <v>144</v>
      </c>
      <c r="K1003" s="3" t="s">
        <v>4046</v>
      </c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 t="s">
        <v>1097</v>
      </c>
      <c r="AL1003" s="4">
        <v>40536</v>
      </c>
      <c r="AM1003" s="3"/>
      <c r="AN1003" s="3" t="s">
        <v>4044</v>
      </c>
    </row>
    <row r="1004" spans="1:40" x14ac:dyDescent="0.3">
      <c r="A1004" s="3">
        <v>998</v>
      </c>
      <c r="B1004" s="3" t="str">
        <f>"201500146019"</f>
        <v>201500146019</v>
      </c>
      <c r="C1004" s="3">
        <v>118090</v>
      </c>
      <c r="D1004" s="3" t="s">
        <v>4047</v>
      </c>
      <c r="E1004" s="3">
        <v>20525521509</v>
      </c>
      <c r="F1004" s="3" t="s">
        <v>189</v>
      </c>
      <c r="G1004" s="3" t="s">
        <v>874</v>
      </c>
      <c r="H1004" s="3" t="s">
        <v>50</v>
      </c>
      <c r="I1004" s="3" t="s">
        <v>50</v>
      </c>
      <c r="J1004" s="3" t="s">
        <v>50</v>
      </c>
      <c r="K1004" s="3" t="s">
        <v>4048</v>
      </c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 t="s">
        <v>1014</v>
      </c>
      <c r="AL1004" s="4">
        <v>42319</v>
      </c>
      <c r="AM1004" s="3"/>
      <c r="AN1004" s="3" t="s">
        <v>4049</v>
      </c>
    </row>
    <row r="1005" spans="1:40" x14ac:dyDescent="0.3">
      <c r="A1005" s="3">
        <v>999</v>
      </c>
      <c r="B1005" s="3" t="str">
        <f>"201500146014"</f>
        <v>201500146014</v>
      </c>
      <c r="C1005" s="3">
        <v>118151</v>
      </c>
      <c r="D1005" s="3" t="s">
        <v>4050</v>
      </c>
      <c r="E1005" s="3">
        <v>20525521509</v>
      </c>
      <c r="F1005" s="3" t="s">
        <v>189</v>
      </c>
      <c r="G1005" s="3" t="s">
        <v>874</v>
      </c>
      <c r="H1005" s="3" t="s">
        <v>50</v>
      </c>
      <c r="I1005" s="3" t="s">
        <v>50</v>
      </c>
      <c r="J1005" s="3" t="s">
        <v>50</v>
      </c>
      <c r="K1005" s="3" t="s">
        <v>4051</v>
      </c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 t="s">
        <v>1014</v>
      </c>
      <c r="AL1005" s="4">
        <v>42319</v>
      </c>
      <c r="AM1005" s="3"/>
      <c r="AN1005" s="3" t="s">
        <v>4049</v>
      </c>
    </row>
    <row r="1006" spans="1:40" x14ac:dyDescent="0.3">
      <c r="A1006" s="3">
        <v>1000</v>
      </c>
      <c r="B1006" s="3" t="str">
        <f>"1562476"</f>
        <v>1562476</v>
      </c>
      <c r="C1006" s="3">
        <v>41312</v>
      </c>
      <c r="D1006" s="3" t="s">
        <v>4052</v>
      </c>
      <c r="E1006" s="3">
        <v>20486242788</v>
      </c>
      <c r="F1006" s="3" t="s">
        <v>4053</v>
      </c>
      <c r="G1006" s="3" t="s">
        <v>4054</v>
      </c>
      <c r="H1006" s="3" t="s">
        <v>237</v>
      </c>
      <c r="I1006" s="3" t="s">
        <v>3868</v>
      </c>
      <c r="J1006" s="3" t="s">
        <v>3869</v>
      </c>
      <c r="K1006" s="3" t="s">
        <v>4055</v>
      </c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 t="s">
        <v>4056</v>
      </c>
      <c r="AL1006" s="4">
        <v>38617</v>
      </c>
      <c r="AM1006" s="3"/>
      <c r="AN1006" s="3"/>
    </row>
    <row r="1007" spans="1:40" x14ac:dyDescent="0.3">
      <c r="A1007" s="3">
        <v>1001</v>
      </c>
      <c r="B1007" s="3" t="str">
        <f>"1493243"</f>
        <v>1493243</v>
      </c>
      <c r="C1007" s="3">
        <v>63246</v>
      </c>
      <c r="D1007" s="3" t="s">
        <v>4057</v>
      </c>
      <c r="E1007" s="3">
        <v>20295567768</v>
      </c>
      <c r="F1007" s="3" t="s">
        <v>4058</v>
      </c>
      <c r="G1007" s="3" t="s">
        <v>4059</v>
      </c>
      <c r="H1007" s="3" t="s">
        <v>56</v>
      </c>
      <c r="I1007" s="3" t="s">
        <v>56</v>
      </c>
      <c r="J1007" s="3" t="s">
        <v>975</v>
      </c>
      <c r="K1007" s="3" t="s">
        <v>4060</v>
      </c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 t="s">
        <v>898</v>
      </c>
      <c r="AL1007" s="4">
        <v>40750</v>
      </c>
      <c r="AM1007" s="3"/>
      <c r="AN1007" s="3" t="s">
        <v>4061</v>
      </c>
    </row>
    <row r="1008" spans="1:40" x14ac:dyDescent="0.3">
      <c r="A1008" s="3">
        <v>1002</v>
      </c>
      <c r="B1008" s="3" t="str">
        <f>"201500029007"</f>
        <v>201500029007</v>
      </c>
      <c r="C1008" s="3">
        <v>114237</v>
      </c>
      <c r="D1008" s="3" t="s">
        <v>4062</v>
      </c>
      <c r="E1008" s="3">
        <v>10018780599</v>
      </c>
      <c r="F1008" s="3" t="s">
        <v>4063</v>
      </c>
      <c r="G1008" s="3" t="s">
        <v>4064</v>
      </c>
      <c r="H1008" s="3" t="s">
        <v>202</v>
      </c>
      <c r="I1008" s="3" t="s">
        <v>202</v>
      </c>
      <c r="J1008" s="3" t="s">
        <v>904</v>
      </c>
      <c r="K1008" s="3" t="s">
        <v>4065</v>
      </c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 t="s">
        <v>118</v>
      </c>
      <c r="AL1008" s="4">
        <v>42121</v>
      </c>
      <c r="AM1008" s="3"/>
      <c r="AN1008" s="3" t="s">
        <v>4063</v>
      </c>
    </row>
    <row r="1009" spans="1:40" x14ac:dyDescent="0.3">
      <c r="A1009" s="3">
        <v>1003</v>
      </c>
      <c r="B1009" s="3" t="str">
        <f>"1354613"</f>
        <v>1354613</v>
      </c>
      <c r="C1009" s="3">
        <v>86827</v>
      </c>
      <c r="D1009" s="3" t="s">
        <v>4066</v>
      </c>
      <c r="E1009" s="3">
        <v>20518201264</v>
      </c>
      <c r="F1009" s="3" t="s">
        <v>3990</v>
      </c>
      <c r="G1009" s="3" t="s">
        <v>4067</v>
      </c>
      <c r="H1009" s="3" t="s">
        <v>56</v>
      </c>
      <c r="I1009" s="3" t="s">
        <v>56</v>
      </c>
      <c r="J1009" s="3" t="s">
        <v>653</v>
      </c>
      <c r="K1009" s="3" t="s">
        <v>4068</v>
      </c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 t="s">
        <v>1097</v>
      </c>
      <c r="AL1009" s="4">
        <v>40319</v>
      </c>
      <c r="AM1009" s="3"/>
      <c r="AN1009" s="3" t="s">
        <v>4069</v>
      </c>
    </row>
    <row r="1010" spans="1:40" x14ac:dyDescent="0.3">
      <c r="A1010" s="3">
        <v>1004</v>
      </c>
      <c r="B1010" s="3" t="str">
        <f>"1405399"</f>
        <v>1405399</v>
      </c>
      <c r="C1010" s="3">
        <v>34470</v>
      </c>
      <c r="D1010" s="3" t="s">
        <v>4070</v>
      </c>
      <c r="E1010" s="3">
        <v>10068625764</v>
      </c>
      <c r="F1010" s="3" t="s">
        <v>4071</v>
      </c>
      <c r="G1010" s="3" t="s">
        <v>4072</v>
      </c>
      <c r="H1010" s="3" t="s">
        <v>56</v>
      </c>
      <c r="I1010" s="3" t="s">
        <v>56</v>
      </c>
      <c r="J1010" s="3" t="s">
        <v>63</v>
      </c>
      <c r="K1010" s="3" t="s">
        <v>4073</v>
      </c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 t="s">
        <v>187</v>
      </c>
      <c r="AL1010" s="4">
        <v>37714</v>
      </c>
      <c r="AM1010" s="3"/>
      <c r="AN1010" s="3"/>
    </row>
    <row r="1011" spans="1:40" x14ac:dyDescent="0.3">
      <c r="A1011" s="3">
        <v>1005</v>
      </c>
      <c r="B1011" s="3" t="str">
        <f>"201500019712"</f>
        <v>201500019712</v>
      </c>
      <c r="C1011" s="3">
        <v>34184</v>
      </c>
      <c r="D1011" s="3" t="s">
        <v>4074</v>
      </c>
      <c r="E1011" s="3">
        <v>20349264413</v>
      </c>
      <c r="F1011" s="3" t="s">
        <v>287</v>
      </c>
      <c r="G1011" s="3" t="s">
        <v>288</v>
      </c>
      <c r="H1011" s="3" t="s">
        <v>56</v>
      </c>
      <c r="I1011" s="3" t="s">
        <v>56</v>
      </c>
      <c r="J1011" s="3" t="s">
        <v>105</v>
      </c>
      <c r="K1011" s="3" t="s">
        <v>4075</v>
      </c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 t="s">
        <v>187</v>
      </c>
      <c r="AL1011" s="4">
        <v>42117</v>
      </c>
      <c r="AM1011" s="3"/>
      <c r="AN1011" s="3" t="s">
        <v>291</v>
      </c>
    </row>
    <row r="1012" spans="1:40" ht="27.95" x14ac:dyDescent="0.3">
      <c r="A1012" s="3">
        <v>1006</v>
      </c>
      <c r="B1012" s="3" t="str">
        <f>"201300151400"</f>
        <v>201300151400</v>
      </c>
      <c r="C1012" s="3">
        <v>105403</v>
      </c>
      <c r="D1012" s="3" t="s">
        <v>4076</v>
      </c>
      <c r="E1012" s="3">
        <v>20174640514</v>
      </c>
      <c r="F1012" s="3" t="s">
        <v>4077</v>
      </c>
      <c r="G1012" s="3" t="s">
        <v>4078</v>
      </c>
      <c r="H1012" s="3" t="s">
        <v>75</v>
      </c>
      <c r="I1012" s="3" t="s">
        <v>75</v>
      </c>
      <c r="J1012" s="3" t="s">
        <v>76</v>
      </c>
      <c r="K1012" s="3" t="s">
        <v>4079</v>
      </c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 t="s">
        <v>2484</v>
      </c>
      <c r="AL1012" s="3" t="s">
        <v>290</v>
      </c>
      <c r="AM1012" s="3"/>
      <c r="AN1012" s="3" t="s">
        <v>3046</v>
      </c>
    </row>
    <row r="1013" spans="1:40" ht="27.95" x14ac:dyDescent="0.3">
      <c r="A1013" s="3">
        <v>1007</v>
      </c>
      <c r="B1013" s="3" t="str">
        <f>"1530292"</f>
        <v>1530292</v>
      </c>
      <c r="C1013" s="3">
        <v>36598</v>
      </c>
      <c r="D1013" s="3" t="s">
        <v>4080</v>
      </c>
      <c r="E1013" s="3">
        <v>20100076749</v>
      </c>
      <c r="F1013" s="3" t="s">
        <v>159</v>
      </c>
      <c r="G1013" s="3" t="s">
        <v>4081</v>
      </c>
      <c r="H1013" s="3" t="s">
        <v>56</v>
      </c>
      <c r="I1013" s="3" t="s">
        <v>56</v>
      </c>
      <c r="J1013" s="3" t="s">
        <v>121</v>
      </c>
      <c r="K1013" s="3" t="s">
        <v>4082</v>
      </c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 t="s">
        <v>525</v>
      </c>
      <c r="AL1013" s="4">
        <v>38484</v>
      </c>
      <c r="AM1013" s="3"/>
      <c r="AN1013" s="3"/>
    </row>
    <row r="1014" spans="1:40" ht="27.95" x14ac:dyDescent="0.3">
      <c r="A1014" s="3">
        <v>1008</v>
      </c>
      <c r="B1014" s="3" t="str">
        <f>"201500063982"</f>
        <v>201500063982</v>
      </c>
      <c r="C1014" s="3">
        <v>115460</v>
      </c>
      <c r="D1014" s="3" t="s">
        <v>4083</v>
      </c>
      <c r="E1014" s="3">
        <v>20389099164</v>
      </c>
      <c r="F1014" s="3" t="s">
        <v>1511</v>
      </c>
      <c r="G1014" s="3" t="s">
        <v>4084</v>
      </c>
      <c r="H1014" s="3" t="s">
        <v>56</v>
      </c>
      <c r="I1014" s="3" t="s">
        <v>56</v>
      </c>
      <c r="J1014" s="3" t="s">
        <v>363</v>
      </c>
      <c r="K1014" s="3" t="s">
        <v>4085</v>
      </c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 t="s">
        <v>1514</v>
      </c>
      <c r="AL1014" s="4">
        <v>42157</v>
      </c>
      <c r="AM1014" s="3"/>
      <c r="AN1014" s="3" t="s">
        <v>1231</v>
      </c>
    </row>
    <row r="1015" spans="1:40" ht="27.95" x14ac:dyDescent="0.3">
      <c r="A1015" s="3">
        <v>1009</v>
      </c>
      <c r="B1015" s="3" t="str">
        <f>"201300137908"</f>
        <v>201300137908</v>
      </c>
      <c r="C1015" s="3">
        <v>104906</v>
      </c>
      <c r="D1015" s="3" t="s">
        <v>4086</v>
      </c>
      <c r="E1015" s="3">
        <v>10408172042</v>
      </c>
      <c r="F1015" s="3" t="s">
        <v>4087</v>
      </c>
      <c r="G1015" s="3" t="s">
        <v>4088</v>
      </c>
      <c r="H1015" s="3" t="s">
        <v>97</v>
      </c>
      <c r="I1015" s="3" t="s">
        <v>97</v>
      </c>
      <c r="J1015" s="3" t="s">
        <v>144</v>
      </c>
      <c r="K1015" s="3" t="s">
        <v>4089</v>
      </c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 t="s">
        <v>118</v>
      </c>
      <c r="AL1015" s="4">
        <v>41514</v>
      </c>
      <c r="AM1015" s="3"/>
      <c r="AN1015" s="3" t="s">
        <v>4087</v>
      </c>
    </row>
    <row r="1016" spans="1:40" x14ac:dyDescent="0.3">
      <c r="A1016" s="3">
        <v>1010</v>
      </c>
      <c r="B1016" s="3" t="str">
        <f>"201800126444"</f>
        <v>201800126444</v>
      </c>
      <c r="C1016" s="3">
        <v>108814</v>
      </c>
      <c r="D1016" s="3" t="s">
        <v>4090</v>
      </c>
      <c r="E1016" s="3">
        <v>10313020440</v>
      </c>
      <c r="F1016" s="3" t="s">
        <v>2076</v>
      </c>
      <c r="G1016" s="3" t="s">
        <v>4091</v>
      </c>
      <c r="H1016" s="3" t="s">
        <v>56</v>
      </c>
      <c r="I1016" s="3" t="s">
        <v>56</v>
      </c>
      <c r="J1016" s="3" t="s">
        <v>277</v>
      </c>
      <c r="K1016" s="3" t="s">
        <v>4092</v>
      </c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 t="s">
        <v>4093</v>
      </c>
      <c r="AL1016" s="4">
        <v>43319</v>
      </c>
      <c r="AM1016" s="3"/>
      <c r="AN1016" s="3" t="s">
        <v>2076</v>
      </c>
    </row>
    <row r="1017" spans="1:40" ht="27.95" x14ac:dyDescent="0.3">
      <c r="A1017" s="3">
        <v>1011</v>
      </c>
      <c r="B1017" s="3" t="str">
        <f>"201400119172"</f>
        <v>201400119172</v>
      </c>
      <c r="C1017" s="3">
        <v>111555</v>
      </c>
      <c r="D1017" s="3" t="s">
        <v>4094</v>
      </c>
      <c r="E1017" s="3">
        <v>20448131492</v>
      </c>
      <c r="F1017" s="3" t="s">
        <v>4095</v>
      </c>
      <c r="G1017" s="3" t="s">
        <v>4025</v>
      </c>
      <c r="H1017" s="3" t="s">
        <v>56</v>
      </c>
      <c r="I1017" s="3" t="s">
        <v>56</v>
      </c>
      <c r="J1017" s="3" t="s">
        <v>56</v>
      </c>
      <c r="K1017" s="3" t="s">
        <v>4096</v>
      </c>
      <c r="L1017" s="3" t="s">
        <v>4027</v>
      </c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 t="s">
        <v>4028</v>
      </c>
      <c r="AL1017" s="4">
        <v>41908</v>
      </c>
      <c r="AM1017" s="3"/>
      <c r="AN1017" s="3" t="s">
        <v>350</v>
      </c>
    </row>
    <row r="1018" spans="1:40" x14ac:dyDescent="0.3">
      <c r="A1018" s="3">
        <v>1012</v>
      </c>
      <c r="B1018" s="3" t="str">
        <f>"201800043841"</f>
        <v>201800043841</v>
      </c>
      <c r="C1018" s="3">
        <v>135070</v>
      </c>
      <c r="D1018" s="3" t="s">
        <v>4097</v>
      </c>
      <c r="E1018" s="3">
        <v>20113539594</v>
      </c>
      <c r="F1018" s="3" t="s">
        <v>164</v>
      </c>
      <c r="G1018" s="3" t="s">
        <v>4098</v>
      </c>
      <c r="H1018" s="3" t="s">
        <v>50</v>
      </c>
      <c r="I1018" s="3" t="s">
        <v>50</v>
      </c>
      <c r="J1018" s="3" t="s">
        <v>50</v>
      </c>
      <c r="K1018" s="3" t="s">
        <v>4099</v>
      </c>
      <c r="L1018" s="3" t="s">
        <v>4100</v>
      </c>
      <c r="M1018" s="3" t="s">
        <v>4101</v>
      </c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 t="s">
        <v>4102</v>
      </c>
      <c r="AL1018" s="4">
        <v>43256</v>
      </c>
      <c r="AM1018" s="3"/>
      <c r="AN1018" s="3" t="s">
        <v>4103</v>
      </c>
    </row>
    <row r="1019" spans="1:40" x14ac:dyDescent="0.3">
      <c r="A1019" s="3">
        <v>1013</v>
      </c>
      <c r="B1019" s="3" t="str">
        <f>"1281275"</f>
        <v>1281275</v>
      </c>
      <c r="C1019" s="3">
        <v>19497</v>
      </c>
      <c r="D1019" s="3">
        <v>1281275</v>
      </c>
      <c r="E1019" s="3">
        <v>10082086141</v>
      </c>
      <c r="F1019" s="3" t="s">
        <v>4104</v>
      </c>
      <c r="G1019" s="3" t="s">
        <v>4105</v>
      </c>
      <c r="H1019" s="3" t="s">
        <v>56</v>
      </c>
      <c r="I1019" s="3" t="s">
        <v>56</v>
      </c>
      <c r="J1019" s="3" t="s">
        <v>432</v>
      </c>
      <c r="K1019" s="3" t="s">
        <v>4106</v>
      </c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 t="s">
        <v>546</v>
      </c>
      <c r="AL1019" s="4">
        <v>36691</v>
      </c>
      <c r="AM1019" s="3"/>
      <c r="AN1019" s="3"/>
    </row>
    <row r="1020" spans="1:40" x14ac:dyDescent="0.3">
      <c r="A1020" s="3">
        <v>1014</v>
      </c>
      <c r="B1020" s="3" t="str">
        <f>"1103607"</f>
        <v>1103607</v>
      </c>
      <c r="C1020" s="3">
        <v>2280</v>
      </c>
      <c r="D1020" s="3">
        <v>955173</v>
      </c>
      <c r="E1020" s="3">
        <v>20100170761</v>
      </c>
      <c r="F1020" s="3" t="s">
        <v>275</v>
      </c>
      <c r="G1020" s="3" t="s">
        <v>276</v>
      </c>
      <c r="H1020" s="3" t="s">
        <v>56</v>
      </c>
      <c r="I1020" s="3" t="s">
        <v>56</v>
      </c>
      <c r="J1020" s="3" t="s">
        <v>277</v>
      </c>
      <c r="K1020" s="3" t="s">
        <v>4107</v>
      </c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 t="s">
        <v>218</v>
      </c>
      <c r="AL1020" s="4">
        <v>35464</v>
      </c>
      <c r="AM1020" s="3"/>
      <c r="AN1020" s="3"/>
    </row>
    <row r="1021" spans="1:40" x14ac:dyDescent="0.3">
      <c r="A1021" s="3">
        <v>1015</v>
      </c>
      <c r="B1021" s="3" t="str">
        <f>"1550869"</f>
        <v>1550869</v>
      </c>
      <c r="C1021" s="3">
        <v>40585</v>
      </c>
      <c r="D1021" s="3" t="s">
        <v>4108</v>
      </c>
      <c r="E1021" s="3">
        <v>20501548589</v>
      </c>
      <c r="F1021" s="3" t="s">
        <v>4109</v>
      </c>
      <c r="G1021" s="3" t="s">
        <v>4110</v>
      </c>
      <c r="H1021" s="3" t="s">
        <v>56</v>
      </c>
      <c r="I1021" s="3" t="s">
        <v>56</v>
      </c>
      <c r="J1021" s="3" t="s">
        <v>63</v>
      </c>
      <c r="K1021" s="3" t="s">
        <v>4111</v>
      </c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 t="s">
        <v>2856</v>
      </c>
      <c r="AL1021" s="4">
        <v>38568</v>
      </c>
      <c r="AM1021" s="3"/>
      <c r="AN1021" s="3"/>
    </row>
    <row r="1022" spans="1:40" x14ac:dyDescent="0.3">
      <c r="A1022" s="3">
        <v>1016</v>
      </c>
      <c r="B1022" s="3" t="str">
        <f>"1550868"</f>
        <v>1550868</v>
      </c>
      <c r="C1022" s="3">
        <v>40882</v>
      </c>
      <c r="D1022" s="3" t="s">
        <v>4112</v>
      </c>
      <c r="E1022" s="3">
        <v>20501548589</v>
      </c>
      <c r="F1022" s="3" t="s">
        <v>4109</v>
      </c>
      <c r="G1022" s="3" t="s">
        <v>4110</v>
      </c>
      <c r="H1022" s="3" t="s">
        <v>56</v>
      </c>
      <c r="I1022" s="3" t="s">
        <v>56</v>
      </c>
      <c r="J1022" s="3" t="s">
        <v>57</v>
      </c>
      <c r="K1022" s="3" t="s">
        <v>4113</v>
      </c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 t="s">
        <v>2355</v>
      </c>
      <c r="AL1022" s="4">
        <v>38568</v>
      </c>
      <c r="AM1022" s="3"/>
      <c r="AN1022" s="3"/>
    </row>
    <row r="1023" spans="1:40" ht="27.95" x14ac:dyDescent="0.3">
      <c r="A1023" s="3">
        <v>1017</v>
      </c>
      <c r="B1023" s="3" t="str">
        <f>"201700115624"</f>
        <v>201700115624</v>
      </c>
      <c r="C1023" s="3">
        <v>130688</v>
      </c>
      <c r="D1023" s="3" t="s">
        <v>4114</v>
      </c>
      <c r="E1023" s="3">
        <v>10424526601</v>
      </c>
      <c r="F1023" s="3" t="s">
        <v>4115</v>
      </c>
      <c r="G1023" s="3" t="s">
        <v>4116</v>
      </c>
      <c r="H1023" s="3" t="s">
        <v>395</v>
      </c>
      <c r="I1023" s="3" t="s">
        <v>396</v>
      </c>
      <c r="J1023" s="3" t="s">
        <v>490</v>
      </c>
      <c r="K1023" s="3" t="s">
        <v>4117</v>
      </c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 t="s">
        <v>81</v>
      </c>
      <c r="AL1023" s="4">
        <v>43019</v>
      </c>
      <c r="AM1023" s="3"/>
      <c r="AN1023" s="3" t="s">
        <v>4115</v>
      </c>
    </row>
    <row r="1024" spans="1:40" x14ac:dyDescent="0.3">
      <c r="A1024" s="3">
        <v>1018</v>
      </c>
      <c r="B1024" s="3" t="str">
        <f>"1493239"</f>
        <v>1493239</v>
      </c>
      <c r="C1024" s="3">
        <v>63248</v>
      </c>
      <c r="D1024" s="3" t="s">
        <v>4118</v>
      </c>
      <c r="E1024" s="3">
        <v>20295567768</v>
      </c>
      <c r="F1024" s="3" t="s">
        <v>4058</v>
      </c>
      <c r="G1024" s="3" t="s">
        <v>4059</v>
      </c>
      <c r="H1024" s="3" t="s">
        <v>56</v>
      </c>
      <c r="I1024" s="3" t="s">
        <v>56</v>
      </c>
      <c r="J1024" s="3" t="s">
        <v>975</v>
      </c>
      <c r="K1024" s="3" t="s">
        <v>4119</v>
      </c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 t="s">
        <v>898</v>
      </c>
      <c r="AL1024" s="4">
        <v>40750</v>
      </c>
      <c r="AM1024" s="3"/>
      <c r="AN1024" s="3" t="s">
        <v>4061</v>
      </c>
    </row>
    <row r="1025" spans="1:40" x14ac:dyDescent="0.3">
      <c r="A1025" s="3">
        <v>1019</v>
      </c>
      <c r="B1025" s="3" t="str">
        <f>"201700205016"</f>
        <v>201700205016</v>
      </c>
      <c r="C1025" s="3">
        <v>130906</v>
      </c>
      <c r="D1025" s="3" t="s">
        <v>4120</v>
      </c>
      <c r="E1025" s="3">
        <v>20231266993</v>
      </c>
      <c r="F1025" s="3" t="s">
        <v>3781</v>
      </c>
      <c r="G1025" s="3" t="s">
        <v>1504</v>
      </c>
      <c r="H1025" s="3" t="s">
        <v>172</v>
      </c>
      <c r="I1025" s="3" t="s">
        <v>172</v>
      </c>
      <c r="J1025" s="3" t="s">
        <v>1505</v>
      </c>
      <c r="K1025" s="3" t="s">
        <v>4121</v>
      </c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 t="s">
        <v>4122</v>
      </c>
      <c r="AL1025" s="4">
        <v>43082</v>
      </c>
      <c r="AM1025" s="3"/>
      <c r="AN1025" s="3" t="s">
        <v>4123</v>
      </c>
    </row>
    <row r="1026" spans="1:40" x14ac:dyDescent="0.3">
      <c r="A1026" s="3">
        <v>1020</v>
      </c>
      <c r="B1026" s="3" t="str">
        <f>"1103600"</f>
        <v>1103600</v>
      </c>
      <c r="C1026" s="3">
        <v>6652</v>
      </c>
      <c r="D1026" s="3">
        <v>955176</v>
      </c>
      <c r="E1026" s="3">
        <v>20100170761</v>
      </c>
      <c r="F1026" s="3" t="s">
        <v>275</v>
      </c>
      <c r="G1026" s="3" t="s">
        <v>4124</v>
      </c>
      <c r="H1026" s="3" t="s">
        <v>56</v>
      </c>
      <c r="I1026" s="3" t="s">
        <v>56</v>
      </c>
      <c r="J1026" s="3" t="s">
        <v>277</v>
      </c>
      <c r="K1026" s="3" t="s">
        <v>4125</v>
      </c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 t="s">
        <v>546</v>
      </c>
      <c r="AL1026" s="4">
        <v>35464</v>
      </c>
      <c r="AM1026" s="3"/>
      <c r="AN1026" s="3"/>
    </row>
    <row r="1027" spans="1:40" ht="27.95" x14ac:dyDescent="0.3">
      <c r="A1027" s="3">
        <v>1021</v>
      </c>
      <c r="B1027" s="3" t="str">
        <f>"201300151417"</f>
        <v>201300151417</v>
      </c>
      <c r="C1027" s="3">
        <v>105406</v>
      </c>
      <c r="D1027" s="3" t="s">
        <v>4126</v>
      </c>
      <c r="E1027" s="3">
        <v>20174640514</v>
      </c>
      <c r="F1027" s="3" t="s">
        <v>4127</v>
      </c>
      <c r="G1027" s="3" t="s">
        <v>4078</v>
      </c>
      <c r="H1027" s="3" t="s">
        <v>75</v>
      </c>
      <c r="I1027" s="3" t="s">
        <v>75</v>
      </c>
      <c r="J1027" s="3" t="s">
        <v>76</v>
      </c>
      <c r="K1027" s="3" t="s">
        <v>4128</v>
      </c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 t="s">
        <v>2484</v>
      </c>
      <c r="AL1027" s="3" t="s">
        <v>290</v>
      </c>
      <c r="AM1027" s="3"/>
      <c r="AN1027" s="3" t="s">
        <v>3046</v>
      </c>
    </row>
    <row r="1028" spans="1:40" x14ac:dyDescent="0.3">
      <c r="A1028" s="3">
        <v>1022</v>
      </c>
      <c r="B1028" s="3" t="str">
        <f>"1473332"</f>
        <v>1473332</v>
      </c>
      <c r="C1028" s="3">
        <v>18079</v>
      </c>
      <c r="D1028" s="3" t="s">
        <v>4129</v>
      </c>
      <c r="E1028" s="3">
        <v>20429350264</v>
      </c>
      <c r="F1028" s="3" t="s">
        <v>4130</v>
      </c>
      <c r="G1028" s="3" t="s">
        <v>4131</v>
      </c>
      <c r="H1028" s="3" t="s">
        <v>75</v>
      </c>
      <c r="I1028" s="3" t="s">
        <v>75</v>
      </c>
      <c r="J1028" s="3" t="s">
        <v>76</v>
      </c>
      <c r="K1028" s="3" t="s">
        <v>4132</v>
      </c>
      <c r="L1028" s="3" t="s">
        <v>4133</v>
      </c>
      <c r="M1028" s="3" t="s">
        <v>4134</v>
      </c>
      <c r="N1028" s="3" t="s">
        <v>4135</v>
      </c>
      <c r="O1028" s="3" t="s">
        <v>4136</v>
      </c>
      <c r="P1028" s="3" t="s">
        <v>4137</v>
      </c>
      <c r="Q1028" s="3" t="s">
        <v>4138</v>
      </c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 t="s">
        <v>470</v>
      </c>
      <c r="AL1028" s="4">
        <v>40638</v>
      </c>
      <c r="AM1028" s="3"/>
      <c r="AN1028" s="3" t="s">
        <v>1853</v>
      </c>
    </row>
    <row r="1029" spans="1:40" x14ac:dyDescent="0.3">
      <c r="A1029" s="3">
        <v>1023</v>
      </c>
      <c r="B1029" s="3" t="str">
        <f>"1103604"</f>
        <v>1103604</v>
      </c>
      <c r="C1029" s="3">
        <v>3670</v>
      </c>
      <c r="D1029" s="3">
        <v>955180</v>
      </c>
      <c r="E1029" s="3">
        <v>20100170761</v>
      </c>
      <c r="F1029" s="3" t="s">
        <v>275</v>
      </c>
      <c r="G1029" s="3" t="s">
        <v>276</v>
      </c>
      <c r="H1029" s="3" t="s">
        <v>56</v>
      </c>
      <c r="I1029" s="3" t="s">
        <v>56</v>
      </c>
      <c r="J1029" s="3" t="s">
        <v>277</v>
      </c>
      <c r="K1029" s="3" t="s">
        <v>4139</v>
      </c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 t="s">
        <v>592</v>
      </c>
      <c r="AL1029" s="4">
        <v>35464</v>
      </c>
      <c r="AM1029" s="3"/>
      <c r="AN1029" s="3"/>
    </row>
    <row r="1030" spans="1:40" x14ac:dyDescent="0.3">
      <c r="A1030" s="3">
        <v>1024</v>
      </c>
      <c r="B1030" s="3" t="str">
        <f>"201500029043"</f>
        <v>201500029043</v>
      </c>
      <c r="C1030" s="3">
        <v>114240</v>
      </c>
      <c r="D1030" s="3" t="s">
        <v>4140</v>
      </c>
      <c r="E1030" s="3">
        <v>10018780599</v>
      </c>
      <c r="F1030" s="3" t="s">
        <v>4063</v>
      </c>
      <c r="G1030" s="3" t="s">
        <v>4141</v>
      </c>
      <c r="H1030" s="3" t="s">
        <v>202</v>
      </c>
      <c r="I1030" s="3" t="s">
        <v>202</v>
      </c>
      <c r="J1030" s="3" t="s">
        <v>904</v>
      </c>
      <c r="K1030" s="3" t="s">
        <v>4142</v>
      </c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 t="s">
        <v>118</v>
      </c>
      <c r="AL1030" s="4">
        <v>42121</v>
      </c>
      <c r="AM1030" s="3"/>
      <c r="AN1030" s="3" t="s">
        <v>4063</v>
      </c>
    </row>
    <row r="1031" spans="1:40" x14ac:dyDescent="0.3">
      <c r="A1031" s="3">
        <v>1025</v>
      </c>
      <c r="B1031" s="3" t="str">
        <f>"201800210593"</f>
        <v>201800210593</v>
      </c>
      <c r="C1031" s="3">
        <v>140439</v>
      </c>
      <c r="D1031" s="3" t="s">
        <v>4143</v>
      </c>
      <c r="E1031" s="3">
        <v>20510976887</v>
      </c>
      <c r="F1031" s="3" t="s">
        <v>693</v>
      </c>
      <c r="G1031" s="3" t="s">
        <v>3026</v>
      </c>
      <c r="H1031" s="3" t="s">
        <v>56</v>
      </c>
      <c r="I1031" s="3" t="s">
        <v>56</v>
      </c>
      <c r="J1031" s="3" t="s">
        <v>131</v>
      </c>
      <c r="K1031" s="3" t="s">
        <v>4144</v>
      </c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 t="s">
        <v>3028</v>
      </c>
      <c r="AL1031" s="4">
        <v>43462</v>
      </c>
      <c r="AM1031" s="3"/>
      <c r="AN1031" s="3" t="s">
        <v>671</v>
      </c>
    </row>
    <row r="1032" spans="1:40" x14ac:dyDescent="0.3">
      <c r="A1032" s="3">
        <v>1026</v>
      </c>
      <c r="B1032" s="3" t="str">
        <f>"201400106071"</f>
        <v>201400106071</v>
      </c>
      <c r="C1032" s="3">
        <v>111088</v>
      </c>
      <c r="D1032" s="3" t="s">
        <v>4145</v>
      </c>
      <c r="E1032" s="3">
        <v>20349264413</v>
      </c>
      <c r="F1032" s="3" t="s">
        <v>287</v>
      </c>
      <c r="G1032" s="3" t="s">
        <v>4146</v>
      </c>
      <c r="H1032" s="3" t="s">
        <v>56</v>
      </c>
      <c r="I1032" s="3" t="s">
        <v>56</v>
      </c>
      <c r="J1032" s="3" t="s">
        <v>105</v>
      </c>
      <c r="K1032" s="3" t="s">
        <v>4147</v>
      </c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 t="s">
        <v>4148</v>
      </c>
      <c r="AL1032" s="4">
        <v>41872</v>
      </c>
      <c r="AM1032" s="3"/>
      <c r="AN1032" s="3" t="s">
        <v>291</v>
      </c>
    </row>
    <row r="1033" spans="1:40" x14ac:dyDescent="0.3">
      <c r="A1033" s="3">
        <v>1027</v>
      </c>
      <c r="B1033" s="3" t="str">
        <f>"201400106074"</f>
        <v>201400106074</v>
      </c>
      <c r="C1033" s="3">
        <v>111089</v>
      </c>
      <c r="D1033" s="3" t="s">
        <v>4149</v>
      </c>
      <c r="E1033" s="3">
        <v>20349264413</v>
      </c>
      <c r="F1033" s="3" t="s">
        <v>287</v>
      </c>
      <c r="G1033" s="3" t="s">
        <v>1536</v>
      </c>
      <c r="H1033" s="3" t="s">
        <v>56</v>
      </c>
      <c r="I1033" s="3" t="s">
        <v>56</v>
      </c>
      <c r="J1033" s="3" t="s">
        <v>105</v>
      </c>
      <c r="K1033" s="3" t="s">
        <v>4150</v>
      </c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 t="s">
        <v>4148</v>
      </c>
      <c r="AL1033" s="4">
        <v>41872</v>
      </c>
      <c r="AM1033" s="3"/>
      <c r="AN1033" s="3" t="s">
        <v>291</v>
      </c>
    </row>
    <row r="1034" spans="1:40" x14ac:dyDescent="0.3">
      <c r="A1034" s="3">
        <v>1028</v>
      </c>
      <c r="B1034" s="3" t="str">
        <f>"201700205021"</f>
        <v>201700205021</v>
      </c>
      <c r="C1034" s="3">
        <v>130915</v>
      </c>
      <c r="D1034" s="3" t="s">
        <v>4151</v>
      </c>
      <c r="E1034" s="3">
        <v>20231266993</v>
      </c>
      <c r="F1034" s="3" t="s">
        <v>3781</v>
      </c>
      <c r="G1034" s="3" t="s">
        <v>1504</v>
      </c>
      <c r="H1034" s="3" t="s">
        <v>172</v>
      </c>
      <c r="I1034" s="3" t="s">
        <v>172</v>
      </c>
      <c r="J1034" s="3" t="s">
        <v>1505</v>
      </c>
      <c r="K1034" s="3" t="s">
        <v>4152</v>
      </c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 t="s">
        <v>1514</v>
      </c>
      <c r="AL1034" s="4">
        <v>43082</v>
      </c>
      <c r="AM1034" s="3"/>
      <c r="AN1034" s="3" t="s">
        <v>4123</v>
      </c>
    </row>
    <row r="1035" spans="1:40" x14ac:dyDescent="0.3">
      <c r="A1035" s="3">
        <v>1029</v>
      </c>
      <c r="B1035" s="3" t="str">
        <f>"1458071"</f>
        <v>1458071</v>
      </c>
      <c r="C1035" s="3">
        <v>36688</v>
      </c>
      <c r="D1035" s="3" t="s">
        <v>4153</v>
      </c>
      <c r="E1035" s="3">
        <v>20183716183</v>
      </c>
      <c r="F1035" s="3" t="s">
        <v>4154</v>
      </c>
      <c r="G1035" s="3" t="s">
        <v>4155</v>
      </c>
      <c r="H1035" s="3" t="s">
        <v>56</v>
      </c>
      <c r="I1035" s="3" t="s">
        <v>56</v>
      </c>
      <c r="J1035" s="3" t="s">
        <v>56</v>
      </c>
      <c r="K1035" s="3" t="s">
        <v>4156</v>
      </c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 t="s">
        <v>546</v>
      </c>
      <c r="AL1035" s="4">
        <v>38082</v>
      </c>
      <c r="AM1035" s="3"/>
      <c r="AN1035" s="3"/>
    </row>
    <row r="1036" spans="1:40" x14ac:dyDescent="0.3">
      <c r="A1036" s="3">
        <v>1030</v>
      </c>
      <c r="B1036" s="3" t="str">
        <f>"1471010"</f>
        <v>1471010</v>
      </c>
      <c r="C1036" s="3">
        <v>37227</v>
      </c>
      <c r="D1036" s="3" t="s">
        <v>4157</v>
      </c>
      <c r="E1036" s="3">
        <v>10090869081</v>
      </c>
      <c r="F1036" s="3" t="s">
        <v>825</v>
      </c>
      <c r="G1036" s="3" t="s">
        <v>4158</v>
      </c>
      <c r="H1036" s="3" t="s">
        <v>56</v>
      </c>
      <c r="I1036" s="3" t="s">
        <v>56</v>
      </c>
      <c r="J1036" s="3" t="s">
        <v>277</v>
      </c>
      <c r="K1036" s="3" t="s">
        <v>4159</v>
      </c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 t="s">
        <v>525</v>
      </c>
      <c r="AL1036" s="4">
        <v>38152</v>
      </c>
      <c r="AM1036" s="3"/>
      <c r="AN1036" s="3"/>
    </row>
    <row r="1037" spans="1:40" x14ac:dyDescent="0.3">
      <c r="A1037" s="3">
        <v>1031</v>
      </c>
      <c r="B1037" s="3" t="str">
        <f>"1458073"</f>
        <v>1458073</v>
      </c>
      <c r="C1037" s="3">
        <v>36661</v>
      </c>
      <c r="D1037" s="3" t="s">
        <v>4160</v>
      </c>
      <c r="E1037" s="3">
        <v>20183716183</v>
      </c>
      <c r="F1037" s="3" t="s">
        <v>4161</v>
      </c>
      <c r="G1037" s="3" t="s">
        <v>4155</v>
      </c>
      <c r="H1037" s="3" t="s">
        <v>56</v>
      </c>
      <c r="I1037" s="3" t="s">
        <v>56</v>
      </c>
      <c r="J1037" s="3" t="s">
        <v>56</v>
      </c>
      <c r="K1037" s="3" t="s">
        <v>4162</v>
      </c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 t="s">
        <v>47</v>
      </c>
      <c r="AL1037" s="4">
        <v>38082</v>
      </c>
      <c r="AM1037" s="3"/>
      <c r="AN1037" s="3"/>
    </row>
    <row r="1038" spans="1:40" x14ac:dyDescent="0.3">
      <c r="A1038" s="3">
        <v>1032</v>
      </c>
      <c r="B1038" s="3" t="str">
        <f>"201700094070"</f>
        <v>201700094070</v>
      </c>
      <c r="C1038" s="3">
        <v>113188</v>
      </c>
      <c r="D1038" s="3" t="s">
        <v>4163</v>
      </c>
      <c r="E1038" s="3">
        <v>20564041042</v>
      </c>
      <c r="F1038" s="3" t="s">
        <v>4164</v>
      </c>
      <c r="G1038" s="3" t="s">
        <v>4165</v>
      </c>
      <c r="H1038" s="3" t="s">
        <v>446</v>
      </c>
      <c r="I1038" s="3" t="s">
        <v>446</v>
      </c>
      <c r="J1038" s="3" t="s">
        <v>2611</v>
      </c>
      <c r="K1038" s="3" t="s">
        <v>4166</v>
      </c>
      <c r="L1038" s="3" t="s">
        <v>108</v>
      </c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 t="s">
        <v>4167</v>
      </c>
      <c r="AL1038" s="4">
        <v>42919</v>
      </c>
      <c r="AM1038" s="3"/>
      <c r="AN1038" s="3" t="s">
        <v>4168</v>
      </c>
    </row>
    <row r="1039" spans="1:40" ht="27.95" x14ac:dyDescent="0.3">
      <c r="A1039" s="3">
        <v>1033</v>
      </c>
      <c r="B1039" s="3" t="str">
        <f>"1473326"</f>
        <v>1473326</v>
      </c>
      <c r="C1039" s="3">
        <v>18078</v>
      </c>
      <c r="D1039" s="3" t="s">
        <v>4169</v>
      </c>
      <c r="E1039" s="3">
        <v>20429350264</v>
      </c>
      <c r="F1039" s="3" t="s">
        <v>4130</v>
      </c>
      <c r="G1039" s="3" t="s">
        <v>4170</v>
      </c>
      <c r="H1039" s="3" t="s">
        <v>56</v>
      </c>
      <c r="I1039" s="3" t="s">
        <v>56</v>
      </c>
      <c r="J1039" s="3" t="s">
        <v>121</v>
      </c>
      <c r="K1039" s="3" t="s">
        <v>4171</v>
      </c>
      <c r="L1039" s="3" t="s">
        <v>4138</v>
      </c>
      <c r="M1039" s="3" t="s">
        <v>4172</v>
      </c>
      <c r="N1039" s="3" t="s">
        <v>4173</v>
      </c>
      <c r="O1039" s="3" t="s">
        <v>4174</v>
      </c>
      <c r="P1039" s="3" t="s">
        <v>4175</v>
      </c>
      <c r="Q1039" s="3" t="s">
        <v>4176</v>
      </c>
      <c r="R1039" s="3" t="s">
        <v>4177</v>
      </c>
      <c r="S1039" s="3" t="s">
        <v>4178</v>
      </c>
      <c r="T1039" s="3" t="s">
        <v>4179</v>
      </c>
      <c r="U1039" s="3" t="s">
        <v>4180</v>
      </c>
      <c r="V1039" s="3" t="s">
        <v>4181</v>
      </c>
      <c r="W1039" s="3" t="s">
        <v>4133</v>
      </c>
      <c r="X1039" s="3" t="s">
        <v>4134</v>
      </c>
      <c r="Y1039" s="3" t="s">
        <v>4135</v>
      </c>
      <c r="Z1039" s="3" t="s">
        <v>4136</v>
      </c>
      <c r="AA1039" s="3" t="s">
        <v>4182</v>
      </c>
      <c r="AB1039" s="3"/>
      <c r="AC1039" s="3"/>
      <c r="AD1039" s="3"/>
      <c r="AE1039" s="3"/>
      <c r="AF1039" s="3"/>
      <c r="AG1039" s="3"/>
      <c r="AH1039" s="3"/>
      <c r="AI1039" s="3"/>
      <c r="AJ1039" s="3"/>
      <c r="AK1039" s="3" t="s">
        <v>470</v>
      </c>
      <c r="AL1039" s="4">
        <v>40638</v>
      </c>
      <c r="AM1039" s="3"/>
      <c r="AN1039" s="3" t="s">
        <v>1853</v>
      </c>
    </row>
    <row r="1040" spans="1:40" x14ac:dyDescent="0.3">
      <c r="A1040" s="3">
        <v>1034</v>
      </c>
      <c r="B1040" s="3" t="str">
        <f>"1473329"</f>
        <v>1473329</v>
      </c>
      <c r="C1040" s="3">
        <v>18077</v>
      </c>
      <c r="D1040" s="3" t="s">
        <v>4183</v>
      </c>
      <c r="E1040" s="3">
        <v>20429350264</v>
      </c>
      <c r="F1040" s="3" t="s">
        <v>4130</v>
      </c>
      <c r="G1040" s="3" t="s">
        <v>4184</v>
      </c>
      <c r="H1040" s="3" t="s">
        <v>75</v>
      </c>
      <c r="I1040" s="3" t="s">
        <v>75</v>
      </c>
      <c r="J1040" s="3" t="s">
        <v>76</v>
      </c>
      <c r="K1040" s="3" t="s">
        <v>4185</v>
      </c>
      <c r="L1040" s="3" t="s">
        <v>4133</v>
      </c>
      <c r="M1040" s="3" t="s">
        <v>4134</v>
      </c>
      <c r="N1040" s="3" t="s">
        <v>4135</v>
      </c>
      <c r="O1040" s="3" t="s">
        <v>4136</v>
      </c>
      <c r="P1040" s="3" t="s">
        <v>4182</v>
      </c>
      <c r="Q1040" s="3" t="s">
        <v>4179</v>
      </c>
      <c r="R1040" s="3" t="s">
        <v>4173</v>
      </c>
      <c r="S1040" s="3" t="s">
        <v>4174</v>
      </c>
      <c r="T1040" s="3" t="s">
        <v>4175</v>
      </c>
      <c r="U1040" s="3" t="s">
        <v>4176</v>
      </c>
      <c r="V1040" s="3" t="s">
        <v>4177</v>
      </c>
      <c r="W1040" s="3" t="s">
        <v>4178</v>
      </c>
      <c r="X1040" s="3" t="s">
        <v>4172</v>
      </c>
      <c r="Y1040" s="3" t="s">
        <v>4138</v>
      </c>
      <c r="Z1040" s="3" t="s">
        <v>4181</v>
      </c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 t="s">
        <v>470</v>
      </c>
      <c r="AL1040" s="4">
        <v>40638</v>
      </c>
      <c r="AM1040" s="3"/>
      <c r="AN1040" s="3" t="s">
        <v>1853</v>
      </c>
    </row>
    <row r="1041" spans="1:40" x14ac:dyDescent="0.3">
      <c r="A1041" s="3">
        <v>1035</v>
      </c>
      <c r="B1041" s="3" t="str">
        <f>"1473322"</f>
        <v>1473322</v>
      </c>
      <c r="C1041" s="3">
        <v>41904</v>
      </c>
      <c r="D1041" s="3" t="s">
        <v>4186</v>
      </c>
      <c r="E1041" s="3">
        <v>20429350264</v>
      </c>
      <c r="F1041" s="3" t="s">
        <v>4130</v>
      </c>
      <c r="G1041" s="3" t="s">
        <v>4187</v>
      </c>
      <c r="H1041" s="3" t="s">
        <v>75</v>
      </c>
      <c r="I1041" s="3" t="s">
        <v>75</v>
      </c>
      <c r="J1041" s="3" t="s">
        <v>76</v>
      </c>
      <c r="K1041" s="3" t="s">
        <v>4188</v>
      </c>
      <c r="L1041" s="3" t="s">
        <v>4134</v>
      </c>
      <c r="M1041" s="3" t="s">
        <v>4135</v>
      </c>
      <c r="N1041" s="3" t="s">
        <v>4133</v>
      </c>
      <c r="O1041" s="3" t="s">
        <v>4136</v>
      </c>
      <c r="P1041" s="3" t="s">
        <v>4182</v>
      </c>
      <c r="Q1041" s="3" t="s">
        <v>4138</v>
      </c>
      <c r="R1041" s="3" t="s">
        <v>4179</v>
      </c>
      <c r="S1041" s="3" t="s">
        <v>4177</v>
      </c>
      <c r="T1041" s="3" t="s">
        <v>4176</v>
      </c>
      <c r="U1041" s="3" t="s">
        <v>4175</v>
      </c>
      <c r="V1041" s="3" t="s">
        <v>4174</v>
      </c>
      <c r="W1041" s="3" t="s">
        <v>4178</v>
      </c>
      <c r="X1041" s="3" t="s">
        <v>4173</v>
      </c>
      <c r="Y1041" s="3" t="s">
        <v>4172</v>
      </c>
      <c r="Z1041" s="3" t="s">
        <v>4180</v>
      </c>
      <c r="AA1041" s="3" t="s">
        <v>4181</v>
      </c>
      <c r="AB1041" s="3"/>
      <c r="AC1041" s="3"/>
      <c r="AD1041" s="3"/>
      <c r="AE1041" s="3"/>
      <c r="AF1041" s="3"/>
      <c r="AG1041" s="3"/>
      <c r="AH1041" s="3"/>
      <c r="AI1041" s="3"/>
      <c r="AJ1041" s="3"/>
      <c r="AK1041" s="3" t="s">
        <v>139</v>
      </c>
      <c r="AL1041" s="4">
        <v>40638</v>
      </c>
      <c r="AM1041" s="3"/>
      <c r="AN1041" s="3" t="s">
        <v>4189</v>
      </c>
    </row>
    <row r="1042" spans="1:40" x14ac:dyDescent="0.3">
      <c r="A1042" s="3">
        <v>1036</v>
      </c>
      <c r="B1042" s="3" t="str">
        <f>"1340920"</f>
        <v>1340920</v>
      </c>
      <c r="C1042" s="3">
        <v>3384</v>
      </c>
      <c r="D1042" s="3" t="s">
        <v>4190</v>
      </c>
      <c r="E1042" s="3">
        <v>10062130321</v>
      </c>
      <c r="F1042" s="3" t="s">
        <v>4191</v>
      </c>
      <c r="G1042" s="3" t="s">
        <v>4192</v>
      </c>
      <c r="H1042" s="3" t="s">
        <v>56</v>
      </c>
      <c r="I1042" s="3" t="s">
        <v>56</v>
      </c>
      <c r="J1042" s="3" t="s">
        <v>309</v>
      </c>
      <c r="K1042" s="3" t="s">
        <v>4193</v>
      </c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 t="s">
        <v>4148</v>
      </c>
      <c r="AL1042" s="4">
        <v>37204</v>
      </c>
      <c r="AM1042" s="3"/>
      <c r="AN1042" s="3"/>
    </row>
    <row r="1043" spans="1:40" x14ac:dyDescent="0.3">
      <c r="A1043" s="3">
        <v>1037</v>
      </c>
      <c r="B1043" s="3" t="str">
        <f>"1473324"</f>
        <v>1473324</v>
      </c>
      <c r="C1043" s="3">
        <v>45095</v>
      </c>
      <c r="D1043" s="3" t="s">
        <v>4194</v>
      </c>
      <c r="E1043" s="3">
        <v>20429350264</v>
      </c>
      <c r="F1043" s="3" t="s">
        <v>4130</v>
      </c>
      <c r="G1043" s="3" t="s">
        <v>4187</v>
      </c>
      <c r="H1043" s="3" t="s">
        <v>75</v>
      </c>
      <c r="I1043" s="3" t="s">
        <v>75</v>
      </c>
      <c r="J1043" s="3" t="s">
        <v>76</v>
      </c>
      <c r="K1043" s="3" t="s">
        <v>4195</v>
      </c>
      <c r="L1043" s="3" t="s">
        <v>4133</v>
      </c>
      <c r="M1043" s="3" t="s">
        <v>4134</v>
      </c>
      <c r="N1043" s="3" t="s">
        <v>4135</v>
      </c>
      <c r="O1043" s="3" t="s">
        <v>4136</v>
      </c>
      <c r="P1043" s="3" t="s">
        <v>4182</v>
      </c>
      <c r="Q1043" s="3" t="s">
        <v>4181</v>
      </c>
      <c r="R1043" s="3" t="s">
        <v>4180</v>
      </c>
      <c r="S1043" s="3" t="s">
        <v>4173</v>
      </c>
      <c r="T1043" s="3" t="s">
        <v>4174</v>
      </c>
      <c r="U1043" s="3" t="s">
        <v>4176</v>
      </c>
      <c r="V1043" s="3" t="s">
        <v>4177</v>
      </c>
      <c r="W1043" s="3" t="s">
        <v>4172</v>
      </c>
      <c r="X1043" s="3" t="s">
        <v>4179</v>
      </c>
      <c r="Y1043" s="3" t="s">
        <v>4178</v>
      </c>
      <c r="Z1043" s="3" t="s">
        <v>4175</v>
      </c>
      <c r="AA1043" s="3" t="s">
        <v>4138</v>
      </c>
      <c r="AB1043" s="3"/>
      <c r="AC1043" s="3"/>
      <c r="AD1043" s="3"/>
      <c r="AE1043" s="3"/>
      <c r="AF1043" s="3"/>
      <c r="AG1043" s="3"/>
      <c r="AH1043" s="3"/>
      <c r="AI1043" s="3"/>
      <c r="AJ1043" s="3"/>
      <c r="AK1043" s="3" t="s">
        <v>864</v>
      </c>
      <c r="AL1043" s="4">
        <v>40638</v>
      </c>
      <c r="AM1043" s="3"/>
      <c r="AN1043" s="3" t="s">
        <v>1853</v>
      </c>
    </row>
    <row r="1044" spans="1:40" ht="27.95" x14ac:dyDescent="0.3">
      <c r="A1044" s="3">
        <v>1038</v>
      </c>
      <c r="B1044" s="3" t="str">
        <f>"201300151425"</f>
        <v>201300151425</v>
      </c>
      <c r="C1044" s="3">
        <v>105407</v>
      </c>
      <c r="D1044" s="3" t="s">
        <v>4196</v>
      </c>
      <c r="E1044" s="3">
        <v>20174640514</v>
      </c>
      <c r="F1044" s="3" t="s">
        <v>4127</v>
      </c>
      <c r="G1044" s="3" t="s">
        <v>4078</v>
      </c>
      <c r="H1044" s="3" t="s">
        <v>75</v>
      </c>
      <c r="I1044" s="3" t="s">
        <v>75</v>
      </c>
      <c r="J1044" s="3" t="s">
        <v>76</v>
      </c>
      <c r="K1044" s="3" t="s">
        <v>4197</v>
      </c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 t="s">
        <v>2484</v>
      </c>
      <c r="AL1044" s="3" t="s">
        <v>290</v>
      </c>
      <c r="AM1044" s="3"/>
      <c r="AN1044" s="3" t="s">
        <v>3046</v>
      </c>
    </row>
    <row r="1045" spans="1:40" ht="27.95" x14ac:dyDescent="0.3">
      <c r="A1045" s="3">
        <v>1039</v>
      </c>
      <c r="B1045" s="3" t="str">
        <f>"201400037149"</f>
        <v>201400037149</v>
      </c>
      <c r="C1045" s="3">
        <v>108618</v>
      </c>
      <c r="D1045" s="3" t="s">
        <v>4198</v>
      </c>
      <c r="E1045" s="3">
        <v>20516822202</v>
      </c>
      <c r="F1045" s="3" t="s">
        <v>1850</v>
      </c>
      <c r="G1045" s="3" t="s">
        <v>4199</v>
      </c>
      <c r="H1045" s="3" t="s">
        <v>56</v>
      </c>
      <c r="I1045" s="3" t="s">
        <v>56</v>
      </c>
      <c r="J1045" s="3" t="s">
        <v>185</v>
      </c>
      <c r="K1045" s="3" t="s">
        <v>4200</v>
      </c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 t="s">
        <v>167</v>
      </c>
      <c r="AL1045" s="4">
        <v>41732</v>
      </c>
      <c r="AM1045" s="3"/>
      <c r="AN1045" s="3" t="s">
        <v>2748</v>
      </c>
    </row>
    <row r="1046" spans="1:40" x14ac:dyDescent="0.3">
      <c r="A1046" s="3">
        <v>1040</v>
      </c>
      <c r="B1046" s="3" t="str">
        <f>"1340919"</f>
        <v>1340919</v>
      </c>
      <c r="C1046" s="3">
        <v>17971</v>
      </c>
      <c r="D1046" s="3" t="s">
        <v>4201</v>
      </c>
      <c r="E1046" s="3">
        <v>10062130321</v>
      </c>
      <c r="F1046" s="3" t="s">
        <v>4191</v>
      </c>
      <c r="G1046" s="3" t="s">
        <v>4192</v>
      </c>
      <c r="H1046" s="3" t="s">
        <v>56</v>
      </c>
      <c r="I1046" s="3" t="s">
        <v>56</v>
      </c>
      <c r="J1046" s="3" t="s">
        <v>309</v>
      </c>
      <c r="K1046" s="3" t="s">
        <v>4202</v>
      </c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 t="s">
        <v>157</v>
      </c>
      <c r="AL1046" s="4">
        <v>37204</v>
      </c>
      <c r="AM1046" s="3"/>
      <c r="AN1046" s="3"/>
    </row>
    <row r="1047" spans="1:40" x14ac:dyDescent="0.3">
      <c r="A1047" s="3">
        <v>1041</v>
      </c>
      <c r="B1047" s="3" t="str">
        <f>"201900063281"</f>
        <v>201900063281</v>
      </c>
      <c r="C1047" s="3">
        <v>119619</v>
      </c>
      <c r="D1047" s="3" t="s">
        <v>4203</v>
      </c>
      <c r="E1047" s="3">
        <v>20250459981</v>
      </c>
      <c r="F1047" s="3" t="s">
        <v>4204</v>
      </c>
      <c r="G1047" s="3" t="s">
        <v>2858</v>
      </c>
      <c r="H1047" s="3" t="s">
        <v>56</v>
      </c>
      <c r="I1047" s="3" t="s">
        <v>56</v>
      </c>
      <c r="J1047" s="3" t="s">
        <v>273</v>
      </c>
      <c r="K1047" s="3" t="s">
        <v>4205</v>
      </c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 t="s">
        <v>1162</v>
      </c>
      <c r="AL1047" s="4">
        <v>43581</v>
      </c>
      <c r="AM1047" s="3"/>
      <c r="AN1047" s="3" t="s">
        <v>1355</v>
      </c>
    </row>
    <row r="1048" spans="1:40" x14ac:dyDescent="0.3">
      <c r="A1048" s="3">
        <v>1042</v>
      </c>
      <c r="B1048" s="3" t="str">
        <f>"1610694"</f>
        <v>1610694</v>
      </c>
      <c r="C1048" s="3">
        <v>37974</v>
      </c>
      <c r="D1048" s="3" t="s">
        <v>4206</v>
      </c>
      <c r="E1048" s="3">
        <v>10073788817</v>
      </c>
      <c r="F1048" s="3" t="s">
        <v>4207</v>
      </c>
      <c r="G1048" s="3" t="s">
        <v>4208</v>
      </c>
      <c r="H1048" s="3" t="s">
        <v>56</v>
      </c>
      <c r="I1048" s="3" t="s">
        <v>56</v>
      </c>
      <c r="J1048" s="3" t="s">
        <v>363</v>
      </c>
      <c r="K1048" s="3" t="s">
        <v>4209</v>
      </c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 t="s">
        <v>842</v>
      </c>
      <c r="AL1048" s="4">
        <v>38975</v>
      </c>
      <c r="AM1048" s="3"/>
      <c r="AN1048" s="3"/>
    </row>
    <row r="1049" spans="1:40" x14ac:dyDescent="0.3">
      <c r="A1049" s="3">
        <v>1043</v>
      </c>
      <c r="B1049" s="3" t="str">
        <f>"201900162833"</f>
        <v>201900162833</v>
      </c>
      <c r="C1049" s="3">
        <v>146993</v>
      </c>
      <c r="D1049" s="3" t="s">
        <v>4210</v>
      </c>
      <c r="E1049" s="3">
        <v>10776905068</v>
      </c>
      <c r="F1049" s="3" t="s">
        <v>4211</v>
      </c>
      <c r="G1049" s="3" t="s">
        <v>4212</v>
      </c>
      <c r="H1049" s="3" t="s">
        <v>97</v>
      </c>
      <c r="I1049" s="3" t="s">
        <v>97</v>
      </c>
      <c r="J1049" s="3" t="s">
        <v>705</v>
      </c>
      <c r="K1049" s="3" t="s">
        <v>4213</v>
      </c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 t="s">
        <v>1586</v>
      </c>
      <c r="AL1049" s="4">
        <v>43745</v>
      </c>
      <c r="AM1049" s="3"/>
      <c r="AN1049" s="3" t="s">
        <v>4211</v>
      </c>
    </row>
    <row r="1050" spans="1:40" x14ac:dyDescent="0.3">
      <c r="A1050" s="3">
        <v>1044</v>
      </c>
      <c r="B1050" s="3" t="str">
        <f>"201900162832"</f>
        <v>201900162832</v>
      </c>
      <c r="C1050" s="3">
        <v>146994</v>
      </c>
      <c r="D1050" s="3" t="s">
        <v>4214</v>
      </c>
      <c r="E1050" s="3">
        <v>10776905068</v>
      </c>
      <c r="F1050" s="3" t="s">
        <v>4215</v>
      </c>
      <c r="G1050" s="3" t="s">
        <v>4212</v>
      </c>
      <c r="H1050" s="3" t="s">
        <v>97</v>
      </c>
      <c r="I1050" s="3" t="s">
        <v>97</v>
      </c>
      <c r="J1050" s="3" t="s">
        <v>705</v>
      </c>
      <c r="K1050" s="3" t="s">
        <v>4216</v>
      </c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 t="s">
        <v>1586</v>
      </c>
      <c r="AL1050" s="4">
        <v>43745</v>
      </c>
      <c r="AM1050" s="3"/>
      <c r="AN1050" s="3" t="s">
        <v>4215</v>
      </c>
    </row>
    <row r="1051" spans="1:40" x14ac:dyDescent="0.3">
      <c r="A1051" s="3">
        <v>1045</v>
      </c>
      <c r="B1051" s="3" t="str">
        <f>"201700205013"</f>
        <v>201700205013</v>
      </c>
      <c r="C1051" s="3">
        <v>130910</v>
      </c>
      <c r="D1051" s="3" t="s">
        <v>4217</v>
      </c>
      <c r="E1051" s="3">
        <v>20231266993</v>
      </c>
      <c r="F1051" s="3" t="s">
        <v>3781</v>
      </c>
      <c r="G1051" s="3" t="s">
        <v>1504</v>
      </c>
      <c r="H1051" s="3" t="s">
        <v>172</v>
      </c>
      <c r="I1051" s="3" t="s">
        <v>172</v>
      </c>
      <c r="J1051" s="3" t="s">
        <v>1505</v>
      </c>
      <c r="K1051" s="3" t="s">
        <v>4218</v>
      </c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 t="s">
        <v>525</v>
      </c>
      <c r="AL1051" s="4">
        <v>43082</v>
      </c>
      <c r="AM1051" s="3"/>
      <c r="AN1051" s="3" t="s">
        <v>4123</v>
      </c>
    </row>
    <row r="1052" spans="1:40" x14ac:dyDescent="0.3">
      <c r="A1052" s="3">
        <v>1046</v>
      </c>
      <c r="B1052" s="3" t="str">
        <f>"1689778"</f>
        <v>1689778</v>
      </c>
      <c r="C1052" s="3">
        <v>37996</v>
      </c>
      <c r="D1052" s="3" t="s">
        <v>4219</v>
      </c>
      <c r="E1052" s="3">
        <v>20443435680</v>
      </c>
      <c r="F1052" s="3" t="s">
        <v>3872</v>
      </c>
      <c r="G1052" s="3" t="s">
        <v>4220</v>
      </c>
      <c r="H1052" s="3" t="s">
        <v>75</v>
      </c>
      <c r="I1052" s="3" t="s">
        <v>75</v>
      </c>
      <c r="J1052" s="3" t="s">
        <v>3874</v>
      </c>
      <c r="K1052" s="3" t="s">
        <v>4221</v>
      </c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 t="s">
        <v>4222</v>
      </c>
      <c r="AL1052" s="4">
        <v>39210</v>
      </c>
      <c r="AM1052" s="3"/>
      <c r="AN1052" s="3"/>
    </row>
    <row r="1053" spans="1:40" x14ac:dyDescent="0.3">
      <c r="A1053" s="3">
        <v>1047</v>
      </c>
      <c r="B1053" s="3" t="str">
        <f>"201600133869"</f>
        <v>201600133869</v>
      </c>
      <c r="C1053" s="3">
        <v>6525</v>
      </c>
      <c r="D1053" s="3" t="s">
        <v>4223</v>
      </c>
      <c r="E1053" s="3">
        <v>10749258212</v>
      </c>
      <c r="F1053" s="3" t="s">
        <v>4224</v>
      </c>
      <c r="G1053" s="3" t="s">
        <v>4225</v>
      </c>
      <c r="H1053" s="3" t="s">
        <v>56</v>
      </c>
      <c r="I1053" s="3" t="s">
        <v>56</v>
      </c>
      <c r="J1053" s="3" t="s">
        <v>57</v>
      </c>
      <c r="K1053" s="3" t="s">
        <v>4226</v>
      </c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 t="s">
        <v>1087</v>
      </c>
      <c r="AL1053" s="4">
        <v>42667</v>
      </c>
      <c r="AM1053" s="3"/>
      <c r="AN1053" s="3" t="s">
        <v>4224</v>
      </c>
    </row>
    <row r="1054" spans="1:40" x14ac:dyDescent="0.3">
      <c r="A1054" s="3">
        <v>1048</v>
      </c>
      <c r="B1054" s="3" t="str">
        <f>"1321422"</f>
        <v>1321422</v>
      </c>
      <c r="C1054" s="3">
        <v>3325</v>
      </c>
      <c r="D1054" s="3" t="s">
        <v>4227</v>
      </c>
      <c r="E1054" s="3">
        <v>20153236551</v>
      </c>
      <c r="F1054" s="3" t="s">
        <v>1179</v>
      </c>
      <c r="G1054" s="3" t="s">
        <v>4228</v>
      </c>
      <c r="H1054" s="3" t="s">
        <v>56</v>
      </c>
      <c r="I1054" s="3" t="s">
        <v>422</v>
      </c>
      <c r="J1054" s="3" t="s">
        <v>869</v>
      </c>
      <c r="K1054" s="3" t="s">
        <v>4229</v>
      </c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 t="s">
        <v>946</v>
      </c>
      <c r="AL1054" s="4">
        <v>37047</v>
      </c>
      <c r="AM1054" s="3"/>
      <c r="AN1054" s="3"/>
    </row>
    <row r="1055" spans="1:40" ht="27.95" x14ac:dyDescent="0.3">
      <c r="A1055" s="3">
        <v>1049</v>
      </c>
      <c r="B1055" s="3" t="str">
        <f>"201800215838"</f>
        <v>201800215838</v>
      </c>
      <c r="C1055" s="3">
        <v>140573</v>
      </c>
      <c r="D1055" s="3" t="s">
        <v>4230</v>
      </c>
      <c r="E1055" s="3">
        <v>20456291393</v>
      </c>
      <c r="F1055" s="3" t="s">
        <v>4231</v>
      </c>
      <c r="G1055" s="3" t="s">
        <v>4232</v>
      </c>
      <c r="H1055" s="3" t="s">
        <v>97</v>
      </c>
      <c r="I1055" s="3" t="s">
        <v>1436</v>
      </c>
      <c r="J1055" s="3" t="s">
        <v>1437</v>
      </c>
      <c r="K1055" s="3" t="s">
        <v>4233</v>
      </c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 t="s">
        <v>1162</v>
      </c>
      <c r="AL1055" s="4">
        <v>43474</v>
      </c>
      <c r="AM1055" s="3"/>
      <c r="AN1055" s="3" t="s">
        <v>4234</v>
      </c>
    </row>
    <row r="1056" spans="1:40" ht="27.95" x14ac:dyDescent="0.3">
      <c r="A1056" s="3">
        <v>1050</v>
      </c>
      <c r="B1056" s="3" t="str">
        <f>"201800081413"</f>
        <v>201800081413</v>
      </c>
      <c r="C1056" s="3">
        <v>88225</v>
      </c>
      <c r="D1056" s="3" t="s">
        <v>4235</v>
      </c>
      <c r="E1056" s="3">
        <v>20516667126</v>
      </c>
      <c r="F1056" s="3" t="s">
        <v>4236</v>
      </c>
      <c r="G1056" s="3" t="s">
        <v>4237</v>
      </c>
      <c r="H1056" s="3" t="s">
        <v>56</v>
      </c>
      <c r="I1056" s="3" t="s">
        <v>56</v>
      </c>
      <c r="J1056" s="3" t="s">
        <v>481</v>
      </c>
      <c r="K1056" s="3" t="s">
        <v>4238</v>
      </c>
      <c r="L1056" s="3" t="s">
        <v>4239</v>
      </c>
      <c r="M1056" s="3" t="s">
        <v>1447</v>
      </c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 t="s">
        <v>2659</v>
      </c>
      <c r="AL1056" s="4">
        <v>43242</v>
      </c>
      <c r="AM1056" s="3"/>
      <c r="AN1056" s="3" t="s">
        <v>2733</v>
      </c>
    </row>
    <row r="1057" spans="1:40" x14ac:dyDescent="0.3">
      <c r="A1057" s="3">
        <v>1051</v>
      </c>
      <c r="B1057" s="3" t="str">
        <f>"202000001868"</f>
        <v>202000001868</v>
      </c>
      <c r="C1057" s="3">
        <v>83458</v>
      </c>
      <c r="D1057" s="3" t="s">
        <v>4240</v>
      </c>
      <c r="E1057" s="3">
        <v>10076686250</v>
      </c>
      <c r="F1057" s="3" t="s">
        <v>4241</v>
      </c>
      <c r="G1057" s="3" t="s">
        <v>4242</v>
      </c>
      <c r="H1057" s="3" t="s">
        <v>56</v>
      </c>
      <c r="I1057" s="3" t="s">
        <v>56</v>
      </c>
      <c r="J1057" s="3" t="s">
        <v>715</v>
      </c>
      <c r="K1057" s="3" t="s">
        <v>4243</v>
      </c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 t="s">
        <v>4244</v>
      </c>
      <c r="AL1057" s="4">
        <v>43843</v>
      </c>
      <c r="AM1057" s="3"/>
      <c r="AN1057" s="3" t="s">
        <v>4241</v>
      </c>
    </row>
    <row r="1058" spans="1:40" x14ac:dyDescent="0.3">
      <c r="A1058" s="3">
        <v>1052</v>
      </c>
      <c r="B1058" s="3" t="str">
        <f>"1951637"</f>
        <v>1951637</v>
      </c>
      <c r="C1058" s="3">
        <v>84940</v>
      </c>
      <c r="D1058" s="3" t="s">
        <v>4245</v>
      </c>
      <c r="E1058" s="3">
        <v>20480861010</v>
      </c>
      <c r="F1058" s="3" t="s">
        <v>42</v>
      </c>
      <c r="G1058" s="3" t="s">
        <v>4246</v>
      </c>
      <c r="H1058" s="3" t="s">
        <v>44</v>
      </c>
      <c r="I1058" s="3" t="s">
        <v>45</v>
      </c>
      <c r="J1058" s="3" t="s">
        <v>45</v>
      </c>
      <c r="K1058" s="3" t="s">
        <v>4247</v>
      </c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 t="s">
        <v>4248</v>
      </c>
      <c r="AL1058" s="4">
        <v>40168</v>
      </c>
      <c r="AM1058" s="3"/>
      <c r="AN1058" s="3"/>
    </row>
    <row r="1059" spans="1:40" ht="27.95" x14ac:dyDescent="0.3">
      <c r="A1059" s="3">
        <v>1053</v>
      </c>
      <c r="B1059" s="3" t="str">
        <f>"1447155"</f>
        <v>1447155</v>
      </c>
      <c r="C1059" s="3">
        <v>89782</v>
      </c>
      <c r="D1059" s="3" t="s">
        <v>4249</v>
      </c>
      <c r="E1059" s="3">
        <v>10296954077</v>
      </c>
      <c r="F1059" s="3" t="s">
        <v>1131</v>
      </c>
      <c r="G1059" s="3" t="s">
        <v>4250</v>
      </c>
      <c r="H1059" s="3" t="s">
        <v>97</v>
      </c>
      <c r="I1059" s="3" t="s">
        <v>97</v>
      </c>
      <c r="J1059" s="3" t="s">
        <v>254</v>
      </c>
      <c r="K1059" s="3" t="s">
        <v>4251</v>
      </c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 t="s">
        <v>4252</v>
      </c>
      <c r="AL1059" s="4">
        <v>40505</v>
      </c>
      <c r="AM1059" s="3"/>
      <c r="AN1059" s="3" t="s">
        <v>1131</v>
      </c>
    </row>
    <row r="1060" spans="1:40" x14ac:dyDescent="0.3">
      <c r="A1060" s="3">
        <v>1054</v>
      </c>
      <c r="B1060" s="3" t="str">
        <f>"201900133693"</f>
        <v>201900133693</v>
      </c>
      <c r="C1060" s="3">
        <v>145952</v>
      </c>
      <c r="D1060" s="3" t="s">
        <v>4253</v>
      </c>
      <c r="E1060" s="3">
        <v>20490335839</v>
      </c>
      <c r="F1060" s="3" t="s">
        <v>4254</v>
      </c>
      <c r="G1060" s="3" t="s">
        <v>4255</v>
      </c>
      <c r="H1060" s="3" t="s">
        <v>1208</v>
      </c>
      <c r="I1060" s="3" t="s">
        <v>2525</v>
      </c>
      <c r="J1060" s="3" t="s">
        <v>2525</v>
      </c>
      <c r="K1060" s="3" t="s">
        <v>4256</v>
      </c>
      <c r="L1060" s="3" t="s">
        <v>4257</v>
      </c>
      <c r="M1060" s="3" t="s">
        <v>4258</v>
      </c>
      <c r="N1060" s="3" t="s">
        <v>4259</v>
      </c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 t="s">
        <v>3485</v>
      </c>
      <c r="AL1060" s="4">
        <v>43698</v>
      </c>
      <c r="AM1060" s="3"/>
      <c r="AN1060" s="3" t="s">
        <v>4260</v>
      </c>
    </row>
    <row r="1061" spans="1:40" x14ac:dyDescent="0.3">
      <c r="A1061" s="3">
        <v>1055</v>
      </c>
      <c r="B1061" s="3" t="str">
        <f>"1793684"</f>
        <v>1793684</v>
      </c>
      <c r="C1061" s="3">
        <v>63142</v>
      </c>
      <c r="D1061" s="3" t="s">
        <v>4261</v>
      </c>
      <c r="E1061" s="3">
        <v>20100005485</v>
      </c>
      <c r="F1061" s="3" t="s">
        <v>1361</v>
      </c>
      <c r="G1061" s="3" t="s">
        <v>4262</v>
      </c>
      <c r="H1061" s="3" t="s">
        <v>56</v>
      </c>
      <c r="I1061" s="3" t="s">
        <v>56</v>
      </c>
      <c r="J1061" s="3" t="s">
        <v>363</v>
      </c>
      <c r="K1061" s="3" t="s">
        <v>4263</v>
      </c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 t="s">
        <v>518</v>
      </c>
      <c r="AL1061" s="4">
        <v>39637</v>
      </c>
      <c r="AM1061" s="3"/>
      <c r="AN1061" s="3"/>
    </row>
    <row r="1062" spans="1:40" x14ac:dyDescent="0.3">
      <c r="A1062" s="3">
        <v>1056</v>
      </c>
      <c r="B1062" s="3" t="str">
        <f>"201500049743"</f>
        <v>201500049743</v>
      </c>
      <c r="C1062" s="3">
        <v>97958</v>
      </c>
      <c r="D1062" s="3" t="s">
        <v>4264</v>
      </c>
      <c r="E1062" s="3">
        <v>10293096916</v>
      </c>
      <c r="F1062" s="3" t="s">
        <v>4265</v>
      </c>
      <c r="G1062" s="3" t="s">
        <v>4266</v>
      </c>
      <c r="H1062" s="3" t="s">
        <v>97</v>
      </c>
      <c r="I1062" s="3" t="s">
        <v>97</v>
      </c>
      <c r="J1062" s="3" t="s">
        <v>1459</v>
      </c>
      <c r="K1062" s="3" t="s">
        <v>4267</v>
      </c>
      <c r="L1062" s="3" t="s">
        <v>4268</v>
      </c>
      <c r="M1062" s="3" t="s">
        <v>4269</v>
      </c>
      <c r="N1062" s="3" t="s">
        <v>4270</v>
      </c>
      <c r="O1062" s="3" t="s">
        <v>4271</v>
      </c>
      <c r="P1062" s="3" t="s">
        <v>4272</v>
      </c>
      <c r="Q1062" s="3" t="s">
        <v>4273</v>
      </c>
      <c r="R1062" s="3" t="s">
        <v>4274</v>
      </c>
      <c r="S1062" s="3" t="s">
        <v>4275</v>
      </c>
      <c r="T1062" s="3" t="s">
        <v>4276</v>
      </c>
      <c r="U1062" s="3" t="s">
        <v>4277</v>
      </c>
      <c r="V1062" s="3" t="s">
        <v>4278</v>
      </c>
      <c r="W1062" s="3" t="s">
        <v>4279</v>
      </c>
      <c r="X1062" s="3" t="s">
        <v>4280</v>
      </c>
      <c r="Y1062" s="3" t="s">
        <v>4281</v>
      </c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 t="s">
        <v>150</v>
      </c>
      <c r="AL1062" s="4">
        <v>42159</v>
      </c>
      <c r="AM1062" s="3"/>
      <c r="AN1062" s="3" t="s">
        <v>4265</v>
      </c>
    </row>
    <row r="1063" spans="1:40" x14ac:dyDescent="0.3">
      <c r="A1063" s="3">
        <v>1057</v>
      </c>
      <c r="B1063" s="3" t="str">
        <f>"1458068"</f>
        <v>1458068</v>
      </c>
      <c r="C1063" s="3">
        <v>36700</v>
      </c>
      <c r="D1063" s="3" t="s">
        <v>4282</v>
      </c>
      <c r="E1063" s="3">
        <v>20499229900</v>
      </c>
      <c r="F1063" s="3" t="s">
        <v>4283</v>
      </c>
      <c r="G1063" s="3" t="s">
        <v>4155</v>
      </c>
      <c r="H1063" s="3" t="s">
        <v>56</v>
      </c>
      <c r="I1063" s="3" t="s">
        <v>56</v>
      </c>
      <c r="J1063" s="3" t="s">
        <v>56</v>
      </c>
      <c r="K1063" s="3" t="s">
        <v>4284</v>
      </c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 t="s">
        <v>187</v>
      </c>
      <c r="AL1063" s="4">
        <v>38082</v>
      </c>
      <c r="AM1063" s="3"/>
      <c r="AN1063" s="3"/>
    </row>
    <row r="1064" spans="1:40" x14ac:dyDescent="0.3">
      <c r="A1064" s="3">
        <v>1058</v>
      </c>
      <c r="B1064" s="3" t="str">
        <f>"1638218"</f>
        <v>1638218</v>
      </c>
      <c r="C1064" s="3">
        <v>42064</v>
      </c>
      <c r="D1064" s="3" t="s">
        <v>4285</v>
      </c>
      <c r="E1064" s="3">
        <v>20506727783</v>
      </c>
      <c r="F1064" s="3" t="s">
        <v>1440</v>
      </c>
      <c r="G1064" s="3" t="s">
        <v>4286</v>
      </c>
      <c r="H1064" s="3" t="s">
        <v>56</v>
      </c>
      <c r="I1064" s="3" t="s">
        <v>56</v>
      </c>
      <c r="J1064" s="3" t="s">
        <v>131</v>
      </c>
      <c r="K1064" s="3" t="s">
        <v>4287</v>
      </c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 t="s">
        <v>157</v>
      </c>
      <c r="AL1064" s="4">
        <v>38996</v>
      </c>
      <c r="AM1064" s="3"/>
      <c r="AN1064" s="3"/>
    </row>
    <row r="1065" spans="1:40" x14ac:dyDescent="0.3">
      <c r="A1065" s="3">
        <v>1059</v>
      </c>
      <c r="B1065" s="3" t="str">
        <f>"1884350"</f>
        <v>1884350</v>
      </c>
      <c r="C1065" s="3">
        <v>37307</v>
      </c>
      <c r="D1065" s="3" t="s">
        <v>4288</v>
      </c>
      <c r="E1065" s="3">
        <v>20452298822</v>
      </c>
      <c r="F1065" s="3" t="s">
        <v>4289</v>
      </c>
      <c r="G1065" s="3" t="s">
        <v>4290</v>
      </c>
      <c r="H1065" s="3" t="s">
        <v>216</v>
      </c>
      <c r="I1065" s="3" t="s">
        <v>4291</v>
      </c>
      <c r="J1065" s="3" t="s">
        <v>4292</v>
      </c>
      <c r="K1065" s="3" t="s">
        <v>4293</v>
      </c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 t="s">
        <v>81</v>
      </c>
      <c r="AL1065" s="4">
        <v>39938</v>
      </c>
      <c r="AM1065" s="3"/>
      <c r="AN1065" s="3"/>
    </row>
    <row r="1066" spans="1:40" x14ac:dyDescent="0.3">
      <c r="A1066" s="3">
        <v>1060</v>
      </c>
      <c r="B1066" s="3" t="str">
        <f>"201300171768"</f>
        <v>201300171768</v>
      </c>
      <c r="C1066" s="3">
        <v>105544</v>
      </c>
      <c r="D1066" s="3" t="s">
        <v>4294</v>
      </c>
      <c r="E1066" s="3">
        <v>20568767153</v>
      </c>
      <c r="F1066" s="3" t="s">
        <v>4295</v>
      </c>
      <c r="G1066" s="3" t="s">
        <v>4296</v>
      </c>
      <c r="H1066" s="3" t="s">
        <v>237</v>
      </c>
      <c r="I1066" s="3" t="s">
        <v>868</v>
      </c>
      <c r="J1066" s="3" t="s">
        <v>869</v>
      </c>
      <c r="K1066" s="3" t="s">
        <v>4297</v>
      </c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 t="s">
        <v>52</v>
      </c>
      <c r="AL1066" s="4">
        <v>41590</v>
      </c>
      <c r="AM1066" s="3"/>
      <c r="AN1066" s="3" t="s">
        <v>4298</v>
      </c>
    </row>
    <row r="1067" spans="1:40" x14ac:dyDescent="0.3">
      <c r="A1067" s="3">
        <v>1061</v>
      </c>
      <c r="B1067" s="3" t="str">
        <f>"1638215"</f>
        <v>1638215</v>
      </c>
      <c r="C1067" s="3">
        <v>42055</v>
      </c>
      <c r="D1067" s="3" t="s">
        <v>4299</v>
      </c>
      <c r="E1067" s="3">
        <v>20506727783</v>
      </c>
      <c r="F1067" s="3" t="s">
        <v>4300</v>
      </c>
      <c r="G1067" s="3" t="s">
        <v>4301</v>
      </c>
      <c r="H1067" s="3" t="s">
        <v>56</v>
      </c>
      <c r="I1067" s="3" t="s">
        <v>56</v>
      </c>
      <c r="J1067" s="3" t="s">
        <v>131</v>
      </c>
      <c r="K1067" s="3" t="s">
        <v>4302</v>
      </c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 t="s">
        <v>1455</v>
      </c>
      <c r="AL1067" s="4">
        <v>38996</v>
      </c>
      <c r="AM1067" s="3"/>
      <c r="AN1067" s="3"/>
    </row>
    <row r="1068" spans="1:40" x14ac:dyDescent="0.3">
      <c r="A1068" s="3">
        <v>1062</v>
      </c>
      <c r="B1068" s="3" t="str">
        <f>"12358016"</f>
        <v>12358016</v>
      </c>
      <c r="C1068" s="3">
        <v>31647</v>
      </c>
      <c r="D1068" s="3" t="s">
        <v>4303</v>
      </c>
      <c r="E1068" s="3">
        <v>10040038995</v>
      </c>
      <c r="F1068" s="3" t="s">
        <v>4304</v>
      </c>
      <c r="G1068" s="3" t="s">
        <v>1047</v>
      </c>
      <c r="H1068" s="3" t="s">
        <v>56</v>
      </c>
      <c r="I1068" s="3" t="s">
        <v>56</v>
      </c>
      <c r="J1068" s="3" t="s">
        <v>277</v>
      </c>
      <c r="K1068" s="3" t="s">
        <v>4305</v>
      </c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 t="s">
        <v>4306</v>
      </c>
      <c r="AL1068" s="4">
        <v>37351</v>
      </c>
      <c r="AM1068" s="3"/>
      <c r="AN1068" s="3"/>
    </row>
    <row r="1069" spans="1:40" ht="27.95" x14ac:dyDescent="0.3">
      <c r="A1069" s="3">
        <v>1063</v>
      </c>
      <c r="B1069" s="3" t="str">
        <f>"1785673"</f>
        <v>1785673</v>
      </c>
      <c r="C1069" s="3">
        <v>63139</v>
      </c>
      <c r="D1069" s="3" t="s">
        <v>4307</v>
      </c>
      <c r="E1069" s="3">
        <v>10235218831</v>
      </c>
      <c r="F1069" s="3" t="s">
        <v>462</v>
      </c>
      <c r="G1069" s="3" t="s">
        <v>4308</v>
      </c>
      <c r="H1069" s="3" t="s">
        <v>56</v>
      </c>
      <c r="I1069" s="3" t="s">
        <v>56</v>
      </c>
      <c r="J1069" s="3" t="s">
        <v>57</v>
      </c>
      <c r="K1069" s="3" t="s">
        <v>4309</v>
      </c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 t="s">
        <v>1812</v>
      </c>
      <c r="AL1069" s="4">
        <v>39611</v>
      </c>
      <c r="AM1069" s="3"/>
      <c r="AN1069" s="3"/>
    </row>
    <row r="1070" spans="1:40" x14ac:dyDescent="0.3">
      <c r="A1070" s="3">
        <v>1064</v>
      </c>
      <c r="B1070" s="3" t="str">
        <f>"201800187593"</f>
        <v>201800187593</v>
      </c>
      <c r="C1070" s="3">
        <v>139607</v>
      </c>
      <c r="D1070" s="3" t="s">
        <v>4310</v>
      </c>
      <c r="E1070" s="3">
        <v>20601187991</v>
      </c>
      <c r="F1070" s="3" t="s">
        <v>4311</v>
      </c>
      <c r="G1070" s="3" t="s">
        <v>4312</v>
      </c>
      <c r="H1070" s="3" t="s">
        <v>222</v>
      </c>
      <c r="I1070" s="3" t="s">
        <v>223</v>
      </c>
      <c r="J1070" s="3" t="s">
        <v>224</v>
      </c>
      <c r="K1070" s="3" t="s">
        <v>4313</v>
      </c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 t="s">
        <v>4314</v>
      </c>
      <c r="AL1070" s="4">
        <v>43425</v>
      </c>
      <c r="AM1070" s="3"/>
      <c r="AN1070" s="3" t="s">
        <v>4315</v>
      </c>
    </row>
    <row r="1071" spans="1:40" ht="27.95" x14ac:dyDescent="0.3">
      <c r="A1071" s="3">
        <v>1065</v>
      </c>
      <c r="B1071" s="3" t="str">
        <f>"201300055918"</f>
        <v>201300055918</v>
      </c>
      <c r="C1071" s="3">
        <v>99821</v>
      </c>
      <c r="D1071" s="3" t="s">
        <v>4316</v>
      </c>
      <c r="E1071" s="3">
        <v>20455354871</v>
      </c>
      <c r="F1071" s="3" t="s">
        <v>4317</v>
      </c>
      <c r="G1071" s="3" t="s">
        <v>4318</v>
      </c>
      <c r="H1071" s="3" t="s">
        <v>97</v>
      </c>
      <c r="I1071" s="3" t="s">
        <v>97</v>
      </c>
      <c r="J1071" s="3" t="s">
        <v>341</v>
      </c>
      <c r="K1071" s="3" t="s">
        <v>4319</v>
      </c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 t="s">
        <v>1087</v>
      </c>
      <c r="AL1071" s="4">
        <v>41359</v>
      </c>
      <c r="AM1071" s="3"/>
      <c r="AN1071" s="3" t="s">
        <v>4320</v>
      </c>
    </row>
    <row r="1072" spans="1:40" ht="27.95" x14ac:dyDescent="0.3">
      <c r="A1072" s="3">
        <v>1066</v>
      </c>
      <c r="B1072" s="3" t="str">
        <f>"202000011873"</f>
        <v>202000011873</v>
      </c>
      <c r="C1072" s="3">
        <v>121084</v>
      </c>
      <c r="D1072" s="3" t="s">
        <v>4321</v>
      </c>
      <c r="E1072" s="3">
        <v>20604178313</v>
      </c>
      <c r="F1072" s="3" t="s">
        <v>4322</v>
      </c>
      <c r="G1072" s="3" t="s">
        <v>4323</v>
      </c>
      <c r="H1072" s="3" t="s">
        <v>56</v>
      </c>
      <c r="I1072" s="3" t="s">
        <v>56</v>
      </c>
      <c r="J1072" s="3" t="s">
        <v>4324</v>
      </c>
      <c r="K1072" s="3" t="s">
        <v>4325</v>
      </c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 t="s">
        <v>4326</v>
      </c>
      <c r="AL1072" s="4">
        <v>43859</v>
      </c>
      <c r="AM1072" s="3"/>
      <c r="AN1072" s="3" t="s">
        <v>4327</v>
      </c>
    </row>
    <row r="1073" spans="1:40" ht="27.95" x14ac:dyDescent="0.3">
      <c r="A1073" s="3">
        <v>1067</v>
      </c>
      <c r="B1073" s="3" t="str">
        <f>"1411353"</f>
        <v>1411353</v>
      </c>
      <c r="C1073" s="3">
        <v>34737</v>
      </c>
      <c r="D1073" s="3" t="s">
        <v>4328</v>
      </c>
      <c r="E1073" s="3">
        <v>10076972236</v>
      </c>
      <c r="F1073" s="3" t="s">
        <v>4329</v>
      </c>
      <c r="G1073" s="3" t="s">
        <v>4330</v>
      </c>
      <c r="H1073" s="3" t="s">
        <v>56</v>
      </c>
      <c r="I1073" s="3" t="s">
        <v>56</v>
      </c>
      <c r="J1073" s="3" t="s">
        <v>69</v>
      </c>
      <c r="K1073" s="3" t="s">
        <v>4331</v>
      </c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 t="s">
        <v>546</v>
      </c>
      <c r="AL1073" s="4">
        <v>37760</v>
      </c>
      <c r="AM1073" s="3"/>
      <c r="AN1073" s="3"/>
    </row>
    <row r="1074" spans="1:40" ht="27.95" x14ac:dyDescent="0.3">
      <c r="A1074" s="3">
        <v>1068</v>
      </c>
      <c r="B1074" s="3" t="str">
        <f>"1869125"</f>
        <v>1869125</v>
      </c>
      <c r="C1074" s="3">
        <v>63251</v>
      </c>
      <c r="D1074" s="3" t="s">
        <v>4332</v>
      </c>
      <c r="E1074" s="3">
        <v>10400978153</v>
      </c>
      <c r="F1074" s="3" t="s">
        <v>4333</v>
      </c>
      <c r="G1074" s="3" t="s">
        <v>4334</v>
      </c>
      <c r="H1074" s="3" t="s">
        <v>56</v>
      </c>
      <c r="I1074" s="3" t="s">
        <v>56</v>
      </c>
      <c r="J1074" s="3" t="s">
        <v>57</v>
      </c>
      <c r="K1074" s="3" t="s">
        <v>4335</v>
      </c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 t="s">
        <v>1514</v>
      </c>
      <c r="AL1074" s="4">
        <v>39892</v>
      </c>
      <c r="AM1074" s="3"/>
      <c r="AN1074" s="3"/>
    </row>
    <row r="1075" spans="1:40" x14ac:dyDescent="0.3">
      <c r="A1075" s="3">
        <v>1069</v>
      </c>
      <c r="B1075" s="3" t="str">
        <f>"1459615"</f>
        <v>1459615</v>
      </c>
      <c r="C1075" s="3">
        <v>33461</v>
      </c>
      <c r="D1075" s="3" t="s">
        <v>4336</v>
      </c>
      <c r="E1075" s="3">
        <v>10406893354</v>
      </c>
      <c r="F1075" s="3" t="s">
        <v>4337</v>
      </c>
      <c r="G1075" s="3" t="s">
        <v>4338</v>
      </c>
      <c r="H1075" s="3" t="s">
        <v>202</v>
      </c>
      <c r="I1075" s="3" t="s">
        <v>202</v>
      </c>
      <c r="J1075" s="3" t="s">
        <v>202</v>
      </c>
      <c r="K1075" s="3" t="s">
        <v>4339</v>
      </c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 t="s">
        <v>574</v>
      </c>
      <c r="AL1075" s="4">
        <v>38076</v>
      </c>
      <c r="AM1075" s="3"/>
      <c r="AN1075" s="3"/>
    </row>
    <row r="1076" spans="1:40" ht="27.95" x14ac:dyDescent="0.3">
      <c r="A1076" s="3">
        <v>1070</v>
      </c>
      <c r="B1076" s="3" t="str">
        <f>"1869124"</f>
        <v>1869124</v>
      </c>
      <c r="C1076" s="3">
        <v>82874</v>
      </c>
      <c r="D1076" s="3" t="s">
        <v>4340</v>
      </c>
      <c r="E1076" s="3">
        <v>10400978153</v>
      </c>
      <c r="F1076" s="3" t="s">
        <v>4333</v>
      </c>
      <c r="G1076" s="3" t="s">
        <v>4334</v>
      </c>
      <c r="H1076" s="3" t="s">
        <v>56</v>
      </c>
      <c r="I1076" s="3" t="s">
        <v>56</v>
      </c>
      <c r="J1076" s="3" t="s">
        <v>63</v>
      </c>
      <c r="K1076" s="3" t="s">
        <v>4341</v>
      </c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 t="s">
        <v>1273</v>
      </c>
      <c r="AL1076" s="4">
        <v>39892</v>
      </c>
      <c r="AM1076" s="3"/>
      <c r="AN1076" s="3"/>
    </row>
    <row r="1077" spans="1:40" ht="27.95" x14ac:dyDescent="0.3">
      <c r="A1077" s="3">
        <v>1071</v>
      </c>
      <c r="B1077" s="3" t="str">
        <f>"202000011879"</f>
        <v>202000011879</v>
      </c>
      <c r="C1077" s="3">
        <v>114888</v>
      </c>
      <c r="D1077" s="3" t="s">
        <v>4342</v>
      </c>
      <c r="E1077" s="3">
        <v>20604178313</v>
      </c>
      <c r="F1077" s="3" t="s">
        <v>4343</v>
      </c>
      <c r="G1077" s="3" t="s">
        <v>4323</v>
      </c>
      <c r="H1077" s="3" t="s">
        <v>56</v>
      </c>
      <c r="I1077" s="3" t="s">
        <v>56</v>
      </c>
      <c r="J1077" s="3" t="s">
        <v>4324</v>
      </c>
      <c r="K1077" s="3" t="s">
        <v>4344</v>
      </c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 t="s">
        <v>986</v>
      </c>
      <c r="AL1077" s="4">
        <v>43859</v>
      </c>
      <c r="AM1077" s="3"/>
      <c r="AN1077" s="3" t="s">
        <v>4327</v>
      </c>
    </row>
    <row r="1078" spans="1:40" ht="27.95" x14ac:dyDescent="0.3">
      <c r="A1078" s="3">
        <v>1072</v>
      </c>
      <c r="B1078" s="3" t="str">
        <f>"201800087513"</f>
        <v>201800087513</v>
      </c>
      <c r="C1078" s="3">
        <v>136450</v>
      </c>
      <c r="D1078" s="3" t="s">
        <v>4345</v>
      </c>
      <c r="E1078" s="3">
        <v>20487978818</v>
      </c>
      <c r="F1078" s="3" t="s">
        <v>4346</v>
      </c>
      <c r="G1078" s="3" t="s">
        <v>4347</v>
      </c>
      <c r="H1078" s="3" t="s">
        <v>318</v>
      </c>
      <c r="I1078" s="3" t="s">
        <v>319</v>
      </c>
      <c r="J1078" s="3" t="s">
        <v>495</v>
      </c>
      <c r="K1078" s="3" t="s">
        <v>4348</v>
      </c>
      <c r="L1078" s="3" t="s">
        <v>4349</v>
      </c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 t="s">
        <v>4350</v>
      </c>
      <c r="AL1078" s="4">
        <v>43251</v>
      </c>
      <c r="AM1078" s="3"/>
      <c r="AN1078" s="3" t="s">
        <v>4351</v>
      </c>
    </row>
    <row r="1079" spans="1:40" x14ac:dyDescent="0.3">
      <c r="A1079" s="3">
        <v>1073</v>
      </c>
      <c r="B1079" s="3" t="str">
        <f>"201900188190"</f>
        <v>201900188190</v>
      </c>
      <c r="C1079" s="3">
        <v>144213</v>
      </c>
      <c r="D1079" s="3" t="s">
        <v>4352</v>
      </c>
      <c r="E1079" s="3">
        <v>20605372831</v>
      </c>
      <c r="F1079" s="3" t="s">
        <v>4353</v>
      </c>
      <c r="G1079" s="3" t="s">
        <v>4354</v>
      </c>
      <c r="H1079" s="3" t="s">
        <v>56</v>
      </c>
      <c r="I1079" s="3" t="s">
        <v>56</v>
      </c>
      <c r="J1079" s="3" t="s">
        <v>432</v>
      </c>
      <c r="K1079" s="3" t="s">
        <v>4355</v>
      </c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 t="s">
        <v>157</v>
      </c>
      <c r="AL1079" s="4">
        <v>43789</v>
      </c>
      <c r="AM1079" s="3"/>
      <c r="AN1079" s="3" t="s">
        <v>4356</v>
      </c>
    </row>
    <row r="1080" spans="1:40" x14ac:dyDescent="0.3">
      <c r="A1080" s="3">
        <v>1074</v>
      </c>
      <c r="B1080" s="3" t="str">
        <f>"1417671"</f>
        <v>1417671</v>
      </c>
      <c r="C1080" s="3">
        <v>88941</v>
      </c>
      <c r="D1080" s="3" t="s">
        <v>4357</v>
      </c>
      <c r="E1080" s="3">
        <v>20467282388</v>
      </c>
      <c r="F1080" s="3" t="s">
        <v>4358</v>
      </c>
      <c r="G1080" s="3" t="s">
        <v>4359</v>
      </c>
      <c r="H1080" s="3" t="s">
        <v>97</v>
      </c>
      <c r="I1080" s="3" t="s">
        <v>97</v>
      </c>
      <c r="J1080" s="3" t="s">
        <v>1459</v>
      </c>
      <c r="K1080" s="3" t="s">
        <v>4360</v>
      </c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 t="s">
        <v>4361</v>
      </c>
      <c r="AL1080" s="4">
        <v>40448</v>
      </c>
      <c r="AM1080" s="3"/>
      <c r="AN1080" s="3" t="s">
        <v>4362</v>
      </c>
    </row>
    <row r="1081" spans="1:40" x14ac:dyDescent="0.3">
      <c r="A1081" s="3">
        <v>1075</v>
      </c>
      <c r="B1081" s="3" t="str">
        <f>"201900188197"</f>
        <v>201900188197</v>
      </c>
      <c r="C1081" s="3">
        <v>135306</v>
      </c>
      <c r="D1081" s="3" t="s">
        <v>4363</v>
      </c>
      <c r="E1081" s="3">
        <v>20605372831</v>
      </c>
      <c r="F1081" s="3" t="s">
        <v>4353</v>
      </c>
      <c r="G1081" s="3" t="s">
        <v>4354</v>
      </c>
      <c r="H1081" s="3" t="s">
        <v>56</v>
      </c>
      <c r="I1081" s="3" t="s">
        <v>56</v>
      </c>
      <c r="J1081" s="3" t="s">
        <v>432</v>
      </c>
      <c r="K1081" s="3" t="s">
        <v>4364</v>
      </c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 t="s">
        <v>157</v>
      </c>
      <c r="AL1081" s="4">
        <v>43789</v>
      </c>
      <c r="AM1081" s="3"/>
      <c r="AN1081" s="3" t="s">
        <v>4356</v>
      </c>
    </row>
    <row r="1082" spans="1:40" x14ac:dyDescent="0.3">
      <c r="A1082" s="3">
        <v>1076</v>
      </c>
      <c r="B1082" s="3" t="str">
        <f>"201900188195"</f>
        <v>201900188195</v>
      </c>
      <c r="C1082" s="3">
        <v>132902</v>
      </c>
      <c r="D1082" s="3" t="s">
        <v>4365</v>
      </c>
      <c r="E1082" s="3">
        <v>20605372831</v>
      </c>
      <c r="F1082" s="3" t="s">
        <v>4353</v>
      </c>
      <c r="G1082" s="3" t="s">
        <v>4354</v>
      </c>
      <c r="H1082" s="3" t="s">
        <v>56</v>
      </c>
      <c r="I1082" s="3" t="s">
        <v>56</v>
      </c>
      <c r="J1082" s="3" t="s">
        <v>432</v>
      </c>
      <c r="K1082" s="3" t="s">
        <v>4366</v>
      </c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 t="s">
        <v>3628</v>
      </c>
      <c r="AL1082" s="4">
        <v>43789</v>
      </c>
      <c r="AM1082" s="3"/>
      <c r="AN1082" s="3" t="s">
        <v>4356</v>
      </c>
    </row>
    <row r="1083" spans="1:40" x14ac:dyDescent="0.3">
      <c r="A1083" s="3">
        <v>1077</v>
      </c>
      <c r="B1083" s="3" t="str">
        <f>"201800189710"</f>
        <v>201800189710</v>
      </c>
      <c r="C1083" s="3">
        <v>139668</v>
      </c>
      <c r="D1083" s="3" t="s">
        <v>4367</v>
      </c>
      <c r="E1083" s="3">
        <v>10053691540</v>
      </c>
      <c r="F1083" s="3" t="s">
        <v>4368</v>
      </c>
      <c r="G1083" s="3" t="s">
        <v>4369</v>
      </c>
      <c r="H1083" s="3" t="s">
        <v>44</v>
      </c>
      <c r="I1083" s="3" t="s">
        <v>1543</v>
      </c>
      <c r="J1083" s="3" t="s">
        <v>1543</v>
      </c>
      <c r="K1083" s="3" t="s">
        <v>4370</v>
      </c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 t="s">
        <v>1467</v>
      </c>
      <c r="AL1083" s="4">
        <v>43444</v>
      </c>
      <c r="AM1083" s="3"/>
      <c r="AN1083" s="3" t="s">
        <v>4368</v>
      </c>
    </row>
    <row r="1084" spans="1:40" ht="27.95" x14ac:dyDescent="0.3">
      <c r="A1084" s="3">
        <v>1078</v>
      </c>
      <c r="B1084" s="3" t="str">
        <f>"201400120219"</f>
        <v>201400120219</v>
      </c>
      <c r="C1084" s="3">
        <v>111592</v>
      </c>
      <c r="D1084" s="3" t="s">
        <v>4371</v>
      </c>
      <c r="E1084" s="3">
        <v>20448131492</v>
      </c>
      <c r="F1084" s="3" t="s">
        <v>4095</v>
      </c>
      <c r="G1084" s="3" t="s">
        <v>4025</v>
      </c>
      <c r="H1084" s="3" t="s">
        <v>56</v>
      </c>
      <c r="I1084" s="3" t="s">
        <v>56</v>
      </c>
      <c r="J1084" s="3" t="s">
        <v>56</v>
      </c>
      <c r="K1084" s="3" t="s">
        <v>4372</v>
      </c>
      <c r="L1084" s="3" t="s">
        <v>4027</v>
      </c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 t="s">
        <v>4028</v>
      </c>
      <c r="AL1084" s="4">
        <v>41908</v>
      </c>
      <c r="AM1084" s="3"/>
      <c r="AN1084" s="3" t="s">
        <v>350</v>
      </c>
    </row>
    <row r="1085" spans="1:40" ht="27.95" x14ac:dyDescent="0.3">
      <c r="A1085" s="3">
        <v>1079</v>
      </c>
      <c r="B1085" s="3" t="str">
        <f>"202000011893"</f>
        <v>202000011893</v>
      </c>
      <c r="C1085" s="3">
        <v>63249</v>
      </c>
      <c r="D1085" s="3" t="s">
        <v>4373</v>
      </c>
      <c r="E1085" s="3">
        <v>20604178313</v>
      </c>
      <c r="F1085" s="3" t="s">
        <v>4322</v>
      </c>
      <c r="G1085" s="3" t="s">
        <v>4323</v>
      </c>
      <c r="H1085" s="3" t="s">
        <v>56</v>
      </c>
      <c r="I1085" s="3" t="s">
        <v>56</v>
      </c>
      <c r="J1085" s="3" t="s">
        <v>4324</v>
      </c>
      <c r="K1085" s="3" t="s">
        <v>4374</v>
      </c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 t="s">
        <v>898</v>
      </c>
      <c r="AL1085" s="4">
        <v>43859</v>
      </c>
      <c r="AM1085" s="3"/>
      <c r="AN1085" s="3" t="s">
        <v>4327</v>
      </c>
    </row>
    <row r="1086" spans="1:40" x14ac:dyDescent="0.3">
      <c r="A1086" s="3">
        <v>1080</v>
      </c>
      <c r="B1086" s="3" t="str">
        <f>"201800034330"</f>
        <v>201800034330</v>
      </c>
      <c r="C1086" s="3">
        <v>134790</v>
      </c>
      <c r="D1086" s="3" t="s">
        <v>4375</v>
      </c>
      <c r="E1086" s="3">
        <v>20100366747</v>
      </c>
      <c r="F1086" s="3" t="s">
        <v>258</v>
      </c>
      <c r="G1086" s="3" t="s">
        <v>451</v>
      </c>
      <c r="H1086" s="3" t="s">
        <v>56</v>
      </c>
      <c r="I1086" s="3" t="s">
        <v>56</v>
      </c>
      <c r="J1086" s="3" t="s">
        <v>185</v>
      </c>
      <c r="K1086" s="3" t="s">
        <v>4376</v>
      </c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 t="s">
        <v>562</v>
      </c>
      <c r="AL1086" s="4">
        <v>43168</v>
      </c>
      <c r="AM1086" s="3"/>
      <c r="AN1086" s="3" t="s">
        <v>262</v>
      </c>
    </row>
    <row r="1087" spans="1:40" x14ac:dyDescent="0.3">
      <c r="A1087" s="3">
        <v>1081</v>
      </c>
      <c r="B1087" s="3" t="str">
        <f>"1580003"</f>
        <v>1580003</v>
      </c>
      <c r="C1087" s="3">
        <v>41744</v>
      </c>
      <c r="D1087" s="3" t="s">
        <v>4377</v>
      </c>
      <c r="E1087" s="3">
        <v>10334089113</v>
      </c>
      <c r="F1087" s="3" t="s">
        <v>3181</v>
      </c>
      <c r="G1087" s="3" t="s">
        <v>4378</v>
      </c>
      <c r="H1087" s="3" t="s">
        <v>587</v>
      </c>
      <c r="I1087" s="3" t="s">
        <v>588</v>
      </c>
      <c r="J1087" s="3" t="s">
        <v>588</v>
      </c>
      <c r="K1087" s="3" t="s">
        <v>4379</v>
      </c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 t="s">
        <v>4380</v>
      </c>
      <c r="AL1087" s="4">
        <v>38667</v>
      </c>
      <c r="AM1087" s="3"/>
      <c r="AN1087" s="3"/>
    </row>
    <row r="1088" spans="1:40" x14ac:dyDescent="0.3">
      <c r="A1088" s="3">
        <v>1082</v>
      </c>
      <c r="B1088" s="3" t="str">
        <f>"201400079741"</f>
        <v>201400079741</v>
      </c>
      <c r="C1088" s="3">
        <v>63711</v>
      </c>
      <c r="D1088" s="3" t="s">
        <v>4381</v>
      </c>
      <c r="E1088" s="3">
        <v>20509227668</v>
      </c>
      <c r="F1088" s="3" t="s">
        <v>4382</v>
      </c>
      <c r="G1088" s="3" t="s">
        <v>451</v>
      </c>
      <c r="H1088" s="3" t="s">
        <v>56</v>
      </c>
      <c r="I1088" s="3" t="s">
        <v>56</v>
      </c>
      <c r="J1088" s="3" t="s">
        <v>185</v>
      </c>
      <c r="K1088" s="3" t="s">
        <v>4383</v>
      </c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 t="s">
        <v>118</v>
      </c>
      <c r="AL1088" s="4">
        <v>41817</v>
      </c>
      <c r="AM1088" s="3"/>
      <c r="AN1088" s="3" t="s">
        <v>4384</v>
      </c>
    </row>
    <row r="1089" spans="1:40" x14ac:dyDescent="0.3">
      <c r="A1089" s="3">
        <v>1083</v>
      </c>
      <c r="B1089" s="3" t="str">
        <f>"1105125"</f>
        <v>1105125</v>
      </c>
      <c r="C1089" s="3">
        <v>2769</v>
      </c>
      <c r="D1089" s="3">
        <v>1105125</v>
      </c>
      <c r="E1089" s="3">
        <v>10212523262</v>
      </c>
      <c r="F1089" s="3" t="s">
        <v>4385</v>
      </c>
      <c r="G1089" s="3" t="s">
        <v>4386</v>
      </c>
      <c r="H1089" s="3" t="s">
        <v>237</v>
      </c>
      <c r="I1089" s="3" t="s">
        <v>3868</v>
      </c>
      <c r="J1089" s="3" t="s">
        <v>4387</v>
      </c>
      <c r="K1089" s="3" t="s">
        <v>4388</v>
      </c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 t="s">
        <v>157</v>
      </c>
      <c r="AL1089" s="4">
        <v>35487</v>
      </c>
      <c r="AM1089" s="3"/>
      <c r="AN1089" s="3"/>
    </row>
    <row r="1090" spans="1:40" x14ac:dyDescent="0.3">
      <c r="A1090" s="3">
        <v>1084</v>
      </c>
      <c r="B1090" s="3" t="str">
        <f>"1448815"</f>
        <v>1448815</v>
      </c>
      <c r="C1090" s="3">
        <v>37406</v>
      </c>
      <c r="D1090" s="3" t="s">
        <v>4389</v>
      </c>
      <c r="E1090" s="3">
        <v>10089945319</v>
      </c>
      <c r="F1090" s="3" t="s">
        <v>4390</v>
      </c>
      <c r="G1090" s="3" t="s">
        <v>4391</v>
      </c>
      <c r="H1090" s="3" t="s">
        <v>56</v>
      </c>
      <c r="I1090" s="3" t="s">
        <v>56</v>
      </c>
      <c r="J1090" s="3" t="s">
        <v>1043</v>
      </c>
      <c r="K1090" s="3" t="s">
        <v>4392</v>
      </c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 t="s">
        <v>167</v>
      </c>
      <c r="AL1090" s="4">
        <v>38008</v>
      </c>
      <c r="AM1090" s="3"/>
      <c r="AN1090" s="3"/>
    </row>
    <row r="1091" spans="1:40" x14ac:dyDescent="0.3">
      <c r="A1091" s="3">
        <v>1085</v>
      </c>
      <c r="B1091" s="3" t="str">
        <f>"1115190"</f>
        <v>1115190</v>
      </c>
      <c r="C1091" s="3">
        <v>2427</v>
      </c>
      <c r="D1091" s="3">
        <v>990736</v>
      </c>
      <c r="E1091" s="3">
        <v>10104132028</v>
      </c>
      <c r="F1091" s="3" t="s">
        <v>4393</v>
      </c>
      <c r="G1091" s="3" t="s">
        <v>4394</v>
      </c>
      <c r="H1091" s="3" t="s">
        <v>56</v>
      </c>
      <c r="I1091" s="3" t="s">
        <v>56</v>
      </c>
      <c r="J1091" s="3" t="s">
        <v>529</v>
      </c>
      <c r="K1091" s="3" t="s">
        <v>4395</v>
      </c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 t="s">
        <v>602</v>
      </c>
      <c r="AL1091" s="4">
        <v>35520</v>
      </c>
      <c r="AM1091" s="3"/>
      <c r="AN1091" s="3"/>
    </row>
    <row r="1092" spans="1:40" x14ac:dyDescent="0.3">
      <c r="A1092" s="3">
        <v>1086</v>
      </c>
      <c r="B1092" s="3" t="str">
        <f>"201100157303"</f>
        <v>201100157303</v>
      </c>
      <c r="C1092" s="3">
        <v>94499</v>
      </c>
      <c r="D1092" s="3" t="s">
        <v>4396</v>
      </c>
      <c r="E1092" s="3">
        <v>10015543448</v>
      </c>
      <c r="F1092" s="3" t="s">
        <v>4397</v>
      </c>
      <c r="G1092" s="3" t="s">
        <v>4398</v>
      </c>
      <c r="H1092" s="3" t="s">
        <v>97</v>
      </c>
      <c r="I1092" s="3" t="s">
        <v>97</v>
      </c>
      <c r="J1092" s="3" t="s">
        <v>105</v>
      </c>
      <c r="K1092" s="3" t="s">
        <v>4399</v>
      </c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 t="s">
        <v>3769</v>
      </c>
      <c r="AL1092" s="4">
        <v>40893</v>
      </c>
      <c r="AM1092" s="3"/>
      <c r="AN1092" s="3" t="s">
        <v>4397</v>
      </c>
    </row>
    <row r="1093" spans="1:40" x14ac:dyDescent="0.3">
      <c r="A1093" s="3">
        <v>1087</v>
      </c>
      <c r="B1093" s="3" t="str">
        <f>"1115192"</f>
        <v>1115192</v>
      </c>
      <c r="C1093" s="3">
        <v>2785</v>
      </c>
      <c r="D1093" s="3">
        <v>1115192</v>
      </c>
      <c r="E1093" s="3">
        <v>10068231171</v>
      </c>
      <c r="F1093" s="3" t="s">
        <v>4400</v>
      </c>
      <c r="G1093" s="3" t="s">
        <v>4401</v>
      </c>
      <c r="H1093" s="3" t="s">
        <v>56</v>
      </c>
      <c r="I1093" s="3" t="s">
        <v>56</v>
      </c>
      <c r="J1093" s="3" t="s">
        <v>116</v>
      </c>
      <c r="K1093" s="3" t="s">
        <v>4402</v>
      </c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 t="s">
        <v>634</v>
      </c>
      <c r="AL1093" s="4">
        <v>35520</v>
      </c>
      <c r="AM1093" s="3"/>
      <c r="AN1093" s="3"/>
    </row>
    <row r="1094" spans="1:40" x14ac:dyDescent="0.3">
      <c r="A1094" s="3">
        <v>1088</v>
      </c>
      <c r="B1094" s="3" t="str">
        <f>"201700045767"</f>
        <v>201700045767</v>
      </c>
      <c r="C1094" s="3">
        <v>127547</v>
      </c>
      <c r="D1094" s="3" t="s">
        <v>4403</v>
      </c>
      <c r="E1094" s="3">
        <v>10308587261</v>
      </c>
      <c r="F1094" s="3" t="s">
        <v>4404</v>
      </c>
      <c r="G1094" s="3" t="s">
        <v>4405</v>
      </c>
      <c r="H1094" s="3" t="s">
        <v>97</v>
      </c>
      <c r="I1094" s="3" t="s">
        <v>97</v>
      </c>
      <c r="J1094" s="3" t="s">
        <v>144</v>
      </c>
      <c r="K1094" s="3" t="s">
        <v>4406</v>
      </c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 t="s">
        <v>4407</v>
      </c>
      <c r="AL1094" s="4">
        <v>42845</v>
      </c>
      <c r="AM1094" s="3"/>
      <c r="AN1094" s="3" t="s">
        <v>4404</v>
      </c>
    </row>
    <row r="1095" spans="1:40" x14ac:dyDescent="0.3">
      <c r="A1095" s="3">
        <v>1089</v>
      </c>
      <c r="B1095" s="3" t="str">
        <f>"1873430"</f>
        <v>1873430</v>
      </c>
      <c r="C1095" s="3">
        <v>82518</v>
      </c>
      <c r="D1095" s="3" t="s">
        <v>4408</v>
      </c>
      <c r="E1095" s="3">
        <v>10296799462</v>
      </c>
      <c r="F1095" s="3" t="s">
        <v>324</v>
      </c>
      <c r="G1095" s="3" t="s">
        <v>4409</v>
      </c>
      <c r="H1095" s="3" t="s">
        <v>97</v>
      </c>
      <c r="I1095" s="3" t="s">
        <v>97</v>
      </c>
      <c r="J1095" s="3" t="s">
        <v>326</v>
      </c>
      <c r="K1095" s="3" t="s">
        <v>4410</v>
      </c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 t="s">
        <v>2766</v>
      </c>
      <c r="AL1095" s="4">
        <v>39885</v>
      </c>
      <c r="AM1095" s="3"/>
      <c r="AN1095" s="3"/>
    </row>
    <row r="1096" spans="1:40" x14ac:dyDescent="0.3">
      <c r="A1096" s="3">
        <v>1090</v>
      </c>
      <c r="B1096" s="3" t="str">
        <f>"1115195"</f>
        <v>1115195</v>
      </c>
      <c r="C1096" s="3">
        <v>2390</v>
      </c>
      <c r="D1096" s="3">
        <v>989599</v>
      </c>
      <c r="E1096" s="3">
        <v>10090233268</v>
      </c>
      <c r="F1096" s="3" t="s">
        <v>4411</v>
      </c>
      <c r="G1096" s="3" t="s">
        <v>4412</v>
      </c>
      <c r="H1096" s="3" t="s">
        <v>56</v>
      </c>
      <c r="I1096" s="3" t="s">
        <v>56</v>
      </c>
      <c r="J1096" s="3" t="s">
        <v>481</v>
      </c>
      <c r="K1096" s="3" t="s">
        <v>4413</v>
      </c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 t="s">
        <v>634</v>
      </c>
      <c r="AL1096" s="4">
        <v>35520</v>
      </c>
      <c r="AM1096" s="3"/>
      <c r="AN1096" s="3"/>
    </row>
    <row r="1097" spans="1:40" x14ac:dyDescent="0.3">
      <c r="A1097" s="3">
        <v>1091</v>
      </c>
      <c r="B1097" s="3" t="str">
        <f>"201500163451"</f>
        <v>201500163451</v>
      </c>
      <c r="C1097" s="3">
        <v>110950</v>
      </c>
      <c r="D1097" s="3" t="s">
        <v>4414</v>
      </c>
      <c r="E1097" s="3">
        <v>20561251917</v>
      </c>
      <c r="F1097" s="3" t="s">
        <v>4415</v>
      </c>
      <c r="G1097" s="3" t="s">
        <v>4416</v>
      </c>
      <c r="H1097" s="3" t="s">
        <v>50</v>
      </c>
      <c r="I1097" s="3" t="s">
        <v>2591</v>
      </c>
      <c r="J1097" s="3" t="s">
        <v>4417</v>
      </c>
      <c r="K1097" s="3" t="s">
        <v>4418</v>
      </c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 t="s">
        <v>1679</v>
      </c>
      <c r="AL1097" s="4">
        <v>42348</v>
      </c>
      <c r="AM1097" s="3"/>
      <c r="AN1097" s="3" t="s">
        <v>4419</v>
      </c>
    </row>
    <row r="1098" spans="1:40" ht="27.95" x14ac:dyDescent="0.3">
      <c r="A1098" s="3">
        <v>1092</v>
      </c>
      <c r="B1098" s="3" t="str">
        <f>"1146866"</f>
        <v>1146866</v>
      </c>
      <c r="C1098" s="3">
        <v>3389</v>
      </c>
      <c r="D1098" s="3">
        <v>1146866</v>
      </c>
      <c r="E1098" s="3">
        <v>10061705525</v>
      </c>
      <c r="F1098" s="3" t="s">
        <v>4420</v>
      </c>
      <c r="G1098" s="3" t="s">
        <v>4421</v>
      </c>
      <c r="H1098" s="3" t="s">
        <v>56</v>
      </c>
      <c r="I1098" s="3" t="s">
        <v>56</v>
      </c>
      <c r="J1098" s="3" t="s">
        <v>715</v>
      </c>
      <c r="K1098" s="3" t="s">
        <v>4422</v>
      </c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 t="s">
        <v>353</v>
      </c>
      <c r="AL1098" s="4">
        <v>35664</v>
      </c>
      <c r="AM1098" s="3"/>
      <c r="AN1098" s="3"/>
    </row>
    <row r="1099" spans="1:40" x14ac:dyDescent="0.3">
      <c r="A1099" s="3">
        <v>1093</v>
      </c>
      <c r="B1099" s="3" t="str">
        <f>"201400091061"</f>
        <v>201400091061</v>
      </c>
      <c r="C1099" s="3">
        <v>43847</v>
      </c>
      <c r="D1099" s="3" t="s">
        <v>4423</v>
      </c>
      <c r="E1099" s="3">
        <v>20507840613</v>
      </c>
      <c r="F1099" s="3" t="s">
        <v>298</v>
      </c>
      <c r="G1099" s="3" t="s">
        <v>4424</v>
      </c>
      <c r="H1099" s="3" t="s">
        <v>56</v>
      </c>
      <c r="I1099" s="3" t="s">
        <v>56</v>
      </c>
      <c r="J1099" s="3" t="s">
        <v>57</v>
      </c>
      <c r="K1099" s="3" t="s">
        <v>4425</v>
      </c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 t="s">
        <v>2781</v>
      </c>
      <c r="AL1099" s="4">
        <v>41835</v>
      </c>
      <c r="AM1099" s="3"/>
      <c r="AN1099" s="3" t="s">
        <v>60</v>
      </c>
    </row>
    <row r="1100" spans="1:40" x14ac:dyDescent="0.3">
      <c r="A1100" s="3">
        <v>1094</v>
      </c>
      <c r="B1100" s="3" t="str">
        <f>"1453200"</f>
        <v>1453200</v>
      </c>
      <c r="C1100" s="3">
        <v>36713</v>
      </c>
      <c r="D1100" s="3" t="s">
        <v>4426</v>
      </c>
      <c r="E1100" s="3">
        <v>20263992629</v>
      </c>
      <c r="F1100" s="3" t="s">
        <v>4427</v>
      </c>
      <c r="G1100" s="3" t="s">
        <v>4428</v>
      </c>
      <c r="H1100" s="3" t="s">
        <v>56</v>
      </c>
      <c r="I1100" s="3" t="s">
        <v>56</v>
      </c>
      <c r="J1100" s="3" t="s">
        <v>56</v>
      </c>
      <c r="K1100" s="3" t="s">
        <v>4429</v>
      </c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 t="s">
        <v>233</v>
      </c>
      <c r="AL1100" s="4">
        <v>38042</v>
      </c>
      <c r="AM1100" s="3"/>
      <c r="AN1100" s="3"/>
    </row>
    <row r="1101" spans="1:40" x14ac:dyDescent="0.3">
      <c r="A1101" s="3">
        <v>1095</v>
      </c>
      <c r="B1101" s="3" t="str">
        <f>"1453201"</f>
        <v>1453201</v>
      </c>
      <c r="C1101" s="3">
        <v>37568</v>
      </c>
      <c r="D1101" s="3" t="s">
        <v>4430</v>
      </c>
      <c r="E1101" s="3">
        <v>20263992629</v>
      </c>
      <c r="F1101" s="3" t="s">
        <v>4427</v>
      </c>
      <c r="G1101" s="3" t="s">
        <v>4428</v>
      </c>
      <c r="H1101" s="3" t="s">
        <v>56</v>
      </c>
      <c r="I1101" s="3" t="s">
        <v>56</v>
      </c>
      <c r="J1101" s="3" t="s">
        <v>56</v>
      </c>
      <c r="K1101" s="3" t="s">
        <v>4431</v>
      </c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 t="s">
        <v>546</v>
      </c>
      <c r="AL1101" s="4">
        <v>38042</v>
      </c>
      <c r="AM1101" s="3"/>
      <c r="AN1101" s="3"/>
    </row>
    <row r="1102" spans="1:40" x14ac:dyDescent="0.3">
      <c r="A1102" s="3">
        <v>1096</v>
      </c>
      <c r="B1102" s="3" t="str">
        <f>"1453202"</f>
        <v>1453202</v>
      </c>
      <c r="C1102" s="3">
        <v>37111</v>
      </c>
      <c r="D1102" s="3" t="s">
        <v>4432</v>
      </c>
      <c r="E1102" s="3">
        <v>10090503702</v>
      </c>
      <c r="F1102" s="3" t="s">
        <v>4433</v>
      </c>
      <c r="G1102" s="3" t="s">
        <v>4428</v>
      </c>
      <c r="H1102" s="3" t="s">
        <v>56</v>
      </c>
      <c r="I1102" s="3" t="s">
        <v>56</v>
      </c>
      <c r="J1102" s="3" t="s">
        <v>56</v>
      </c>
      <c r="K1102" s="3" t="s">
        <v>4434</v>
      </c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 t="s">
        <v>4435</v>
      </c>
      <c r="AL1102" s="4">
        <v>38042</v>
      </c>
      <c r="AM1102" s="3"/>
      <c r="AN1102" s="3"/>
    </row>
    <row r="1103" spans="1:40" x14ac:dyDescent="0.3">
      <c r="A1103" s="3">
        <v>1097</v>
      </c>
      <c r="B1103" s="3" t="str">
        <f>"201500163468"</f>
        <v>201500163468</v>
      </c>
      <c r="C1103" s="3">
        <v>118891</v>
      </c>
      <c r="D1103" s="3" t="s">
        <v>4436</v>
      </c>
      <c r="E1103" s="3">
        <v>10278485043</v>
      </c>
      <c r="F1103" s="3" t="s">
        <v>4437</v>
      </c>
      <c r="G1103" s="3" t="s">
        <v>4438</v>
      </c>
      <c r="H1103" s="3" t="s">
        <v>50</v>
      </c>
      <c r="I1103" s="3" t="s">
        <v>50</v>
      </c>
      <c r="J1103" s="3" t="s">
        <v>98</v>
      </c>
      <c r="K1103" s="3" t="s">
        <v>4439</v>
      </c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 t="s">
        <v>562</v>
      </c>
      <c r="AL1103" s="4">
        <v>42347</v>
      </c>
      <c r="AM1103" s="3"/>
      <c r="AN1103" s="3" t="s">
        <v>4437</v>
      </c>
    </row>
    <row r="1104" spans="1:40" x14ac:dyDescent="0.3">
      <c r="A1104" s="3">
        <v>1098</v>
      </c>
      <c r="B1104" s="3" t="str">
        <f>"1355664"</f>
        <v>1355664</v>
      </c>
      <c r="C1104" s="3">
        <v>21725</v>
      </c>
      <c r="D1104" s="3" t="s">
        <v>4440</v>
      </c>
      <c r="E1104" s="3">
        <v>10089035894</v>
      </c>
      <c r="F1104" s="3" t="s">
        <v>4441</v>
      </c>
      <c r="G1104" s="3" t="s">
        <v>4442</v>
      </c>
      <c r="H1104" s="3" t="s">
        <v>56</v>
      </c>
      <c r="I1104" s="3" t="s">
        <v>56</v>
      </c>
      <c r="J1104" s="3" t="s">
        <v>331</v>
      </c>
      <c r="K1104" s="3" t="s">
        <v>4443</v>
      </c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 t="s">
        <v>81</v>
      </c>
      <c r="AL1104" s="4">
        <v>37330</v>
      </c>
      <c r="AM1104" s="3"/>
      <c r="AN1104" s="3"/>
    </row>
    <row r="1105" spans="1:40" x14ac:dyDescent="0.3">
      <c r="A1105" s="3">
        <v>1099</v>
      </c>
      <c r="B1105" s="3" t="str">
        <f>"201200198706"</f>
        <v>201200198706</v>
      </c>
      <c r="C1105" s="3">
        <v>99071</v>
      </c>
      <c r="D1105" s="3" t="s">
        <v>4444</v>
      </c>
      <c r="E1105" s="3">
        <v>10080518051</v>
      </c>
      <c r="F1105" s="3" t="s">
        <v>4445</v>
      </c>
      <c r="G1105" s="3" t="s">
        <v>4446</v>
      </c>
      <c r="H1105" s="3" t="s">
        <v>56</v>
      </c>
      <c r="I1105" s="3" t="s">
        <v>56</v>
      </c>
      <c r="J1105" s="3" t="s">
        <v>4447</v>
      </c>
      <c r="K1105" s="3" t="s">
        <v>4448</v>
      </c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 t="s">
        <v>1626</v>
      </c>
      <c r="AL1105" s="4">
        <v>41220</v>
      </c>
      <c r="AM1105" s="3"/>
      <c r="AN1105" s="3" t="s">
        <v>4445</v>
      </c>
    </row>
    <row r="1106" spans="1:40" x14ac:dyDescent="0.3">
      <c r="A1106" s="3">
        <v>1100</v>
      </c>
      <c r="B1106" s="3" t="str">
        <f>"201600158123"</f>
        <v>201600158123</v>
      </c>
      <c r="C1106" s="3">
        <v>120287</v>
      </c>
      <c r="D1106" s="3" t="s">
        <v>4449</v>
      </c>
      <c r="E1106" s="3">
        <v>10447313991</v>
      </c>
      <c r="F1106" s="3" t="s">
        <v>4450</v>
      </c>
      <c r="G1106" s="3" t="s">
        <v>4451</v>
      </c>
      <c r="H1106" s="3" t="s">
        <v>202</v>
      </c>
      <c r="I1106" s="3" t="s">
        <v>202</v>
      </c>
      <c r="J1106" s="3" t="s">
        <v>202</v>
      </c>
      <c r="K1106" s="3" t="s">
        <v>4452</v>
      </c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 t="s">
        <v>1586</v>
      </c>
      <c r="AL1106" s="4">
        <v>42689</v>
      </c>
      <c r="AM1106" s="3"/>
      <c r="AN1106" s="3" t="s">
        <v>4450</v>
      </c>
    </row>
    <row r="1107" spans="1:40" x14ac:dyDescent="0.3">
      <c r="A1107" s="3">
        <v>1101</v>
      </c>
      <c r="B1107" s="3" t="str">
        <f>"1418416"</f>
        <v>1418416</v>
      </c>
      <c r="C1107" s="3">
        <v>35013</v>
      </c>
      <c r="D1107" s="3" t="s">
        <v>4453</v>
      </c>
      <c r="E1107" s="3">
        <v>20467282388</v>
      </c>
      <c r="F1107" s="3" t="s">
        <v>1324</v>
      </c>
      <c r="G1107" s="3" t="s">
        <v>4454</v>
      </c>
      <c r="H1107" s="3" t="s">
        <v>75</v>
      </c>
      <c r="I1107" s="3" t="s">
        <v>75</v>
      </c>
      <c r="J1107" s="3" t="s">
        <v>76</v>
      </c>
      <c r="K1107" s="3" t="s">
        <v>4455</v>
      </c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 t="s">
        <v>187</v>
      </c>
      <c r="AL1107" s="4">
        <v>37826</v>
      </c>
      <c r="AM1107" s="3"/>
      <c r="AN1107" s="3"/>
    </row>
    <row r="1108" spans="1:40" x14ac:dyDescent="0.3">
      <c r="A1108" s="3">
        <v>1102</v>
      </c>
      <c r="B1108" s="3" t="str">
        <f>"1418413"</f>
        <v>1418413</v>
      </c>
      <c r="C1108" s="3">
        <v>35019</v>
      </c>
      <c r="D1108" s="3" t="s">
        <v>4456</v>
      </c>
      <c r="E1108" s="3">
        <v>20467282388</v>
      </c>
      <c r="F1108" s="3" t="s">
        <v>1324</v>
      </c>
      <c r="G1108" s="3" t="s">
        <v>4454</v>
      </c>
      <c r="H1108" s="3" t="s">
        <v>75</v>
      </c>
      <c r="I1108" s="3" t="s">
        <v>75</v>
      </c>
      <c r="J1108" s="3" t="s">
        <v>76</v>
      </c>
      <c r="K1108" s="3" t="s">
        <v>4457</v>
      </c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 t="s">
        <v>81</v>
      </c>
      <c r="AL1108" s="4">
        <v>37826</v>
      </c>
      <c r="AM1108" s="3"/>
      <c r="AN1108" s="3"/>
    </row>
    <row r="1109" spans="1:40" x14ac:dyDescent="0.3">
      <c r="A1109" s="3">
        <v>1103</v>
      </c>
      <c r="B1109" s="3" t="str">
        <f>"1497049"</f>
        <v>1497049</v>
      </c>
      <c r="C1109" s="3">
        <v>93575</v>
      </c>
      <c r="D1109" s="3" t="s">
        <v>4458</v>
      </c>
      <c r="E1109" s="3">
        <v>10204262140</v>
      </c>
      <c r="F1109" s="3" t="s">
        <v>4459</v>
      </c>
      <c r="G1109" s="3" t="s">
        <v>4460</v>
      </c>
      <c r="H1109" s="3" t="s">
        <v>56</v>
      </c>
      <c r="I1109" s="3" t="s">
        <v>56</v>
      </c>
      <c r="J1109" s="3" t="s">
        <v>1677</v>
      </c>
      <c r="K1109" s="3" t="s">
        <v>4461</v>
      </c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 t="s">
        <v>2276</v>
      </c>
      <c r="AL1109" s="3" t="s">
        <v>290</v>
      </c>
      <c r="AM1109" s="3"/>
      <c r="AN1109" s="3" t="s">
        <v>4459</v>
      </c>
    </row>
    <row r="1110" spans="1:40" x14ac:dyDescent="0.3">
      <c r="A1110" s="3">
        <v>1104</v>
      </c>
      <c r="B1110" s="3" t="str">
        <f>"202000077340"</f>
        <v>202000077340</v>
      </c>
      <c r="C1110" s="3">
        <v>149895</v>
      </c>
      <c r="D1110" s="3" t="s">
        <v>4462</v>
      </c>
      <c r="E1110" s="3">
        <v>10720295658</v>
      </c>
      <c r="F1110" s="3" t="s">
        <v>4463</v>
      </c>
      <c r="G1110" s="3" t="s">
        <v>4464</v>
      </c>
      <c r="H1110" s="3" t="s">
        <v>97</v>
      </c>
      <c r="I1110" s="3" t="s">
        <v>97</v>
      </c>
      <c r="J1110" s="3" t="s">
        <v>2064</v>
      </c>
      <c r="K1110" s="3" t="s">
        <v>4465</v>
      </c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 t="s">
        <v>2484</v>
      </c>
      <c r="AL1110" s="4">
        <v>44021</v>
      </c>
      <c r="AM1110" s="3"/>
      <c r="AN1110" s="3" t="s">
        <v>4466</v>
      </c>
    </row>
    <row r="1111" spans="1:40" x14ac:dyDescent="0.3">
      <c r="A1111" s="3">
        <v>1105</v>
      </c>
      <c r="B1111" s="3" t="str">
        <f>"1411319"</f>
        <v>1411319</v>
      </c>
      <c r="C1111" s="3">
        <v>61302</v>
      </c>
      <c r="D1111" s="3" t="s">
        <v>4467</v>
      </c>
      <c r="E1111" s="3">
        <v>10296399286</v>
      </c>
      <c r="F1111" s="3" t="s">
        <v>4468</v>
      </c>
      <c r="G1111" s="3" t="s">
        <v>4469</v>
      </c>
      <c r="H1111" s="3" t="s">
        <v>97</v>
      </c>
      <c r="I1111" s="3" t="s">
        <v>97</v>
      </c>
      <c r="J1111" s="3" t="s">
        <v>970</v>
      </c>
      <c r="K1111" s="3" t="s">
        <v>4470</v>
      </c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 t="s">
        <v>546</v>
      </c>
      <c r="AL1111" s="4">
        <v>40437</v>
      </c>
      <c r="AM1111" s="3"/>
      <c r="AN1111" s="3" t="s">
        <v>4468</v>
      </c>
    </row>
    <row r="1112" spans="1:40" x14ac:dyDescent="0.3">
      <c r="A1112" s="3">
        <v>1106</v>
      </c>
      <c r="B1112" s="3" t="str">
        <f>"201500051428"</f>
        <v>201500051428</v>
      </c>
      <c r="C1112" s="3">
        <v>101253</v>
      </c>
      <c r="D1112" s="3" t="s">
        <v>4471</v>
      </c>
      <c r="E1112" s="3">
        <v>20102314698</v>
      </c>
      <c r="F1112" s="3" t="s">
        <v>1185</v>
      </c>
      <c r="G1112" s="3" t="s">
        <v>4472</v>
      </c>
      <c r="H1112" s="3" t="s">
        <v>50</v>
      </c>
      <c r="I1112" s="3" t="s">
        <v>50</v>
      </c>
      <c r="J1112" s="3" t="s">
        <v>50</v>
      </c>
      <c r="K1112" s="3" t="s">
        <v>4473</v>
      </c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 t="s">
        <v>4474</v>
      </c>
      <c r="AL1112" s="4">
        <v>42121</v>
      </c>
      <c r="AM1112" s="3"/>
      <c r="AN1112" s="3" t="s">
        <v>1189</v>
      </c>
    </row>
    <row r="1113" spans="1:40" x14ac:dyDescent="0.3">
      <c r="A1113" s="3">
        <v>1107</v>
      </c>
      <c r="B1113" s="3" t="str">
        <f>"201900202789"</f>
        <v>201900202789</v>
      </c>
      <c r="C1113" s="3">
        <v>148185</v>
      </c>
      <c r="D1113" s="3" t="s">
        <v>4475</v>
      </c>
      <c r="E1113" s="3">
        <v>10469693461</v>
      </c>
      <c r="F1113" s="3" t="s">
        <v>4476</v>
      </c>
      <c r="G1113" s="3" t="s">
        <v>4477</v>
      </c>
      <c r="H1113" s="3" t="s">
        <v>97</v>
      </c>
      <c r="I1113" s="3" t="s">
        <v>97</v>
      </c>
      <c r="J1113" s="3" t="s">
        <v>970</v>
      </c>
      <c r="K1113" s="3" t="s">
        <v>4478</v>
      </c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 t="s">
        <v>4479</v>
      </c>
      <c r="AL1113" s="4">
        <v>43805</v>
      </c>
      <c r="AM1113" s="3"/>
      <c r="AN1113" s="3" t="s">
        <v>4476</v>
      </c>
    </row>
    <row r="1114" spans="1:40" x14ac:dyDescent="0.3">
      <c r="A1114" s="3">
        <v>1108</v>
      </c>
      <c r="B1114" s="3" t="str">
        <f>"1522890"</f>
        <v>1522890</v>
      </c>
      <c r="C1114" s="3">
        <v>40463</v>
      </c>
      <c r="D1114" s="3" t="s">
        <v>4480</v>
      </c>
      <c r="E1114" s="3">
        <v>20121837634</v>
      </c>
      <c r="F1114" s="3" t="s">
        <v>866</v>
      </c>
      <c r="G1114" s="3" t="s">
        <v>3759</v>
      </c>
      <c r="H1114" s="3" t="s">
        <v>237</v>
      </c>
      <c r="I1114" s="3" t="s">
        <v>868</v>
      </c>
      <c r="J1114" s="3" t="s">
        <v>869</v>
      </c>
      <c r="K1114" s="3" t="s">
        <v>4481</v>
      </c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 t="s">
        <v>4482</v>
      </c>
      <c r="AL1114" s="4">
        <v>38399</v>
      </c>
      <c r="AM1114" s="3"/>
      <c r="AN1114" s="3"/>
    </row>
    <row r="1115" spans="1:40" ht="27.95" x14ac:dyDescent="0.3">
      <c r="A1115" s="3">
        <v>1109</v>
      </c>
      <c r="B1115" s="3" t="str">
        <f>"1585703"</f>
        <v>1585703</v>
      </c>
      <c r="C1115" s="3">
        <v>84244</v>
      </c>
      <c r="D1115" s="3" t="s">
        <v>4483</v>
      </c>
      <c r="E1115" s="3">
        <v>10336680196</v>
      </c>
      <c r="F1115" s="3" t="s">
        <v>4484</v>
      </c>
      <c r="G1115" s="3" t="s">
        <v>4485</v>
      </c>
      <c r="H1115" s="3" t="s">
        <v>318</v>
      </c>
      <c r="I1115" s="3" t="s">
        <v>319</v>
      </c>
      <c r="J1115" s="3" t="s">
        <v>495</v>
      </c>
      <c r="K1115" s="3" t="s">
        <v>4486</v>
      </c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 t="s">
        <v>306</v>
      </c>
      <c r="AL1115" s="4">
        <v>38728</v>
      </c>
      <c r="AM1115" s="3"/>
      <c r="AN1115" s="3"/>
    </row>
    <row r="1116" spans="1:40" x14ac:dyDescent="0.3">
      <c r="A1116" s="3">
        <v>1110</v>
      </c>
      <c r="B1116" s="3" t="str">
        <f>"201300141469"</f>
        <v>201300141469</v>
      </c>
      <c r="C1116" s="3">
        <v>104480</v>
      </c>
      <c r="D1116" s="3" t="s">
        <v>4487</v>
      </c>
      <c r="E1116" s="3">
        <v>20543992942</v>
      </c>
      <c r="F1116" s="3" t="s">
        <v>540</v>
      </c>
      <c r="G1116" s="3" t="s">
        <v>4488</v>
      </c>
      <c r="H1116" s="3" t="s">
        <v>56</v>
      </c>
      <c r="I1116" s="3" t="s">
        <v>56</v>
      </c>
      <c r="J1116" s="3" t="s">
        <v>57</v>
      </c>
      <c r="K1116" s="3" t="s">
        <v>4489</v>
      </c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 t="s">
        <v>157</v>
      </c>
      <c r="AL1116" s="4">
        <v>41523</v>
      </c>
      <c r="AM1116" s="3"/>
      <c r="AN1116" s="3" t="s">
        <v>543</v>
      </c>
    </row>
    <row r="1117" spans="1:40" x14ac:dyDescent="0.3">
      <c r="A1117" s="3">
        <v>1111</v>
      </c>
      <c r="B1117" s="3" t="str">
        <f>"202000077338"</f>
        <v>202000077338</v>
      </c>
      <c r="C1117" s="3">
        <v>149894</v>
      </c>
      <c r="D1117" s="3" t="s">
        <v>4490</v>
      </c>
      <c r="E1117" s="3">
        <v>10720295658</v>
      </c>
      <c r="F1117" s="3" t="s">
        <v>4463</v>
      </c>
      <c r="G1117" s="3" t="s">
        <v>4464</v>
      </c>
      <c r="H1117" s="3" t="s">
        <v>97</v>
      </c>
      <c r="I1117" s="3" t="s">
        <v>97</v>
      </c>
      <c r="J1117" s="3" t="s">
        <v>2064</v>
      </c>
      <c r="K1117" s="3" t="s">
        <v>4491</v>
      </c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 t="s">
        <v>2597</v>
      </c>
      <c r="AL1117" s="4">
        <v>44021</v>
      </c>
      <c r="AM1117" s="3"/>
      <c r="AN1117" s="3" t="s">
        <v>4463</v>
      </c>
    </row>
    <row r="1118" spans="1:40" x14ac:dyDescent="0.3">
      <c r="A1118" s="3">
        <v>1112</v>
      </c>
      <c r="B1118" s="3" t="str">
        <f>"1522891"</f>
        <v>1522891</v>
      </c>
      <c r="C1118" s="3">
        <v>40440</v>
      </c>
      <c r="D1118" s="3" t="s">
        <v>4492</v>
      </c>
      <c r="E1118" s="3">
        <v>20121837634</v>
      </c>
      <c r="F1118" s="3" t="s">
        <v>866</v>
      </c>
      <c r="G1118" s="3" t="s">
        <v>3759</v>
      </c>
      <c r="H1118" s="3" t="s">
        <v>237</v>
      </c>
      <c r="I1118" s="3" t="s">
        <v>868</v>
      </c>
      <c r="J1118" s="3" t="s">
        <v>869</v>
      </c>
      <c r="K1118" s="3" t="s">
        <v>4493</v>
      </c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 t="s">
        <v>4482</v>
      </c>
      <c r="AL1118" s="4">
        <v>38399</v>
      </c>
      <c r="AM1118" s="3"/>
      <c r="AN1118" s="3"/>
    </row>
    <row r="1119" spans="1:40" ht="27.95" x14ac:dyDescent="0.3">
      <c r="A1119" s="3">
        <v>1113</v>
      </c>
      <c r="B1119" s="3" t="str">
        <f>"201600051905"</f>
        <v>201600051905</v>
      </c>
      <c r="C1119" s="3">
        <v>112434</v>
      </c>
      <c r="D1119" s="3" t="s">
        <v>4494</v>
      </c>
      <c r="E1119" s="3">
        <v>20160364719</v>
      </c>
      <c r="F1119" s="3" t="s">
        <v>129</v>
      </c>
      <c r="G1119" s="3" t="s">
        <v>4495</v>
      </c>
      <c r="H1119" s="3" t="s">
        <v>56</v>
      </c>
      <c r="I1119" s="3" t="s">
        <v>56</v>
      </c>
      <c r="J1119" s="3" t="s">
        <v>131</v>
      </c>
      <c r="K1119" s="3" t="s">
        <v>2168</v>
      </c>
      <c r="L1119" s="3" t="s">
        <v>4496</v>
      </c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 t="s">
        <v>139</v>
      </c>
      <c r="AL1119" s="4">
        <v>42487</v>
      </c>
      <c r="AM1119" s="3"/>
      <c r="AN1119" s="3" t="s">
        <v>140</v>
      </c>
    </row>
    <row r="1120" spans="1:40" x14ac:dyDescent="0.3">
      <c r="A1120" s="3">
        <v>1114</v>
      </c>
      <c r="B1120" s="3" t="str">
        <f>"201900111344"</f>
        <v>201900111344</v>
      </c>
      <c r="C1120" s="3">
        <v>45173</v>
      </c>
      <c r="D1120" s="3" t="s">
        <v>4497</v>
      </c>
      <c r="E1120" s="3">
        <v>20601267412</v>
      </c>
      <c r="F1120" s="3" t="s">
        <v>4498</v>
      </c>
      <c r="G1120" s="3" t="s">
        <v>4499</v>
      </c>
      <c r="H1120" s="3" t="s">
        <v>237</v>
      </c>
      <c r="I1120" s="3" t="s">
        <v>868</v>
      </c>
      <c r="J1120" s="3" t="s">
        <v>2537</v>
      </c>
      <c r="K1120" s="3" t="s">
        <v>4500</v>
      </c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 t="s">
        <v>4501</v>
      </c>
      <c r="AL1120" s="4">
        <v>43662</v>
      </c>
      <c r="AM1120" s="3"/>
      <c r="AN1120" s="3" t="s">
        <v>4502</v>
      </c>
    </row>
    <row r="1121" spans="1:40" x14ac:dyDescent="0.3">
      <c r="A1121" s="3">
        <v>1115</v>
      </c>
      <c r="B1121" s="3" t="str">
        <f>"201900082324"</f>
        <v>201900082324</v>
      </c>
      <c r="C1121" s="3">
        <v>128385</v>
      </c>
      <c r="D1121" s="3" t="s">
        <v>4503</v>
      </c>
      <c r="E1121" s="3">
        <v>10010270362</v>
      </c>
      <c r="F1121" s="3" t="s">
        <v>4504</v>
      </c>
      <c r="G1121" s="3" t="s">
        <v>4505</v>
      </c>
      <c r="H1121" s="3" t="s">
        <v>172</v>
      </c>
      <c r="I1121" s="3" t="s">
        <v>4506</v>
      </c>
      <c r="J1121" s="3" t="s">
        <v>4506</v>
      </c>
      <c r="K1121" s="3" t="s">
        <v>4507</v>
      </c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 t="s">
        <v>4508</v>
      </c>
      <c r="AL1121" s="4">
        <v>43609</v>
      </c>
      <c r="AM1121" s="3"/>
      <c r="AN1121" s="3" t="s">
        <v>4504</v>
      </c>
    </row>
    <row r="1122" spans="1:40" x14ac:dyDescent="0.3">
      <c r="A1122" s="3">
        <v>1116</v>
      </c>
      <c r="B1122" s="3" t="str">
        <f>"201400072112"</f>
        <v>201400072112</v>
      </c>
      <c r="C1122" s="3">
        <v>109844</v>
      </c>
      <c r="D1122" s="3" t="s">
        <v>4509</v>
      </c>
      <c r="E1122" s="3">
        <v>20539524888</v>
      </c>
      <c r="F1122" s="3" t="s">
        <v>4510</v>
      </c>
      <c r="G1122" s="3" t="s">
        <v>4511</v>
      </c>
      <c r="H1122" s="3" t="s">
        <v>97</v>
      </c>
      <c r="I1122" s="3" t="s">
        <v>97</v>
      </c>
      <c r="J1122" s="3" t="s">
        <v>705</v>
      </c>
      <c r="K1122" s="3" t="s">
        <v>4512</v>
      </c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 t="s">
        <v>562</v>
      </c>
      <c r="AL1122" s="4">
        <v>41803</v>
      </c>
      <c r="AM1122" s="3"/>
      <c r="AN1122" s="3" t="s">
        <v>4513</v>
      </c>
    </row>
    <row r="1123" spans="1:40" x14ac:dyDescent="0.3">
      <c r="A1123" s="3">
        <v>1117</v>
      </c>
      <c r="B1123" s="3" t="str">
        <f>"201500138798"</f>
        <v>201500138798</v>
      </c>
      <c r="C1123" s="3">
        <v>86577</v>
      </c>
      <c r="D1123" s="3" t="s">
        <v>4514</v>
      </c>
      <c r="E1123" s="3">
        <v>10292544419</v>
      </c>
      <c r="F1123" s="3" t="s">
        <v>4515</v>
      </c>
      <c r="G1123" s="3" t="s">
        <v>4516</v>
      </c>
      <c r="H1123" s="3" t="s">
        <v>97</v>
      </c>
      <c r="I1123" s="3" t="s">
        <v>97</v>
      </c>
      <c r="J1123" s="3" t="s">
        <v>144</v>
      </c>
      <c r="K1123" s="3" t="s">
        <v>4517</v>
      </c>
      <c r="L1123" s="3" t="s">
        <v>4518</v>
      </c>
      <c r="M1123" s="3" t="s">
        <v>4519</v>
      </c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 t="s">
        <v>150</v>
      </c>
      <c r="AL1123" s="4">
        <v>42314</v>
      </c>
      <c r="AM1123" s="3"/>
      <c r="AN1123" s="3" t="s">
        <v>4515</v>
      </c>
    </row>
    <row r="1124" spans="1:40" x14ac:dyDescent="0.3">
      <c r="A1124" s="3">
        <v>1118</v>
      </c>
      <c r="B1124" s="3" t="str">
        <f>"1123637"</f>
        <v>1123637</v>
      </c>
      <c r="C1124" s="3">
        <v>2799</v>
      </c>
      <c r="D1124" s="3" t="s">
        <v>4520</v>
      </c>
      <c r="E1124" s="3">
        <v>10257198222</v>
      </c>
      <c r="F1124" s="3" t="s">
        <v>4521</v>
      </c>
      <c r="G1124" s="3" t="s">
        <v>4522</v>
      </c>
      <c r="H1124" s="3" t="s">
        <v>56</v>
      </c>
      <c r="I1124" s="3" t="s">
        <v>56</v>
      </c>
      <c r="J1124" s="3" t="s">
        <v>1339</v>
      </c>
      <c r="K1124" s="3" t="s">
        <v>4523</v>
      </c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 t="s">
        <v>634</v>
      </c>
      <c r="AL1124" s="4">
        <v>36907</v>
      </c>
      <c r="AM1124" s="3"/>
      <c r="AN1124" s="3"/>
    </row>
    <row r="1125" spans="1:40" ht="27.95" x14ac:dyDescent="0.3">
      <c r="A1125" s="3">
        <v>1119</v>
      </c>
      <c r="B1125" s="3" t="str">
        <f>"201700062887"</f>
        <v>201700062887</v>
      </c>
      <c r="C1125" s="3">
        <v>128155</v>
      </c>
      <c r="D1125" s="3" t="s">
        <v>4524</v>
      </c>
      <c r="E1125" s="3">
        <v>20456291393</v>
      </c>
      <c r="F1125" s="3" t="s">
        <v>4231</v>
      </c>
      <c r="G1125" s="3" t="s">
        <v>4525</v>
      </c>
      <c r="H1125" s="3" t="s">
        <v>97</v>
      </c>
      <c r="I1125" s="3" t="s">
        <v>1436</v>
      </c>
      <c r="J1125" s="3" t="s">
        <v>1437</v>
      </c>
      <c r="K1125" s="3" t="s">
        <v>4526</v>
      </c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 t="s">
        <v>1626</v>
      </c>
      <c r="AL1125" s="4">
        <v>42857</v>
      </c>
      <c r="AM1125" s="3"/>
      <c r="AN1125" s="3" t="s">
        <v>4527</v>
      </c>
    </row>
    <row r="1126" spans="1:40" x14ac:dyDescent="0.3">
      <c r="A1126" s="3">
        <v>1120</v>
      </c>
      <c r="B1126" s="3" t="str">
        <f>"1849236"</f>
        <v>1849236</v>
      </c>
      <c r="C1126" s="3">
        <v>63083</v>
      </c>
      <c r="D1126" s="3" t="s">
        <v>4528</v>
      </c>
      <c r="E1126" s="3">
        <v>10295761241</v>
      </c>
      <c r="F1126" s="3" t="s">
        <v>4529</v>
      </c>
      <c r="G1126" s="3" t="s">
        <v>4530</v>
      </c>
      <c r="H1126" s="3" t="s">
        <v>97</v>
      </c>
      <c r="I1126" s="3" t="s">
        <v>97</v>
      </c>
      <c r="J1126" s="3" t="s">
        <v>341</v>
      </c>
      <c r="K1126" s="3" t="s">
        <v>4531</v>
      </c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 t="s">
        <v>4482</v>
      </c>
      <c r="AL1126" s="4">
        <v>39800</v>
      </c>
      <c r="AM1126" s="3"/>
      <c r="AN1126" s="3"/>
    </row>
    <row r="1127" spans="1:40" x14ac:dyDescent="0.3">
      <c r="A1127" s="3">
        <v>1121</v>
      </c>
      <c r="B1127" s="3" t="str">
        <f>"1374069"</f>
        <v>1374069</v>
      </c>
      <c r="C1127" s="3">
        <v>87515</v>
      </c>
      <c r="D1127" s="3" t="s">
        <v>4532</v>
      </c>
      <c r="E1127" s="3">
        <v>20483940433</v>
      </c>
      <c r="F1127" s="3" t="s">
        <v>4533</v>
      </c>
      <c r="G1127" s="3" t="s">
        <v>4534</v>
      </c>
      <c r="H1127" s="3" t="s">
        <v>50</v>
      </c>
      <c r="I1127" s="3" t="s">
        <v>638</v>
      </c>
      <c r="J1127" s="3" t="s">
        <v>639</v>
      </c>
      <c r="K1127" s="3" t="s">
        <v>4535</v>
      </c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 t="s">
        <v>2098</v>
      </c>
      <c r="AL1127" s="4">
        <v>40361</v>
      </c>
      <c r="AM1127" s="3"/>
      <c r="AN1127" s="3" t="s">
        <v>4536</v>
      </c>
    </row>
    <row r="1128" spans="1:40" x14ac:dyDescent="0.3">
      <c r="A1128" s="3">
        <v>1122</v>
      </c>
      <c r="B1128" s="3" t="str">
        <f>"201400091058"</f>
        <v>201400091058</v>
      </c>
      <c r="C1128" s="3">
        <v>82495</v>
      </c>
      <c r="D1128" s="3" t="s">
        <v>4537</v>
      </c>
      <c r="E1128" s="3">
        <v>20507840613</v>
      </c>
      <c r="F1128" s="3" t="s">
        <v>298</v>
      </c>
      <c r="G1128" s="3" t="s">
        <v>4538</v>
      </c>
      <c r="H1128" s="3" t="s">
        <v>56</v>
      </c>
      <c r="I1128" s="3" t="s">
        <v>56</v>
      </c>
      <c r="J1128" s="3" t="s">
        <v>57</v>
      </c>
      <c r="K1128" s="3" t="s">
        <v>4539</v>
      </c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 t="s">
        <v>4540</v>
      </c>
      <c r="AL1128" s="4">
        <v>41835</v>
      </c>
      <c r="AM1128" s="3"/>
      <c r="AN1128" s="3" t="s">
        <v>60</v>
      </c>
    </row>
    <row r="1129" spans="1:40" x14ac:dyDescent="0.3">
      <c r="A1129" s="3">
        <v>1123</v>
      </c>
      <c r="B1129" s="3" t="str">
        <f>"1380944"</f>
        <v>1380944</v>
      </c>
      <c r="C1129" s="3">
        <v>61074</v>
      </c>
      <c r="D1129" s="3" t="s">
        <v>4541</v>
      </c>
      <c r="E1129" s="3">
        <v>20507840613</v>
      </c>
      <c r="F1129" s="3" t="s">
        <v>298</v>
      </c>
      <c r="G1129" s="3" t="s">
        <v>4542</v>
      </c>
      <c r="H1129" s="3" t="s">
        <v>56</v>
      </c>
      <c r="I1129" s="3" t="s">
        <v>56</v>
      </c>
      <c r="J1129" s="3" t="s">
        <v>57</v>
      </c>
      <c r="K1129" s="3" t="s">
        <v>4543</v>
      </c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 t="s">
        <v>187</v>
      </c>
      <c r="AL1129" s="4">
        <v>40378</v>
      </c>
      <c r="AM1129" s="3"/>
      <c r="AN1129" s="3" t="s">
        <v>60</v>
      </c>
    </row>
    <row r="1130" spans="1:40" x14ac:dyDescent="0.3">
      <c r="A1130" s="3">
        <v>1124</v>
      </c>
      <c r="B1130" s="3" t="str">
        <f>"1522883"</f>
        <v>1522883</v>
      </c>
      <c r="C1130" s="3">
        <v>37577</v>
      </c>
      <c r="D1130" s="3" t="s">
        <v>4544</v>
      </c>
      <c r="E1130" s="3">
        <v>20443435680</v>
      </c>
      <c r="F1130" s="3" t="s">
        <v>3872</v>
      </c>
      <c r="G1130" s="3" t="s">
        <v>4545</v>
      </c>
      <c r="H1130" s="3" t="s">
        <v>75</v>
      </c>
      <c r="I1130" s="3" t="s">
        <v>75</v>
      </c>
      <c r="J1130" s="3" t="s">
        <v>3874</v>
      </c>
      <c r="K1130" s="3" t="s">
        <v>4546</v>
      </c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 t="s">
        <v>4547</v>
      </c>
      <c r="AL1130" s="4">
        <v>38413</v>
      </c>
      <c r="AM1130" s="3"/>
      <c r="AN1130" s="3"/>
    </row>
    <row r="1131" spans="1:40" x14ac:dyDescent="0.3">
      <c r="A1131" s="3">
        <v>1125</v>
      </c>
      <c r="B1131" s="3" t="str">
        <f>"201400079730"</f>
        <v>201400079730</v>
      </c>
      <c r="C1131" s="3">
        <v>103831</v>
      </c>
      <c r="D1131" s="3" t="s">
        <v>4548</v>
      </c>
      <c r="E1131" s="3">
        <v>20509227668</v>
      </c>
      <c r="F1131" s="3" t="s">
        <v>4382</v>
      </c>
      <c r="G1131" s="3" t="s">
        <v>451</v>
      </c>
      <c r="H1131" s="3" t="s">
        <v>56</v>
      </c>
      <c r="I1131" s="3" t="s">
        <v>56</v>
      </c>
      <c r="J1131" s="3" t="s">
        <v>185</v>
      </c>
      <c r="K1131" s="3" t="s">
        <v>4549</v>
      </c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 t="s">
        <v>118</v>
      </c>
      <c r="AL1131" s="4">
        <v>41817</v>
      </c>
      <c r="AM1131" s="3"/>
      <c r="AN1131" s="3" t="s">
        <v>4384</v>
      </c>
    </row>
    <row r="1132" spans="1:40" x14ac:dyDescent="0.3">
      <c r="A1132" s="3">
        <v>1126</v>
      </c>
      <c r="B1132" s="3" t="str">
        <f>"1507720"</f>
        <v>1507720</v>
      </c>
      <c r="C1132" s="3">
        <v>93307</v>
      </c>
      <c r="D1132" s="3" t="s">
        <v>4550</v>
      </c>
      <c r="E1132" s="3">
        <v>10104805031</v>
      </c>
      <c r="F1132" s="3" t="s">
        <v>4551</v>
      </c>
      <c r="G1132" s="3" t="s">
        <v>4552</v>
      </c>
      <c r="H1132" s="3" t="s">
        <v>56</v>
      </c>
      <c r="I1132" s="3" t="s">
        <v>56</v>
      </c>
      <c r="J1132" s="3" t="s">
        <v>331</v>
      </c>
      <c r="K1132" s="3" t="s">
        <v>4553</v>
      </c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 t="s">
        <v>157</v>
      </c>
      <c r="AL1132" s="4">
        <v>40841</v>
      </c>
      <c r="AM1132" s="3"/>
      <c r="AN1132" s="3" t="s">
        <v>4551</v>
      </c>
    </row>
    <row r="1133" spans="1:40" x14ac:dyDescent="0.3">
      <c r="A1133" s="3">
        <v>1127</v>
      </c>
      <c r="B1133" s="3" t="str">
        <f>"201900067713"</f>
        <v>201900067713</v>
      </c>
      <c r="C1133" s="3">
        <v>142849</v>
      </c>
      <c r="D1133" s="3" t="s">
        <v>4554</v>
      </c>
      <c r="E1133" s="3">
        <v>10308587261</v>
      </c>
      <c r="F1133" s="3" t="s">
        <v>4555</v>
      </c>
      <c r="G1133" s="3" t="s">
        <v>4556</v>
      </c>
      <c r="H1133" s="3" t="s">
        <v>97</v>
      </c>
      <c r="I1133" s="3" t="s">
        <v>97</v>
      </c>
      <c r="J1133" s="3" t="s">
        <v>144</v>
      </c>
      <c r="K1133" s="3" t="s">
        <v>4557</v>
      </c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 t="s">
        <v>768</v>
      </c>
      <c r="AL1133" s="4">
        <v>43588</v>
      </c>
      <c r="AM1133" s="3"/>
      <c r="AN1133" s="3" t="s">
        <v>4555</v>
      </c>
    </row>
    <row r="1134" spans="1:40" x14ac:dyDescent="0.3">
      <c r="A1134" s="3">
        <v>1128</v>
      </c>
      <c r="B1134" s="3" t="str">
        <f>"1411324"</f>
        <v>1411324</v>
      </c>
      <c r="C1134" s="3">
        <v>37704</v>
      </c>
      <c r="D1134" s="3" t="s">
        <v>4558</v>
      </c>
      <c r="E1134" s="3">
        <v>10296399286</v>
      </c>
      <c r="F1134" s="3" t="s">
        <v>4468</v>
      </c>
      <c r="G1134" s="3" t="s">
        <v>4559</v>
      </c>
      <c r="H1134" s="3" t="s">
        <v>97</v>
      </c>
      <c r="I1134" s="3" t="s">
        <v>97</v>
      </c>
      <c r="J1134" s="3" t="s">
        <v>705</v>
      </c>
      <c r="K1134" s="3" t="s">
        <v>4560</v>
      </c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 t="s">
        <v>1425</v>
      </c>
      <c r="AL1134" s="4">
        <v>40437</v>
      </c>
      <c r="AM1134" s="3"/>
      <c r="AN1134" s="3" t="s">
        <v>4468</v>
      </c>
    </row>
    <row r="1135" spans="1:40" x14ac:dyDescent="0.3">
      <c r="A1135" s="3">
        <v>1129</v>
      </c>
      <c r="B1135" s="3" t="str">
        <f>"1839061"</f>
        <v>1839061</v>
      </c>
      <c r="C1135" s="3">
        <v>45385</v>
      </c>
      <c r="D1135" s="3" t="s">
        <v>4561</v>
      </c>
      <c r="E1135" s="3">
        <v>10020365647</v>
      </c>
      <c r="F1135" s="3" t="s">
        <v>4562</v>
      </c>
      <c r="G1135" s="3" t="s">
        <v>4563</v>
      </c>
      <c r="H1135" s="3" t="s">
        <v>446</v>
      </c>
      <c r="I1135" s="3" t="s">
        <v>446</v>
      </c>
      <c r="J1135" s="3" t="s">
        <v>830</v>
      </c>
      <c r="K1135" s="3" t="s">
        <v>4564</v>
      </c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 t="s">
        <v>81</v>
      </c>
      <c r="AL1135" s="4">
        <v>39770</v>
      </c>
      <c r="AM1135" s="3"/>
      <c r="AN1135" s="3"/>
    </row>
    <row r="1136" spans="1:40" x14ac:dyDescent="0.3">
      <c r="A1136" s="3">
        <v>1130</v>
      </c>
      <c r="B1136" s="3" t="str">
        <f>"1607012"</f>
        <v>1607012</v>
      </c>
      <c r="C1136" s="3">
        <v>38325</v>
      </c>
      <c r="D1136" s="3" t="s">
        <v>4565</v>
      </c>
      <c r="E1136" s="3">
        <v>20508790202</v>
      </c>
      <c r="F1136" s="3" t="s">
        <v>4566</v>
      </c>
      <c r="G1136" s="3" t="s">
        <v>4567</v>
      </c>
      <c r="H1136" s="3" t="s">
        <v>56</v>
      </c>
      <c r="I1136" s="3" t="s">
        <v>56</v>
      </c>
      <c r="J1136" s="3" t="s">
        <v>313</v>
      </c>
      <c r="K1136" s="3" t="s">
        <v>4568</v>
      </c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 t="s">
        <v>187</v>
      </c>
      <c r="AL1136" s="4">
        <v>38860</v>
      </c>
      <c r="AM1136" s="3"/>
      <c r="AN1136" s="3"/>
    </row>
    <row r="1137" spans="1:40" x14ac:dyDescent="0.3">
      <c r="A1137" s="3">
        <v>1131</v>
      </c>
      <c r="B1137" s="3" t="str">
        <f>"201300141475"</f>
        <v>201300141475</v>
      </c>
      <c r="C1137" s="3">
        <v>86894</v>
      </c>
      <c r="D1137" s="3" t="s">
        <v>4569</v>
      </c>
      <c r="E1137" s="3">
        <v>20543992942</v>
      </c>
      <c r="F1137" s="3" t="s">
        <v>540</v>
      </c>
      <c r="G1137" s="3" t="s">
        <v>4488</v>
      </c>
      <c r="H1137" s="3" t="s">
        <v>56</v>
      </c>
      <c r="I1137" s="3" t="s">
        <v>56</v>
      </c>
      <c r="J1137" s="3" t="s">
        <v>57</v>
      </c>
      <c r="K1137" s="3" t="s">
        <v>4570</v>
      </c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 t="s">
        <v>59</v>
      </c>
      <c r="AL1137" s="4">
        <v>41523</v>
      </c>
      <c r="AM1137" s="3"/>
      <c r="AN1137" s="3" t="s">
        <v>543</v>
      </c>
    </row>
    <row r="1138" spans="1:40" x14ac:dyDescent="0.3">
      <c r="A1138" s="3">
        <v>1132</v>
      </c>
      <c r="B1138" s="3" t="str">
        <f>"201700078778"</f>
        <v>201700078778</v>
      </c>
      <c r="C1138" s="3">
        <v>96269</v>
      </c>
      <c r="D1138" s="3" t="s">
        <v>4571</v>
      </c>
      <c r="E1138" s="3">
        <v>10441182720</v>
      </c>
      <c r="F1138" s="3" t="s">
        <v>4572</v>
      </c>
      <c r="G1138" s="3" t="s">
        <v>4573</v>
      </c>
      <c r="H1138" s="3" t="s">
        <v>446</v>
      </c>
      <c r="I1138" s="3" t="s">
        <v>446</v>
      </c>
      <c r="J1138" s="3" t="s">
        <v>446</v>
      </c>
      <c r="K1138" s="3" t="s">
        <v>4574</v>
      </c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 t="s">
        <v>162</v>
      </c>
      <c r="AL1138" s="4">
        <v>42907</v>
      </c>
      <c r="AM1138" s="3"/>
      <c r="AN1138" s="3" t="s">
        <v>4572</v>
      </c>
    </row>
    <row r="1139" spans="1:40" ht="27.95" x14ac:dyDescent="0.3">
      <c r="A1139" s="3">
        <v>1133</v>
      </c>
      <c r="B1139" s="3" t="str">
        <f>"201800171469"</f>
        <v>201800171469</v>
      </c>
      <c r="C1139" s="3">
        <v>139139</v>
      </c>
      <c r="D1139" s="3" t="s">
        <v>4575</v>
      </c>
      <c r="E1139" s="3">
        <v>20525521509</v>
      </c>
      <c r="F1139" s="3" t="s">
        <v>189</v>
      </c>
      <c r="G1139" s="3" t="s">
        <v>815</v>
      </c>
      <c r="H1139" s="3" t="s">
        <v>50</v>
      </c>
      <c r="I1139" s="3" t="s">
        <v>50</v>
      </c>
      <c r="J1139" s="3" t="s">
        <v>50</v>
      </c>
      <c r="K1139" s="3" t="s">
        <v>4576</v>
      </c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 t="s">
        <v>602</v>
      </c>
      <c r="AL1139" s="4">
        <v>43395</v>
      </c>
      <c r="AM1139" s="3"/>
      <c r="AN1139" s="3" t="s">
        <v>817</v>
      </c>
    </row>
    <row r="1140" spans="1:40" x14ac:dyDescent="0.3">
      <c r="A1140" s="3">
        <v>1134</v>
      </c>
      <c r="B1140" s="3" t="str">
        <f>"1115995"</f>
        <v>1115995</v>
      </c>
      <c r="C1140" s="3">
        <v>3570</v>
      </c>
      <c r="D1140" s="3">
        <v>1115995</v>
      </c>
      <c r="E1140" s="3">
        <v>10073755439</v>
      </c>
      <c r="F1140" s="3" t="s">
        <v>4577</v>
      </c>
      <c r="G1140" s="3" t="s">
        <v>4578</v>
      </c>
      <c r="H1140" s="3" t="s">
        <v>56</v>
      </c>
      <c r="I1140" s="3" t="s">
        <v>56</v>
      </c>
      <c r="J1140" s="3" t="s">
        <v>313</v>
      </c>
      <c r="K1140" s="3" t="s">
        <v>4579</v>
      </c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 t="s">
        <v>906</v>
      </c>
      <c r="AL1140" s="4">
        <v>35521</v>
      </c>
      <c r="AM1140" s="3"/>
      <c r="AN1140" s="3"/>
    </row>
    <row r="1141" spans="1:40" x14ac:dyDescent="0.3">
      <c r="A1141" s="3">
        <v>1135</v>
      </c>
      <c r="B1141" s="3" t="str">
        <f>"1585713"</f>
        <v>1585713</v>
      </c>
      <c r="C1141" s="3">
        <v>42301</v>
      </c>
      <c r="D1141" s="3" t="s">
        <v>4580</v>
      </c>
      <c r="E1141" s="3">
        <v>10210966744</v>
      </c>
      <c r="F1141" s="3" t="s">
        <v>4581</v>
      </c>
      <c r="G1141" s="3" t="s">
        <v>4582</v>
      </c>
      <c r="H1141" s="3" t="s">
        <v>56</v>
      </c>
      <c r="I1141" s="3" t="s">
        <v>56</v>
      </c>
      <c r="J1141" s="3" t="s">
        <v>273</v>
      </c>
      <c r="K1141" s="3" t="s">
        <v>4583</v>
      </c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 t="s">
        <v>4584</v>
      </c>
      <c r="AL1141" s="4">
        <v>38742</v>
      </c>
      <c r="AM1141" s="3"/>
      <c r="AN1141" s="3"/>
    </row>
    <row r="1142" spans="1:40" x14ac:dyDescent="0.3">
      <c r="A1142" s="3">
        <v>1136</v>
      </c>
      <c r="B1142" s="3" t="str">
        <f>"1208774"</f>
        <v>1208774</v>
      </c>
      <c r="C1142" s="3">
        <v>14506</v>
      </c>
      <c r="D1142" s="3">
        <v>1208774</v>
      </c>
      <c r="E1142" s="3">
        <v>20404567595</v>
      </c>
      <c r="F1142" s="3" t="s">
        <v>4585</v>
      </c>
      <c r="G1142" s="3" t="s">
        <v>4586</v>
      </c>
      <c r="H1142" s="3" t="s">
        <v>89</v>
      </c>
      <c r="I1142" s="3" t="s">
        <v>89</v>
      </c>
      <c r="J1142" s="3" t="s">
        <v>89</v>
      </c>
      <c r="K1142" s="3" t="s">
        <v>4587</v>
      </c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 t="s">
        <v>81</v>
      </c>
      <c r="AL1142" s="4">
        <v>36096</v>
      </c>
      <c r="AM1142" s="3"/>
      <c r="AN1142" s="3"/>
    </row>
    <row r="1143" spans="1:40" ht="27.95" x14ac:dyDescent="0.3">
      <c r="A1143" s="3">
        <v>1137</v>
      </c>
      <c r="B1143" s="3" t="str">
        <f>"201800130494"</f>
        <v>201800130494</v>
      </c>
      <c r="C1143" s="3">
        <v>137931</v>
      </c>
      <c r="D1143" s="3" t="s">
        <v>4588</v>
      </c>
      <c r="E1143" s="3">
        <v>10450922159</v>
      </c>
      <c r="F1143" s="3" t="s">
        <v>4589</v>
      </c>
      <c r="G1143" s="3" t="s">
        <v>4590</v>
      </c>
      <c r="H1143" s="3" t="s">
        <v>56</v>
      </c>
      <c r="I1143" s="3" t="s">
        <v>56</v>
      </c>
      <c r="J1143" s="3" t="s">
        <v>363</v>
      </c>
      <c r="K1143" s="3" t="s">
        <v>4591</v>
      </c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 t="s">
        <v>538</v>
      </c>
      <c r="AL1143" s="4">
        <v>43322</v>
      </c>
      <c r="AM1143" s="3"/>
      <c r="AN1143" s="3" t="s">
        <v>4589</v>
      </c>
    </row>
    <row r="1144" spans="1:40" x14ac:dyDescent="0.3">
      <c r="A1144" s="3">
        <v>1138</v>
      </c>
      <c r="B1144" s="3" t="str">
        <f>"1278559"</f>
        <v>1278559</v>
      </c>
      <c r="C1144" s="3">
        <v>19750</v>
      </c>
      <c r="D1144" s="3" t="s">
        <v>4592</v>
      </c>
      <c r="E1144" s="3">
        <v>10181644988</v>
      </c>
      <c r="F1144" s="3" t="s">
        <v>4593</v>
      </c>
      <c r="G1144" s="3" t="s">
        <v>4594</v>
      </c>
      <c r="H1144" s="3" t="s">
        <v>44</v>
      </c>
      <c r="I1144" s="3" t="s">
        <v>45</v>
      </c>
      <c r="J1144" s="3" t="s">
        <v>2580</v>
      </c>
      <c r="K1144" s="3" t="s">
        <v>4595</v>
      </c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 t="s">
        <v>81</v>
      </c>
      <c r="AL1144" s="4">
        <v>36655</v>
      </c>
      <c r="AM1144" s="3"/>
      <c r="AN1144" s="3"/>
    </row>
    <row r="1145" spans="1:40" x14ac:dyDescent="0.3">
      <c r="A1145" s="3">
        <v>1139</v>
      </c>
      <c r="B1145" s="3" t="str">
        <f>"1433355"</f>
        <v>1433355</v>
      </c>
      <c r="C1145" s="3">
        <v>35645</v>
      </c>
      <c r="D1145" s="3" t="s">
        <v>4596</v>
      </c>
      <c r="E1145" s="3">
        <v>10089945319</v>
      </c>
      <c r="F1145" s="3" t="s">
        <v>4390</v>
      </c>
      <c r="G1145" s="3" t="s">
        <v>4597</v>
      </c>
      <c r="H1145" s="3" t="s">
        <v>56</v>
      </c>
      <c r="I1145" s="3" t="s">
        <v>56</v>
      </c>
      <c r="J1145" s="3" t="s">
        <v>1043</v>
      </c>
      <c r="K1145" s="3" t="s">
        <v>4598</v>
      </c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 t="s">
        <v>167</v>
      </c>
      <c r="AL1145" s="4">
        <v>37928</v>
      </c>
      <c r="AM1145" s="3"/>
      <c r="AN1145" s="3"/>
    </row>
    <row r="1146" spans="1:40" x14ac:dyDescent="0.3">
      <c r="A1146" s="3">
        <v>1140</v>
      </c>
      <c r="B1146" s="3" t="str">
        <f>"201600135438"</f>
        <v>201600135438</v>
      </c>
      <c r="C1146" s="3">
        <v>123998</v>
      </c>
      <c r="D1146" s="3" t="s">
        <v>4599</v>
      </c>
      <c r="E1146" s="3">
        <v>20393711974</v>
      </c>
      <c r="F1146" s="3" t="s">
        <v>4600</v>
      </c>
      <c r="G1146" s="3" t="s">
        <v>4601</v>
      </c>
      <c r="H1146" s="3" t="s">
        <v>395</v>
      </c>
      <c r="I1146" s="3" t="s">
        <v>396</v>
      </c>
      <c r="J1146" s="3" t="s">
        <v>490</v>
      </c>
      <c r="K1146" s="3" t="s">
        <v>4602</v>
      </c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 t="s">
        <v>4603</v>
      </c>
      <c r="AL1146" s="4">
        <v>42703</v>
      </c>
      <c r="AM1146" s="3"/>
      <c r="AN1146" s="3" t="s">
        <v>4604</v>
      </c>
    </row>
    <row r="1147" spans="1:40" x14ac:dyDescent="0.3">
      <c r="A1147" s="3">
        <v>1141</v>
      </c>
      <c r="B1147" s="3" t="str">
        <f>"1864500"</f>
        <v>1864500</v>
      </c>
      <c r="C1147" s="3">
        <v>82807</v>
      </c>
      <c r="D1147" s="3" t="s">
        <v>4605</v>
      </c>
      <c r="E1147" s="3">
        <v>10273667763</v>
      </c>
      <c r="F1147" s="3" t="s">
        <v>2625</v>
      </c>
      <c r="G1147" s="3" t="s">
        <v>4606</v>
      </c>
      <c r="H1147" s="3" t="s">
        <v>318</v>
      </c>
      <c r="I1147" s="3" t="s">
        <v>319</v>
      </c>
      <c r="J1147" s="3" t="s">
        <v>495</v>
      </c>
      <c r="K1147" s="3" t="s">
        <v>4607</v>
      </c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 t="s">
        <v>1087</v>
      </c>
      <c r="AL1147" s="4">
        <v>39857</v>
      </c>
      <c r="AM1147" s="3"/>
      <c r="AN1147" s="3"/>
    </row>
    <row r="1148" spans="1:40" ht="27.95" x14ac:dyDescent="0.3">
      <c r="A1148" s="3">
        <v>1142</v>
      </c>
      <c r="B1148" s="3" t="str">
        <f>"1345493"</f>
        <v>1345493</v>
      </c>
      <c r="C1148" s="3">
        <v>3370</v>
      </c>
      <c r="D1148" s="3" t="s">
        <v>4608</v>
      </c>
      <c r="E1148" s="3">
        <v>20210133748</v>
      </c>
      <c r="F1148" s="3" t="s">
        <v>4609</v>
      </c>
      <c r="G1148" s="3" t="s">
        <v>4610</v>
      </c>
      <c r="H1148" s="3" t="s">
        <v>56</v>
      </c>
      <c r="I1148" s="3" t="s">
        <v>56</v>
      </c>
      <c r="J1148" s="3" t="s">
        <v>63</v>
      </c>
      <c r="K1148" s="3" t="s">
        <v>4611</v>
      </c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 t="s">
        <v>634</v>
      </c>
      <c r="AL1148" s="4">
        <v>37242</v>
      </c>
      <c r="AM1148" s="3"/>
      <c r="AN1148" s="3"/>
    </row>
    <row r="1149" spans="1:40" x14ac:dyDescent="0.3">
      <c r="A1149" s="3">
        <v>1143</v>
      </c>
      <c r="B1149" s="3" t="str">
        <f>"1119752"</f>
        <v>1119752</v>
      </c>
      <c r="C1149" s="3">
        <v>6407</v>
      </c>
      <c r="D1149" s="3">
        <v>955449</v>
      </c>
      <c r="E1149" s="3">
        <v>10070098135</v>
      </c>
      <c r="F1149" s="3" t="s">
        <v>4612</v>
      </c>
      <c r="G1149" s="3" t="s">
        <v>4613</v>
      </c>
      <c r="H1149" s="3" t="s">
        <v>56</v>
      </c>
      <c r="I1149" s="3" t="s">
        <v>56</v>
      </c>
      <c r="J1149" s="3" t="s">
        <v>121</v>
      </c>
      <c r="K1149" s="3" t="s">
        <v>4614</v>
      </c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 t="s">
        <v>1020</v>
      </c>
      <c r="AL1149" s="4">
        <v>35550</v>
      </c>
      <c r="AM1149" s="3"/>
      <c r="AN1149" s="3"/>
    </row>
    <row r="1150" spans="1:40" ht="27.95" x14ac:dyDescent="0.3">
      <c r="A1150" s="3">
        <v>1144</v>
      </c>
      <c r="B1150" s="3" t="str">
        <f>"1345496"</f>
        <v>1345496</v>
      </c>
      <c r="C1150" s="3">
        <v>2548</v>
      </c>
      <c r="D1150" s="3" t="s">
        <v>4615</v>
      </c>
      <c r="E1150" s="3">
        <v>20210133748</v>
      </c>
      <c r="F1150" s="3" t="s">
        <v>4609</v>
      </c>
      <c r="G1150" s="3" t="s">
        <v>3851</v>
      </c>
      <c r="H1150" s="3" t="s">
        <v>56</v>
      </c>
      <c r="I1150" s="3" t="s">
        <v>56</v>
      </c>
      <c r="J1150" s="3" t="s">
        <v>63</v>
      </c>
      <c r="K1150" s="3" t="s">
        <v>4616</v>
      </c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 t="s">
        <v>634</v>
      </c>
      <c r="AL1150" s="4">
        <v>37242</v>
      </c>
      <c r="AM1150" s="3"/>
      <c r="AN1150" s="3"/>
    </row>
    <row r="1151" spans="1:40" x14ac:dyDescent="0.3">
      <c r="A1151" s="3">
        <v>1145</v>
      </c>
      <c r="B1151" s="3" t="str">
        <f>"1119750"</f>
        <v>1119750</v>
      </c>
      <c r="C1151" s="3">
        <v>2322</v>
      </c>
      <c r="D1151" s="3">
        <v>955658</v>
      </c>
      <c r="E1151" s="3">
        <v>10090971650</v>
      </c>
      <c r="F1151" s="3" t="s">
        <v>3735</v>
      </c>
      <c r="G1151" s="3" t="s">
        <v>4617</v>
      </c>
      <c r="H1151" s="3" t="s">
        <v>56</v>
      </c>
      <c r="I1151" s="3" t="s">
        <v>56</v>
      </c>
      <c r="J1151" s="3" t="s">
        <v>277</v>
      </c>
      <c r="K1151" s="3" t="s">
        <v>4618</v>
      </c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 t="s">
        <v>2587</v>
      </c>
      <c r="AL1151" s="4">
        <v>35550</v>
      </c>
      <c r="AM1151" s="3"/>
      <c r="AN1151" s="3"/>
    </row>
    <row r="1152" spans="1:40" ht="27.95" x14ac:dyDescent="0.3">
      <c r="A1152" s="3">
        <v>1146</v>
      </c>
      <c r="B1152" s="3" t="str">
        <f>"1345494"</f>
        <v>1345494</v>
      </c>
      <c r="C1152" s="3">
        <v>3538</v>
      </c>
      <c r="D1152" s="3" t="s">
        <v>4619</v>
      </c>
      <c r="E1152" s="3">
        <v>20210133748</v>
      </c>
      <c r="F1152" s="3" t="s">
        <v>4609</v>
      </c>
      <c r="G1152" s="3" t="s">
        <v>3851</v>
      </c>
      <c r="H1152" s="3" t="s">
        <v>56</v>
      </c>
      <c r="I1152" s="3" t="s">
        <v>56</v>
      </c>
      <c r="J1152" s="3" t="s">
        <v>63</v>
      </c>
      <c r="K1152" s="3" t="s">
        <v>4620</v>
      </c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 t="s">
        <v>634</v>
      </c>
      <c r="AL1152" s="4">
        <v>37242</v>
      </c>
      <c r="AM1152" s="3"/>
      <c r="AN1152" s="3"/>
    </row>
    <row r="1153" spans="1:40" ht="27.95" x14ac:dyDescent="0.3">
      <c r="A1153" s="3">
        <v>1147</v>
      </c>
      <c r="B1153" s="3" t="str">
        <f>"1866643"</f>
        <v>1866643</v>
      </c>
      <c r="C1153" s="3">
        <v>82341</v>
      </c>
      <c r="D1153" s="3" t="s">
        <v>4621</v>
      </c>
      <c r="E1153" s="3">
        <v>10417359945</v>
      </c>
      <c r="F1153" s="3" t="s">
        <v>4622</v>
      </c>
      <c r="G1153" s="3" t="s">
        <v>4623</v>
      </c>
      <c r="H1153" s="3" t="s">
        <v>97</v>
      </c>
      <c r="I1153" s="3" t="s">
        <v>97</v>
      </c>
      <c r="J1153" s="3" t="s">
        <v>144</v>
      </c>
      <c r="K1153" s="3" t="s">
        <v>4624</v>
      </c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 t="s">
        <v>504</v>
      </c>
      <c r="AL1153" s="4">
        <v>39867</v>
      </c>
      <c r="AM1153" s="3"/>
      <c r="AN1153" s="3"/>
    </row>
    <row r="1154" spans="1:40" ht="27.95" x14ac:dyDescent="0.3">
      <c r="A1154" s="3">
        <v>1148</v>
      </c>
      <c r="B1154" s="3" t="str">
        <f>"1866640"</f>
        <v>1866640</v>
      </c>
      <c r="C1154" s="3">
        <v>82381</v>
      </c>
      <c r="D1154" s="3" t="s">
        <v>4625</v>
      </c>
      <c r="E1154" s="3">
        <v>10023877193</v>
      </c>
      <c r="F1154" s="3" t="s">
        <v>4626</v>
      </c>
      <c r="G1154" s="3" t="s">
        <v>4627</v>
      </c>
      <c r="H1154" s="3" t="s">
        <v>97</v>
      </c>
      <c r="I1154" s="3" t="s">
        <v>97</v>
      </c>
      <c r="J1154" s="3" t="s">
        <v>144</v>
      </c>
      <c r="K1154" s="3" t="s">
        <v>4628</v>
      </c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 t="s">
        <v>2659</v>
      </c>
      <c r="AL1154" s="4">
        <v>39867</v>
      </c>
      <c r="AM1154" s="3"/>
      <c r="AN1154" s="3"/>
    </row>
    <row r="1155" spans="1:40" x14ac:dyDescent="0.3">
      <c r="A1155" s="3">
        <v>1149</v>
      </c>
      <c r="B1155" s="3" t="str">
        <f>"1152449"</f>
        <v>1152449</v>
      </c>
      <c r="C1155" s="3">
        <v>3629</v>
      </c>
      <c r="D1155" s="3">
        <v>1152449</v>
      </c>
      <c r="E1155" s="3">
        <v>10091886940</v>
      </c>
      <c r="F1155" s="3" t="s">
        <v>3071</v>
      </c>
      <c r="G1155" s="3" t="s">
        <v>4629</v>
      </c>
      <c r="H1155" s="3" t="s">
        <v>56</v>
      </c>
      <c r="I1155" s="3" t="s">
        <v>56</v>
      </c>
      <c r="J1155" s="3" t="s">
        <v>1043</v>
      </c>
      <c r="K1155" s="3" t="s">
        <v>4630</v>
      </c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 t="s">
        <v>546</v>
      </c>
      <c r="AL1155" s="4">
        <v>35697</v>
      </c>
      <c r="AM1155" s="3"/>
      <c r="AN1155" s="3"/>
    </row>
    <row r="1156" spans="1:40" x14ac:dyDescent="0.3">
      <c r="A1156" s="3">
        <v>1150</v>
      </c>
      <c r="B1156" s="3" t="str">
        <f>"1917764"</f>
        <v>1917764</v>
      </c>
      <c r="C1156" s="3">
        <v>83792</v>
      </c>
      <c r="D1156" s="3" t="s">
        <v>4631</v>
      </c>
      <c r="E1156" s="3">
        <v>10000432615</v>
      </c>
      <c r="F1156" s="3" t="s">
        <v>4632</v>
      </c>
      <c r="G1156" s="3" t="s">
        <v>4633</v>
      </c>
      <c r="H1156" s="3" t="s">
        <v>395</v>
      </c>
      <c r="I1156" s="3" t="s">
        <v>396</v>
      </c>
      <c r="J1156" s="3" t="s">
        <v>490</v>
      </c>
      <c r="K1156" s="3" t="s">
        <v>4634</v>
      </c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 t="s">
        <v>4635</v>
      </c>
      <c r="AL1156" s="4">
        <v>40045</v>
      </c>
      <c r="AM1156" s="3"/>
      <c r="AN1156" s="3"/>
    </row>
    <row r="1157" spans="1:40" x14ac:dyDescent="0.3">
      <c r="A1157" s="3">
        <v>1151</v>
      </c>
      <c r="B1157" s="3" t="str">
        <f>"1392882"</f>
        <v>1392882</v>
      </c>
      <c r="C1157" s="3">
        <v>33870</v>
      </c>
      <c r="D1157" s="3" t="s">
        <v>4636</v>
      </c>
      <c r="E1157" s="3">
        <v>20476335672</v>
      </c>
      <c r="F1157" s="3" t="s">
        <v>4637</v>
      </c>
      <c r="G1157" s="3" t="s">
        <v>4638</v>
      </c>
      <c r="H1157" s="3" t="s">
        <v>75</v>
      </c>
      <c r="I1157" s="3" t="s">
        <v>75</v>
      </c>
      <c r="J1157" s="3" t="s">
        <v>4639</v>
      </c>
      <c r="K1157" s="3" t="s">
        <v>4640</v>
      </c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 t="s">
        <v>4641</v>
      </c>
      <c r="AL1157" s="4">
        <v>37601</v>
      </c>
      <c r="AM1157" s="3"/>
      <c r="AN1157" s="3"/>
    </row>
    <row r="1158" spans="1:40" x14ac:dyDescent="0.3">
      <c r="A1158" s="3">
        <v>1152</v>
      </c>
      <c r="B1158" s="3" t="str">
        <f>"1498908"</f>
        <v>1498908</v>
      </c>
      <c r="C1158" s="3">
        <v>92882</v>
      </c>
      <c r="D1158" s="3" t="s">
        <v>4642</v>
      </c>
      <c r="E1158" s="3">
        <v>20494844703</v>
      </c>
      <c r="F1158" s="3" t="s">
        <v>1885</v>
      </c>
      <c r="G1158" s="3" t="s">
        <v>4643</v>
      </c>
      <c r="H1158" s="3" t="s">
        <v>56</v>
      </c>
      <c r="I1158" s="3" t="s">
        <v>56</v>
      </c>
      <c r="J1158" s="3" t="s">
        <v>838</v>
      </c>
      <c r="K1158" s="3" t="s">
        <v>4644</v>
      </c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 t="s">
        <v>614</v>
      </c>
      <c r="AL1158" s="4">
        <v>40792</v>
      </c>
      <c r="AM1158" s="3"/>
      <c r="AN1158" s="3" t="s">
        <v>1889</v>
      </c>
    </row>
    <row r="1159" spans="1:40" ht="27.95" x14ac:dyDescent="0.3">
      <c r="A1159" s="3">
        <v>1153</v>
      </c>
      <c r="B1159" s="3" t="str">
        <f>"201800156592"</f>
        <v>201800156592</v>
      </c>
      <c r="C1159" s="3">
        <v>138715</v>
      </c>
      <c r="D1159" s="3" t="s">
        <v>4645</v>
      </c>
      <c r="E1159" s="3">
        <v>20389099164</v>
      </c>
      <c r="F1159" s="3" t="s">
        <v>1511</v>
      </c>
      <c r="G1159" s="3" t="s">
        <v>4646</v>
      </c>
      <c r="H1159" s="3" t="s">
        <v>56</v>
      </c>
      <c r="I1159" s="3" t="s">
        <v>56</v>
      </c>
      <c r="J1159" s="3" t="s">
        <v>363</v>
      </c>
      <c r="K1159" s="3" t="s">
        <v>4647</v>
      </c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 t="s">
        <v>4648</v>
      </c>
      <c r="AL1159" s="4">
        <v>43367</v>
      </c>
      <c r="AM1159" s="3"/>
      <c r="AN1159" s="3" t="s">
        <v>1231</v>
      </c>
    </row>
    <row r="1160" spans="1:40" x14ac:dyDescent="0.3">
      <c r="A1160" s="3">
        <v>1154</v>
      </c>
      <c r="B1160" s="3" t="str">
        <f>"201600066967"</f>
        <v>201600066967</v>
      </c>
      <c r="C1160" s="3">
        <v>121326</v>
      </c>
      <c r="D1160" s="3" t="s">
        <v>4649</v>
      </c>
      <c r="E1160" s="3">
        <v>10329119322</v>
      </c>
      <c r="F1160" s="3" t="s">
        <v>4650</v>
      </c>
      <c r="G1160" s="3" t="s">
        <v>4651</v>
      </c>
      <c r="H1160" s="3" t="s">
        <v>271</v>
      </c>
      <c r="I1160" s="3" t="s">
        <v>552</v>
      </c>
      <c r="J1160" s="3" t="s">
        <v>4652</v>
      </c>
      <c r="K1160" s="3" t="s">
        <v>4653</v>
      </c>
      <c r="L1160" s="3" t="s">
        <v>4654</v>
      </c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 t="s">
        <v>1586</v>
      </c>
      <c r="AL1160" s="4">
        <v>42522</v>
      </c>
      <c r="AM1160" s="3"/>
      <c r="AN1160" s="3" t="s">
        <v>4650</v>
      </c>
    </row>
    <row r="1161" spans="1:40" x14ac:dyDescent="0.3">
      <c r="A1161" s="3">
        <v>1155</v>
      </c>
      <c r="B1161" s="3" t="str">
        <f>"1498904"</f>
        <v>1498904</v>
      </c>
      <c r="C1161" s="3">
        <v>92813</v>
      </c>
      <c r="D1161" s="3" t="s">
        <v>4655</v>
      </c>
      <c r="E1161" s="3">
        <v>20494844703</v>
      </c>
      <c r="F1161" s="3" t="s">
        <v>1885</v>
      </c>
      <c r="G1161" s="3" t="s">
        <v>4656</v>
      </c>
      <c r="H1161" s="3" t="s">
        <v>56</v>
      </c>
      <c r="I1161" s="3" t="s">
        <v>56</v>
      </c>
      <c r="J1161" s="3" t="s">
        <v>838</v>
      </c>
      <c r="K1161" s="3" t="s">
        <v>4657</v>
      </c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 t="s">
        <v>1888</v>
      </c>
      <c r="AL1161" s="4">
        <v>40792</v>
      </c>
      <c r="AM1161" s="3"/>
      <c r="AN1161" s="3" t="s">
        <v>1889</v>
      </c>
    </row>
    <row r="1162" spans="1:40" x14ac:dyDescent="0.3">
      <c r="A1162" s="3">
        <v>1156</v>
      </c>
      <c r="B1162" s="3" t="str">
        <f>"1587216"</f>
        <v>1587216</v>
      </c>
      <c r="C1162" s="3">
        <v>42449</v>
      </c>
      <c r="D1162" s="3" t="s">
        <v>4658</v>
      </c>
      <c r="E1162" s="3">
        <v>10209884700</v>
      </c>
      <c r="F1162" s="3" t="s">
        <v>4659</v>
      </c>
      <c r="G1162" s="3" t="s">
        <v>4660</v>
      </c>
      <c r="H1162" s="3" t="s">
        <v>75</v>
      </c>
      <c r="I1162" s="3" t="s">
        <v>75</v>
      </c>
      <c r="J1162" s="3" t="s">
        <v>76</v>
      </c>
      <c r="K1162" s="3" t="s">
        <v>4661</v>
      </c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 t="s">
        <v>4662</v>
      </c>
      <c r="AL1162" s="4">
        <v>38989</v>
      </c>
      <c r="AM1162" s="3"/>
      <c r="AN1162" s="3"/>
    </row>
    <row r="1163" spans="1:40" x14ac:dyDescent="0.3">
      <c r="A1163" s="3">
        <v>1157</v>
      </c>
      <c r="B1163" s="3" t="str">
        <f>"1476608"</f>
        <v>1476608</v>
      </c>
      <c r="C1163" s="3">
        <v>91801</v>
      </c>
      <c r="D1163" s="3" t="s">
        <v>4663</v>
      </c>
      <c r="E1163" s="3">
        <v>20516511975</v>
      </c>
      <c r="F1163" s="3" t="s">
        <v>4664</v>
      </c>
      <c r="G1163" s="3" t="s">
        <v>4665</v>
      </c>
      <c r="H1163" s="3" t="s">
        <v>97</v>
      </c>
      <c r="I1163" s="3" t="s">
        <v>97</v>
      </c>
      <c r="J1163" s="3" t="s">
        <v>417</v>
      </c>
      <c r="K1163" s="3" t="s">
        <v>4666</v>
      </c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 t="s">
        <v>187</v>
      </c>
      <c r="AL1163" s="4">
        <v>40634</v>
      </c>
      <c r="AM1163" s="3"/>
      <c r="AN1163" s="3" t="s">
        <v>2811</v>
      </c>
    </row>
    <row r="1164" spans="1:40" ht="27.95" x14ac:dyDescent="0.3">
      <c r="A1164" s="3">
        <v>1158</v>
      </c>
      <c r="B1164" s="3" t="str">
        <f>"1785603"</f>
        <v>1785603</v>
      </c>
      <c r="C1164" s="3">
        <v>62364</v>
      </c>
      <c r="D1164" s="3" t="s">
        <v>4667</v>
      </c>
      <c r="E1164" s="3">
        <v>10075716431</v>
      </c>
      <c r="F1164" s="3" t="s">
        <v>4668</v>
      </c>
      <c r="G1164" s="3" t="s">
        <v>4669</v>
      </c>
      <c r="H1164" s="3" t="s">
        <v>97</v>
      </c>
      <c r="I1164" s="3" t="s">
        <v>1436</v>
      </c>
      <c r="J1164" s="3" t="s">
        <v>1437</v>
      </c>
      <c r="K1164" s="3" t="s">
        <v>4670</v>
      </c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 t="s">
        <v>4671</v>
      </c>
      <c r="AL1164" s="4">
        <v>39577</v>
      </c>
      <c r="AM1164" s="3"/>
      <c r="AN1164" s="3"/>
    </row>
    <row r="1165" spans="1:40" x14ac:dyDescent="0.3">
      <c r="A1165" s="3">
        <v>1159</v>
      </c>
      <c r="B1165" s="3" t="str">
        <f>"201600092906"</f>
        <v>201600092906</v>
      </c>
      <c r="C1165" s="3">
        <v>122301</v>
      </c>
      <c r="D1165" s="3" t="s">
        <v>4672</v>
      </c>
      <c r="E1165" s="3">
        <v>10292917177</v>
      </c>
      <c r="F1165" s="3" t="s">
        <v>444</v>
      </c>
      <c r="G1165" s="3" t="s">
        <v>4673</v>
      </c>
      <c r="H1165" s="3" t="s">
        <v>97</v>
      </c>
      <c r="I1165" s="3" t="s">
        <v>97</v>
      </c>
      <c r="J1165" s="3" t="s">
        <v>326</v>
      </c>
      <c r="K1165" s="3" t="s">
        <v>4674</v>
      </c>
      <c r="L1165" s="3" t="s">
        <v>4675</v>
      </c>
      <c r="M1165" s="3" t="s">
        <v>4676</v>
      </c>
      <c r="N1165" s="3" t="s">
        <v>4677</v>
      </c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 t="s">
        <v>150</v>
      </c>
      <c r="AL1165" s="4">
        <v>42552</v>
      </c>
      <c r="AM1165" s="3"/>
      <c r="AN1165" s="3" t="s">
        <v>444</v>
      </c>
    </row>
    <row r="1166" spans="1:40" x14ac:dyDescent="0.3">
      <c r="A1166" s="3">
        <v>1160</v>
      </c>
      <c r="B1166" s="3" t="str">
        <f>"1110281"</f>
        <v>1110281</v>
      </c>
      <c r="C1166" s="3">
        <v>2374</v>
      </c>
      <c r="D1166" s="3">
        <v>988248</v>
      </c>
      <c r="E1166" s="3">
        <v>10066272708</v>
      </c>
      <c r="F1166" s="3" t="s">
        <v>4678</v>
      </c>
      <c r="G1166" s="3" t="s">
        <v>4679</v>
      </c>
      <c r="H1166" s="3" t="s">
        <v>56</v>
      </c>
      <c r="I1166" s="3" t="s">
        <v>56</v>
      </c>
      <c r="J1166" s="3" t="s">
        <v>331</v>
      </c>
      <c r="K1166" s="3" t="s">
        <v>4680</v>
      </c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 t="s">
        <v>65</v>
      </c>
      <c r="AL1166" s="4">
        <v>35499</v>
      </c>
      <c r="AM1166" s="3"/>
      <c r="AN1166" s="3"/>
    </row>
    <row r="1167" spans="1:40" x14ac:dyDescent="0.3">
      <c r="A1167" s="3">
        <v>1161</v>
      </c>
      <c r="B1167" s="3" t="str">
        <f>"1110283"</f>
        <v>1110283</v>
      </c>
      <c r="C1167" s="3">
        <v>2400</v>
      </c>
      <c r="D1167" s="3">
        <v>990160</v>
      </c>
      <c r="E1167" s="3">
        <v>10096908895</v>
      </c>
      <c r="F1167" s="3" t="s">
        <v>4681</v>
      </c>
      <c r="G1167" s="3" t="s">
        <v>4682</v>
      </c>
      <c r="H1167" s="3" t="s">
        <v>56</v>
      </c>
      <c r="I1167" s="3" t="s">
        <v>56</v>
      </c>
      <c r="J1167" s="3" t="s">
        <v>331</v>
      </c>
      <c r="K1167" s="3" t="s">
        <v>4683</v>
      </c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 t="s">
        <v>65</v>
      </c>
      <c r="AL1167" s="4">
        <v>35499</v>
      </c>
      <c r="AM1167" s="3"/>
      <c r="AN1167" s="3"/>
    </row>
    <row r="1168" spans="1:40" x14ac:dyDescent="0.3">
      <c r="A1168" s="3">
        <v>1162</v>
      </c>
      <c r="B1168" s="3" t="str">
        <f>"1687617"</f>
        <v>1687617</v>
      </c>
      <c r="C1168" s="3">
        <v>45021</v>
      </c>
      <c r="D1168" s="3" t="s">
        <v>4684</v>
      </c>
      <c r="E1168" s="3">
        <v>10103631101</v>
      </c>
      <c r="F1168" s="3" t="s">
        <v>4685</v>
      </c>
      <c r="G1168" s="3" t="s">
        <v>4686</v>
      </c>
      <c r="H1168" s="3" t="s">
        <v>56</v>
      </c>
      <c r="I1168" s="3" t="s">
        <v>56</v>
      </c>
      <c r="J1168" s="3" t="s">
        <v>277</v>
      </c>
      <c r="K1168" s="3" t="s">
        <v>4687</v>
      </c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 t="s">
        <v>81</v>
      </c>
      <c r="AL1168" s="4">
        <v>39212</v>
      </c>
      <c r="AM1168" s="3"/>
      <c r="AN1168" s="3"/>
    </row>
    <row r="1169" spans="1:40" x14ac:dyDescent="0.3">
      <c r="A1169" s="3">
        <v>1163</v>
      </c>
      <c r="B1169" s="3" t="str">
        <f>"1915982"</f>
        <v>1915982</v>
      </c>
      <c r="C1169" s="3">
        <v>83917</v>
      </c>
      <c r="D1169" s="3" t="s">
        <v>4688</v>
      </c>
      <c r="E1169" s="3">
        <v>20480861010</v>
      </c>
      <c r="F1169" s="3" t="s">
        <v>4689</v>
      </c>
      <c r="G1169" s="3" t="s">
        <v>4690</v>
      </c>
      <c r="H1169" s="3" t="s">
        <v>44</v>
      </c>
      <c r="I1169" s="3" t="s">
        <v>45</v>
      </c>
      <c r="J1169" s="3" t="s">
        <v>45</v>
      </c>
      <c r="K1169" s="3" t="s">
        <v>4691</v>
      </c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 t="s">
        <v>167</v>
      </c>
      <c r="AL1169" s="4">
        <v>40042</v>
      </c>
      <c r="AM1169" s="3"/>
      <c r="AN1169" s="3"/>
    </row>
    <row r="1170" spans="1:40" x14ac:dyDescent="0.3">
      <c r="A1170" s="3">
        <v>1164</v>
      </c>
      <c r="B1170" s="3" t="str">
        <f>"202000131260"</f>
        <v>202000131260</v>
      </c>
      <c r="C1170" s="3">
        <v>86158</v>
      </c>
      <c r="D1170" s="3" t="s">
        <v>4692</v>
      </c>
      <c r="E1170" s="3">
        <v>20510976887</v>
      </c>
      <c r="F1170" s="3" t="s">
        <v>693</v>
      </c>
      <c r="G1170" s="3" t="s">
        <v>3026</v>
      </c>
      <c r="H1170" s="3" t="s">
        <v>56</v>
      </c>
      <c r="I1170" s="3" t="s">
        <v>56</v>
      </c>
      <c r="J1170" s="3" t="s">
        <v>131</v>
      </c>
      <c r="K1170" s="3" t="s">
        <v>4693</v>
      </c>
      <c r="L1170" s="3" t="s">
        <v>4694</v>
      </c>
      <c r="M1170" s="3" t="s">
        <v>4695</v>
      </c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 t="s">
        <v>139</v>
      </c>
      <c r="AL1170" s="4">
        <v>44123</v>
      </c>
      <c r="AM1170" s="3"/>
      <c r="AN1170" s="3" t="s">
        <v>671</v>
      </c>
    </row>
    <row r="1171" spans="1:40" x14ac:dyDescent="0.3">
      <c r="A1171" s="3">
        <v>1165</v>
      </c>
      <c r="B1171" s="3" t="str">
        <f>"201700207406"</f>
        <v>201700207406</v>
      </c>
      <c r="C1171" s="3">
        <v>118822</v>
      </c>
      <c r="D1171" s="3" t="s">
        <v>4696</v>
      </c>
      <c r="E1171" s="3">
        <v>20100366747</v>
      </c>
      <c r="F1171" s="3" t="s">
        <v>4697</v>
      </c>
      <c r="G1171" s="3" t="s">
        <v>4698</v>
      </c>
      <c r="H1171" s="3" t="s">
        <v>56</v>
      </c>
      <c r="I1171" s="3" t="s">
        <v>56</v>
      </c>
      <c r="J1171" s="3" t="s">
        <v>185</v>
      </c>
      <c r="K1171" s="3" t="s">
        <v>4699</v>
      </c>
      <c r="L1171" s="3" t="s">
        <v>4700</v>
      </c>
      <c r="M1171" s="3" t="s">
        <v>4701</v>
      </c>
      <c r="N1171" s="3" t="s">
        <v>4702</v>
      </c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 t="s">
        <v>3846</v>
      </c>
      <c r="AL1171" s="4">
        <v>43081</v>
      </c>
      <c r="AM1171" s="3"/>
      <c r="AN1171" s="3" t="s">
        <v>262</v>
      </c>
    </row>
    <row r="1172" spans="1:40" x14ac:dyDescent="0.3">
      <c r="A1172" s="3">
        <v>1166</v>
      </c>
      <c r="B1172" s="3" t="str">
        <f>"1498913"</f>
        <v>1498913</v>
      </c>
      <c r="C1172" s="3">
        <v>92908</v>
      </c>
      <c r="D1172" s="3" t="s">
        <v>4703</v>
      </c>
      <c r="E1172" s="3">
        <v>20451795911</v>
      </c>
      <c r="F1172" s="3" t="s">
        <v>4704</v>
      </c>
      <c r="G1172" s="3" t="s">
        <v>4643</v>
      </c>
      <c r="H1172" s="3" t="s">
        <v>56</v>
      </c>
      <c r="I1172" s="3" t="s">
        <v>56</v>
      </c>
      <c r="J1172" s="3" t="s">
        <v>838</v>
      </c>
      <c r="K1172" s="3" t="s">
        <v>4705</v>
      </c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 t="s">
        <v>167</v>
      </c>
      <c r="AL1172" s="4">
        <v>40787</v>
      </c>
      <c r="AM1172" s="3"/>
      <c r="AN1172" s="3" t="s">
        <v>4706</v>
      </c>
    </row>
    <row r="1173" spans="1:40" ht="27.95" x14ac:dyDescent="0.3">
      <c r="A1173" s="3">
        <v>1167</v>
      </c>
      <c r="B1173" s="3" t="str">
        <f>"1859695"</f>
        <v>1859695</v>
      </c>
      <c r="C1173" s="3">
        <v>82274</v>
      </c>
      <c r="D1173" s="3" t="s">
        <v>4707</v>
      </c>
      <c r="E1173" s="3">
        <v>10432362022</v>
      </c>
      <c r="F1173" s="3" t="s">
        <v>2921</v>
      </c>
      <c r="G1173" s="3" t="s">
        <v>2705</v>
      </c>
      <c r="H1173" s="3" t="s">
        <v>97</v>
      </c>
      <c r="I1173" s="3" t="s">
        <v>97</v>
      </c>
      <c r="J1173" s="3" t="s">
        <v>144</v>
      </c>
      <c r="K1173" s="3" t="s">
        <v>4708</v>
      </c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 t="s">
        <v>3589</v>
      </c>
      <c r="AL1173" s="4">
        <v>39841</v>
      </c>
      <c r="AM1173" s="3"/>
      <c r="AN1173" s="3"/>
    </row>
    <row r="1174" spans="1:40" x14ac:dyDescent="0.3">
      <c r="A1174" s="3">
        <v>1168</v>
      </c>
      <c r="B1174" s="3" t="str">
        <f>"1498912"</f>
        <v>1498912</v>
      </c>
      <c r="C1174" s="3">
        <v>92911</v>
      </c>
      <c r="D1174" s="3" t="s">
        <v>4709</v>
      </c>
      <c r="E1174" s="3">
        <v>20451795911</v>
      </c>
      <c r="F1174" s="3" t="s">
        <v>4704</v>
      </c>
      <c r="G1174" s="3" t="s">
        <v>4643</v>
      </c>
      <c r="H1174" s="3" t="s">
        <v>56</v>
      </c>
      <c r="I1174" s="3" t="s">
        <v>56</v>
      </c>
      <c r="J1174" s="3" t="s">
        <v>838</v>
      </c>
      <c r="K1174" s="3" t="s">
        <v>4710</v>
      </c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 t="s">
        <v>167</v>
      </c>
      <c r="AL1174" s="4">
        <v>40787</v>
      </c>
      <c r="AM1174" s="3"/>
      <c r="AN1174" s="3" t="s">
        <v>4711</v>
      </c>
    </row>
    <row r="1175" spans="1:40" ht="27.95" x14ac:dyDescent="0.3">
      <c r="A1175" s="3">
        <v>1169</v>
      </c>
      <c r="B1175" s="3" t="str">
        <f>"201900153745"</f>
        <v>201900153745</v>
      </c>
      <c r="C1175" s="3">
        <v>146685</v>
      </c>
      <c r="D1175" s="3" t="s">
        <v>4712</v>
      </c>
      <c r="E1175" s="3">
        <v>20559969380</v>
      </c>
      <c r="F1175" s="3" t="s">
        <v>4713</v>
      </c>
      <c r="G1175" s="3" t="s">
        <v>4714</v>
      </c>
      <c r="H1175" s="3" t="s">
        <v>44</v>
      </c>
      <c r="I1175" s="3" t="s">
        <v>45</v>
      </c>
      <c r="J1175" s="3" t="s">
        <v>45</v>
      </c>
      <c r="K1175" s="3" t="s">
        <v>4715</v>
      </c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 t="s">
        <v>4407</v>
      </c>
      <c r="AL1175" s="4">
        <v>43733</v>
      </c>
      <c r="AM1175" s="3"/>
      <c r="AN1175" s="3" t="s">
        <v>4716</v>
      </c>
    </row>
    <row r="1176" spans="1:40" x14ac:dyDescent="0.3">
      <c r="A1176" s="3">
        <v>1170</v>
      </c>
      <c r="B1176" s="3" t="str">
        <f>"1498910"</f>
        <v>1498910</v>
      </c>
      <c r="C1176" s="3">
        <v>92913</v>
      </c>
      <c r="D1176" s="3" t="s">
        <v>4717</v>
      </c>
      <c r="E1176" s="3">
        <v>20494844703</v>
      </c>
      <c r="F1176" s="3" t="s">
        <v>1885</v>
      </c>
      <c r="G1176" s="3" t="s">
        <v>1886</v>
      </c>
      <c r="H1176" s="3" t="s">
        <v>56</v>
      </c>
      <c r="I1176" s="3" t="s">
        <v>56</v>
      </c>
      <c r="J1176" s="3" t="s">
        <v>838</v>
      </c>
      <c r="K1176" s="3" t="s">
        <v>4718</v>
      </c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 t="s">
        <v>614</v>
      </c>
      <c r="AL1176" s="4">
        <v>40792</v>
      </c>
      <c r="AM1176" s="3"/>
      <c r="AN1176" s="3" t="s">
        <v>1889</v>
      </c>
    </row>
    <row r="1177" spans="1:40" x14ac:dyDescent="0.3">
      <c r="A1177" s="3">
        <v>1171</v>
      </c>
      <c r="B1177" s="3" t="str">
        <f>"1453287"</f>
        <v>1453287</v>
      </c>
      <c r="C1177" s="3">
        <v>90272</v>
      </c>
      <c r="D1177" s="3" t="s">
        <v>4719</v>
      </c>
      <c r="E1177" s="3">
        <v>20506727783</v>
      </c>
      <c r="F1177" s="3" t="s">
        <v>1440</v>
      </c>
      <c r="G1177" s="3" t="s">
        <v>4720</v>
      </c>
      <c r="H1177" s="3" t="s">
        <v>56</v>
      </c>
      <c r="I1177" s="3" t="s">
        <v>56</v>
      </c>
      <c r="J1177" s="3" t="s">
        <v>131</v>
      </c>
      <c r="K1177" s="3" t="s">
        <v>4721</v>
      </c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 t="s">
        <v>2869</v>
      </c>
      <c r="AL1177" s="4">
        <v>40522</v>
      </c>
      <c r="AM1177" s="3"/>
      <c r="AN1177" s="3" t="s">
        <v>2634</v>
      </c>
    </row>
    <row r="1178" spans="1:40" x14ac:dyDescent="0.3">
      <c r="A1178" s="3">
        <v>1172</v>
      </c>
      <c r="B1178" s="3" t="str">
        <f>"1123625"</f>
        <v>1123625</v>
      </c>
      <c r="C1178" s="3">
        <v>2797</v>
      </c>
      <c r="D1178" s="3" t="s">
        <v>4722</v>
      </c>
      <c r="E1178" s="3">
        <v>10257198222</v>
      </c>
      <c r="F1178" s="3" t="s">
        <v>4521</v>
      </c>
      <c r="G1178" s="3" t="s">
        <v>4522</v>
      </c>
      <c r="H1178" s="3" t="s">
        <v>56</v>
      </c>
      <c r="I1178" s="3" t="s">
        <v>56</v>
      </c>
      <c r="J1178" s="3" t="s">
        <v>1339</v>
      </c>
      <c r="K1178" s="3" t="s">
        <v>4723</v>
      </c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 t="s">
        <v>634</v>
      </c>
      <c r="AL1178" s="4">
        <v>36907</v>
      </c>
      <c r="AM1178" s="3"/>
      <c r="AN1178" s="3"/>
    </row>
    <row r="1179" spans="1:40" x14ac:dyDescent="0.3">
      <c r="A1179" s="3">
        <v>1173</v>
      </c>
      <c r="B1179" s="3" t="str">
        <f>"1615578"</f>
        <v>1615578</v>
      </c>
      <c r="C1179" s="3">
        <v>37546</v>
      </c>
      <c r="D1179" s="3" t="s">
        <v>4724</v>
      </c>
      <c r="E1179" s="3">
        <v>20118712839</v>
      </c>
      <c r="F1179" s="3" t="s">
        <v>4725</v>
      </c>
      <c r="G1179" s="3" t="s">
        <v>4726</v>
      </c>
      <c r="H1179" s="3" t="s">
        <v>56</v>
      </c>
      <c r="I1179" s="3" t="s">
        <v>663</v>
      </c>
      <c r="J1179" s="3" t="s">
        <v>4727</v>
      </c>
      <c r="K1179" s="3" t="s">
        <v>4728</v>
      </c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 t="s">
        <v>614</v>
      </c>
      <c r="AL1179" s="4">
        <v>38946</v>
      </c>
      <c r="AM1179" s="3"/>
      <c r="AN1179" s="3"/>
    </row>
    <row r="1180" spans="1:40" x14ac:dyDescent="0.3">
      <c r="A1180" s="3">
        <v>1174</v>
      </c>
      <c r="B1180" s="3" t="str">
        <f>"1117359"</f>
        <v>1117359</v>
      </c>
      <c r="C1180" s="3">
        <v>2579</v>
      </c>
      <c r="D1180" s="3">
        <v>1051871</v>
      </c>
      <c r="E1180" s="3">
        <v>10081019610</v>
      </c>
      <c r="F1180" s="3" t="s">
        <v>4729</v>
      </c>
      <c r="G1180" s="3" t="s">
        <v>4730</v>
      </c>
      <c r="H1180" s="3" t="s">
        <v>56</v>
      </c>
      <c r="I1180" s="3" t="s">
        <v>56</v>
      </c>
      <c r="J1180" s="3" t="s">
        <v>4447</v>
      </c>
      <c r="K1180" s="3" t="s">
        <v>4731</v>
      </c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 t="s">
        <v>634</v>
      </c>
      <c r="AL1180" s="4">
        <v>35562</v>
      </c>
      <c r="AM1180" s="3"/>
      <c r="AN1180" s="3"/>
    </row>
    <row r="1181" spans="1:40" x14ac:dyDescent="0.3">
      <c r="A1181" s="3">
        <v>1175</v>
      </c>
      <c r="B1181" s="3" t="str">
        <f>"1508818"</f>
        <v>1508818</v>
      </c>
      <c r="C1181" s="3">
        <v>62614</v>
      </c>
      <c r="D1181" s="3" t="s">
        <v>4732</v>
      </c>
      <c r="E1181" s="3">
        <v>20507840613</v>
      </c>
      <c r="F1181" s="3" t="s">
        <v>298</v>
      </c>
      <c r="G1181" s="3" t="s">
        <v>2820</v>
      </c>
      <c r="H1181" s="3" t="s">
        <v>56</v>
      </c>
      <c r="I1181" s="3" t="s">
        <v>56</v>
      </c>
      <c r="J1181" s="3" t="s">
        <v>57</v>
      </c>
      <c r="K1181" s="3" t="s">
        <v>4733</v>
      </c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 t="s">
        <v>946</v>
      </c>
      <c r="AL1181" s="3" t="s">
        <v>290</v>
      </c>
      <c r="AM1181" s="3"/>
      <c r="AN1181" s="3" t="s">
        <v>60</v>
      </c>
    </row>
    <row r="1182" spans="1:40" x14ac:dyDescent="0.3">
      <c r="A1182" s="3">
        <v>1176</v>
      </c>
      <c r="B1182" s="3" t="str">
        <f>"1442377"</f>
        <v>1442377</v>
      </c>
      <c r="C1182" s="3">
        <v>89751</v>
      </c>
      <c r="D1182" s="3" t="s">
        <v>4734</v>
      </c>
      <c r="E1182" s="3">
        <v>20516822202</v>
      </c>
      <c r="F1182" s="3" t="s">
        <v>1850</v>
      </c>
      <c r="G1182" s="3" t="s">
        <v>4735</v>
      </c>
      <c r="H1182" s="3" t="s">
        <v>75</v>
      </c>
      <c r="I1182" s="3" t="s">
        <v>75</v>
      </c>
      <c r="J1182" s="3" t="s">
        <v>76</v>
      </c>
      <c r="K1182" s="3" t="s">
        <v>4736</v>
      </c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 t="s">
        <v>4737</v>
      </c>
      <c r="AL1182" s="4">
        <v>40494</v>
      </c>
      <c r="AM1182" s="3"/>
      <c r="AN1182" s="3" t="s">
        <v>1853</v>
      </c>
    </row>
    <row r="1183" spans="1:40" x14ac:dyDescent="0.3">
      <c r="A1183" s="3">
        <v>1177</v>
      </c>
      <c r="B1183" s="3" t="str">
        <f>"1463138"</f>
        <v>1463138</v>
      </c>
      <c r="C1183" s="3">
        <v>38018</v>
      </c>
      <c r="D1183" s="3" t="s">
        <v>4738</v>
      </c>
      <c r="E1183" s="3">
        <v>10099946950</v>
      </c>
      <c r="F1183" s="3" t="s">
        <v>4739</v>
      </c>
      <c r="G1183" s="3" t="s">
        <v>4740</v>
      </c>
      <c r="H1183" s="3" t="s">
        <v>89</v>
      </c>
      <c r="I1183" s="3" t="s">
        <v>2601</v>
      </c>
      <c r="J1183" s="3" t="s">
        <v>2602</v>
      </c>
      <c r="K1183" s="3" t="s">
        <v>4741</v>
      </c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 t="s">
        <v>226</v>
      </c>
      <c r="AL1183" s="4">
        <v>38014</v>
      </c>
      <c r="AM1183" s="3"/>
      <c r="AN1183" s="3"/>
    </row>
    <row r="1184" spans="1:40" x14ac:dyDescent="0.3">
      <c r="A1184" s="3">
        <v>1178</v>
      </c>
      <c r="B1184" s="3" t="str">
        <f>"201700122643"</f>
        <v>201700122643</v>
      </c>
      <c r="C1184" s="3">
        <v>130947</v>
      </c>
      <c r="D1184" s="3" t="s">
        <v>4742</v>
      </c>
      <c r="E1184" s="3">
        <v>20601859409</v>
      </c>
      <c r="F1184" s="3" t="s">
        <v>4743</v>
      </c>
      <c r="G1184" s="3" t="s">
        <v>4744</v>
      </c>
      <c r="H1184" s="3" t="s">
        <v>172</v>
      </c>
      <c r="I1184" s="3" t="s">
        <v>172</v>
      </c>
      <c r="J1184" s="3" t="s">
        <v>173</v>
      </c>
      <c r="K1184" s="3" t="s">
        <v>4745</v>
      </c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 t="s">
        <v>1514</v>
      </c>
      <c r="AL1184" s="4">
        <v>42957</v>
      </c>
      <c r="AM1184" s="3"/>
      <c r="AN1184" s="3" t="s">
        <v>4746</v>
      </c>
    </row>
    <row r="1185" spans="1:40" x14ac:dyDescent="0.3">
      <c r="A1185" s="3">
        <v>1179</v>
      </c>
      <c r="B1185" s="3" t="str">
        <f>"1784177"</f>
        <v>1784177</v>
      </c>
      <c r="C1185" s="3">
        <v>45059</v>
      </c>
      <c r="D1185" s="3" t="s">
        <v>4747</v>
      </c>
      <c r="E1185" s="3">
        <v>10207235071</v>
      </c>
      <c r="F1185" s="3" t="s">
        <v>4748</v>
      </c>
      <c r="G1185" s="3" t="s">
        <v>4749</v>
      </c>
      <c r="H1185" s="3" t="s">
        <v>237</v>
      </c>
      <c r="I1185" s="3" t="s">
        <v>4750</v>
      </c>
      <c r="J1185" s="3" t="s">
        <v>4751</v>
      </c>
      <c r="K1185" s="3" t="s">
        <v>4752</v>
      </c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 t="s">
        <v>906</v>
      </c>
      <c r="AL1185" s="4">
        <v>39524</v>
      </c>
      <c r="AM1185" s="3"/>
      <c r="AN1185" s="3"/>
    </row>
    <row r="1186" spans="1:40" x14ac:dyDescent="0.3">
      <c r="A1186" s="3">
        <v>1180</v>
      </c>
      <c r="B1186" s="3" t="str">
        <f>"201700041056"</f>
        <v>201700041056</v>
      </c>
      <c r="C1186" s="3">
        <v>124967</v>
      </c>
      <c r="D1186" s="3" t="s">
        <v>4753</v>
      </c>
      <c r="E1186" s="3">
        <v>20278540449</v>
      </c>
      <c r="F1186" s="3" t="s">
        <v>939</v>
      </c>
      <c r="G1186" s="3" t="s">
        <v>4754</v>
      </c>
      <c r="H1186" s="3" t="s">
        <v>446</v>
      </c>
      <c r="I1186" s="3" t="s">
        <v>446</v>
      </c>
      <c r="J1186" s="3" t="s">
        <v>830</v>
      </c>
      <c r="K1186" s="3" t="s">
        <v>4755</v>
      </c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 t="s">
        <v>525</v>
      </c>
      <c r="AL1186" s="4">
        <v>42835</v>
      </c>
      <c r="AM1186" s="3"/>
      <c r="AN1186" s="3" t="s">
        <v>2838</v>
      </c>
    </row>
    <row r="1187" spans="1:40" ht="27.95" x14ac:dyDescent="0.3">
      <c r="A1187" s="3">
        <v>1181</v>
      </c>
      <c r="B1187" s="3" t="str">
        <f>"201500079115"</f>
        <v>201500079115</v>
      </c>
      <c r="C1187" s="3">
        <v>114208</v>
      </c>
      <c r="D1187" s="3" t="s">
        <v>4756</v>
      </c>
      <c r="E1187" s="3">
        <v>20462279991</v>
      </c>
      <c r="F1187" s="3" t="s">
        <v>4757</v>
      </c>
      <c r="G1187" s="3" t="s">
        <v>4758</v>
      </c>
      <c r="H1187" s="3" t="s">
        <v>395</v>
      </c>
      <c r="I1187" s="3" t="s">
        <v>396</v>
      </c>
      <c r="J1187" s="3" t="s">
        <v>397</v>
      </c>
      <c r="K1187" s="3" t="s">
        <v>4759</v>
      </c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 t="s">
        <v>3546</v>
      </c>
      <c r="AL1187" s="3" t="s">
        <v>290</v>
      </c>
      <c r="AM1187" s="3"/>
      <c r="AN1187" s="3" t="s">
        <v>3547</v>
      </c>
    </row>
    <row r="1188" spans="1:40" x14ac:dyDescent="0.3">
      <c r="A1188" s="3">
        <v>1182</v>
      </c>
      <c r="B1188" s="3" t="str">
        <f>"201400094947"</f>
        <v>201400094947</v>
      </c>
      <c r="C1188" s="3">
        <v>21113</v>
      </c>
      <c r="D1188" s="3" t="s">
        <v>4760</v>
      </c>
      <c r="E1188" s="3">
        <v>20174640514</v>
      </c>
      <c r="F1188" s="3" t="s">
        <v>3043</v>
      </c>
      <c r="G1188" s="3" t="s">
        <v>4761</v>
      </c>
      <c r="H1188" s="3" t="s">
        <v>75</v>
      </c>
      <c r="I1188" s="3" t="s">
        <v>75</v>
      </c>
      <c r="J1188" s="3" t="s">
        <v>76</v>
      </c>
      <c r="K1188" s="3" t="s">
        <v>4762</v>
      </c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 t="s">
        <v>157</v>
      </c>
      <c r="AL1188" s="4">
        <v>41845</v>
      </c>
      <c r="AM1188" s="3"/>
      <c r="AN1188" s="3" t="s">
        <v>3046</v>
      </c>
    </row>
    <row r="1189" spans="1:40" x14ac:dyDescent="0.3">
      <c r="A1189" s="3">
        <v>1183</v>
      </c>
      <c r="B1189" s="3" t="str">
        <f>"1117354"</f>
        <v>1117354</v>
      </c>
      <c r="C1189" s="3">
        <v>3584</v>
      </c>
      <c r="D1189" s="3">
        <v>1003788</v>
      </c>
      <c r="E1189" s="3">
        <v>10080640400</v>
      </c>
      <c r="F1189" s="3" t="s">
        <v>4763</v>
      </c>
      <c r="G1189" s="3" t="s">
        <v>4764</v>
      </c>
      <c r="H1189" s="3" t="s">
        <v>56</v>
      </c>
      <c r="I1189" s="3" t="s">
        <v>56</v>
      </c>
      <c r="J1189" s="3" t="s">
        <v>4447</v>
      </c>
      <c r="K1189" s="3" t="s">
        <v>4765</v>
      </c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 t="s">
        <v>321</v>
      </c>
      <c r="AL1189" s="4">
        <v>35543</v>
      </c>
      <c r="AM1189" s="3"/>
      <c r="AN1189" s="3"/>
    </row>
    <row r="1190" spans="1:40" x14ac:dyDescent="0.3">
      <c r="A1190" s="3">
        <v>1184</v>
      </c>
      <c r="B1190" s="3" t="str">
        <f>"1413539"</f>
        <v>1413539</v>
      </c>
      <c r="C1190" s="3">
        <v>34600</v>
      </c>
      <c r="D1190" s="3" t="s">
        <v>4766</v>
      </c>
      <c r="E1190" s="3">
        <v>10065467122</v>
      </c>
      <c r="F1190" s="3" t="s">
        <v>4767</v>
      </c>
      <c r="G1190" s="3" t="s">
        <v>2994</v>
      </c>
      <c r="H1190" s="3" t="s">
        <v>56</v>
      </c>
      <c r="I1190" s="3" t="s">
        <v>56</v>
      </c>
      <c r="J1190" s="3" t="s">
        <v>2995</v>
      </c>
      <c r="K1190" s="3" t="s">
        <v>4768</v>
      </c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 t="s">
        <v>4769</v>
      </c>
      <c r="AL1190" s="4">
        <v>37776</v>
      </c>
      <c r="AM1190" s="3"/>
      <c r="AN1190" s="3"/>
    </row>
    <row r="1191" spans="1:40" x14ac:dyDescent="0.3">
      <c r="A1191" s="3">
        <v>1185</v>
      </c>
      <c r="B1191" s="3" t="str">
        <f>"1784102"</f>
        <v>1784102</v>
      </c>
      <c r="C1191" s="3">
        <v>63065</v>
      </c>
      <c r="D1191" s="3" t="s">
        <v>4770</v>
      </c>
      <c r="E1191" s="3">
        <v>20100005485</v>
      </c>
      <c r="F1191" s="3" t="s">
        <v>4771</v>
      </c>
      <c r="G1191" s="3" t="s">
        <v>4772</v>
      </c>
      <c r="H1191" s="3" t="s">
        <v>56</v>
      </c>
      <c r="I1191" s="3" t="s">
        <v>56</v>
      </c>
      <c r="J1191" s="3" t="s">
        <v>363</v>
      </c>
      <c r="K1191" s="3" t="s">
        <v>4773</v>
      </c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 t="s">
        <v>518</v>
      </c>
      <c r="AL1191" s="4">
        <v>39591</v>
      </c>
      <c r="AM1191" s="3"/>
      <c r="AN1191" s="3"/>
    </row>
    <row r="1192" spans="1:40" x14ac:dyDescent="0.3">
      <c r="A1192" s="3">
        <v>1186</v>
      </c>
      <c r="B1192" s="3" t="str">
        <f>"1784107"</f>
        <v>1784107</v>
      </c>
      <c r="C1192" s="3">
        <v>63062</v>
      </c>
      <c r="D1192" s="3" t="s">
        <v>4774</v>
      </c>
      <c r="E1192" s="3">
        <v>20100005485</v>
      </c>
      <c r="F1192" s="3" t="s">
        <v>1361</v>
      </c>
      <c r="G1192" s="3" t="s">
        <v>4775</v>
      </c>
      <c r="H1192" s="3" t="s">
        <v>56</v>
      </c>
      <c r="I1192" s="3" t="s">
        <v>56</v>
      </c>
      <c r="J1192" s="3" t="s">
        <v>363</v>
      </c>
      <c r="K1192" s="3" t="s">
        <v>4776</v>
      </c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 t="s">
        <v>518</v>
      </c>
      <c r="AL1192" s="4">
        <v>39591</v>
      </c>
      <c r="AM1192" s="3"/>
      <c r="AN1192" s="3"/>
    </row>
    <row r="1193" spans="1:40" x14ac:dyDescent="0.3">
      <c r="A1193" s="3">
        <v>1187</v>
      </c>
      <c r="B1193" s="3" t="str">
        <f>"201400063647"</f>
        <v>201400063647</v>
      </c>
      <c r="C1193" s="3">
        <v>6173</v>
      </c>
      <c r="D1193" s="3" t="s">
        <v>4777</v>
      </c>
      <c r="E1193" s="3">
        <v>20100005485</v>
      </c>
      <c r="F1193" s="3" t="s">
        <v>4778</v>
      </c>
      <c r="G1193" s="3" t="s">
        <v>4779</v>
      </c>
      <c r="H1193" s="3" t="s">
        <v>75</v>
      </c>
      <c r="I1193" s="3" t="s">
        <v>75</v>
      </c>
      <c r="J1193" s="3" t="s">
        <v>76</v>
      </c>
      <c r="K1193" s="3" t="s">
        <v>4780</v>
      </c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 t="s">
        <v>607</v>
      </c>
      <c r="AL1193" s="4">
        <v>41779</v>
      </c>
      <c r="AM1193" s="3"/>
      <c r="AN1193" s="3" t="s">
        <v>4781</v>
      </c>
    </row>
    <row r="1194" spans="1:40" x14ac:dyDescent="0.3">
      <c r="A1194" s="3">
        <v>1188</v>
      </c>
      <c r="B1194" s="3" t="str">
        <f>"1387223"</f>
        <v>1387223</v>
      </c>
      <c r="C1194" s="3">
        <v>21246</v>
      </c>
      <c r="D1194" s="3" t="s">
        <v>4782</v>
      </c>
      <c r="E1194" s="3">
        <v>20100873681</v>
      </c>
      <c r="F1194" s="3" t="s">
        <v>1241</v>
      </c>
      <c r="G1194" s="3" t="s">
        <v>1047</v>
      </c>
      <c r="H1194" s="3" t="s">
        <v>56</v>
      </c>
      <c r="I1194" s="3" t="s">
        <v>56</v>
      </c>
      <c r="J1194" s="3" t="s">
        <v>715</v>
      </c>
      <c r="K1194" s="3" t="s">
        <v>4783</v>
      </c>
      <c r="L1194" s="3" t="s">
        <v>4784</v>
      </c>
      <c r="M1194" s="3" t="s">
        <v>4785</v>
      </c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 t="s">
        <v>4786</v>
      </c>
      <c r="AL1194" s="4">
        <v>37559</v>
      </c>
      <c r="AM1194" s="3"/>
      <c r="AN1194" s="3"/>
    </row>
    <row r="1195" spans="1:40" x14ac:dyDescent="0.3">
      <c r="A1195" s="3">
        <v>1189</v>
      </c>
      <c r="B1195" s="3" t="str">
        <f>"1462074"</f>
        <v>1462074</v>
      </c>
      <c r="C1195" s="3">
        <v>36410</v>
      </c>
      <c r="D1195" s="3" t="s">
        <v>4787</v>
      </c>
      <c r="E1195" s="3">
        <v>10091819363</v>
      </c>
      <c r="F1195" s="3" t="s">
        <v>4788</v>
      </c>
      <c r="G1195" s="3" t="s">
        <v>4789</v>
      </c>
      <c r="H1195" s="3" t="s">
        <v>56</v>
      </c>
      <c r="I1195" s="3" t="s">
        <v>56</v>
      </c>
      <c r="J1195" s="3" t="s">
        <v>309</v>
      </c>
      <c r="K1195" s="3" t="s">
        <v>4790</v>
      </c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 t="s">
        <v>118</v>
      </c>
      <c r="AL1195" s="4">
        <v>38093</v>
      </c>
      <c r="AM1195" s="3"/>
      <c r="AN1195" s="3"/>
    </row>
    <row r="1196" spans="1:40" ht="27.95" x14ac:dyDescent="0.3">
      <c r="A1196" s="3">
        <v>1190</v>
      </c>
      <c r="B1196" s="3" t="str">
        <f>"1916272"</f>
        <v>1916272</v>
      </c>
      <c r="C1196" s="3">
        <v>83794</v>
      </c>
      <c r="D1196" s="3" t="s">
        <v>4791</v>
      </c>
      <c r="E1196" s="3">
        <v>10074962578</v>
      </c>
      <c r="F1196" s="3" t="s">
        <v>4792</v>
      </c>
      <c r="G1196" s="3" t="s">
        <v>4793</v>
      </c>
      <c r="H1196" s="3" t="s">
        <v>56</v>
      </c>
      <c r="I1196" s="3" t="s">
        <v>56</v>
      </c>
      <c r="J1196" s="3" t="s">
        <v>116</v>
      </c>
      <c r="K1196" s="3" t="s">
        <v>4794</v>
      </c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 t="s">
        <v>707</v>
      </c>
      <c r="AL1196" s="4">
        <v>40051</v>
      </c>
      <c r="AM1196" s="3"/>
      <c r="AN1196" s="3"/>
    </row>
    <row r="1197" spans="1:40" x14ac:dyDescent="0.3">
      <c r="A1197" s="3">
        <v>1191</v>
      </c>
      <c r="B1197" s="3" t="str">
        <f>"1455430"</f>
        <v>1455430</v>
      </c>
      <c r="C1197" s="3">
        <v>89944</v>
      </c>
      <c r="D1197" s="3" t="s">
        <v>4795</v>
      </c>
      <c r="E1197" s="3">
        <v>10021654987</v>
      </c>
      <c r="F1197" s="3" t="s">
        <v>4796</v>
      </c>
      <c r="G1197" s="3" t="s">
        <v>4797</v>
      </c>
      <c r="H1197" s="3" t="s">
        <v>97</v>
      </c>
      <c r="I1197" s="3" t="s">
        <v>97</v>
      </c>
      <c r="J1197" s="3" t="s">
        <v>144</v>
      </c>
      <c r="K1197" s="3" t="s">
        <v>4798</v>
      </c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 t="s">
        <v>321</v>
      </c>
      <c r="AL1197" s="4">
        <v>40528</v>
      </c>
      <c r="AM1197" s="3"/>
      <c r="AN1197" s="3" t="s">
        <v>4796</v>
      </c>
    </row>
    <row r="1198" spans="1:40" ht="27.95" x14ac:dyDescent="0.3">
      <c r="A1198" s="3">
        <v>1192</v>
      </c>
      <c r="B1198" s="3" t="str">
        <f>"1568119"</f>
        <v>1568119</v>
      </c>
      <c r="C1198" s="3">
        <v>35635</v>
      </c>
      <c r="D1198" s="3" t="s">
        <v>4799</v>
      </c>
      <c r="E1198" s="3">
        <v>10071940808</v>
      </c>
      <c r="F1198" s="3" t="s">
        <v>4800</v>
      </c>
      <c r="G1198" s="3" t="s">
        <v>4801</v>
      </c>
      <c r="H1198" s="3" t="s">
        <v>56</v>
      </c>
      <c r="I1198" s="3" t="s">
        <v>56</v>
      </c>
      <c r="J1198" s="3" t="s">
        <v>277</v>
      </c>
      <c r="K1198" s="3" t="s">
        <v>4802</v>
      </c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 t="s">
        <v>81</v>
      </c>
      <c r="AL1198" s="4">
        <v>38652</v>
      </c>
      <c r="AM1198" s="3"/>
      <c r="AN1198" s="3"/>
    </row>
    <row r="1199" spans="1:40" x14ac:dyDescent="0.3">
      <c r="A1199" s="3">
        <v>1193</v>
      </c>
      <c r="B1199" s="3" t="str">
        <f>"1734730"</f>
        <v>1734730</v>
      </c>
      <c r="C1199" s="3">
        <v>45284</v>
      </c>
      <c r="D1199" s="3" t="s">
        <v>4803</v>
      </c>
      <c r="E1199" s="3">
        <v>10040115965</v>
      </c>
      <c r="F1199" s="3" t="s">
        <v>3055</v>
      </c>
      <c r="G1199" s="3" t="s">
        <v>4804</v>
      </c>
      <c r="H1199" s="3" t="s">
        <v>1946</v>
      </c>
      <c r="I1199" s="3" t="s">
        <v>1946</v>
      </c>
      <c r="J1199" s="3" t="s">
        <v>2957</v>
      </c>
      <c r="K1199" s="3" t="s">
        <v>4805</v>
      </c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 t="s">
        <v>3136</v>
      </c>
      <c r="AL1199" s="4">
        <v>39392</v>
      </c>
      <c r="AM1199" s="3"/>
      <c r="AN1199" s="3"/>
    </row>
    <row r="1200" spans="1:40" x14ac:dyDescent="0.3">
      <c r="A1200" s="3">
        <v>1194</v>
      </c>
      <c r="B1200" s="3" t="str">
        <f>"201400063653"</f>
        <v>201400063653</v>
      </c>
      <c r="C1200" s="3">
        <v>109593</v>
      </c>
      <c r="D1200" s="3" t="s">
        <v>4806</v>
      </c>
      <c r="E1200" s="3">
        <v>20100005485</v>
      </c>
      <c r="F1200" s="3" t="s">
        <v>1361</v>
      </c>
      <c r="G1200" s="3" t="s">
        <v>4779</v>
      </c>
      <c r="H1200" s="3" t="s">
        <v>75</v>
      </c>
      <c r="I1200" s="3" t="s">
        <v>75</v>
      </c>
      <c r="J1200" s="3" t="s">
        <v>76</v>
      </c>
      <c r="K1200" s="3" t="s">
        <v>4807</v>
      </c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 t="s">
        <v>47</v>
      </c>
      <c r="AL1200" s="4">
        <v>41779</v>
      </c>
      <c r="AM1200" s="3"/>
      <c r="AN1200" s="3" t="s">
        <v>4781</v>
      </c>
    </row>
    <row r="1201" spans="1:40" x14ac:dyDescent="0.3">
      <c r="A1201" s="3">
        <v>1195</v>
      </c>
      <c r="B1201" s="3" t="str">
        <f>"1442312"</f>
        <v>1442312</v>
      </c>
      <c r="C1201" s="3">
        <v>39467</v>
      </c>
      <c r="D1201" s="3" t="s">
        <v>4808</v>
      </c>
      <c r="E1201" s="3">
        <v>10296799462</v>
      </c>
      <c r="F1201" s="3" t="s">
        <v>324</v>
      </c>
      <c r="G1201" s="3" t="s">
        <v>4409</v>
      </c>
      <c r="H1201" s="3" t="s">
        <v>97</v>
      </c>
      <c r="I1201" s="3" t="s">
        <v>97</v>
      </c>
      <c r="J1201" s="3" t="s">
        <v>326</v>
      </c>
      <c r="K1201" s="3" t="s">
        <v>4809</v>
      </c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 t="s">
        <v>4810</v>
      </c>
      <c r="AL1201" s="4">
        <v>40494</v>
      </c>
      <c r="AM1201" s="3"/>
      <c r="AN1201" s="3" t="s">
        <v>324</v>
      </c>
    </row>
    <row r="1202" spans="1:40" x14ac:dyDescent="0.3">
      <c r="A1202" s="3">
        <v>1196</v>
      </c>
      <c r="B1202" s="3" t="str">
        <f>"1132604"</f>
        <v>1132604</v>
      </c>
      <c r="C1202" s="3">
        <v>3519</v>
      </c>
      <c r="D1202" s="3" t="s">
        <v>4811</v>
      </c>
      <c r="E1202" s="3">
        <v>10178084394</v>
      </c>
      <c r="F1202" s="3" t="s">
        <v>4812</v>
      </c>
      <c r="G1202" s="3" t="s">
        <v>4813</v>
      </c>
      <c r="H1202" s="3" t="s">
        <v>44</v>
      </c>
      <c r="I1202" s="3" t="s">
        <v>45</v>
      </c>
      <c r="J1202" s="3" t="s">
        <v>45</v>
      </c>
      <c r="K1202" s="3" t="s">
        <v>4814</v>
      </c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 t="s">
        <v>851</v>
      </c>
      <c r="AL1202" s="4">
        <v>36795</v>
      </c>
      <c r="AM1202" s="3"/>
      <c r="AN1202" s="3"/>
    </row>
    <row r="1203" spans="1:40" x14ac:dyDescent="0.3">
      <c r="A1203" s="3">
        <v>1197</v>
      </c>
      <c r="B1203" s="3" t="str">
        <f>"1165804"</f>
        <v>1165804</v>
      </c>
      <c r="C1203" s="3">
        <v>6182</v>
      </c>
      <c r="D1203" s="3">
        <v>1158296</v>
      </c>
      <c r="E1203" s="3">
        <v>10087219769</v>
      </c>
      <c r="F1203" s="3" t="s">
        <v>4815</v>
      </c>
      <c r="G1203" s="3" t="s">
        <v>4816</v>
      </c>
      <c r="H1203" s="3" t="s">
        <v>56</v>
      </c>
      <c r="I1203" s="3" t="s">
        <v>56</v>
      </c>
      <c r="J1203" s="3" t="s">
        <v>380</v>
      </c>
      <c r="K1203" s="3" t="s">
        <v>4817</v>
      </c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 t="s">
        <v>4818</v>
      </c>
      <c r="AL1203" s="4">
        <v>35794</v>
      </c>
      <c r="AM1203" s="3"/>
      <c r="AN1203" s="3"/>
    </row>
    <row r="1204" spans="1:40" x14ac:dyDescent="0.3">
      <c r="A1204" s="3">
        <v>1198</v>
      </c>
      <c r="B1204" s="3" t="str">
        <f>"201900190850"</f>
        <v>201900190850</v>
      </c>
      <c r="C1204" s="3">
        <v>147849</v>
      </c>
      <c r="D1204" s="3" t="s">
        <v>4819</v>
      </c>
      <c r="E1204" s="3">
        <v>10438050740</v>
      </c>
      <c r="F1204" s="3" t="s">
        <v>4820</v>
      </c>
      <c r="G1204" s="3" t="s">
        <v>4821</v>
      </c>
      <c r="H1204" s="3" t="s">
        <v>222</v>
      </c>
      <c r="I1204" s="3" t="s">
        <v>1892</v>
      </c>
      <c r="J1204" s="3" t="s">
        <v>1892</v>
      </c>
      <c r="K1204" s="3" t="s">
        <v>4822</v>
      </c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 t="s">
        <v>218</v>
      </c>
      <c r="AL1204" s="4">
        <v>43788</v>
      </c>
      <c r="AM1204" s="3"/>
      <c r="AN1204" s="3" t="s">
        <v>4820</v>
      </c>
    </row>
    <row r="1205" spans="1:40" x14ac:dyDescent="0.3">
      <c r="A1205" s="3">
        <v>1199</v>
      </c>
      <c r="B1205" s="3" t="str">
        <f>"1225940"</f>
        <v>1225940</v>
      </c>
      <c r="C1205" s="3">
        <v>15957</v>
      </c>
      <c r="D1205" s="3">
        <v>1225940</v>
      </c>
      <c r="E1205" s="3">
        <v>10294034116</v>
      </c>
      <c r="F1205" s="3" t="s">
        <v>4823</v>
      </c>
      <c r="G1205" s="3" t="s">
        <v>4824</v>
      </c>
      <c r="H1205" s="3" t="s">
        <v>97</v>
      </c>
      <c r="I1205" s="3" t="s">
        <v>97</v>
      </c>
      <c r="J1205" s="3" t="s">
        <v>105</v>
      </c>
      <c r="K1205" s="3" t="s">
        <v>4825</v>
      </c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 t="s">
        <v>52</v>
      </c>
      <c r="AL1205" s="4">
        <v>36243</v>
      </c>
      <c r="AM1205" s="3"/>
      <c r="AN1205" s="3"/>
    </row>
    <row r="1206" spans="1:40" x14ac:dyDescent="0.3">
      <c r="A1206" s="3">
        <v>1200</v>
      </c>
      <c r="B1206" s="3" t="str">
        <f>"1552146"</f>
        <v>1552146</v>
      </c>
      <c r="C1206" s="3">
        <v>41471</v>
      </c>
      <c r="D1206" s="3" t="s">
        <v>4826</v>
      </c>
      <c r="E1206" s="3">
        <v>20507840290</v>
      </c>
      <c r="F1206" s="3" t="s">
        <v>4827</v>
      </c>
      <c r="G1206" s="3" t="s">
        <v>4828</v>
      </c>
      <c r="H1206" s="3" t="s">
        <v>56</v>
      </c>
      <c r="I1206" s="3" t="s">
        <v>663</v>
      </c>
      <c r="J1206" s="3" t="s">
        <v>664</v>
      </c>
      <c r="K1206" s="3" t="s">
        <v>4829</v>
      </c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 t="s">
        <v>546</v>
      </c>
      <c r="AL1206" s="4">
        <v>38576</v>
      </c>
      <c r="AM1206" s="3"/>
      <c r="AN1206" s="3"/>
    </row>
    <row r="1207" spans="1:40" x14ac:dyDescent="0.3">
      <c r="A1207" s="3">
        <v>1201</v>
      </c>
      <c r="B1207" s="3" t="str">
        <f>"201800144747"</f>
        <v>201800144747</v>
      </c>
      <c r="C1207" s="3">
        <v>138345</v>
      </c>
      <c r="D1207" s="3" t="s">
        <v>4830</v>
      </c>
      <c r="E1207" s="3">
        <v>10417971888</v>
      </c>
      <c r="F1207" s="3" t="s">
        <v>4831</v>
      </c>
      <c r="G1207" s="3" t="s">
        <v>4832</v>
      </c>
      <c r="H1207" s="3" t="s">
        <v>56</v>
      </c>
      <c r="I1207" s="3" t="s">
        <v>56</v>
      </c>
      <c r="J1207" s="3" t="s">
        <v>363</v>
      </c>
      <c r="K1207" s="3" t="s">
        <v>4833</v>
      </c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 t="s">
        <v>1786</v>
      </c>
      <c r="AL1207" s="4">
        <v>43357</v>
      </c>
      <c r="AM1207" s="3"/>
      <c r="AN1207" s="3" t="s">
        <v>4831</v>
      </c>
    </row>
    <row r="1208" spans="1:40" ht="27.95" x14ac:dyDescent="0.3">
      <c r="A1208" s="3">
        <v>1202</v>
      </c>
      <c r="B1208" s="3" t="str">
        <f>"1394881"</f>
        <v>1394881</v>
      </c>
      <c r="C1208" s="3">
        <v>41509</v>
      </c>
      <c r="D1208" s="3" t="s">
        <v>4834</v>
      </c>
      <c r="E1208" s="3">
        <v>20508069015</v>
      </c>
      <c r="F1208" s="3" t="s">
        <v>430</v>
      </c>
      <c r="G1208" s="3" t="s">
        <v>4835</v>
      </c>
      <c r="H1208" s="3" t="s">
        <v>56</v>
      </c>
      <c r="I1208" s="3" t="s">
        <v>56</v>
      </c>
      <c r="J1208" s="3" t="s">
        <v>432</v>
      </c>
      <c r="K1208" s="3" t="s">
        <v>4836</v>
      </c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 t="s">
        <v>434</v>
      </c>
      <c r="AL1208" s="4">
        <v>40406</v>
      </c>
      <c r="AM1208" s="3"/>
      <c r="AN1208" s="3" t="s">
        <v>4837</v>
      </c>
    </row>
    <row r="1209" spans="1:40" ht="27.95" x14ac:dyDescent="0.3">
      <c r="A1209" s="3">
        <v>1203</v>
      </c>
      <c r="B1209" s="3" t="str">
        <f>"201900038830"</f>
        <v>201900038830</v>
      </c>
      <c r="C1209" s="3">
        <v>141477</v>
      </c>
      <c r="D1209" s="3" t="s">
        <v>4838</v>
      </c>
      <c r="E1209" s="3">
        <v>20547845201</v>
      </c>
      <c r="F1209" s="3" t="s">
        <v>4839</v>
      </c>
      <c r="G1209" s="3" t="s">
        <v>4840</v>
      </c>
      <c r="H1209" s="3" t="s">
        <v>56</v>
      </c>
      <c r="I1209" s="3" t="s">
        <v>56</v>
      </c>
      <c r="J1209" s="3" t="s">
        <v>363</v>
      </c>
      <c r="K1209" s="3" t="s">
        <v>4841</v>
      </c>
      <c r="L1209" s="3" t="s">
        <v>4842</v>
      </c>
      <c r="M1209" s="3" t="s">
        <v>4843</v>
      </c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 t="s">
        <v>4844</v>
      </c>
      <c r="AL1209" s="4">
        <v>43538</v>
      </c>
      <c r="AM1209" s="3"/>
      <c r="AN1209" s="3" t="s">
        <v>4845</v>
      </c>
    </row>
    <row r="1210" spans="1:40" x14ac:dyDescent="0.3">
      <c r="A1210" s="3">
        <v>1204</v>
      </c>
      <c r="B1210" s="3" t="str">
        <f>"201400075196"</f>
        <v>201400075196</v>
      </c>
      <c r="C1210" s="3">
        <v>109979</v>
      </c>
      <c r="D1210" s="3" t="s">
        <v>4846</v>
      </c>
      <c r="E1210" s="3">
        <v>20498368728</v>
      </c>
      <c r="F1210" s="3" t="s">
        <v>4847</v>
      </c>
      <c r="G1210" s="3" t="s">
        <v>4848</v>
      </c>
      <c r="H1210" s="3" t="s">
        <v>97</v>
      </c>
      <c r="I1210" s="3" t="s">
        <v>97</v>
      </c>
      <c r="J1210" s="3" t="s">
        <v>341</v>
      </c>
      <c r="K1210" s="3" t="s">
        <v>4849</v>
      </c>
      <c r="L1210" s="3" t="s">
        <v>4850</v>
      </c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 t="s">
        <v>150</v>
      </c>
      <c r="AL1210" s="4">
        <v>41809</v>
      </c>
      <c r="AM1210" s="3"/>
      <c r="AN1210" s="3" t="s">
        <v>4851</v>
      </c>
    </row>
    <row r="1211" spans="1:40" x14ac:dyDescent="0.3">
      <c r="A1211" s="3">
        <v>1205</v>
      </c>
      <c r="B1211" s="3" t="str">
        <f>"201400075198"</f>
        <v>201400075198</v>
      </c>
      <c r="C1211" s="3">
        <v>109978</v>
      </c>
      <c r="D1211" s="3" t="s">
        <v>4852</v>
      </c>
      <c r="E1211" s="3">
        <v>20498368728</v>
      </c>
      <c r="F1211" s="3" t="s">
        <v>4847</v>
      </c>
      <c r="G1211" s="3" t="s">
        <v>4848</v>
      </c>
      <c r="H1211" s="3" t="s">
        <v>97</v>
      </c>
      <c r="I1211" s="3" t="s">
        <v>97</v>
      </c>
      <c r="J1211" s="3" t="s">
        <v>341</v>
      </c>
      <c r="K1211" s="3" t="s">
        <v>4853</v>
      </c>
      <c r="L1211" s="3" t="s">
        <v>4854</v>
      </c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 t="s">
        <v>150</v>
      </c>
      <c r="AL1211" s="4">
        <v>41809</v>
      </c>
      <c r="AM1211" s="3"/>
      <c r="AN1211" s="3" t="s">
        <v>4851</v>
      </c>
    </row>
    <row r="1212" spans="1:40" ht="27.95" x14ac:dyDescent="0.3">
      <c r="A1212" s="3">
        <v>1206</v>
      </c>
      <c r="B1212" s="3" t="str">
        <f>"1394889"</f>
        <v>1394889</v>
      </c>
      <c r="C1212" s="3">
        <v>41510</v>
      </c>
      <c r="D1212" s="3" t="s">
        <v>4855</v>
      </c>
      <c r="E1212" s="3">
        <v>20508069015</v>
      </c>
      <c r="F1212" s="3" t="s">
        <v>430</v>
      </c>
      <c r="G1212" s="3" t="s">
        <v>4835</v>
      </c>
      <c r="H1212" s="3" t="s">
        <v>56</v>
      </c>
      <c r="I1212" s="3" t="s">
        <v>56</v>
      </c>
      <c r="J1212" s="3" t="s">
        <v>432</v>
      </c>
      <c r="K1212" s="3" t="s">
        <v>4856</v>
      </c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 t="s">
        <v>1053</v>
      </c>
      <c r="AL1212" s="4">
        <v>40406</v>
      </c>
      <c r="AM1212" s="3"/>
      <c r="AN1212" s="3" t="s">
        <v>4837</v>
      </c>
    </row>
    <row r="1213" spans="1:40" ht="27.95" x14ac:dyDescent="0.3">
      <c r="A1213" s="3">
        <v>1207</v>
      </c>
      <c r="B1213" s="3" t="str">
        <f>"201400164900"</f>
        <v>201400164900</v>
      </c>
      <c r="C1213" s="3">
        <v>112948</v>
      </c>
      <c r="D1213" s="3" t="s">
        <v>4857</v>
      </c>
      <c r="E1213" s="3">
        <v>20404723392</v>
      </c>
      <c r="F1213" s="3" t="s">
        <v>87</v>
      </c>
      <c r="G1213" s="3" t="s">
        <v>4858</v>
      </c>
      <c r="H1213" s="3" t="s">
        <v>89</v>
      </c>
      <c r="I1213" s="3" t="s">
        <v>89</v>
      </c>
      <c r="J1213" s="3" t="s">
        <v>90</v>
      </c>
      <c r="K1213" s="3" t="s">
        <v>4859</v>
      </c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 t="s">
        <v>4860</v>
      </c>
      <c r="AL1213" s="4">
        <v>42012</v>
      </c>
      <c r="AM1213" s="3"/>
      <c r="AN1213" s="3" t="s">
        <v>93</v>
      </c>
    </row>
    <row r="1214" spans="1:40" x14ac:dyDescent="0.3">
      <c r="A1214" s="3">
        <v>1208</v>
      </c>
      <c r="B1214" s="3" t="str">
        <f>"1551818"</f>
        <v>1551818</v>
      </c>
      <c r="C1214" s="3">
        <v>40406</v>
      </c>
      <c r="D1214" s="3" t="s">
        <v>4861</v>
      </c>
      <c r="E1214" s="3">
        <v>10270588978</v>
      </c>
      <c r="F1214" s="3" t="s">
        <v>4862</v>
      </c>
      <c r="G1214" s="3" t="s">
        <v>4863</v>
      </c>
      <c r="H1214" s="3" t="s">
        <v>357</v>
      </c>
      <c r="I1214" s="3" t="s">
        <v>357</v>
      </c>
      <c r="J1214" s="3" t="s">
        <v>357</v>
      </c>
      <c r="K1214" s="3" t="s">
        <v>4864</v>
      </c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 t="s">
        <v>81</v>
      </c>
      <c r="AL1214" s="4">
        <v>38553</v>
      </c>
      <c r="AM1214" s="3"/>
      <c r="AN1214" s="3"/>
    </row>
    <row r="1215" spans="1:40" x14ac:dyDescent="0.3">
      <c r="A1215" s="3">
        <v>1209</v>
      </c>
      <c r="B1215" s="3" t="str">
        <f>"1225934"</f>
        <v>1225934</v>
      </c>
      <c r="C1215" s="3">
        <v>15949</v>
      </c>
      <c r="D1215" s="3">
        <v>1225934</v>
      </c>
      <c r="E1215" s="3">
        <v>10243769359</v>
      </c>
      <c r="F1215" s="3" t="s">
        <v>4865</v>
      </c>
      <c r="G1215" s="3" t="s">
        <v>4866</v>
      </c>
      <c r="H1215" s="3" t="s">
        <v>97</v>
      </c>
      <c r="I1215" s="3" t="s">
        <v>97</v>
      </c>
      <c r="J1215" s="3" t="s">
        <v>3210</v>
      </c>
      <c r="K1215" s="3" t="s">
        <v>4867</v>
      </c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 t="s">
        <v>52</v>
      </c>
      <c r="AL1215" s="4">
        <v>36245</v>
      </c>
      <c r="AM1215" s="3"/>
      <c r="AN1215" s="3"/>
    </row>
    <row r="1216" spans="1:40" ht="27.95" x14ac:dyDescent="0.3">
      <c r="A1216" s="3">
        <v>1210</v>
      </c>
      <c r="B1216" s="3" t="str">
        <f>"201400164905"</f>
        <v>201400164905</v>
      </c>
      <c r="C1216" s="3">
        <v>112949</v>
      </c>
      <c r="D1216" s="3" t="s">
        <v>4868</v>
      </c>
      <c r="E1216" s="3">
        <v>20404723392</v>
      </c>
      <c r="F1216" s="3" t="s">
        <v>87</v>
      </c>
      <c r="G1216" s="3" t="s">
        <v>4869</v>
      </c>
      <c r="H1216" s="3" t="s">
        <v>89</v>
      </c>
      <c r="I1216" s="3" t="s">
        <v>89</v>
      </c>
      <c r="J1216" s="3" t="s">
        <v>90</v>
      </c>
      <c r="K1216" s="3" t="s">
        <v>4870</v>
      </c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 t="s">
        <v>92</v>
      </c>
      <c r="AL1216" s="4">
        <v>42012</v>
      </c>
      <c r="AM1216" s="3"/>
      <c r="AN1216" s="3" t="s">
        <v>93</v>
      </c>
    </row>
    <row r="1217" spans="1:40" x14ac:dyDescent="0.3">
      <c r="A1217" s="3">
        <v>1211</v>
      </c>
      <c r="B1217" s="3" t="str">
        <f>"1225937"</f>
        <v>1225937</v>
      </c>
      <c r="C1217" s="3">
        <v>15972</v>
      </c>
      <c r="D1217" s="3">
        <v>1225937</v>
      </c>
      <c r="E1217" s="3">
        <v>10293402707</v>
      </c>
      <c r="F1217" s="3" t="s">
        <v>4871</v>
      </c>
      <c r="G1217" s="3" t="s">
        <v>4872</v>
      </c>
      <c r="H1217" s="3" t="s">
        <v>97</v>
      </c>
      <c r="I1217" s="3" t="s">
        <v>97</v>
      </c>
      <c r="J1217" s="3" t="s">
        <v>2039</v>
      </c>
      <c r="K1217" s="3" t="s">
        <v>4873</v>
      </c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 t="s">
        <v>52</v>
      </c>
      <c r="AL1217" s="4">
        <v>36243</v>
      </c>
      <c r="AM1217" s="3"/>
      <c r="AN1217" s="3"/>
    </row>
    <row r="1218" spans="1:40" x14ac:dyDescent="0.3">
      <c r="A1218" s="3">
        <v>1212</v>
      </c>
      <c r="B1218" s="3" t="str">
        <f>"201500153336"</f>
        <v>201500153336</v>
      </c>
      <c r="C1218" s="3">
        <v>118576</v>
      </c>
      <c r="D1218" s="3" t="s">
        <v>4874</v>
      </c>
      <c r="E1218" s="3">
        <v>10292917177</v>
      </c>
      <c r="F1218" s="3" t="s">
        <v>444</v>
      </c>
      <c r="G1218" s="3" t="s">
        <v>4875</v>
      </c>
      <c r="H1218" s="3" t="s">
        <v>97</v>
      </c>
      <c r="I1218" s="3" t="s">
        <v>97</v>
      </c>
      <c r="J1218" s="3" t="s">
        <v>326</v>
      </c>
      <c r="K1218" s="3" t="s">
        <v>4876</v>
      </c>
      <c r="L1218" s="3" t="s">
        <v>4676</v>
      </c>
      <c r="M1218" s="3" t="s">
        <v>4677</v>
      </c>
      <c r="N1218" s="3" t="s">
        <v>4877</v>
      </c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 t="s">
        <v>150</v>
      </c>
      <c r="AL1218" s="4">
        <v>42333</v>
      </c>
      <c r="AM1218" s="3"/>
      <c r="AN1218" s="3" t="s">
        <v>444</v>
      </c>
    </row>
    <row r="1219" spans="1:40" x14ac:dyDescent="0.3">
      <c r="A1219" s="3">
        <v>1213</v>
      </c>
      <c r="B1219" s="3" t="str">
        <f>"201800142857"</f>
        <v>201800142857</v>
      </c>
      <c r="C1219" s="3">
        <v>138302</v>
      </c>
      <c r="D1219" s="3" t="s">
        <v>4878</v>
      </c>
      <c r="E1219" s="3">
        <v>10425314802</v>
      </c>
      <c r="F1219" s="3" t="s">
        <v>4879</v>
      </c>
      <c r="G1219" s="3" t="s">
        <v>4880</v>
      </c>
      <c r="H1219" s="3" t="s">
        <v>56</v>
      </c>
      <c r="I1219" s="3" t="s">
        <v>56</v>
      </c>
      <c r="J1219" s="3" t="s">
        <v>273</v>
      </c>
      <c r="K1219" s="3" t="s">
        <v>4881</v>
      </c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 t="s">
        <v>3386</v>
      </c>
      <c r="AL1219" s="4">
        <v>43347</v>
      </c>
      <c r="AM1219" s="3"/>
      <c r="AN1219" s="3" t="s">
        <v>4879</v>
      </c>
    </row>
    <row r="1220" spans="1:40" x14ac:dyDescent="0.3">
      <c r="A1220" s="3">
        <v>1214</v>
      </c>
      <c r="B1220" s="3" t="str">
        <f>"1406819"</f>
        <v>1406819</v>
      </c>
      <c r="C1220" s="3">
        <v>35026</v>
      </c>
      <c r="D1220" s="3" t="s">
        <v>4882</v>
      </c>
      <c r="E1220" s="3">
        <v>20508790202</v>
      </c>
      <c r="F1220" s="3" t="s">
        <v>4883</v>
      </c>
      <c r="G1220" s="3" t="s">
        <v>1802</v>
      </c>
      <c r="H1220" s="3" t="s">
        <v>56</v>
      </c>
      <c r="I1220" s="3" t="s">
        <v>56</v>
      </c>
      <c r="J1220" s="3" t="s">
        <v>313</v>
      </c>
      <c r="K1220" s="3" t="s">
        <v>4884</v>
      </c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 t="s">
        <v>546</v>
      </c>
      <c r="AL1220" s="4">
        <v>40428</v>
      </c>
      <c r="AM1220" s="3"/>
      <c r="AN1220" s="3" t="s">
        <v>1805</v>
      </c>
    </row>
    <row r="1221" spans="1:40" x14ac:dyDescent="0.3">
      <c r="A1221" s="3">
        <v>1215</v>
      </c>
      <c r="B1221" s="3" t="str">
        <f>"1419988"</f>
        <v>1419988</v>
      </c>
      <c r="C1221" s="3">
        <v>34369</v>
      </c>
      <c r="D1221" s="3" t="s">
        <v>4885</v>
      </c>
      <c r="E1221" s="3">
        <v>10209699163</v>
      </c>
      <c r="F1221" s="3" t="s">
        <v>4886</v>
      </c>
      <c r="G1221" s="3" t="s">
        <v>4887</v>
      </c>
      <c r="H1221" s="3" t="s">
        <v>56</v>
      </c>
      <c r="I1221" s="3" t="s">
        <v>56</v>
      </c>
      <c r="J1221" s="3" t="s">
        <v>277</v>
      </c>
      <c r="K1221" s="3" t="s">
        <v>4888</v>
      </c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 t="s">
        <v>81</v>
      </c>
      <c r="AL1221" s="4">
        <v>37823</v>
      </c>
      <c r="AM1221" s="3"/>
      <c r="AN1221" s="3"/>
    </row>
    <row r="1222" spans="1:40" x14ac:dyDescent="0.3">
      <c r="A1222" s="3">
        <v>1216</v>
      </c>
      <c r="B1222" s="3" t="str">
        <f>"1535643"</f>
        <v>1535643</v>
      </c>
      <c r="C1222" s="3">
        <v>1989</v>
      </c>
      <c r="D1222" s="3" t="s">
        <v>4889</v>
      </c>
      <c r="E1222" s="3">
        <v>10068716417</v>
      </c>
      <c r="F1222" s="3" t="s">
        <v>4890</v>
      </c>
      <c r="G1222" s="3" t="s">
        <v>4891</v>
      </c>
      <c r="H1222" s="3" t="s">
        <v>56</v>
      </c>
      <c r="I1222" s="3" t="s">
        <v>56</v>
      </c>
      <c r="J1222" s="3" t="s">
        <v>481</v>
      </c>
      <c r="K1222" s="3" t="s">
        <v>4892</v>
      </c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 t="s">
        <v>353</v>
      </c>
      <c r="AL1222" s="4">
        <v>38506</v>
      </c>
      <c r="AM1222" s="3"/>
      <c r="AN1222" s="3"/>
    </row>
    <row r="1223" spans="1:40" ht="27.95" x14ac:dyDescent="0.3">
      <c r="A1223" s="3">
        <v>1217</v>
      </c>
      <c r="B1223" s="3" t="str">
        <f>"201900183512"</f>
        <v>201900183512</v>
      </c>
      <c r="C1223" s="3">
        <v>147643</v>
      </c>
      <c r="D1223" s="3" t="s">
        <v>4893</v>
      </c>
      <c r="E1223" s="3">
        <v>20404723392</v>
      </c>
      <c r="F1223" s="3" t="s">
        <v>1701</v>
      </c>
      <c r="G1223" s="3" t="s">
        <v>4894</v>
      </c>
      <c r="H1223" s="3" t="s">
        <v>89</v>
      </c>
      <c r="I1223" s="3" t="s">
        <v>89</v>
      </c>
      <c r="J1223" s="3" t="s">
        <v>90</v>
      </c>
      <c r="K1223" s="3" t="s">
        <v>4895</v>
      </c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 t="s">
        <v>256</v>
      </c>
      <c r="AL1223" s="4">
        <v>43794</v>
      </c>
      <c r="AM1223" s="3"/>
      <c r="AN1223" s="3" t="s">
        <v>93</v>
      </c>
    </row>
    <row r="1224" spans="1:40" x14ac:dyDescent="0.3">
      <c r="A1224" s="3">
        <v>1218</v>
      </c>
      <c r="B1224" s="3" t="str">
        <f>"201800011759"</f>
        <v>201800011759</v>
      </c>
      <c r="C1224" s="3">
        <v>134160</v>
      </c>
      <c r="D1224" s="3" t="s">
        <v>4896</v>
      </c>
      <c r="E1224" s="3">
        <v>20572157394</v>
      </c>
      <c r="F1224" s="3" t="s">
        <v>170</v>
      </c>
      <c r="G1224" s="3" t="s">
        <v>4897</v>
      </c>
      <c r="H1224" s="3" t="s">
        <v>172</v>
      </c>
      <c r="I1224" s="3" t="s">
        <v>172</v>
      </c>
      <c r="J1224" s="3" t="s">
        <v>173</v>
      </c>
      <c r="K1224" s="3" t="s">
        <v>4898</v>
      </c>
      <c r="L1224" s="3" t="s">
        <v>176</v>
      </c>
      <c r="M1224" s="3" t="s">
        <v>175</v>
      </c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 t="s">
        <v>4899</v>
      </c>
      <c r="AL1224" s="4">
        <v>43132</v>
      </c>
      <c r="AM1224" s="3"/>
      <c r="AN1224" s="3" t="s">
        <v>178</v>
      </c>
    </row>
    <row r="1225" spans="1:40" x14ac:dyDescent="0.3">
      <c r="A1225" s="3">
        <v>1219</v>
      </c>
      <c r="B1225" s="3" t="str">
        <f>"201900188138"</f>
        <v>201900188138</v>
      </c>
      <c r="C1225" s="3">
        <v>141295</v>
      </c>
      <c r="D1225" s="3" t="s">
        <v>4900</v>
      </c>
      <c r="E1225" s="3">
        <v>20495713564</v>
      </c>
      <c r="F1225" s="3" t="s">
        <v>4901</v>
      </c>
      <c r="G1225" s="3" t="s">
        <v>4902</v>
      </c>
      <c r="H1225" s="3" t="s">
        <v>357</v>
      </c>
      <c r="I1225" s="3" t="s">
        <v>357</v>
      </c>
      <c r="J1225" s="3" t="s">
        <v>357</v>
      </c>
      <c r="K1225" s="3" t="s">
        <v>4903</v>
      </c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 t="s">
        <v>4904</v>
      </c>
      <c r="AL1225" s="4">
        <v>43787</v>
      </c>
      <c r="AM1225" s="3"/>
      <c r="AN1225" s="3" t="s">
        <v>4905</v>
      </c>
    </row>
    <row r="1226" spans="1:40" x14ac:dyDescent="0.3">
      <c r="A1226" s="3">
        <v>1220</v>
      </c>
      <c r="B1226" s="3" t="str">
        <f>"201500147067"</f>
        <v>201500147067</v>
      </c>
      <c r="C1226" s="3">
        <v>118325</v>
      </c>
      <c r="D1226" s="3" t="s">
        <v>4906</v>
      </c>
      <c r="E1226" s="3">
        <v>20558039605</v>
      </c>
      <c r="F1226" s="3" t="s">
        <v>4907</v>
      </c>
      <c r="G1226" s="3" t="s">
        <v>4908</v>
      </c>
      <c r="H1226" s="3" t="s">
        <v>97</v>
      </c>
      <c r="I1226" s="3" t="s">
        <v>97</v>
      </c>
      <c r="J1226" s="3" t="s">
        <v>144</v>
      </c>
      <c r="K1226" s="3" t="s">
        <v>4909</v>
      </c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 t="s">
        <v>602</v>
      </c>
      <c r="AL1226" s="4">
        <v>42333</v>
      </c>
      <c r="AM1226" s="3"/>
      <c r="AN1226" s="3" t="s">
        <v>4910</v>
      </c>
    </row>
    <row r="1227" spans="1:40" ht="27.95" x14ac:dyDescent="0.3">
      <c r="A1227" s="3">
        <v>1221</v>
      </c>
      <c r="B1227" s="3" t="str">
        <f>"201900183510"</f>
        <v>201900183510</v>
      </c>
      <c r="C1227" s="3">
        <v>147644</v>
      </c>
      <c r="D1227" s="3" t="s">
        <v>4911</v>
      </c>
      <c r="E1227" s="3">
        <v>20404723392</v>
      </c>
      <c r="F1227" s="3" t="s">
        <v>1701</v>
      </c>
      <c r="G1227" s="3" t="s">
        <v>4912</v>
      </c>
      <c r="H1227" s="3" t="s">
        <v>89</v>
      </c>
      <c r="I1227" s="3" t="s">
        <v>89</v>
      </c>
      <c r="J1227" s="3" t="s">
        <v>90</v>
      </c>
      <c r="K1227" s="3" t="s">
        <v>4913</v>
      </c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 t="s">
        <v>256</v>
      </c>
      <c r="AL1227" s="4">
        <v>43794</v>
      </c>
      <c r="AM1227" s="3"/>
      <c r="AN1227" s="3" t="s">
        <v>93</v>
      </c>
    </row>
    <row r="1228" spans="1:40" ht="27.95" x14ac:dyDescent="0.3">
      <c r="A1228" s="3">
        <v>1222</v>
      </c>
      <c r="B1228" s="3" t="str">
        <f>"1555522"</f>
        <v>1555522</v>
      </c>
      <c r="C1228" s="3">
        <v>36242</v>
      </c>
      <c r="D1228" s="3" t="s">
        <v>4914</v>
      </c>
      <c r="E1228" s="3">
        <v>10071033088</v>
      </c>
      <c r="F1228" s="3" t="s">
        <v>4915</v>
      </c>
      <c r="G1228" s="3" t="s">
        <v>4916</v>
      </c>
      <c r="H1228" s="3" t="s">
        <v>56</v>
      </c>
      <c r="I1228" s="3" t="s">
        <v>56</v>
      </c>
      <c r="J1228" s="3" t="s">
        <v>309</v>
      </c>
      <c r="K1228" s="3" t="s">
        <v>4917</v>
      </c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 t="s">
        <v>81</v>
      </c>
      <c r="AL1228" s="4">
        <v>38596</v>
      </c>
      <c r="AM1228" s="3"/>
      <c r="AN1228" s="3"/>
    </row>
    <row r="1229" spans="1:40" x14ac:dyDescent="0.3">
      <c r="A1229" s="3">
        <v>1223</v>
      </c>
      <c r="B1229" s="3" t="str">
        <f>"1274630"</f>
        <v>1274630</v>
      </c>
      <c r="C1229" s="3">
        <v>18165</v>
      </c>
      <c r="D1229" s="3">
        <v>1274630</v>
      </c>
      <c r="E1229" s="3">
        <v>10070895523</v>
      </c>
      <c r="F1229" s="3" t="s">
        <v>307</v>
      </c>
      <c r="G1229" s="3" t="s">
        <v>308</v>
      </c>
      <c r="H1229" s="3" t="s">
        <v>56</v>
      </c>
      <c r="I1229" s="3" t="s">
        <v>56</v>
      </c>
      <c r="J1229" s="3" t="s">
        <v>309</v>
      </c>
      <c r="K1229" s="3" t="s">
        <v>4918</v>
      </c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 t="s">
        <v>187</v>
      </c>
      <c r="AL1229" s="4">
        <v>36613</v>
      </c>
      <c r="AM1229" s="3"/>
      <c r="AN1229" s="3"/>
    </row>
    <row r="1230" spans="1:40" x14ac:dyDescent="0.3">
      <c r="A1230" s="3">
        <v>1224</v>
      </c>
      <c r="B1230" s="3" t="str">
        <f>"1442330"</f>
        <v>1442330</v>
      </c>
      <c r="C1230" s="3">
        <v>89681</v>
      </c>
      <c r="D1230" s="3" t="s">
        <v>4919</v>
      </c>
      <c r="E1230" s="3">
        <v>10013394194</v>
      </c>
      <c r="F1230" s="3" t="s">
        <v>4920</v>
      </c>
      <c r="G1230" s="3" t="s">
        <v>4921</v>
      </c>
      <c r="H1230" s="3" t="s">
        <v>97</v>
      </c>
      <c r="I1230" s="3" t="s">
        <v>97</v>
      </c>
      <c r="J1230" s="3" t="s">
        <v>417</v>
      </c>
      <c r="K1230" s="3" t="s">
        <v>4922</v>
      </c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 t="s">
        <v>4923</v>
      </c>
      <c r="AL1230" s="4">
        <v>40494</v>
      </c>
      <c r="AM1230" s="3"/>
      <c r="AN1230" s="3" t="s">
        <v>4920</v>
      </c>
    </row>
    <row r="1231" spans="1:40" ht="27.95" x14ac:dyDescent="0.3">
      <c r="A1231" s="3">
        <v>1225</v>
      </c>
      <c r="B1231" s="3" t="str">
        <f>"1424996"</f>
        <v>1424996</v>
      </c>
      <c r="C1231" s="3">
        <v>35524</v>
      </c>
      <c r="D1231" s="3" t="s">
        <v>4924</v>
      </c>
      <c r="E1231" s="3">
        <v>10104212471</v>
      </c>
      <c r="F1231" s="3" t="s">
        <v>2446</v>
      </c>
      <c r="G1231" s="3" t="s">
        <v>4925</v>
      </c>
      <c r="H1231" s="3" t="s">
        <v>56</v>
      </c>
      <c r="I1231" s="3" t="s">
        <v>56</v>
      </c>
      <c r="J1231" s="3" t="s">
        <v>131</v>
      </c>
      <c r="K1231" s="3" t="s">
        <v>4926</v>
      </c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 t="s">
        <v>81</v>
      </c>
      <c r="AL1231" s="4">
        <v>37855</v>
      </c>
      <c r="AM1231" s="3"/>
      <c r="AN1231" s="3"/>
    </row>
    <row r="1232" spans="1:40" x14ac:dyDescent="0.3">
      <c r="A1232" s="3">
        <v>1226</v>
      </c>
      <c r="B1232" s="3" t="str">
        <f>"1472448"</f>
        <v>1472448</v>
      </c>
      <c r="C1232" s="3">
        <v>37939</v>
      </c>
      <c r="D1232" s="3" t="s">
        <v>4927</v>
      </c>
      <c r="E1232" s="3">
        <v>10066134551</v>
      </c>
      <c r="F1232" s="3" t="s">
        <v>4928</v>
      </c>
      <c r="G1232" s="3" t="s">
        <v>4929</v>
      </c>
      <c r="H1232" s="3" t="s">
        <v>56</v>
      </c>
      <c r="I1232" s="3" t="s">
        <v>56</v>
      </c>
      <c r="J1232" s="3" t="s">
        <v>273</v>
      </c>
      <c r="K1232" s="3" t="s">
        <v>4930</v>
      </c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 t="s">
        <v>81</v>
      </c>
      <c r="AL1232" s="4">
        <v>38153</v>
      </c>
      <c r="AM1232" s="3"/>
      <c r="AN1232" s="3"/>
    </row>
    <row r="1233" spans="1:40" ht="27.95" x14ac:dyDescent="0.3">
      <c r="A1233" s="3">
        <v>1227</v>
      </c>
      <c r="B1233" s="3" t="str">
        <f>"201400110800"</f>
        <v>201400110800</v>
      </c>
      <c r="C1233" s="3">
        <v>83016</v>
      </c>
      <c r="D1233" s="3" t="s">
        <v>4931</v>
      </c>
      <c r="E1233" s="3">
        <v>20393711974</v>
      </c>
      <c r="F1233" s="3" t="s">
        <v>978</v>
      </c>
      <c r="G1233" s="3" t="s">
        <v>979</v>
      </c>
      <c r="H1233" s="3" t="s">
        <v>395</v>
      </c>
      <c r="I1233" s="3" t="s">
        <v>396</v>
      </c>
      <c r="J1233" s="3" t="s">
        <v>490</v>
      </c>
      <c r="K1233" s="3" t="s">
        <v>4932</v>
      </c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 t="s">
        <v>1994</v>
      </c>
      <c r="AL1233" s="4">
        <v>41879</v>
      </c>
      <c r="AM1233" s="3"/>
      <c r="AN1233" s="3" t="s">
        <v>982</v>
      </c>
    </row>
    <row r="1234" spans="1:40" ht="27.95" x14ac:dyDescent="0.3">
      <c r="A1234" s="3">
        <v>1228</v>
      </c>
      <c r="B1234" s="3" t="str">
        <f>"1414823"</f>
        <v>1414823</v>
      </c>
      <c r="C1234" s="3">
        <v>34319</v>
      </c>
      <c r="D1234" s="3" t="s">
        <v>4933</v>
      </c>
      <c r="E1234" s="3">
        <v>10413357484</v>
      </c>
      <c r="F1234" s="3" t="s">
        <v>4934</v>
      </c>
      <c r="G1234" s="3" t="s">
        <v>4935</v>
      </c>
      <c r="H1234" s="3" t="s">
        <v>56</v>
      </c>
      <c r="I1234" s="3" t="s">
        <v>56</v>
      </c>
      <c r="J1234" s="3" t="s">
        <v>363</v>
      </c>
      <c r="K1234" s="3" t="s">
        <v>4936</v>
      </c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 t="s">
        <v>81</v>
      </c>
      <c r="AL1234" s="4">
        <v>37782</v>
      </c>
      <c r="AM1234" s="3"/>
      <c r="AN1234" s="3"/>
    </row>
    <row r="1235" spans="1:40" x14ac:dyDescent="0.3">
      <c r="A1235" s="3">
        <v>1229</v>
      </c>
      <c r="B1235" s="3" t="str">
        <f>"201500026754"</f>
        <v>201500026754</v>
      </c>
      <c r="C1235" s="3">
        <v>114136</v>
      </c>
      <c r="D1235" s="3" t="s">
        <v>4937</v>
      </c>
      <c r="E1235" s="3">
        <v>10288484941</v>
      </c>
      <c r="F1235" s="3" t="s">
        <v>4938</v>
      </c>
      <c r="G1235" s="3" t="s">
        <v>4939</v>
      </c>
      <c r="H1235" s="3" t="s">
        <v>386</v>
      </c>
      <c r="I1235" s="3" t="s">
        <v>1166</v>
      </c>
      <c r="J1235" s="3" t="s">
        <v>1167</v>
      </c>
      <c r="K1235" s="3" t="s">
        <v>4940</v>
      </c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 t="s">
        <v>321</v>
      </c>
      <c r="AL1235" s="4">
        <v>42277</v>
      </c>
      <c r="AM1235" s="3"/>
      <c r="AN1235" s="3" t="s">
        <v>1164</v>
      </c>
    </row>
    <row r="1236" spans="1:40" ht="27.95" x14ac:dyDescent="0.3">
      <c r="A1236" s="3">
        <v>1230</v>
      </c>
      <c r="B1236" s="3" t="str">
        <f>"201400001287"</f>
        <v>201400001287</v>
      </c>
      <c r="C1236" s="3">
        <v>107342</v>
      </c>
      <c r="D1236" s="3" t="s">
        <v>4941</v>
      </c>
      <c r="E1236" s="3">
        <v>20482554696</v>
      </c>
      <c r="F1236" s="3" t="s">
        <v>4942</v>
      </c>
      <c r="G1236" s="3" t="s">
        <v>4943</v>
      </c>
      <c r="H1236" s="3" t="s">
        <v>44</v>
      </c>
      <c r="I1236" s="3" t="s">
        <v>45</v>
      </c>
      <c r="J1236" s="3" t="s">
        <v>45</v>
      </c>
      <c r="K1236" s="3" t="s">
        <v>4944</v>
      </c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 t="s">
        <v>4945</v>
      </c>
      <c r="AL1236" s="4">
        <v>41655</v>
      </c>
      <c r="AM1236" s="3"/>
      <c r="AN1236" s="3" t="s">
        <v>4946</v>
      </c>
    </row>
    <row r="1237" spans="1:40" x14ac:dyDescent="0.3">
      <c r="A1237" s="3">
        <v>1231</v>
      </c>
      <c r="B1237" s="3" t="str">
        <f>"201500088389"</f>
        <v>201500088389</v>
      </c>
      <c r="C1237" s="3">
        <v>116276</v>
      </c>
      <c r="D1237" s="3" t="s">
        <v>4947</v>
      </c>
      <c r="E1237" s="3">
        <v>20250459981</v>
      </c>
      <c r="F1237" s="3" t="s">
        <v>2294</v>
      </c>
      <c r="G1237" s="3" t="s">
        <v>1352</v>
      </c>
      <c r="H1237" s="3" t="s">
        <v>56</v>
      </c>
      <c r="I1237" s="3" t="s">
        <v>56</v>
      </c>
      <c r="J1237" s="3" t="s">
        <v>273</v>
      </c>
      <c r="K1237" s="3" t="s">
        <v>4948</v>
      </c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 t="s">
        <v>1668</v>
      </c>
      <c r="AL1237" s="4">
        <v>42202</v>
      </c>
      <c r="AM1237" s="3"/>
      <c r="AN1237" s="3" t="s">
        <v>1355</v>
      </c>
    </row>
    <row r="1238" spans="1:40" x14ac:dyDescent="0.3">
      <c r="A1238" s="3">
        <v>1232</v>
      </c>
      <c r="B1238" s="3" t="str">
        <f>"1646396"</f>
        <v>1646396</v>
      </c>
      <c r="C1238" s="3">
        <v>44406</v>
      </c>
      <c r="D1238" s="3" t="s">
        <v>4949</v>
      </c>
      <c r="E1238" s="3">
        <v>20507840613</v>
      </c>
      <c r="F1238" s="3" t="s">
        <v>298</v>
      </c>
      <c r="G1238" s="3" t="s">
        <v>4542</v>
      </c>
      <c r="H1238" s="3" t="s">
        <v>56</v>
      </c>
      <c r="I1238" s="3" t="s">
        <v>56</v>
      </c>
      <c r="J1238" s="3" t="s">
        <v>57</v>
      </c>
      <c r="K1238" s="3" t="s">
        <v>4950</v>
      </c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 t="s">
        <v>4951</v>
      </c>
      <c r="AL1238" s="4">
        <v>39038</v>
      </c>
      <c r="AM1238" s="3"/>
      <c r="AN1238" s="3"/>
    </row>
    <row r="1239" spans="1:40" x14ac:dyDescent="0.3">
      <c r="A1239" s="3">
        <v>1233</v>
      </c>
      <c r="B1239" s="3" t="str">
        <f>"201900215748"</f>
        <v>201900215748</v>
      </c>
      <c r="C1239" s="3">
        <v>148512</v>
      </c>
      <c r="D1239" s="3" t="s">
        <v>4952</v>
      </c>
      <c r="E1239" s="3">
        <v>10004053601</v>
      </c>
      <c r="F1239" s="3" t="s">
        <v>4953</v>
      </c>
      <c r="G1239" s="3" t="s">
        <v>4954</v>
      </c>
      <c r="H1239" s="3" t="s">
        <v>743</v>
      </c>
      <c r="I1239" s="3" t="s">
        <v>744</v>
      </c>
      <c r="J1239" s="3" t="s">
        <v>743</v>
      </c>
      <c r="K1239" s="3" t="s">
        <v>4955</v>
      </c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 t="s">
        <v>65</v>
      </c>
      <c r="AL1239" s="4">
        <v>43829</v>
      </c>
      <c r="AM1239" s="3"/>
      <c r="AN1239" s="3" t="s">
        <v>4953</v>
      </c>
    </row>
    <row r="1240" spans="1:40" x14ac:dyDescent="0.3">
      <c r="A1240" s="3">
        <v>1234</v>
      </c>
      <c r="B1240" s="3" t="str">
        <f>"1121316"</f>
        <v>1121316</v>
      </c>
      <c r="C1240" s="3">
        <v>2706</v>
      </c>
      <c r="D1240" s="3">
        <v>1081828</v>
      </c>
      <c r="E1240" s="3">
        <v>10077744741</v>
      </c>
      <c r="F1240" s="3" t="s">
        <v>1858</v>
      </c>
      <c r="G1240" s="3" t="s">
        <v>4956</v>
      </c>
      <c r="H1240" s="3" t="s">
        <v>56</v>
      </c>
      <c r="I1240" s="3" t="s">
        <v>56</v>
      </c>
      <c r="J1240" s="3" t="s">
        <v>105</v>
      </c>
      <c r="K1240" s="3" t="s">
        <v>4957</v>
      </c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 t="s">
        <v>614</v>
      </c>
      <c r="AL1240" s="4">
        <v>35550</v>
      </c>
      <c r="AM1240" s="3"/>
      <c r="AN1240" s="3"/>
    </row>
    <row r="1241" spans="1:40" ht="27.95" x14ac:dyDescent="0.3">
      <c r="A1241" s="3">
        <v>1235</v>
      </c>
      <c r="B1241" s="3" t="str">
        <f>"1346024"</f>
        <v>1346024</v>
      </c>
      <c r="C1241" s="3">
        <v>21364</v>
      </c>
      <c r="D1241" s="3" t="s">
        <v>4958</v>
      </c>
      <c r="E1241" s="3">
        <v>10293769627</v>
      </c>
      <c r="F1241" s="3" t="s">
        <v>4959</v>
      </c>
      <c r="G1241" s="3" t="s">
        <v>4960</v>
      </c>
      <c r="H1241" s="3" t="s">
        <v>97</v>
      </c>
      <c r="I1241" s="3" t="s">
        <v>97</v>
      </c>
      <c r="J1241" s="3" t="s">
        <v>417</v>
      </c>
      <c r="K1241" s="3" t="s">
        <v>4961</v>
      </c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 t="s">
        <v>2355</v>
      </c>
      <c r="AL1241" s="4">
        <v>37229</v>
      </c>
      <c r="AM1241" s="3"/>
      <c r="AN1241" s="3"/>
    </row>
    <row r="1242" spans="1:40" x14ac:dyDescent="0.3">
      <c r="A1242" s="3">
        <v>1236</v>
      </c>
      <c r="B1242" s="3" t="str">
        <f>"1329847"</f>
        <v>1329847</v>
      </c>
      <c r="C1242" s="3">
        <v>18001</v>
      </c>
      <c r="D1242" s="3" t="s">
        <v>4962</v>
      </c>
      <c r="E1242" s="3">
        <v>20100366747</v>
      </c>
      <c r="F1242" s="3" t="s">
        <v>258</v>
      </c>
      <c r="G1242" s="3" t="s">
        <v>1055</v>
      </c>
      <c r="H1242" s="3" t="s">
        <v>56</v>
      </c>
      <c r="I1242" s="3" t="s">
        <v>56</v>
      </c>
      <c r="J1242" s="3" t="s">
        <v>185</v>
      </c>
      <c r="K1242" s="3" t="s">
        <v>4963</v>
      </c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 t="s">
        <v>504</v>
      </c>
      <c r="AL1242" s="4">
        <v>37098</v>
      </c>
      <c r="AM1242" s="3"/>
      <c r="AN1242" s="3"/>
    </row>
    <row r="1243" spans="1:40" x14ac:dyDescent="0.3">
      <c r="A1243" s="3">
        <v>1237</v>
      </c>
      <c r="B1243" s="3" t="str">
        <f>"201500054215"</f>
        <v>201500054215</v>
      </c>
      <c r="C1243" s="3">
        <v>114697</v>
      </c>
      <c r="D1243" s="3" t="s">
        <v>4964</v>
      </c>
      <c r="E1243" s="3">
        <v>20389099164</v>
      </c>
      <c r="F1243" s="3" t="s">
        <v>1227</v>
      </c>
      <c r="G1243" s="3" t="s">
        <v>4965</v>
      </c>
      <c r="H1243" s="3" t="s">
        <v>56</v>
      </c>
      <c r="I1243" s="3" t="s">
        <v>56</v>
      </c>
      <c r="J1243" s="3" t="s">
        <v>363</v>
      </c>
      <c r="K1243" s="3" t="s">
        <v>4966</v>
      </c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 t="s">
        <v>1514</v>
      </c>
      <c r="AL1243" s="4">
        <v>42135</v>
      </c>
      <c r="AM1243" s="3"/>
      <c r="AN1243" s="3" t="s">
        <v>1231</v>
      </c>
    </row>
    <row r="1244" spans="1:40" x14ac:dyDescent="0.3">
      <c r="A1244" s="3">
        <v>1238</v>
      </c>
      <c r="B1244" s="3" t="str">
        <f>"1490194"</f>
        <v>1490194</v>
      </c>
      <c r="C1244" s="3">
        <v>41418</v>
      </c>
      <c r="D1244" s="3" t="s">
        <v>4967</v>
      </c>
      <c r="E1244" s="3">
        <v>20153236551</v>
      </c>
      <c r="F1244" s="3" t="s">
        <v>1179</v>
      </c>
      <c r="G1244" s="3" t="s">
        <v>4968</v>
      </c>
      <c r="H1244" s="3" t="s">
        <v>56</v>
      </c>
      <c r="I1244" s="3" t="s">
        <v>422</v>
      </c>
      <c r="J1244" s="3" t="s">
        <v>869</v>
      </c>
      <c r="K1244" s="3" t="s">
        <v>4969</v>
      </c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 t="s">
        <v>1659</v>
      </c>
      <c r="AL1244" s="4">
        <v>40750</v>
      </c>
      <c r="AM1244" s="3"/>
      <c r="AN1244" s="3" t="s">
        <v>1183</v>
      </c>
    </row>
    <row r="1245" spans="1:40" x14ac:dyDescent="0.3">
      <c r="A1245" s="3">
        <v>1239</v>
      </c>
      <c r="B1245" s="3" t="str">
        <f>"1329848"</f>
        <v>1329848</v>
      </c>
      <c r="C1245" s="3">
        <v>34254</v>
      </c>
      <c r="D1245" s="3" t="s">
        <v>4970</v>
      </c>
      <c r="E1245" s="3">
        <v>20100366747</v>
      </c>
      <c r="F1245" s="3" t="s">
        <v>258</v>
      </c>
      <c r="G1245" s="3" t="s">
        <v>1055</v>
      </c>
      <c r="H1245" s="3" t="s">
        <v>56</v>
      </c>
      <c r="I1245" s="3" t="s">
        <v>56</v>
      </c>
      <c r="J1245" s="3" t="s">
        <v>185</v>
      </c>
      <c r="K1245" s="3" t="s">
        <v>4971</v>
      </c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 t="s">
        <v>546</v>
      </c>
      <c r="AL1245" s="4">
        <v>37098</v>
      </c>
      <c r="AM1245" s="3"/>
      <c r="AN1245" s="3"/>
    </row>
    <row r="1246" spans="1:40" ht="27.95" x14ac:dyDescent="0.3">
      <c r="A1246" s="3">
        <v>1240</v>
      </c>
      <c r="B1246" s="3" t="str">
        <f>"201500118524"</f>
        <v>201500118524</v>
      </c>
      <c r="C1246" s="3">
        <v>117299</v>
      </c>
      <c r="D1246" s="3" t="s">
        <v>4972</v>
      </c>
      <c r="E1246" s="3">
        <v>20557998650</v>
      </c>
      <c r="F1246" s="3" t="s">
        <v>4973</v>
      </c>
      <c r="G1246" s="3" t="s">
        <v>4974</v>
      </c>
      <c r="H1246" s="3" t="s">
        <v>56</v>
      </c>
      <c r="I1246" s="3" t="s">
        <v>56</v>
      </c>
      <c r="J1246" s="3" t="s">
        <v>277</v>
      </c>
      <c r="K1246" s="3" t="s">
        <v>4975</v>
      </c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 t="s">
        <v>2756</v>
      </c>
      <c r="AL1246" s="4">
        <v>42264</v>
      </c>
      <c r="AM1246" s="3"/>
      <c r="AN1246" s="3" t="s">
        <v>4976</v>
      </c>
    </row>
    <row r="1247" spans="1:40" x14ac:dyDescent="0.3">
      <c r="A1247" s="3">
        <v>1241</v>
      </c>
      <c r="B1247" s="3" t="str">
        <f>"1329845"</f>
        <v>1329845</v>
      </c>
      <c r="C1247" s="3">
        <v>14640</v>
      </c>
      <c r="D1247" s="3" t="s">
        <v>4977</v>
      </c>
      <c r="E1247" s="3">
        <v>20100366747</v>
      </c>
      <c r="F1247" s="3" t="s">
        <v>258</v>
      </c>
      <c r="G1247" s="3" t="s">
        <v>1055</v>
      </c>
      <c r="H1247" s="3" t="s">
        <v>56</v>
      </c>
      <c r="I1247" s="3" t="s">
        <v>56</v>
      </c>
      <c r="J1247" s="3" t="s">
        <v>185</v>
      </c>
      <c r="K1247" s="3" t="s">
        <v>4978</v>
      </c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 t="s">
        <v>614</v>
      </c>
      <c r="AL1247" s="4">
        <v>37103</v>
      </c>
      <c r="AM1247" s="3"/>
      <c r="AN1247" s="3"/>
    </row>
    <row r="1248" spans="1:40" x14ac:dyDescent="0.3">
      <c r="A1248" s="3">
        <v>1242</v>
      </c>
      <c r="B1248" s="3" t="str">
        <f>"1329846"</f>
        <v>1329846</v>
      </c>
      <c r="C1248" s="3">
        <v>3501</v>
      </c>
      <c r="D1248" s="3" t="s">
        <v>4979</v>
      </c>
      <c r="E1248" s="3">
        <v>20100366747</v>
      </c>
      <c r="F1248" s="3" t="s">
        <v>258</v>
      </c>
      <c r="G1248" s="3" t="s">
        <v>1055</v>
      </c>
      <c r="H1248" s="3" t="s">
        <v>56</v>
      </c>
      <c r="I1248" s="3" t="s">
        <v>56</v>
      </c>
      <c r="J1248" s="3" t="s">
        <v>185</v>
      </c>
      <c r="K1248" s="3" t="s">
        <v>4980</v>
      </c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 t="s">
        <v>546</v>
      </c>
      <c r="AL1248" s="4">
        <v>37098</v>
      </c>
      <c r="AM1248" s="3"/>
      <c r="AN1248" s="3"/>
    </row>
    <row r="1249" spans="1:40" ht="27.95" x14ac:dyDescent="0.3">
      <c r="A1249" s="3">
        <v>1243</v>
      </c>
      <c r="B1249" s="3" t="str">
        <f>"201800120683"</f>
        <v>201800120683</v>
      </c>
      <c r="C1249" s="3">
        <v>137609</v>
      </c>
      <c r="D1249" s="3" t="s">
        <v>4981</v>
      </c>
      <c r="E1249" s="3">
        <v>20389099164</v>
      </c>
      <c r="F1249" s="3" t="s">
        <v>4982</v>
      </c>
      <c r="G1249" s="3" t="s">
        <v>4983</v>
      </c>
      <c r="H1249" s="3" t="s">
        <v>56</v>
      </c>
      <c r="I1249" s="3" t="s">
        <v>56</v>
      </c>
      <c r="J1249" s="3" t="s">
        <v>363</v>
      </c>
      <c r="K1249" s="3" t="s">
        <v>4984</v>
      </c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 t="s">
        <v>4648</v>
      </c>
      <c r="AL1249" s="4">
        <v>43313</v>
      </c>
      <c r="AM1249" s="3"/>
      <c r="AN1249" s="3" t="s">
        <v>1231</v>
      </c>
    </row>
    <row r="1250" spans="1:40" x14ac:dyDescent="0.3">
      <c r="A1250" s="3">
        <v>1244</v>
      </c>
      <c r="B1250" s="3" t="str">
        <f>"202000105949"</f>
        <v>202000105949</v>
      </c>
      <c r="C1250" s="3">
        <v>114010</v>
      </c>
      <c r="D1250" s="3" t="s">
        <v>4985</v>
      </c>
      <c r="E1250" s="3">
        <v>20510279060</v>
      </c>
      <c r="F1250" s="3" t="s">
        <v>4986</v>
      </c>
      <c r="G1250" s="3" t="s">
        <v>4987</v>
      </c>
      <c r="H1250" s="3" t="s">
        <v>237</v>
      </c>
      <c r="I1250" s="3" t="s">
        <v>868</v>
      </c>
      <c r="J1250" s="3" t="s">
        <v>868</v>
      </c>
      <c r="K1250" s="3" t="s">
        <v>4988</v>
      </c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 t="s">
        <v>4989</v>
      </c>
      <c r="AL1250" s="4">
        <v>44061</v>
      </c>
      <c r="AM1250" s="3"/>
      <c r="AN1250" s="3" t="s">
        <v>4990</v>
      </c>
    </row>
    <row r="1251" spans="1:40" x14ac:dyDescent="0.3">
      <c r="A1251" s="3">
        <v>1245</v>
      </c>
      <c r="B1251" s="3" t="str">
        <f>"201900180477"</f>
        <v>201900180477</v>
      </c>
      <c r="C1251" s="3">
        <v>129170</v>
      </c>
      <c r="D1251" s="3" t="s">
        <v>4991</v>
      </c>
      <c r="E1251" s="3">
        <v>20527229937</v>
      </c>
      <c r="F1251" s="3" t="s">
        <v>4992</v>
      </c>
      <c r="G1251" s="3" t="s">
        <v>4993</v>
      </c>
      <c r="H1251" s="3" t="s">
        <v>3837</v>
      </c>
      <c r="I1251" s="3" t="s">
        <v>4994</v>
      </c>
      <c r="J1251" s="3" t="s">
        <v>4994</v>
      </c>
      <c r="K1251" s="3" t="s">
        <v>4995</v>
      </c>
      <c r="L1251" s="3" t="s">
        <v>4996</v>
      </c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 t="s">
        <v>440</v>
      </c>
      <c r="AL1251" s="4">
        <v>44085</v>
      </c>
      <c r="AM1251" s="3"/>
      <c r="AN1251" s="3" t="s">
        <v>4997</v>
      </c>
    </row>
    <row r="1252" spans="1:40" ht="27.95" x14ac:dyDescent="0.3">
      <c r="A1252" s="3">
        <v>1246</v>
      </c>
      <c r="B1252" s="3" t="str">
        <f>"1886543"</f>
        <v>1886543</v>
      </c>
      <c r="C1252" s="3">
        <v>82462</v>
      </c>
      <c r="D1252" s="3" t="s">
        <v>4998</v>
      </c>
      <c r="E1252" s="3">
        <v>10021697970</v>
      </c>
      <c r="F1252" s="3" t="s">
        <v>4999</v>
      </c>
      <c r="G1252" s="3" t="s">
        <v>2705</v>
      </c>
      <c r="H1252" s="3" t="s">
        <v>97</v>
      </c>
      <c r="I1252" s="3" t="s">
        <v>97</v>
      </c>
      <c r="J1252" s="3" t="s">
        <v>144</v>
      </c>
      <c r="K1252" s="3" t="s">
        <v>5000</v>
      </c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 t="s">
        <v>1162</v>
      </c>
      <c r="AL1252" s="4">
        <v>39947</v>
      </c>
      <c r="AM1252" s="3"/>
      <c r="AN1252" s="3"/>
    </row>
    <row r="1253" spans="1:40" x14ac:dyDescent="0.3">
      <c r="A1253" s="3">
        <v>1247</v>
      </c>
      <c r="B1253" s="3" t="str">
        <f>"201900138531"</f>
        <v>201900138531</v>
      </c>
      <c r="C1253" s="3">
        <v>146165</v>
      </c>
      <c r="D1253" s="3" t="s">
        <v>5001</v>
      </c>
      <c r="E1253" s="3">
        <v>20601187991</v>
      </c>
      <c r="F1253" s="3" t="s">
        <v>4311</v>
      </c>
      <c r="G1253" s="3" t="s">
        <v>5002</v>
      </c>
      <c r="H1253" s="3" t="s">
        <v>97</v>
      </c>
      <c r="I1253" s="3" t="s">
        <v>97</v>
      </c>
      <c r="J1253" s="3" t="s">
        <v>3210</v>
      </c>
      <c r="K1253" s="3" t="s">
        <v>5003</v>
      </c>
      <c r="L1253" s="3" t="s">
        <v>5004</v>
      </c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 t="s">
        <v>5005</v>
      </c>
      <c r="AL1253" s="4">
        <v>43713</v>
      </c>
      <c r="AM1253" s="3"/>
      <c r="AN1253" s="3" t="s">
        <v>4315</v>
      </c>
    </row>
    <row r="1254" spans="1:40" x14ac:dyDescent="0.3">
      <c r="A1254" s="3">
        <v>1248</v>
      </c>
      <c r="B1254" s="3" t="str">
        <f>"201800058556"</f>
        <v>201800058556</v>
      </c>
      <c r="C1254" s="3">
        <v>135549</v>
      </c>
      <c r="D1254" s="3" t="s">
        <v>5006</v>
      </c>
      <c r="E1254" s="3">
        <v>20601009189</v>
      </c>
      <c r="F1254" s="3" t="s">
        <v>2431</v>
      </c>
      <c r="G1254" s="3" t="s">
        <v>5007</v>
      </c>
      <c r="H1254" s="3" t="s">
        <v>446</v>
      </c>
      <c r="I1254" s="3" t="s">
        <v>446</v>
      </c>
      <c r="J1254" s="3" t="s">
        <v>830</v>
      </c>
      <c r="K1254" s="3" t="s">
        <v>5008</v>
      </c>
      <c r="L1254" s="3" t="s">
        <v>5009</v>
      </c>
      <c r="M1254" s="3" t="s">
        <v>1079</v>
      </c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 t="s">
        <v>5010</v>
      </c>
      <c r="AL1254" s="4">
        <v>43200</v>
      </c>
      <c r="AM1254" s="3"/>
      <c r="AN1254" s="3" t="s">
        <v>5011</v>
      </c>
    </row>
    <row r="1255" spans="1:40" x14ac:dyDescent="0.3">
      <c r="A1255" s="3">
        <v>1249</v>
      </c>
      <c r="B1255" s="3" t="str">
        <f>"201500132913"</f>
        <v>201500132913</v>
      </c>
      <c r="C1255" s="3">
        <v>117510</v>
      </c>
      <c r="D1255" s="3" t="s">
        <v>5012</v>
      </c>
      <c r="E1255" s="3">
        <v>20600213904</v>
      </c>
      <c r="F1255" s="3" t="s">
        <v>5013</v>
      </c>
      <c r="G1255" s="3" t="s">
        <v>5014</v>
      </c>
      <c r="H1255" s="3" t="s">
        <v>237</v>
      </c>
      <c r="I1255" s="3" t="s">
        <v>868</v>
      </c>
      <c r="J1255" s="3" t="s">
        <v>2537</v>
      </c>
      <c r="K1255" s="3" t="s">
        <v>5015</v>
      </c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 t="s">
        <v>187</v>
      </c>
      <c r="AL1255" s="4">
        <v>42331</v>
      </c>
      <c r="AM1255" s="3"/>
      <c r="AN1255" s="3" t="s">
        <v>5016</v>
      </c>
    </row>
    <row r="1256" spans="1:40" x14ac:dyDescent="0.3">
      <c r="A1256" s="3">
        <v>1250</v>
      </c>
      <c r="B1256" s="3" t="str">
        <f>"201300151364"</f>
        <v>201300151364</v>
      </c>
      <c r="C1256" s="3">
        <v>105399</v>
      </c>
      <c r="D1256" s="3" t="s">
        <v>5017</v>
      </c>
      <c r="E1256" s="3">
        <v>20174640514</v>
      </c>
      <c r="F1256" s="3" t="s">
        <v>3043</v>
      </c>
      <c r="G1256" s="3" t="s">
        <v>5018</v>
      </c>
      <c r="H1256" s="3" t="s">
        <v>75</v>
      </c>
      <c r="I1256" s="3" t="s">
        <v>75</v>
      </c>
      <c r="J1256" s="3" t="s">
        <v>76</v>
      </c>
      <c r="K1256" s="3" t="s">
        <v>5019</v>
      </c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 t="s">
        <v>2484</v>
      </c>
      <c r="AL1256" s="3" t="s">
        <v>290</v>
      </c>
      <c r="AM1256" s="3"/>
      <c r="AN1256" s="3" t="s">
        <v>3046</v>
      </c>
    </row>
    <row r="1257" spans="1:40" x14ac:dyDescent="0.3">
      <c r="A1257" s="3">
        <v>1251</v>
      </c>
      <c r="B1257" s="3" t="str">
        <f>"201800135115"</f>
        <v>201800135115</v>
      </c>
      <c r="C1257" s="3">
        <v>138050</v>
      </c>
      <c r="D1257" s="3" t="s">
        <v>5020</v>
      </c>
      <c r="E1257" s="3">
        <v>10412603848</v>
      </c>
      <c r="F1257" s="3" t="s">
        <v>5021</v>
      </c>
      <c r="G1257" s="3" t="s">
        <v>5022</v>
      </c>
      <c r="H1257" s="3" t="s">
        <v>56</v>
      </c>
      <c r="I1257" s="3" t="s">
        <v>56</v>
      </c>
      <c r="J1257" s="3" t="s">
        <v>56</v>
      </c>
      <c r="K1257" s="3" t="s">
        <v>5023</v>
      </c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 t="s">
        <v>583</v>
      </c>
      <c r="AL1257" s="4">
        <v>43333</v>
      </c>
      <c r="AM1257" s="3"/>
      <c r="AN1257" s="3" t="s">
        <v>5021</v>
      </c>
    </row>
    <row r="1258" spans="1:40" x14ac:dyDescent="0.3">
      <c r="A1258" s="3">
        <v>1252</v>
      </c>
      <c r="B1258" s="3" t="str">
        <f>"1611648"</f>
        <v>1611648</v>
      </c>
      <c r="C1258" s="3">
        <v>17958</v>
      </c>
      <c r="D1258" s="3" t="s">
        <v>5024</v>
      </c>
      <c r="E1258" s="3">
        <v>10100770381</v>
      </c>
      <c r="F1258" s="3" t="s">
        <v>5025</v>
      </c>
      <c r="G1258" s="3" t="s">
        <v>5026</v>
      </c>
      <c r="H1258" s="3" t="s">
        <v>56</v>
      </c>
      <c r="I1258" s="3" t="s">
        <v>56</v>
      </c>
      <c r="J1258" s="3" t="s">
        <v>1043</v>
      </c>
      <c r="K1258" s="3" t="s">
        <v>5027</v>
      </c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 t="s">
        <v>614</v>
      </c>
      <c r="AL1258" s="4">
        <v>38966</v>
      </c>
      <c r="AM1258" s="3"/>
      <c r="AN1258" s="3"/>
    </row>
    <row r="1259" spans="1:40" x14ac:dyDescent="0.3">
      <c r="A1259" s="3">
        <v>1253</v>
      </c>
      <c r="B1259" s="3" t="str">
        <f>"1306736"</f>
        <v>1306736</v>
      </c>
      <c r="C1259" s="3">
        <v>20646</v>
      </c>
      <c r="D1259" s="3" t="s">
        <v>5028</v>
      </c>
      <c r="E1259" s="3">
        <v>15399238151</v>
      </c>
      <c r="F1259" s="3" t="s">
        <v>5029</v>
      </c>
      <c r="G1259" s="3" t="s">
        <v>5030</v>
      </c>
      <c r="H1259" s="3" t="s">
        <v>50</v>
      </c>
      <c r="I1259" s="3" t="s">
        <v>2591</v>
      </c>
      <c r="J1259" s="3" t="s">
        <v>2591</v>
      </c>
      <c r="K1259" s="3" t="s">
        <v>5031</v>
      </c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 t="s">
        <v>218</v>
      </c>
      <c r="AL1259" s="4">
        <v>36861</v>
      </c>
      <c r="AM1259" s="3"/>
      <c r="AN1259" s="3"/>
    </row>
    <row r="1260" spans="1:40" x14ac:dyDescent="0.3">
      <c r="A1260" s="3">
        <v>1254</v>
      </c>
      <c r="B1260" s="3" t="str">
        <f>"201500034140"</f>
        <v>201500034140</v>
      </c>
      <c r="C1260" s="3">
        <v>114458</v>
      </c>
      <c r="D1260" s="3" t="s">
        <v>5032</v>
      </c>
      <c r="E1260" s="3">
        <v>20408003106</v>
      </c>
      <c r="F1260" s="3" t="s">
        <v>3183</v>
      </c>
      <c r="G1260" s="3" t="s">
        <v>5033</v>
      </c>
      <c r="H1260" s="3" t="s">
        <v>271</v>
      </c>
      <c r="I1260" s="3" t="s">
        <v>272</v>
      </c>
      <c r="J1260" s="3" t="s">
        <v>272</v>
      </c>
      <c r="K1260" s="3" t="s">
        <v>5034</v>
      </c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 t="s">
        <v>65</v>
      </c>
      <c r="AL1260" s="4">
        <v>42089</v>
      </c>
      <c r="AM1260" s="3"/>
      <c r="AN1260" s="3" t="s">
        <v>3186</v>
      </c>
    </row>
    <row r="1261" spans="1:40" x14ac:dyDescent="0.3">
      <c r="A1261" s="3">
        <v>1255</v>
      </c>
      <c r="B1261" s="3" t="str">
        <f>"201600061988"</f>
        <v>201600061988</v>
      </c>
      <c r="C1261" s="3">
        <v>84120</v>
      </c>
      <c r="D1261" s="3" t="s">
        <v>5035</v>
      </c>
      <c r="E1261" s="3">
        <v>20100366747</v>
      </c>
      <c r="F1261" s="3" t="s">
        <v>334</v>
      </c>
      <c r="G1261" s="3" t="s">
        <v>451</v>
      </c>
      <c r="H1261" s="3" t="s">
        <v>56</v>
      </c>
      <c r="I1261" s="3" t="s">
        <v>56</v>
      </c>
      <c r="J1261" s="3" t="s">
        <v>185</v>
      </c>
      <c r="K1261" s="3" t="s">
        <v>5036</v>
      </c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 t="s">
        <v>211</v>
      </c>
      <c r="AL1261" s="4">
        <v>42508</v>
      </c>
      <c r="AM1261" s="3"/>
      <c r="AN1261" s="3" t="s">
        <v>1375</v>
      </c>
    </row>
    <row r="1262" spans="1:40" x14ac:dyDescent="0.3">
      <c r="A1262" s="3">
        <v>1256</v>
      </c>
      <c r="B1262" s="3" t="str">
        <f>"1416988"</f>
        <v>1416988</v>
      </c>
      <c r="C1262" s="3">
        <v>34632</v>
      </c>
      <c r="D1262" s="3" t="s">
        <v>5037</v>
      </c>
      <c r="E1262" s="3">
        <v>10292456200</v>
      </c>
      <c r="F1262" s="3" t="s">
        <v>5038</v>
      </c>
      <c r="G1262" s="3" t="s">
        <v>5039</v>
      </c>
      <c r="H1262" s="3" t="s">
        <v>97</v>
      </c>
      <c r="I1262" s="3" t="s">
        <v>97</v>
      </c>
      <c r="J1262" s="3" t="s">
        <v>97</v>
      </c>
      <c r="K1262" s="3" t="s">
        <v>5040</v>
      </c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 t="s">
        <v>574</v>
      </c>
      <c r="AL1262" s="4">
        <v>37776</v>
      </c>
      <c r="AM1262" s="3"/>
      <c r="AN1262" s="3"/>
    </row>
    <row r="1263" spans="1:40" x14ac:dyDescent="0.3">
      <c r="A1263" s="3">
        <v>1257</v>
      </c>
      <c r="B1263" s="3" t="str">
        <f>"201900067690"</f>
        <v>201900067690</v>
      </c>
      <c r="C1263" s="3">
        <v>142848</v>
      </c>
      <c r="D1263" s="3" t="s">
        <v>5041</v>
      </c>
      <c r="E1263" s="3">
        <v>20456291636</v>
      </c>
      <c r="F1263" s="3" t="s">
        <v>5042</v>
      </c>
      <c r="G1263" s="3" t="s">
        <v>5043</v>
      </c>
      <c r="H1263" s="3" t="s">
        <v>97</v>
      </c>
      <c r="I1263" s="3" t="s">
        <v>97</v>
      </c>
      <c r="J1263" s="3" t="s">
        <v>2039</v>
      </c>
      <c r="K1263" s="3" t="s">
        <v>5044</v>
      </c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 t="s">
        <v>3676</v>
      </c>
      <c r="AL1263" s="4">
        <v>43585</v>
      </c>
      <c r="AM1263" s="3"/>
      <c r="AN1263" s="3" t="s">
        <v>5045</v>
      </c>
    </row>
    <row r="1264" spans="1:40" ht="27.95" x14ac:dyDescent="0.3">
      <c r="A1264" s="3">
        <v>1258</v>
      </c>
      <c r="B1264" s="3" t="str">
        <f>"1565092"</f>
        <v>1565092</v>
      </c>
      <c r="C1264" s="3">
        <v>39888</v>
      </c>
      <c r="D1264" s="3" t="s">
        <v>5046</v>
      </c>
      <c r="E1264" s="3">
        <v>20100076749</v>
      </c>
      <c r="F1264" s="3" t="s">
        <v>159</v>
      </c>
      <c r="G1264" s="3" t="s">
        <v>160</v>
      </c>
      <c r="H1264" s="3" t="s">
        <v>56</v>
      </c>
      <c r="I1264" s="3" t="s">
        <v>56</v>
      </c>
      <c r="J1264" s="3" t="s">
        <v>277</v>
      </c>
      <c r="K1264" s="3" t="s">
        <v>5047</v>
      </c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 t="s">
        <v>525</v>
      </c>
      <c r="AL1264" s="4">
        <v>38639</v>
      </c>
      <c r="AM1264" s="3"/>
      <c r="AN1264" s="3"/>
    </row>
    <row r="1265" spans="1:40" ht="27.95" x14ac:dyDescent="0.3">
      <c r="A1265" s="3">
        <v>1259</v>
      </c>
      <c r="B1265" s="3" t="str">
        <f>"201200025438"</f>
        <v>201200025438</v>
      </c>
      <c r="C1265" s="3">
        <v>95972</v>
      </c>
      <c r="D1265" s="3" t="s">
        <v>5048</v>
      </c>
      <c r="E1265" s="3">
        <v>20449426313</v>
      </c>
      <c r="F1265" s="3" t="s">
        <v>1583</v>
      </c>
      <c r="G1265" s="3" t="s">
        <v>5049</v>
      </c>
      <c r="H1265" s="3" t="s">
        <v>743</v>
      </c>
      <c r="I1265" s="3" t="s">
        <v>1031</v>
      </c>
      <c r="J1265" s="3" t="s">
        <v>1031</v>
      </c>
      <c r="K1265" s="3" t="s">
        <v>5050</v>
      </c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 t="s">
        <v>353</v>
      </c>
      <c r="AL1265" s="4">
        <v>40968</v>
      </c>
      <c r="AM1265" s="3"/>
      <c r="AN1265" s="3" t="s">
        <v>5051</v>
      </c>
    </row>
    <row r="1266" spans="1:40" ht="41.95" x14ac:dyDescent="0.3">
      <c r="A1266" s="3">
        <v>1260</v>
      </c>
      <c r="B1266" s="3" t="str">
        <f>"201900132229"</f>
        <v>201900132229</v>
      </c>
      <c r="C1266" s="3">
        <v>145881</v>
      </c>
      <c r="D1266" s="3" t="s">
        <v>5052</v>
      </c>
      <c r="E1266" s="3">
        <v>20478005289</v>
      </c>
      <c r="F1266" s="3" t="s">
        <v>957</v>
      </c>
      <c r="G1266" s="3" t="s">
        <v>1933</v>
      </c>
      <c r="H1266" s="3" t="s">
        <v>56</v>
      </c>
      <c r="I1266" s="3" t="s">
        <v>56</v>
      </c>
      <c r="J1266" s="3" t="s">
        <v>363</v>
      </c>
      <c r="K1266" s="3" t="s">
        <v>5053</v>
      </c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 t="s">
        <v>3539</v>
      </c>
      <c r="AL1266" s="4">
        <v>43696</v>
      </c>
      <c r="AM1266" s="3"/>
      <c r="AN1266" s="3" t="s">
        <v>372</v>
      </c>
    </row>
    <row r="1267" spans="1:40" x14ac:dyDescent="0.3">
      <c r="A1267" s="3">
        <v>1261</v>
      </c>
      <c r="B1267" s="3" t="str">
        <f>"201200055718"</f>
        <v>201200055718</v>
      </c>
      <c r="C1267" s="3">
        <v>88807</v>
      </c>
      <c r="D1267" s="3" t="s">
        <v>5054</v>
      </c>
      <c r="E1267" s="3">
        <v>20525521509</v>
      </c>
      <c r="F1267" s="3" t="s">
        <v>189</v>
      </c>
      <c r="G1267" s="3" t="s">
        <v>190</v>
      </c>
      <c r="H1267" s="3" t="s">
        <v>50</v>
      </c>
      <c r="I1267" s="3" t="s">
        <v>50</v>
      </c>
      <c r="J1267" s="3" t="s">
        <v>98</v>
      </c>
      <c r="K1267" s="3" t="s">
        <v>5055</v>
      </c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 t="s">
        <v>1014</v>
      </c>
      <c r="AL1267" s="3" t="s">
        <v>290</v>
      </c>
      <c r="AM1267" s="3"/>
      <c r="AN1267" s="3" t="s">
        <v>885</v>
      </c>
    </row>
    <row r="1268" spans="1:40" x14ac:dyDescent="0.3">
      <c r="A1268" s="3">
        <v>1262</v>
      </c>
      <c r="B1268" s="3" t="str">
        <f>"201300033219"</f>
        <v>201300033219</v>
      </c>
      <c r="C1268" s="3">
        <v>100018</v>
      </c>
      <c r="D1268" s="3" t="s">
        <v>5056</v>
      </c>
      <c r="E1268" s="3">
        <v>20516511975</v>
      </c>
      <c r="F1268" s="3" t="s">
        <v>5057</v>
      </c>
      <c r="G1268" s="3" t="s">
        <v>5058</v>
      </c>
      <c r="H1268" s="3" t="s">
        <v>202</v>
      </c>
      <c r="I1268" s="3" t="s">
        <v>202</v>
      </c>
      <c r="J1268" s="3" t="s">
        <v>202</v>
      </c>
      <c r="K1268" s="3" t="s">
        <v>5059</v>
      </c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 t="s">
        <v>2816</v>
      </c>
      <c r="AL1268" s="3" t="s">
        <v>290</v>
      </c>
      <c r="AM1268" s="3"/>
      <c r="AN1268" s="3" t="s">
        <v>2811</v>
      </c>
    </row>
    <row r="1269" spans="1:40" ht="27.95" x14ac:dyDescent="0.3">
      <c r="A1269" s="3">
        <v>1263</v>
      </c>
      <c r="B1269" s="3" t="str">
        <f>"201200042603"</f>
        <v>201200042603</v>
      </c>
      <c r="C1269" s="3">
        <v>96293</v>
      </c>
      <c r="D1269" s="3" t="s">
        <v>5060</v>
      </c>
      <c r="E1269" s="3">
        <v>20100076749</v>
      </c>
      <c r="F1269" s="3" t="s">
        <v>159</v>
      </c>
      <c r="G1269" s="3" t="s">
        <v>5061</v>
      </c>
      <c r="H1269" s="3" t="s">
        <v>56</v>
      </c>
      <c r="I1269" s="3" t="s">
        <v>56</v>
      </c>
      <c r="J1269" s="3" t="s">
        <v>121</v>
      </c>
      <c r="K1269" s="3" t="s">
        <v>5062</v>
      </c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 t="s">
        <v>5063</v>
      </c>
      <c r="AL1269" s="4">
        <v>40998</v>
      </c>
      <c r="AM1269" s="3"/>
      <c r="AN1269" s="3" t="s">
        <v>1177</v>
      </c>
    </row>
    <row r="1270" spans="1:40" x14ac:dyDescent="0.3">
      <c r="A1270" s="3">
        <v>1264</v>
      </c>
      <c r="B1270" s="3" t="str">
        <f>"201300171815"</f>
        <v>201300171815</v>
      </c>
      <c r="C1270" s="3">
        <v>105538</v>
      </c>
      <c r="D1270" s="3" t="s">
        <v>5064</v>
      </c>
      <c r="E1270" s="3">
        <v>20568767153</v>
      </c>
      <c r="F1270" s="3" t="s">
        <v>4295</v>
      </c>
      <c r="G1270" s="3" t="s">
        <v>4296</v>
      </c>
      <c r="H1270" s="3" t="s">
        <v>237</v>
      </c>
      <c r="I1270" s="3" t="s">
        <v>868</v>
      </c>
      <c r="J1270" s="3" t="s">
        <v>869</v>
      </c>
      <c r="K1270" s="3" t="s">
        <v>5065</v>
      </c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 t="s">
        <v>52</v>
      </c>
      <c r="AL1270" s="4">
        <v>41590</v>
      </c>
      <c r="AM1270" s="3"/>
      <c r="AN1270" s="3" t="s">
        <v>4298</v>
      </c>
    </row>
    <row r="1271" spans="1:40" x14ac:dyDescent="0.3">
      <c r="A1271" s="3">
        <v>1265</v>
      </c>
      <c r="B1271" s="3" t="str">
        <f>"201900210772"</f>
        <v>201900210772</v>
      </c>
      <c r="C1271" s="3">
        <v>148399</v>
      </c>
      <c r="D1271" s="3" t="s">
        <v>5066</v>
      </c>
      <c r="E1271" s="3">
        <v>10457944476</v>
      </c>
      <c r="F1271" s="3" t="s">
        <v>5067</v>
      </c>
      <c r="G1271" s="3" t="s">
        <v>5068</v>
      </c>
      <c r="H1271" s="3" t="s">
        <v>318</v>
      </c>
      <c r="I1271" s="3" t="s">
        <v>319</v>
      </c>
      <c r="J1271" s="3" t="s">
        <v>495</v>
      </c>
      <c r="K1271" s="3" t="s">
        <v>5069</v>
      </c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 t="s">
        <v>986</v>
      </c>
      <c r="AL1271" s="4">
        <v>43826</v>
      </c>
      <c r="AM1271" s="3"/>
      <c r="AN1271" s="3" t="s">
        <v>5067</v>
      </c>
    </row>
    <row r="1272" spans="1:40" x14ac:dyDescent="0.3">
      <c r="A1272" s="3">
        <v>1266</v>
      </c>
      <c r="B1272" s="3" t="str">
        <f>"1329853"</f>
        <v>1329853</v>
      </c>
      <c r="C1272" s="3">
        <v>3364</v>
      </c>
      <c r="D1272" s="3" t="s">
        <v>5070</v>
      </c>
      <c r="E1272" s="3">
        <v>20100366747</v>
      </c>
      <c r="F1272" s="3" t="s">
        <v>258</v>
      </c>
      <c r="G1272" s="3" t="s">
        <v>1055</v>
      </c>
      <c r="H1272" s="3" t="s">
        <v>56</v>
      </c>
      <c r="I1272" s="3" t="s">
        <v>56</v>
      </c>
      <c r="J1272" s="3" t="s">
        <v>185</v>
      </c>
      <c r="K1272" s="3" t="s">
        <v>5071</v>
      </c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 t="s">
        <v>546</v>
      </c>
      <c r="AL1272" s="4">
        <v>37098</v>
      </c>
      <c r="AM1272" s="3"/>
      <c r="AN1272" s="3"/>
    </row>
    <row r="1273" spans="1:40" x14ac:dyDescent="0.3">
      <c r="A1273" s="3">
        <v>1267</v>
      </c>
      <c r="B1273" s="3" t="str">
        <f>"1172067"</f>
        <v>1172067</v>
      </c>
      <c r="C1273" s="3">
        <v>6398</v>
      </c>
      <c r="D1273" s="3">
        <v>1172067</v>
      </c>
      <c r="E1273" s="3">
        <v>20100007348</v>
      </c>
      <c r="F1273" s="3" t="s">
        <v>929</v>
      </c>
      <c r="G1273" s="3" t="s">
        <v>930</v>
      </c>
      <c r="H1273" s="3" t="s">
        <v>75</v>
      </c>
      <c r="I1273" s="3" t="s">
        <v>75</v>
      </c>
      <c r="J1273" s="3" t="s">
        <v>76</v>
      </c>
      <c r="K1273" s="3" t="s">
        <v>5072</v>
      </c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 t="s">
        <v>118</v>
      </c>
      <c r="AL1273" s="4">
        <v>35844</v>
      </c>
      <c r="AM1273" s="3"/>
      <c r="AN1273" s="3"/>
    </row>
    <row r="1274" spans="1:40" x14ac:dyDescent="0.3">
      <c r="A1274" s="3">
        <v>1268</v>
      </c>
      <c r="B1274" s="3" t="str">
        <f>"201300108133"</f>
        <v>201300108133</v>
      </c>
      <c r="C1274" s="3">
        <v>35002</v>
      </c>
      <c r="D1274" s="3" t="s">
        <v>5073</v>
      </c>
      <c r="E1274" s="3">
        <v>20543992942</v>
      </c>
      <c r="F1274" s="3" t="s">
        <v>540</v>
      </c>
      <c r="G1274" s="3" t="s">
        <v>541</v>
      </c>
      <c r="H1274" s="3" t="s">
        <v>56</v>
      </c>
      <c r="I1274" s="3" t="s">
        <v>56</v>
      </c>
      <c r="J1274" s="3" t="s">
        <v>380</v>
      </c>
      <c r="K1274" s="3" t="s">
        <v>5074</v>
      </c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 t="s">
        <v>802</v>
      </c>
      <c r="AL1274" s="3" t="s">
        <v>290</v>
      </c>
      <c r="AM1274" s="3"/>
      <c r="AN1274" s="3" t="s">
        <v>543</v>
      </c>
    </row>
    <row r="1275" spans="1:40" x14ac:dyDescent="0.3">
      <c r="A1275" s="3">
        <v>1269</v>
      </c>
      <c r="B1275" s="3" t="str">
        <f>"201600139659"</f>
        <v>201600139659</v>
      </c>
      <c r="C1275" s="3">
        <v>124063</v>
      </c>
      <c r="D1275" s="3" t="s">
        <v>5075</v>
      </c>
      <c r="E1275" s="3">
        <v>10422584981</v>
      </c>
      <c r="F1275" s="3" t="s">
        <v>5076</v>
      </c>
      <c r="G1275" s="3" t="s">
        <v>5077</v>
      </c>
      <c r="H1275" s="3" t="s">
        <v>245</v>
      </c>
      <c r="I1275" s="3" t="s">
        <v>246</v>
      </c>
      <c r="J1275" s="3" t="s">
        <v>2499</v>
      </c>
      <c r="K1275" s="3" t="s">
        <v>5078</v>
      </c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 t="s">
        <v>602</v>
      </c>
      <c r="AL1275" s="4">
        <v>42655</v>
      </c>
      <c r="AM1275" s="3"/>
      <c r="AN1275" s="3" t="s">
        <v>5076</v>
      </c>
    </row>
    <row r="1276" spans="1:40" x14ac:dyDescent="0.3">
      <c r="A1276" s="3">
        <v>1270</v>
      </c>
      <c r="B1276" s="3" t="str">
        <f>"201900054177"</f>
        <v>201900054177</v>
      </c>
      <c r="C1276" s="3">
        <v>142449</v>
      </c>
      <c r="D1276" s="3" t="s">
        <v>5079</v>
      </c>
      <c r="E1276" s="3">
        <v>10214937919</v>
      </c>
      <c r="F1276" s="3" t="s">
        <v>5080</v>
      </c>
      <c r="G1276" s="3" t="s">
        <v>5081</v>
      </c>
      <c r="H1276" s="3" t="s">
        <v>56</v>
      </c>
      <c r="I1276" s="3" t="s">
        <v>56</v>
      </c>
      <c r="J1276" s="3" t="s">
        <v>185</v>
      </c>
      <c r="K1276" s="3" t="s">
        <v>5082</v>
      </c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 t="s">
        <v>1514</v>
      </c>
      <c r="AL1276" s="4">
        <v>43563</v>
      </c>
      <c r="AM1276" s="3"/>
      <c r="AN1276" s="3" t="s">
        <v>5080</v>
      </c>
    </row>
    <row r="1277" spans="1:40" x14ac:dyDescent="0.3">
      <c r="A1277" s="3">
        <v>1271</v>
      </c>
      <c r="B1277" s="3" t="str">
        <f>"1329851"</f>
        <v>1329851</v>
      </c>
      <c r="C1277" s="3">
        <v>31970</v>
      </c>
      <c r="D1277" s="3" t="s">
        <v>5083</v>
      </c>
      <c r="E1277" s="3">
        <v>20100366747</v>
      </c>
      <c r="F1277" s="3" t="s">
        <v>5084</v>
      </c>
      <c r="G1277" s="3" t="s">
        <v>1055</v>
      </c>
      <c r="H1277" s="3" t="s">
        <v>56</v>
      </c>
      <c r="I1277" s="3" t="s">
        <v>56</v>
      </c>
      <c r="J1277" s="3" t="s">
        <v>185</v>
      </c>
      <c r="K1277" s="3" t="s">
        <v>5085</v>
      </c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 t="s">
        <v>614</v>
      </c>
      <c r="AL1277" s="4">
        <v>37103</v>
      </c>
      <c r="AM1277" s="3"/>
      <c r="AN1277" s="3"/>
    </row>
    <row r="1278" spans="1:40" x14ac:dyDescent="0.3">
      <c r="A1278" s="3">
        <v>1272</v>
      </c>
      <c r="B1278" s="3" t="str">
        <f>"1329850"</f>
        <v>1329850</v>
      </c>
      <c r="C1278" s="3">
        <v>14641</v>
      </c>
      <c r="D1278" s="3" t="s">
        <v>5086</v>
      </c>
      <c r="E1278" s="3">
        <v>20100366747</v>
      </c>
      <c r="F1278" s="3" t="s">
        <v>258</v>
      </c>
      <c r="G1278" s="3" t="s">
        <v>1055</v>
      </c>
      <c r="H1278" s="3" t="s">
        <v>56</v>
      </c>
      <c r="I1278" s="3" t="s">
        <v>56</v>
      </c>
      <c r="J1278" s="3" t="s">
        <v>185</v>
      </c>
      <c r="K1278" s="3" t="s">
        <v>5087</v>
      </c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 t="s">
        <v>614</v>
      </c>
      <c r="AL1278" s="4">
        <v>37103</v>
      </c>
      <c r="AM1278" s="3"/>
      <c r="AN1278" s="3"/>
    </row>
    <row r="1279" spans="1:40" ht="27.95" x14ac:dyDescent="0.3">
      <c r="A1279" s="3">
        <v>1273</v>
      </c>
      <c r="B1279" s="3" t="str">
        <f>"1526223"</f>
        <v>1526223</v>
      </c>
      <c r="C1279" s="3">
        <v>36600</v>
      </c>
      <c r="D1279" s="3" t="s">
        <v>5088</v>
      </c>
      <c r="E1279" s="3">
        <v>20100076749</v>
      </c>
      <c r="F1279" s="3" t="s">
        <v>159</v>
      </c>
      <c r="G1279" s="3" t="s">
        <v>2636</v>
      </c>
      <c r="H1279" s="3" t="s">
        <v>56</v>
      </c>
      <c r="I1279" s="3" t="s">
        <v>56</v>
      </c>
      <c r="J1279" s="3" t="s">
        <v>121</v>
      </c>
      <c r="K1279" s="3" t="s">
        <v>5089</v>
      </c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 t="s">
        <v>546</v>
      </c>
      <c r="AL1279" s="4">
        <v>38458</v>
      </c>
      <c r="AM1279" s="3"/>
      <c r="AN1279" s="3"/>
    </row>
    <row r="1280" spans="1:40" x14ac:dyDescent="0.3">
      <c r="A1280" s="3">
        <v>1274</v>
      </c>
      <c r="B1280" s="3" t="str">
        <f>"201500088396"</f>
        <v>201500088396</v>
      </c>
      <c r="C1280" s="3">
        <v>116277</v>
      </c>
      <c r="D1280" s="3" t="s">
        <v>5090</v>
      </c>
      <c r="E1280" s="3">
        <v>20250459981</v>
      </c>
      <c r="F1280" s="3" t="s">
        <v>2294</v>
      </c>
      <c r="G1280" s="3" t="s">
        <v>1352</v>
      </c>
      <c r="H1280" s="3" t="s">
        <v>56</v>
      </c>
      <c r="I1280" s="3" t="s">
        <v>56</v>
      </c>
      <c r="J1280" s="3" t="s">
        <v>273</v>
      </c>
      <c r="K1280" s="3" t="s">
        <v>5091</v>
      </c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 t="s">
        <v>1668</v>
      </c>
      <c r="AL1280" s="4">
        <v>42202</v>
      </c>
      <c r="AM1280" s="3"/>
      <c r="AN1280" s="3" t="s">
        <v>1355</v>
      </c>
    </row>
    <row r="1281" spans="1:40" ht="27.95" x14ac:dyDescent="0.3">
      <c r="A1281" s="3">
        <v>1275</v>
      </c>
      <c r="B1281" s="3" t="str">
        <f>"1526221"</f>
        <v>1526221</v>
      </c>
      <c r="C1281" s="3">
        <v>38956</v>
      </c>
      <c r="D1281" s="3" t="s">
        <v>5092</v>
      </c>
      <c r="E1281" s="3">
        <v>20100076749</v>
      </c>
      <c r="F1281" s="3" t="s">
        <v>159</v>
      </c>
      <c r="G1281" s="3" t="s">
        <v>2636</v>
      </c>
      <c r="H1281" s="3" t="s">
        <v>56</v>
      </c>
      <c r="I1281" s="3" t="s">
        <v>56</v>
      </c>
      <c r="J1281" s="3" t="s">
        <v>121</v>
      </c>
      <c r="K1281" s="3" t="s">
        <v>5093</v>
      </c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 t="s">
        <v>157</v>
      </c>
      <c r="AL1281" s="4">
        <v>38458</v>
      </c>
      <c r="AM1281" s="3"/>
      <c r="AN1281" s="3"/>
    </row>
    <row r="1282" spans="1:40" x14ac:dyDescent="0.3">
      <c r="A1282" s="3">
        <v>1276</v>
      </c>
      <c r="B1282" s="3" t="str">
        <f>"1172069"</f>
        <v>1172069</v>
      </c>
      <c r="C1282" s="3">
        <v>6400</v>
      </c>
      <c r="D1282" s="3">
        <v>1172069</v>
      </c>
      <c r="E1282" s="3">
        <v>20100007348</v>
      </c>
      <c r="F1282" s="3" t="s">
        <v>929</v>
      </c>
      <c r="G1282" s="3" t="s">
        <v>930</v>
      </c>
      <c r="H1282" s="3" t="s">
        <v>75</v>
      </c>
      <c r="I1282" s="3" t="s">
        <v>75</v>
      </c>
      <c r="J1282" s="3" t="s">
        <v>76</v>
      </c>
      <c r="K1282" s="3" t="s">
        <v>5094</v>
      </c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 t="s">
        <v>118</v>
      </c>
      <c r="AL1282" s="4">
        <v>35844</v>
      </c>
      <c r="AM1282" s="3"/>
      <c r="AN1282" s="3"/>
    </row>
    <row r="1283" spans="1:40" x14ac:dyDescent="0.3">
      <c r="A1283" s="3">
        <v>1277</v>
      </c>
      <c r="B1283" s="3" t="str">
        <f>"201900179096"</f>
        <v>201900179096</v>
      </c>
      <c r="C1283" s="3">
        <v>147515</v>
      </c>
      <c r="D1283" s="3" t="s">
        <v>5095</v>
      </c>
      <c r="E1283" s="3">
        <v>10441900720</v>
      </c>
      <c r="F1283" s="3" t="s">
        <v>5096</v>
      </c>
      <c r="G1283" s="3" t="s">
        <v>5097</v>
      </c>
      <c r="H1283" s="3" t="s">
        <v>97</v>
      </c>
      <c r="I1283" s="3" t="s">
        <v>97</v>
      </c>
      <c r="J1283" s="3" t="s">
        <v>144</v>
      </c>
      <c r="K1283" s="3" t="s">
        <v>5098</v>
      </c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 t="s">
        <v>5099</v>
      </c>
      <c r="AL1283" s="4">
        <v>43783</v>
      </c>
      <c r="AM1283" s="3"/>
      <c r="AN1283" s="3" t="s">
        <v>5096</v>
      </c>
    </row>
    <row r="1284" spans="1:40" ht="27.95" x14ac:dyDescent="0.3">
      <c r="A1284" s="3">
        <v>1278</v>
      </c>
      <c r="B1284" s="3" t="str">
        <f>"1526224"</f>
        <v>1526224</v>
      </c>
      <c r="C1284" s="3">
        <v>36537</v>
      </c>
      <c r="D1284" s="3" t="s">
        <v>5100</v>
      </c>
      <c r="E1284" s="3">
        <v>20100076749</v>
      </c>
      <c r="F1284" s="3" t="s">
        <v>159</v>
      </c>
      <c r="G1284" s="3" t="s">
        <v>2636</v>
      </c>
      <c r="H1284" s="3" t="s">
        <v>56</v>
      </c>
      <c r="I1284" s="3" t="s">
        <v>56</v>
      </c>
      <c r="J1284" s="3" t="s">
        <v>121</v>
      </c>
      <c r="K1284" s="3" t="s">
        <v>5101</v>
      </c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 t="s">
        <v>3574</v>
      </c>
      <c r="AL1284" s="4">
        <v>38458</v>
      </c>
      <c r="AM1284" s="3"/>
      <c r="AN1284" s="3"/>
    </row>
    <row r="1285" spans="1:40" x14ac:dyDescent="0.3">
      <c r="A1285" s="3">
        <v>1279</v>
      </c>
      <c r="B1285" s="3" t="str">
        <f>"201200185033"</f>
        <v>201200185033</v>
      </c>
      <c r="C1285" s="3">
        <v>91591</v>
      </c>
      <c r="D1285" s="3" t="s">
        <v>5102</v>
      </c>
      <c r="E1285" s="3">
        <v>20486518449</v>
      </c>
      <c r="F1285" s="3" t="s">
        <v>5103</v>
      </c>
      <c r="G1285" s="3" t="s">
        <v>5104</v>
      </c>
      <c r="H1285" s="3" t="s">
        <v>237</v>
      </c>
      <c r="I1285" s="3" t="s">
        <v>5105</v>
      </c>
      <c r="J1285" s="3" t="s">
        <v>5106</v>
      </c>
      <c r="K1285" s="3" t="s">
        <v>5107</v>
      </c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 t="s">
        <v>1601</v>
      </c>
      <c r="AL1285" s="4">
        <v>41213</v>
      </c>
      <c r="AM1285" s="3"/>
      <c r="AN1285" s="3" t="s">
        <v>5108</v>
      </c>
    </row>
    <row r="1286" spans="1:40" x14ac:dyDescent="0.3">
      <c r="A1286" s="3">
        <v>1280</v>
      </c>
      <c r="B1286" s="3" t="str">
        <f>"1526228"</f>
        <v>1526228</v>
      </c>
      <c r="C1286" s="3">
        <v>36512</v>
      </c>
      <c r="D1286" s="3" t="s">
        <v>5109</v>
      </c>
      <c r="E1286" s="3">
        <v>20502114108</v>
      </c>
      <c r="F1286" s="3" t="s">
        <v>5110</v>
      </c>
      <c r="G1286" s="3" t="s">
        <v>5111</v>
      </c>
      <c r="H1286" s="3" t="s">
        <v>56</v>
      </c>
      <c r="I1286" s="3" t="s">
        <v>56</v>
      </c>
      <c r="J1286" s="3" t="s">
        <v>277</v>
      </c>
      <c r="K1286" s="3" t="s">
        <v>5112</v>
      </c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 t="s">
        <v>5113</v>
      </c>
      <c r="AL1286" s="4">
        <v>42311</v>
      </c>
      <c r="AM1286" s="3"/>
      <c r="AN1286" s="3"/>
    </row>
    <row r="1287" spans="1:40" x14ac:dyDescent="0.3">
      <c r="A1287" s="3">
        <v>1281</v>
      </c>
      <c r="B1287" s="3" t="str">
        <f>"1859710"</f>
        <v>1859710</v>
      </c>
      <c r="C1287" s="3">
        <v>43874</v>
      </c>
      <c r="D1287" s="3" t="s">
        <v>5114</v>
      </c>
      <c r="E1287" s="3">
        <v>10292830292</v>
      </c>
      <c r="F1287" s="3" t="s">
        <v>95</v>
      </c>
      <c r="G1287" s="3" t="s">
        <v>5115</v>
      </c>
      <c r="H1287" s="3" t="s">
        <v>97</v>
      </c>
      <c r="I1287" s="3" t="s">
        <v>98</v>
      </c>
      <c r="J1287" s="3" t="s">
        <v>99</v>
      </c>
      <c r="K1287" s="3" t="s">
        <v>5116</v>
      </c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 t="s">
        <v>5117</v>
      </c>
      <c r="AL1287" s="4">
        <v>39841</v>
      </c>
      <c r="AM1287" s="3"/>
      <c r="AN1287" s="3"/>
    </row>
    <row r="1288" spans="1:40" x14ac:dyDescent="0.3">
      <c r="A1288" s="3">
        <v>1282</v>
      </c>
      <c r="B1288" s="3" t="str">
        <f>"1630555"</f>
        <v>1630555</v>
      </c>
      <c r="C1288" s="3">
        <v>3490</v>
      </c>
      <c r="D1288" s="3" t="s">
        <v>5118</v>
      </c>
      <c r="E1288" s="3">
        <v>10293910397</v>
      </c>
      <c r="F1288" s="3" t="s">
        <v>5119</v>
      </c>
      <c r="G1288" s="3" t="s">
        <v>5120</v>
      </c>
      <c r="H1288" s="3" t="s">
        <v>97</v>
      </c>
      <c r="I1288" s="3" t="s">
        <v>97</v>
      </c>
      <c r="J1288" s="3" t="s">
        <v>705</v>
      </c>
      <c r="K1288" s="3" t="s">
        <v>5121</v>
      </c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 t="s">
        <v>353</v>
      </c>
      <c r="AL1288" s="4">
        <v>38943</v>
      </c>
      <c r="AM1288" s="3"/>
      <c r="AN1288" s="3"/>
    </row>
    <row r="1289" spans="1:40" x14ac:dyDescent="0.3">
      <c r="A1289" s="3">
        <v>1283</v>
      </c>
      <c r="B1289" s="3" t="str">
        <f>"1299273"</f>
        <v>1299273</v>
      </c>
      <c r="C1289" s="3">
        <v>20596</v>
      </c>
      <c r="D1289" s="3">
        <v>1299273</v>
      </c>
      <c r="E1289" s="3">
        <v>20100007348</v>
      </c>
      <c r="F1289" s="3" t="s">
        <v>929</v>
      </c>
      <c r="G1289" s="3" t="s">
        <v>930</v>
      </c>
      <c r="H1289" s="3" t="s">
        <v>75</v>
      </c>
      <c r="I1289" s="3" t="s">
        <v>75</v>
      </c>
      <c r="J1289" s="3" t="s">
        <v>76</v>
      </c>
      <c r="K1289" s="3" t="s">
        <v>5122</v>
      </c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 t="s">
        <v>3589</v>
      </c>
      <c r="AL1289" s="4">
        <v>36832</v>
      </c>
      <c r="AM1289" s="3"/>
      <c r="AN1289" s="3"/>
    </row>
    <row r="1290" spans="1:40" x14ac:dyDescent="0.3">
      <c r="A1290" s="3">
        <v>1284</v>
      </c>
      <c r="B1290" s="3" t="str">
        <f>"1104279"</f>
        <v>1104279</v>
      </c>
      <c r="C1290" s="3">
        <v>6530</v>
      </c>
      <c r="D1290" s="3">
        <v>957225</v>
      </c>
      <c r="E1290" s="3">
        <v>10103054627</v>
      </c>
      <c r="F1290" s="3" t="s">
        <v>5123</v>
      </c>
      <c r="G1290" s="3" t="s">
        <v>2017</v>
      </c>
      <c r="H1290" s="3" t="s">
        <v>56</v>
      </c>
      <c r="I1290" s="3" t="s">
        <v>56</v>
      </c>
      <c r="J1290" s="3" t="s">
        <v>273</v>
      </c>
      <c r="K1290" s="3" t="s">
        <v>5124</v>
      </c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 t="s">
        <v>65</v>
      </c>
      <c r="AL1290" s="4">
        <v>35495</v>
      </c>
      <c r="AM1290" s="3"/>
      <c r="AN1290" s="3"/>
    </row>
    <row r="1291" spans="1:40" x14ac:dyDescent="0.3">
      <c r="A1291" s="3">
        <v>1285</v>
      </c>
      <c r="B1291" s="3" t="str">
        <f>"1476795"</f>
        <v>1476795</v>
      </c>
      <c r="C1291" s="3">
        <v>91862</v>
      </c>
      <c r="D1291" s="3" t="s">
        <v>5125</v>
      </c>
      <c r="E1291" s="3">
        <v>15113363964</v>
      </c>
      <c r="F1291" s="3" t="s">
        <v>3152</v>
      </c>
      <c r="G1291" s="3" t="s">
        <v>5126</v>
      </c>
      <c r="H1291" s="3" t="s">
        <v>56</v>
      </c>
      <c r="I1291" s="3" t="s">
        <v>56</v>
      </c>
      <c r="J1291" s="3" t="s">
        <v>363</v>
      </c>
      <c r="K1291" s="3" t="s">
        <v>5127</v>
      </c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 t="s">
        <v>5128</v>
      </c>
      <c r="AL1291" s="4">
        <v>40638</v>
      </c>
      <c r="AM1291" s="3"/>
      <c r="AN1291" s="3" t="s">
        <v>3152</v>
      </c>
    </row>
    <row r="1292" spans="1:40" x14ac:dyDescent="0.3">
      <c r="A1292" s="3">
        <v>1286</v>
      </c>
      <c r="B1292" s="3" t="str">
        <f>"1310419"</f>
        <v>1310419</v>
      </c>
      <c r="C1292" s="3">
        <v>15469</v>
      </c>
      <c r="D1292" s="3" t="s">
        <v>5129</v>
      </c>
      <c r="E1292" s="3">
        <v>20100366747</v>
      </c>
      <c r="F1292" s="3" t="s">
        <v>258</v>
      </c>
      <c r="G1292" s="3" t="s">
        <v>1055</v>
      </c>
      <c r="H1292" s="3" t="s">
        <v>56</v>
      </c>
      <c r="I1292" s="3" t="s">
        <v>56</v>
      </c>
      <c r="J1292" s="3" t="s">
        <v>185</v>
      </c>
      <c r="K1292" s="3" t="s">
        <v>5130</v>
      </c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 t="s">
        <v>546</v>
      </c>
      <c r="AL1292" s="4">
        <v>36938</v>
      </c>
      <c r="AM1292" s="3"/>
      <c r="AN1292" s="3"/>
    </row>
    <row r="1293" spans="1:40" x14ac:dyDescent="0.3">
      <c r="A1293" s="3">
        <v>1287</v>
      </c>
      <c r="B1293" s="3" t="str">
        <f>"1299274"</f>
        <v>1299274</v>
      </c>
      <c r="C1293" s="3">
        <v>20595</v>
      </c>
      <c r="D1293" s="3">
        <v>1299274</v>
      </c>
      <c r="E1293" s="3">
        <v>20100007348</v>
      </c>
      <c r="F1293" s="3" t="s">
        <v>929</v>
      </c>
      <c r="G1293" s="3" t="s">
        <v>930</v>
      </c>
      <c r="H1293" s="3" t="s">
        <v>75</v>
      </c>
      <c r="I1293" s="3" t="s">
        <v>75</v>
      </c>
      <c r="J1293" s="3" t="s">
        <v>76</v>
      </c>
      <c r="K1293" s="3" t="s">
        <v>5131</v>
      </c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 t="s">
        <v>5132</v>
      </c>
      <c r="AL1293" s="4">
        <v>36832</v>
      </c>
      <c r="AM1293" s="3"/>
      <c r="AN1293" s="3"/>
    </row>
    <row r="1294" spans="1:40" x14ac:dyDescent="0.3">
      <c r="A1294" s="3">
        <v>1288</v>
      </c>
      <c r="B1294" s="3" t="str">
        <f>"1930721"</f>
        <v>1930721</v>
      </c>
      <c r="C1294" s="3">
        <v>84274</v>
      </c>
      <c r="D1294" s="3" t="s">
        <v>5133</v>
      </c>
      <c r="E1294" s="3">
        <v>20362013802</v>
      </c>
      <c r="F1294" s="3" t="s">
        <v>1963</v>
      </c>
      <c r="G1294" s="3" t="s">
        <v>5134</v>
      </c>
      <c r="H1294" s="3" t="s">
        <v>172</v>
      </c>
      <c r="I1294" s="3" t="s">
        <v>172</v>
      </c>
      <c r="J1294" s="3" t="s">
        <v>1719</v>
      </c>
      <c r="K1294" s="3" t="s">
        <v>5135</v>
      </c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 t="s">
        <v>2355</v>
      </c>
      <c r="AL1294" s="4">
        <v>40093</v>
      </c>
      <c r="AM1294" s="3"/>
      <c r="AN1294" s="3"/>
    </row>
    <row r="1295" spans="1:40" x14ac:dyDescent="0.3">
      <c r="A1295" s="3">
        <v>1289</v>
      </c>
      <c r="B1295" s="3" t="str">
        <f>"1468398"</f>
        <v>1468398</v>
      </c>
      <c r="C1295" s="3">
        <v>36809</v>
      </c>
      <c r="D1295" s="3" t="s">
        <v>5136</v>
      </c>
      <c r="E1295" s="3">
        <v>10098802831</v>
      </c>
      <c r="F1295" s="3" t="s">
        <v>5137</v>
      </c>
      <c r="G1295" s="3" t="s">
        <v>5138</v>
      </c>
      <c r="H1295" s="3" t="s">
        <v>56</v>
      </c>
      <c r="I1295" s="3" t="s">
        <v>56</v>
      </c>
      <c r="J1295" s="3" t="s">
        <v>185</v>
      </c>
      <c r="K1295" s="3" t="s">
        <v>5139</v>
      </c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 t="s">
        <v>5140</v>
      </c>
      <c r="AL1295" s="4">
        <v>38131</v>
      </c>
      <c r="AM1295" s="3"/>
      <c r="AN1295" s="3"/>
    </row>
    <row r="1296" spans="1:40" x14ac:dyDescent="0.3">
      <c r="A1296" s="3">
        <v>1290</v>
      </c>
      <c r="B1296" s="3" t="str">
        <f>"1350938"</f>
        <v>1350938</v>
      </c>
      <c r="C1296" s="3">
        <v>86457</v>
      </c>
      <c r="D1296" s="3" t="s">
        <v>5141</v>
      </c>
      <c r="E1296" s="3">
        <v>20476130604</v>
      </c>
      <c r="F1296" s="3" t="s">
        <v>5142</v>
      </c>
      <c r="G1296" s="3" t="s">
        <v>5143</v>
      </c>
      <c r="H1296" s="3" t="s">
        <v>56</v>
      </c>
      <c r="I1296" s="3" t="s">
        <v>56</v>
      </c>
      <c r="J1296" s="3" t="s">
        <v>529</v>
      </c>
      <c r="K1296" s="3" t="s">
        <v>5144</v>
      </c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 t="s">
        <v>157</v>
      </c>
      <c r="AL1296" s="4">
        <v>40312</v>
      </c>
      <c r="AM1296" s="3"/>
      <c r="AN1296" s="3" t="s">
        <v>5145</v>
      </c>
    </row>
    <row r="1297" spans="1:40" x14ac:dyDescent="0.3">
      <c r="A1297" s="3">
        <v>1291</v>
      </c>
      <c r="B1297" s="3" t="str">
        <f>"1754704"</f>
        <v>1754704</v>
      </c>
      <c r="C1297" s="3">
        <v>42717</v>
      </c>
      <c r="D1297" s="3" t="s">
        <v>5146</v>
      </c>
      <c r="E1297" s="3">
        <v>10402372350</v>
      </c>
      <c r="F1297" s="3" t="s">
        <v>5147</v>
      </c>
      <c r="G1297" s="3" t="s">
        <v>5148</v>
      </c>
      <c r="H1297" s="3" t="s">
        <v>237</v>
      </c>
      <c r="I1297" s="3" t="s">
        <v>868</v>
      </c>
      <c r="J1297" s="3" t="s">
        <v>2537</v>
      </c>
      <c r="K1297" s="3" t="s">
        <v>5149</v>
      </c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 t="s">
        <v>5150</v>
      </c>
      <c r="AL1297" s="4">
        <v>39470</v>
      </c>
      <c r="AM1297" s="3"/>
      <c r="AN1297" s="3"/>
    </row>
    <row r="1298" spans="1:40" ht="27.95" x14ac:dyDescent="0.3">
      <c r="A1298" s="3">
        <v>1292</v>
      </c>
      <c r="B1298" s="3" t="str">
        <f>"201700121274"</f>
        <v>201700121274</v>
      </c>
      <c r="C1298" s="3">
        <v>130892</v>
      </c>
      <c r="D1298" s="3" t="s">
        <v>5151</v>
      </c>
      <c r="E1298" s="3">
        <v>20389099164</v>
      </c>
      <c r="F1298" s="3" t="s">
        <v>5152</v>
      </c>
      <c r="G1298" s="3" t="s">
        <v>5153</v>
      </c>
      <c r="H1298" s="3" t="s">
        <v>56</v>
      </c>
      <c r="I1298" s="3" t="s">
        <v>56</v>
      </c>
      <c r="J1298" s="3" t="s">
        <v>363</v>
      </c>
      <c r="K1298" s="3" t="s">
        <v>5154</v>
      </c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 t="s">
        <v>5155</v>
      </c>
      <c r="AL1298" s="4">
        <v>42954</v>
      </c>
      <c r="AM1298" s="3"/>
      <c r="AN1298" s="3" t="s">
        <v>1231</v>
      </c>
    </row>
    <row r="1299" spans="1:40" x14ac:dyDescent="0.3">
      <c r="A1299" s="3">
        <v>1293</v>
      </c>
      <c r="B1299" s="3" t="str">
        <f>"201300033276"</f>
        <v>201300033276</v>
      </c>
      <c r="C1299" s="3">
        <v>100016</v>
      </c>
      <c r="D1299" s="3" t="s">
        <v>5156</v>
      </c>
      <c r="E1299" s="3">
        <v>20516511975</v>
      </c>
      <c r="F1299" s="3" t="s">
        <v>4664</v>
      </c>
      <c r="G1299" s="3" t="s">
        <v>5058</v>
      </c>
      <c r="H1299" s="3" t="s">
        <v>202</v>
      </c>
      <c r="I1299" s="3" t="s">
        <v>202</v>
      </c>
      <c r="J1299" s="3" t="s">
        <v>202</v>
      </c>
      <c r="K1299" s="3" t="s">
        <v>5157</v>
      </c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 t="s">
        <v>226</v>
      </c>
      <c r="AL1299" s="3" t="s">
        <v>290</v>
      </c>
      <c r="AM1299" s="3"/>
      <c r="AN1299" s="3" t="s">
        <v>2811</v>
      </c>
    </row>
    <row r="1300" spans="1:40" ht="27.95" x14ac:dyDescent="0.3">
      <c r="A1300" s="3">
        <v>1294</v>
      </c>
      <c r="B1300" s="3" t="str">
        <f>"201300151393"</f>
        <v>201300151393</v>
      </c>
      <c r="C1300" s="3">
        <v>105401</v>
      </c>
      <c r="D1300" s="3" t="s">
        <v>5158</v>
      </c>
      <c r="E1300" s="3">
        <v>20174640514</v>
      </c>
      <c r="F1300" s="3" t="s">
        <v>4127</v>
      </c>
      <c r="G1300" s="3" t="s">
        <v>4078</v>
      </c>
      <c r="H1300" s="3" t="s">
        <v>75</v>
      </c>
      <c r="I1300" s="3" t="s">
        <v>75</v>
      </c>
      <c r="J1300" s="3" t="s">
        <v>76</v>
      </c>
      <c r="K1300" s="3" t="s">
        <v>5159</v>
      </c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 t="s">
        <v>2484</v>
      </c>
      <c r="AL1300" s="3" t="s">
        <v>290</v>
      </c>
      <c r="AM1300" s="3"/>
      <c r="AN1300" s="3" t="s">
        <v>3046</v>
      </c>
    </row>
    <row r="1301" spans="1:40" x14ac:dyDescent="0.3">
      <c r="A1301" s="3">
        <v>1295</v>
      </c>
      <c r="B1301" s="3" t="str">
        <f>"1133048"</f>
        <v>1133048</v>
      </c>
      <c r="C1301" s="3">
        <v>3515</v>
      </c>
      <c r="D1301" s="3">
        <v>1133048</v>
      </c>
      <c r="E1301" s="3">
        <v>10153693086</v>
      </c>
      <c r="F1301" s="3" t="s">
        <v>5160</v>
      </c>
      <c r="G1301" s="3" t="s">
        <v>5161</v>
      </c>
      <c r="H1301" s="3" t="s">
        <v>56</v>
      </c>
      <c r="I1301" s="3" t="s">
        <v>422</v>
      </c>
      <c r="J1301" s="3" t="s">
        <v>869</v>
      </c>
      <c r="K1301" s="3" t="s">
        <v>5162</v>
      </c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 t="s">
        <v>81</v>
      </c>
      <c r="AL1301" s="4">
        <v>35605</v>
      </c>
      <c r="AM1301" s="3"/>
      <c r="AN1301" s="3"/>
    </row>
    <row r="1302" spans="1:40" x14ac:dyDescent="0.3">
      <c r="A1302" s="3">
        <v>1296</v>
      </c>
      <c r="B1302" s="3" t="str">
        <f>"201300108117"</f>
        <v>201300108117</v>
      </c>
      <c r="C1302" s="3">
        <v>86452</v>
      </c>
      <c r="D1302" s="3" t="s">
        <v>5163</v>
      </c>
      <c r="E1302" s="3">
        <v>20543992942</v>
      </c>
      <c r="F1302" s="3" t="s">
        <v>540</v>
      </c>
      <c r="G1302" s="3" t="s">
        <v>541</v>
      </c>
      <c r="H1302" s="3" t="s">
        <v>56</v>
      </c>
      <c r="I1302" s="3" t="s">
        <v>56</v>
      </c>
      <c r="J1302" s="3" t="s">
        <v>380</v>
      </c>
      <c r="K1302" s="3" t="s">
        <v>5164</v>
      </c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 t="s">
        <v>5165</v>
      </c>
      <c r="AL1302" s="3" t="s">
        <v>290</v>
      </c>
      <c r="AM1302" s="3"/>
      <c r="AN1302" s="3" t="s">
        <v>543</v>
      </c>
    </row>
    <row r="1303" spans="1:40" x14ac:dyDescent="0.3">
      <c r="A1303" s="3">
        <v>1297</v>
      </c>
      <c r="B1303" s="3" t="str">
        <f>"201600000395"</f>
        <v>201600000395</v>
      </c>
      <c r="C1303" s="3">
        <v>118715</v>
      </c>
      <c r="D1303" s="3" t="s">
        <v>5166</v>
      </c>
      <c r="E1303" s="3">
        <v>20564020126</v>
      </c>
      <c r="F1303" s="3" t="s">
        <v>5167</v>
      </c>
      <c r="G1303" s="3" t="s">
        <v>5168</v>
      </c>
      <c r="H1303" s="3" t="s">
        <v>446</v>
      </c>
      <c r="I1303" s="3" t="s">
        <v>895</v>
      </c>
      <c r="J1303" s="3" t="s">
        <v>896</v>
      </c>
      <c r="K1303" s="3" t="s">
        <v>5169</v>
      </c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 t="s">
        <v>5170</v>
      </c>
      <c r="AL1303" s="4">
        <v>42382</v>
      </c>
      <c r="AM1303" s="3"/>
      <c r="AN1303" s="3" t="s">
        <v>5171</v>
      </c>
    </row>
    <row r="1304" spans="1:40" x14ac:dyDescent="0.3">
      <c r="A1304" s="3">
        <v>1298</v>
      </c>
      <c r="B1304" s="3" t="str">
        <f>"201900144556"</f>
        <v>201900144556</v>
      </c>
      <c r="C1304" s="3">
        <v>146379</v>
      </c>
      <c r="D1304" s="3" t="s">
        <v>5172</v>
      </c>
      <c r="E1304" s="3">
        <v>20100007348</v>
      </c>
      <c r="F1304" s="3" t="s">
        <v>5173</v>
      </c>
      <c r="G1304" s="3" t="s">
        <v>5174</v>
      </c>
      <c r="H1304" s="3" t="s">
        <v>75</v>
      </c>
      <c r="I1304" s="3" t="s">
        <v>75</v>
      </c>
      <c r="J1304" s="3" t="s">
        <v>76</v>
      </c>
      <c r="K1304" s="3" t="s">
        <v>5175</v>
      </c>
      <c r="L1304" s="3" t="s">
        <v>5176</v>
      </c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 t="s">
        <v>150</v>
      </c>
      <c r="AL1304" s="4">
        <v>43720</v>
      </c>
      <c r="AM1304" s="3"/>
      <c r="AN1304" s="3" t="s">
        <v>5177</v>
      </c>
    </row>
    <row r="1305" spans="1:40" ht="27.95" x14ac:dyDescent="0.3">
      <c r="A1305" s="3">
        <v>1299</v>
      </c>
      <c r="B1305" s="3" t="str">
        <f>"1565087"</f>
        <v>1565087</v>
      </c>
      <c r="C1305" s="3">
        <v>37442</v>
      </c>
      <c r="D1305" s="3" t="s">
        <v>5178</v>
      </c>
      <c r="E1305" s="3">
        <v>20100076749</v>
      </c>
      <c r="F1305" s="3" t="s">
        <v>159</v>
      </c>
      <c r="G1305" s="3" t="s">
        <v>160</v>
      </c>
      <c r="H1305" s="3" t="s">
        <v>56</v>
      </c>
      <c r="I1305" s="3" t="s">
        <v>56</v>
      </c>
      <c r="J1305" s="3" t="s">
        <v>121</v>
      </c>
      <c r="K1305" s="3" t="s">
        <v>5179</v>
      </c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 t="s">
        <v>187</v>
      </c>
      <c r="AL1305" s="4">
        <v>38639</v>
      </c>
      <c r="AM1305" s="3"/>
      <c r="AN1305" s="3"/>
    </row>
    <row r="1306" spans="1:40" ht="27.95" x14ac:dyDescent="0.3">
      <c r="A1306" s="3">
        <v>1300</v>
      </c>
      <c r="B1306" s="3" t="str">
        <f>"201800140430"</f>
        <v>201800140430</v>
      </c>
      <c r="C1306" s="3">
        <v>138225</v>
      </c>
      <c r="D1306" s="3" t="s">
        <v>5180</v>
      </c>
      <c r="E1306" s="3">
        <v>10296954077</v>
      </c>
      <c r="F1306" s="3" t="s">
        <v>1131</v>
      </c>
      <c r="G1306" s="3" t="s">
        <v>5181</v>
      </c>
      <c r="H1306" s="3" t="s">
        <v>97</v>
      </c>
      <c r="I1306" s="3" t="s">
        <v>97</v>
      </c>
      <c r="J1306" s="3" t="s">
        <v>254</v>
      </c>
      <c r="K1306" s="3" t="s">
        <v>5182</v>
      </c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 t="s">
        <v>233</v>
      </c>
      <c r="AL1306" s="4">
        <v>43346</v>
      </c>
      <c r="AM1306" s="3"/>
      <c r="AN1306" s="3" t="s">
        <v>1131</v>
      </c>
    </row>
    <row r="1307" spans="1:40" x14ac:dyDescent="0.3">
      <c r="A1307" s="3">
        <v>1301</v>
      </c>
      <c r="B1307" s="3" t="str">
        <f>"1586400"</f>
        <v>1586400</v>
      </c>
      <c r="C1307" s="3">
        <v>42669</v>
      </c>
      <c r="D1307" s="3" t="s">
        <v>5183</v>
      </c>
      <c r="E1307" s="3">
        <v>20121837634</v>
      </c>
      <c r="F1307" s="3" t="s">
        <v>866</v>
      </c>
      <c r="G1307" s="3" t="s">
        <v>3759</v>
      </c>
      <c r="H1307" s="3" t="s">
        <v>237</v>
      </c>
      <c r="I1307" s="3" t="s">
        <v>868</v>
      </c>
      <c r="J1307" s="3" t="s">
        <v>869</v>
      </c>
      <c r="K1307" s="3" t="s">
        <v>5184</v>
      </c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 t="s">
        <v>2394</v>
      </c>
      <c r="AL1307" s="4">
        <v>38734</v>
      </c>
      <c r="AM1307" s="3"/>
      <c r="AN1307" s="3"/>
    </row>
    <row r="1308" spans="1:40" ht="27.95" x14ac:dyDescent="0.3">
      <c r="A1308" s="3">
        <v>1302</v>
      </c>
      <c r="B1308" s="3" t="str">
        <f>"201600154830"</f>
        <v>201600154830</v>
      </c>
      <c r="C1308" s="3">
        <v>124584</v>
      </c>
      <c r="D1308" s="3" t="s">
        <v>5185</v>
      </c>
      <c r="E1308" s="3">
        <v>10258478890</v>
      </c>
      <c r="F1308" s="3" t="s">
        <v>5186</v>
      </c>
      <c r="G1308" s="3" t="s">
        <v>5187</v>
      </c>
      <c r="H1308" s="3" t="s">
        <v>56</v>
      </c>
      <c r="I1308" s="3" t="s">
        <v>56</v>
      </c>
      <c r="J1308" s="3" t="s">
        <v>63</v>
      </c>
      <c r="K1308" s="3" t="s">
        <v>5188</v>
      </c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 t="s">
        <v>404</v>
      </c>
      <c r="AL1308" s="4">
        <v>42671</v>
      </c>
      <c r="AM1308" s="3"/>
      <c r="AN1308" s="3" t="s">
        <v>5186</v>
      </c>
    </row>
    <row r="1309" spans="1:40" ht="27.95" x14ac:dyDescent="0.3">
      <c r="A1309" s="3">
        <v>1303</v>
      </c>
      <c r="B1309" s="3" t="str">
        <f>"1845139"</f>
        <v>1845139</v>
      </c>
      <c r="C1309" s="3">
        <v>82101</v>
      </c>
      <c r="D1309" s="3" t="s">
        <v>5189</v>
      </c>
      <c r="E1309" s="3">
        <v>20404723392</v>
      </c>
      <c r="F1309" s="3" t="s">
        <v>5190</v>
      </c>
      <c r="G1309" s="3" t="s">
        <v>5191</v>
      </c>
      <c r="H1309" s="3" t="s">
        <v>89</v>
      </c>
      <c r="I1309" s="3" t="s">
        <v>89</v>
      </c>
      <c r="J1309" s="3" t="s">
        <v>90</v>
      </c>
      <c r="K1309" s="3" t="s">
        <v>5192</v>
      </c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 t="s">
        <v>218</v>
      </c>
      <c r="AL1309" s="4">
        <v>39777</v>
      </c>
      <c r="AM1309" s="3"/>
      <c r="AN1309" s="3"/>
    </row>
    <row r="1310" spans="1:40" x14ac:dyDescent="0.3">
      <c r="A1310" s="3">
        <v>1304</v>
      </c>
      <c r="B1310" s="3" t="str">
        <f>"1533323"</f>
        <v>1533323</v>
      </c>
      <c r="C1310" s="3">
        <v>40498</v>
      </c>
      <c r="D1310" s="3" t="s">
        <v>5193</v>
      </c>
      <c r="E1310" s="3">
        <v>10250021033</v>
      </c>
      <c r="F1310" s="3" t="s">
        <v>5194</v>
      </c>
      <c r="G1310" s="3" t="s">
        <v>5195</v>
      </c>
      <c r="H1310" s="3" t="s">
        <v>446</v>
      </c>
      <c r="I1310" s="3" t="s">
        <v>446</v>
      </c>
      <c r="J1310" s="3" t="s">
        <v>2611</v>
      </c>
      <c r="K1310" s="3" t="s">
        <v>5196</v>
      </c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 t="s">
        <v>2766</v>
      </c>
      <c r="AL1310" s="4">
        <v>38471</v>
      </c>
      <c r="AM1310" s="3"/>
      <c r="AN1310" s="3"/>
    </row>
    <row r="1311" spans="1:40" x14ac:dyDescent="0.3">
      <c r="A1311" s="3">
        <v>1305</v>
      </c>
      <c r="B1311" s="3" t="str">
        <f>"1890953"</f>
        <v>1890953</v>
      </c>
      <c r="C1311" s="3">
        <v>83216</v>
      </c>
      <c r="D1311" s="3" t="s">
        <v>5197</v>
      </c>
      <c r="E1311" s="3">
        <v>10253084753</v>
      </c>
      <c r="F1311" s="3" t="s">
        <v>5198</v>
      </c>
      <c r="G1311" s="3" t="s">
        <v>5199</v>
      </c>
      <c r="H1311" s="3" t="s">
        <v>97</v>
      </c>
      <c r="I1311" s="3" t="s">
        <v>97</v>
      </c>
      <c r="J1311" s="3" t="s">
        <v>254</v>
      </c>
      <c r="K1311" s="3" t="s">
        <v>5200</v>
      </c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 t="s">
        <v>5201</v>
      </c>
      <c r="AL1311" s="4">
        <v>39966</v>
      </c>
      <c r="AM1311" s="3"/>
      <c r="AN1311" s="3"/>
    </row>
    <row r="1312" spans="1:40" x14ac:dyDescent="0.3">
      <c r="A1312" s="3">
        <v>1306</v>
      </c>
      <c r="B1312" s="3" t="str">
        <f>"1533326"</f>
        <v>1533326</v>
      </c>
      <c r="C1312" s="3">
        <v>40499</v>
      </c>
      <c r="D1312" s="3" t="s">
        <v>5202</v>
      </c>
      <c r="E1312" s="3">
        <v>10238627562</v>
      </c>
      <c r="F1312" s="3" t="s">
        <v>5203</v>
      </c>
      <c r="G1312" s="3" t="s">
        <v>5204</v>
      </c>
      <c r="H1312" s="3" t="s">
        <v>446</v>
      </c>
      <c r="I1312" s="3" t="s">
        <v>446</v>
      </c>
      <c r="J1312" s="3" t="s">
        <v>2611</v>
      </c>
      <c r="K1312" s="3" t="s">
        <v>5205</v>
      </c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 t="s">
        <v>1573</v>
      </c>
      <c r="AL1312" s="4">
        <v>38471</v>
      </c>
      <c r="AM1312" s="3"/>
      <c r="AN1312" s="3"/>
    </row>
    <row r="1313" spans="1:40" x14ac:dyDescent="0.3">
      <c r="A1313" s="3">
        <v>1307</v>
      </c>
      <c r="B1313" s="3" t="str">
        <f>"1845107"</f>
        <v>1845107</v>
      </c>
      <c r="C1313" s="3">
        <v>62837</v>
      </c>
      <c r="D1313" s="3" t="s">
        <v>5206</v>
      </c>
      <c r="E1313" s="3">
        <v>10106438345</v>
      </c>
      <c r="F1313" s="3" t="s">
        <v>1434</v>
      </c>
      <c r="G1313" s="3" t="s">
        <v>5207</v>
      </c>
      <c r="H1313" s="3" t="s">
        <v>216</v>
      </c>
      <c r="I1313" s="3" t="s">
        <v>216</v>
      </c>
      <c r="J1313" s="3" t="s">
        <v>216</v>
      </c>
      <c r="K1313" s="3" t="s">
        <v>5208</v>
      </c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 t="s">
        <v>5209</v>
      </c>
      <c r="AL1313" s="4">
        <v>39792</v>
      </c>
      <c r="AM1313" s="3"/>
      <c r="AN1313" s="3"/>
    </row>
    <row r="1314" spans="1:40" x14ac:dyDescent="0.3">
      <c r="A1314" s="3">
        <v>1308</v>
      </c>
      <c r="B1314" s="3" t="str">
        <f>"201400158467"</f>
        <v>201400158467</v>
      </c>
      <c r="C1314" s="3">
        <v>112735</v>
      </c>
      <c r="D1314" s="3" t="s">
        <v>5210</v>
      </c>
      <c r="E1314" s="3">
        <v>10304117503</v>
      </c>
      <c r="F1314" s="3" t="s">
        <v>5211</v>
      </c>
      <c r="G1314" s="3" t="s">
        <v>5212</v>
      </c>
      <c r="H1314" s="3" t="s">
        <v>202</v>
      </c>
      <c r="I1314" s="3" t="s">
        <v>202</v>
      </c>
      <c r="J1314" s="3" t="s">
        <v>612</v>
      </c>
      <c r="K1314" s="3" t="s">
        <v>5213</v>
      </c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 t="s">
        <v>546</v>
      </c>
      <c r="AL1314" s="4">
        <v>41992</v>
      </c>
      <c r="AM1314" s="3"/>
      <c r="AN1314" s="3" t="s">
        <v>5211</v>
      </c>
    </row>
    <row r="1315" spans="1:40" x14ac:dyDescent="0.3">
      <c r="A1315" s="3">
        <v>1309</v>
      </c>
      <c r="B1315" s="3" t="str">
        <f>"1444524"</f>
        <v>1444524</v>
      </c>
      <c r="C1315" s="3">
        <v>37303</v>
      </c>
      <c r="D1315" s="3" t="s">
        <v>5214</v>
      </c>
      <c r="E1315" s="3">
        <v>20100366747</v>
      </c>
      <c r="F1315" s="3" t="s">
        <v>258</v>
      </c>
      <c r="G1315" s="3" t="s">
        <v>1055</v>
      </c>
      <c r="H1315" s="3" t="s">
        <v>56</v>
      </c>
      <c r="I1315" s="3" t="s">
        <v>56</v>
      </c>
      <c r="J1315" s="3" t="s">
        <v>185</v>
      </c>
      <c r="K1315" s="3" t="s">
        <v>5215</v>
      </c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 t="s">
        <v>81</v>
      </c>
      <c r="AL1315" s="4">
        <v>37967</v>
      </c>
      <c r="AM1315" s="3"/>
      <c r="AN1315" s="3"/>
    </row>
    <row r="1316" spans="1:40" ht="27.95" x14ac:dyDescent="0.3">
      <c r="A1316" s="3">
        <v>1310</v>
      </c>
      <c r="B1316" s="3" t="str">
        <f>"201700077262"</f>
        <v>201700077262</v>
      </c>
      <c r="C1316" s="3">
        <v>125299</v>
      </c>
      <c r="D1316" s="3" t="s">
        <v>5216</v>
      </c>
      <c r="E1316" s="3">
        <v>10248846696</v>
      </c>
      <c r="F1316" s="3" t="s">
        <v>5217</v>
      </c>
      <c r="G1316" s="3" t="s">
        <v>5218</v>
      </c>
      <c r="H1316" s="3" t="s">
        <v>97</v>
      </c>
      <c r="I1316" s="3" t="s">
        <v>97</v>
      </c>
      <c r="J1316" s="3" t="s">
        <v>5219</v>
      </c>
      <c r="K1316" s="3" t="s">
        <v>5220</v>
      </c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 t="s">
        <v>2484</v>
      </c>
      <c r="AL1316" s="4">
        <v>42878</v>
      </c>
      <c r="AM1316" s="3"/>
      <c r="AN1316" s="3" t="s">
        <v>5221</v>
      </c>
    </row>
    <row r="1317" spans="1:40" x14ac:dyDescent="0.3">
      <c r="A1317" s="3">
        <v>1311</v>
      </c>
      <c r="B1317" s="3" t="str">
        <f>"201300151377"</f>
        <v>201300151377</v>
      </c>
      <c r="C1317" s="3">
        <v>105400</v>
      </c>
      <c r="D1317" s="3" t="s">
        <v>5222</v>
      </c>
      <c r="E1317" s="3">
        <v>20174640514</v>
      </c>
      <c r="F1317" s="3" t="s">
        <v>3043</v>
      </c>
      <c r="G1317" s="3" t="s">
        <v>5018</v>
      </c>
      <c r="H1317" s="3" t="s">
        <v>75</v>
      </c>
      <c r="I1317" s="3" t="s">
        <v>75</v>
      </c>
      <c r="J1317" s="3" t="s">
        <v>76</v>
      </c>
      <c r="K1317" s="3" t="s">
        <v>5223</v>
      </c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 t="s">
        <v>2484</v>
      </c>
      <c r="AL1317" s="3" t="s">
        <v>290</v>
      </c>
      <c r="AM1317" s="3"/>
      <c r="AN1317" s="3" t="s">
        <v>3046</v>
      </c>
    </row>
    <row r="1318" spans="1:40" x14ac:dyDescent="0.3">
      <c r="A1318" s="3">
        <v>1312</v>
      </c>
      <c r="B1318" s="3" t="str">
        <f>"201700084031"</f>
        <v>201700084031</v>
      </c>
      <c r="C1318" s="3">
        <v>128950</v>
      </c>
      <c r="D1318" s="3" t="s">
        <v>5224</v>
      </c>
      <c r="E1318" s="3">
        <v>10195637411</v>
      </c>
      <c r="F1318" s="3" t="s">
        <v>5225</v>
      </c>
      <c r="G1318" s="3" t="s">
        <v>5226</v>
      </c>
      <c r="H1318" s="3" t="s">
        <v>44</v>
      </c>
      <c r="I1318" s="3" t="s">
        <v>45</v>
      </c>
      <c r="J1318" s="3" t="s">
        <v>45</v>
      </c>
      <c r="K1318" s="3" t="s">
        <v>5227</v>
      </c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 t="s">
        <v>5228</v>
      </c>
      <c r="AL1318" s="4">
        <v>42907</v>
      </c>
      <c r="AM1318" s="3"/>
      <c r="AN1318" s="3" t="s">
        <v>5225</v>
      </c>
    </row>
    <row r="1319" spans="1:40" ht="27.95" x14ac:dyDescent="0.3">
      <c r="A1319" s="3">
        <v>1313</v>
      </c>
      <c r="B1319" s="3" t="str">
        <f>"201700121258"</f>
        <v>201700121258</v>
      </c>
      <c r="C1319" s="3">
        <v>130890</v>
      </c>
      <c r="D1319" s="3" t="s">
        <v>5229</v>
      </c>
      <c r="E1319" s="3">
        <v>20389099164</v>
      </c>
      <c r="F1319" s="3" t="s">
        <v>5152</v>
      </c>
      <c r="G1319" s="3" t="s">
        <v>5230</v>
      </c>
      <c r="H1319" s="3" t="s">
        <v>56</v>
      </c>
      <c r="I1319" s="3" t="s">
        <v>56</v>
      </c>
      <c r="J1319" s="3" t="s">
        <v>363</v>
      </c>
      <c r="K1319" s="3" t="s">
        <v>5231</v>
      </c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 t="s">
        <v>5155</v>
      </c>
      <c r="AL1319" s="4">
        <v>42954</v>
      </c>
      <c r="AM1319" s="3"/>
      <c r="AN1319" s="3" t="s">
        <v>1231</v>
      </c>
    </row>
    <row r="1320" spans="1:40" ht="27.95" x14ac:dyDescent="0.3">
      <c r="A1320" s="3">
        <v>1314</v>
      </c>
      <c r="B1320" s="3" t="str">
        <f>"202000114493"</f>
        <v>202000114493</v>
      </c>
      <c r="C1320" s="3">
        <v>150935</v>
      </c>
      <c r="D1320" s="3" t="s">
        <v>5232</v>
      </c>
      <c r="E1320" s="3">
        <v>20445487989</v>
      </c>
      <c r="F1320" s="3" t="s">
        <v>5233</v>
      </c>
      <c r="G1320" s="3" t="s">
        <v>5234</v>
      </c>
      <c r="H1320" s="3" t="s">
        <v>56</v>
      </c>
      <c r="I1320" s="3" t="s">
        <v>56</v>
      </c>
      <c r="J1320" s="3" t="s">
        <v>57</v>
      </c>
      <c r="K1320" s="3" t="s">
        <v>5235</v>
      </c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 t="s">
        <v>5236</v>
      </c>
      <c r="AL1320" s="4">
        <v>44080</v>
      </c>
      <c r="AM1320" s="3"/>
      <c r="AN1320" s="3" t="s">
        <v>5237</v>
      </c>
    </row>
    <row r="1321" spans="1:40" ht="27.95" x14ac:dyDescent="0.3">
      <c r="A1321" s="3">
        <v>1315</v>
      </c>
      <c r="B1321" s="3" t="str">
        <f>"202000114494"</f>
        <v>202000114494</v>
      </c>
      <c r="C1321" s="3">
        <v>150938</v>
      </c>
      <c r="D1321" s="3" t="s">
        <v>5238</v>
      </c>
      <c r="E1321" s="3">
        <v>20445487989</v>
      </c>
      <c r="F1321" s="3" t="s">
        <v>5233</v>
      </c>
      <c r="G1321" s="3" t="s">
        <v>5239</v>
      </c>
      <c r="H1321" s="3" t="s">
        <v>56</v>
      </c>
      <c r="I1321" s="3" t="s">
        <v>56</v>
      </c>
      <c r="J1321" s="3" t="s">
        <v>57</v>
      </c>
      <c r="K1321" s="3" t="s">
        <v>5240</v>
      </c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 t="s">
        <v>157</v>
      </c>
      <c r="AL1321" s="4">
        <v>44079</v>
      </c>
      <c r="AM1321" s="3"/>
      <c r="AN1321" s="3" t="s">
        <v>5237</v>
      </c>
    </row>
    <row r="1322" spans="1:40" x14ac:dyDescent="0.3">
      <c r="A1322" s="3">
        <v>1316</v>
      </c>
      <c r="B1322" s="3" t="str">
        <f>"201400045387"</f>
        <v>201400045387</v>
      </c>
      <c r="C1322" s="3">
        <v>108868</v>
      </c>
      <c r="D1322" s="3" t="s">
        <v>5241</v>
      </c>
      <c r="E1322" s="3">
        <v>20113539594</v>
      </c>
      <c r="F1322" s="3" t="s">
        <v>164</v>
      </c>
      <c r="G1322" s="3" t="s">
        <v>624</v>
      </c>
      <c r="H1322" s="3" t="s">
        <v>50</v>
      </c>
      <c r="I1322" s="3" t="s">
        <v>50</v>
      </c>
      <c r="J1322" s="3" t="s">
        <v>50</v>
      </c>
      <c r="K1322" s="3" t="s">
        <v>5242</v>
      </c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 t="s">
        <v>504</v>
      </c>
      <c r="AL1322" s="4">
        <v>41752</v>
      </c>
      <c r="AM1322" s="3"/>
      <c r="AN1322" s="3" t="s">
        <v>626</v>
      </c>
    </row>
    <row r="1323" spans="1:40" ht="27.95" x14ac:dyDescent="0.3">
      <c r="A1323" s="3">
        <v>1317</v>
      </c>
      <c r="B1323" s="3" t="str">
        <f>"201300036357"</f>
        <v>201300036357</v>
      </c>
      <c r="C1323" s="3">
        <v>101049</v>
      </c>
      <c r="D1323" s="3" t="s">
        <v>5243</v>
      </c>
      <c r="E1323" s="3">
        <v>20450609774</v>
      </c>
      <c r="F1323" s="3" t="s">
        <v>5244</v>
      </c>
      <c r="G1323" s="3" t="s">
        <v>5245</v>
      </c>
      <c r="H1323" s="3" t="s">
        <v>1208</v>
      </c>
      <c r="I1323" s="3" t="s">
        <v>1209</v>
      </c>
      <c r="J1323" s="3" t="s">
        <v>1209</v>
      </c>
      <c r="K1323" s="3" t="s">
        <v>5246</v>
      </c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 t="s">
        <v>5247</v>
      </c>
      <c r="AL1323" s="3" t="s">
        <v>290</v>
      </c>
      <c r="AM1323" s="3"/>
      <c r="AN1323" s="3" t="s">
        <v>5248</v>
      </c>
    </row>
    <row r="1324" spans="1:40" ht="27.95" x14ac:dyDescent="0.3">
      <c r="A1324" s="3">
        <v>1318</v>
      </c>
      <c r="B1324" s="3" t="str">
        <f>"201900206263"</f>
        <v>201900206263</v>
      </c>
      <c r="C1324" s="3">
        <v>145813</v>
      </c>
      <c r="D1324" s="3" t="s">
        <v>5249</v>
      </c>
      <c r="E1324" s="3">
        <v>20601342309</v>
      </c>
      <c r="F1324" s="3" t="s">
        <v>5250</v>
      </c>
      <c r="G1324" s="3" t="s">
        <v>5251</v>
      </c>
      <c r="H1324" s="3" t="s">
        <v>216</v>
      </c>
      <c r="I1324" s="3" t="s">
        <v>1303</v>
      </c>
      <c r="J1324" s="3" t="s">
        <v>1303</v>
      </c>
      <c r="K1324" s="3" t="s">
        <v>5252</v>
      </c>
      <c r="L1324" s="3" t="s">
        <v>5253</v>
      </c>
      <c r="M1324" s="3" t="s">
        <v>5254</v>
      </c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 t="s">
        <v>3485</v>
      </c>
      <c r="AL1324" s="4">
        <v>43815</v>
      </c>
      <c r="AM1324" s="3"/>
      <c r="AN1324" s="3" t="s">
        <v>5255</v>
      </c>
    </row>
    <row r="1325" spans="1:40" x14ac:dyDescent="0.3">
      <c r="A1325" s="3">
        <v>1319</v>
      </c>
      <c r="B1325" s="3" t="str">
        <f>"1838816"</f>
        <v>1838816</v>
      </c>
      <c r="C1325" s="3">
        <v>64523</v>
      </c>
      <c r="D1325" s="3" t="s">
        <v>5256</v>
      </c>
      <c r="E1325" s="3">
        <v>10273667763</v>
      </c>
      <c r="F1325" s="3" t="s">
        <v>2625</v>
      </c>
      <c r="G1325" s="3" t="s">
        <v>5257</v>
      </c>
      <c r="H1325" s="3" t="s">
        <v>318</v>
      </c>
      <c r="I1325" s="3" t="s">
        <v>319</v>
      </c>
      <c r="J1325" s="3" t="s">
        <v>495</v>
      </c>
      <c r="K1325" s="3" t="s">
        <v>5258</v>
      </c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 t="s">
        <v>449</v>
      </c>
      <c r="AL1325" s="4">
        <v>39766</v>
      </c>
      <c r="AM1325" s="3"/>
      <c r="AN1325" s="3"/>
    </row>
    <row r="1326" spans="1:40" x14ac:dyDescent="0.3">
      <c r="A1326" s="3">
        <v>1320</v>
      </c>
      <c r="B1326" s="3" t="str">
        <f>"201200219194"</f>
        <v>201200219194</v>
      </c>
      <c r="C1326" s="3">
        <v>99823</v>
      </c>
      <c r="D1326" s="3" t="s">
        <v>5259</v>
      </c>
      <c r="E1326" s="3">
        <v>10297360545</v>
      </c>
      <c r="F1326" s="3" t="s">
        <v>5260</v>
      </c>
      <c r="G1326" s="3" t="s">
        <v>5261</v>
      </c>
      <c r="H1326" s="3" t="s">
        <v>97</v>
      </c>
      <c r="I1326" s="3" t="s">
        <v>97</v>
      </c>
      <c r="J1326" s="3" t="s">
        <v>254</v>
      </c>
      <c r="K1326" s="3" t="s">
        <v>5262</v>
      </c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 t="s">
        <v>1151</v>
      </c>
      <c r="AL1326" s="4">
        <v>41270</v>
      </c>
      <c r="AM1326" s="3"/>
      <c r="AN1326" s="3" t="s">
        <v>5260</v>
      </c>
    </row>
    <row r="1327" spans="1:40" ht="27.95" x14ac:dyDescent="0.3">
      <c r="A1327" s="3">
        <v>1321</v>
      </c>
      <c r="B1327" s="3" t="str">
        <f>"201800104997"</f>
        <v>201800104997</v>
      </c>
      <c r="C1327" s="3">
        <v>85642</v>
      </c>
      <c r="D1327" s="3" t="s">
        <v>5263</v>
      </c>
      <c r="E1327" s="3">
        <v>20547314426</v>
      </c>
      <c r="F1327" s="3" t="s">
        <v>5264</v>
      </c>
      <c r="G1327" s="3" t="s">
        <v>5265</v>
      </c>
      <c r="H1327" s="3" t="s">
        <v>56</v>
      </c>
      <c r="I1327" s="3" t="s">
        <v>56</v>
      </c>
      <c r="J1327" s="3" t="s">
        <v>273</v>
      </c>
      <c r="K1327" s="3" t="s">
        <v>5266</v>
      </c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 t="s">
        <v>230</v>
      </c>
      <c r="AL1327" s="4">
        <v>43284</v>
      </c>
      <c r="AM1327" s="3"/>
      <c r="AN1327" s="3" t="s">
        <v>1039</v>
      </c>
    </row>
    <row r="1328" spans="1:40" ht="27.95" x14ac:dyDescent="0.3">
      <c r="A1328" s="3">
        <v>1322</v>
      </c>
      <c r="B1328" s="3" t="str">
        <f>"201300136091"</f>
        <v>201300136091</v>
      </c>
      <c r="C1328" s="3">
        <v>35007</v>
      </c>
      <c r="D1328" s="3" t="s">
        <v>5267</v>
      </c>
      <c r="E1328" s="3">
        <v>20543992942</v>
      </c>
      <c r="F1328" s="3" t="s">
        <v>540</v>
      </c>
      <c r="G1328" s="3" t="s">
        <v>5268</v>
      </c>
      <c r="H1328" s="3" t="s">
        <v>56</v>
      </c>
      <c r="I1328" s="3" t="s">
        <v>56</v>
      </c>
      <c r="J1328" s="3" t="s">
        <v>57</v>
      </c>
      <c r="K1328" s="3" t="s">
        <v>5269</v>
      </c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 t="s">
        <v>802</v>
      </c>
      <c r="AL1328" s="3" t="s">
        <v>290</v>
      </c>
      <c r="AM1328" s="3"/>
      <c r="AN1328" s="3" t="s">
        <v>543</v>
      </c>
    </row>
    <row r="1329" spans="1:40" x14ac:dyDescent="0.3">
      <c r="A1329" s="3">
        <v>1323</v>
      </c>
      <c r="B1329" s="3" t="str">
        <f>"1413583"</f>
        <v>1413583</v>
      </c>
      <c r="C1329" s="3">
        <v>34367</v>
      </c>
      <c r="D1329" s="3" t="s">
        <v>5270</v>
      </c>
      <c r="E1329" s="3">
        <v>20505678185</v>
      </c>
      <c r="F1329" s="3" t="s">
        <v>5271</v>
      </c>
      <c r="G1329" s="3" t="s">
        <v>5272</v>
      </c>
      <c r="H1329" s="3" t="s">
        <v>56</v>
      </c>
      <c r="I1329" s="3" t="s">
        <v>56</v>
      </c>
      <c r="J1329" s="3" t="s">
        <v>481</v>
      </c>
      <c r="K1329" s="3" t="s">
        <v>5273</v>
      </c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 t="s">
        <v>81</v>
      </c>
      <c r="AL1329" s="4">
        <v>37776</v>
      </c>
      <c r="AM1329" s="3"/>
      <c r="AN1329" s="3"/>
    </row>
    <row r="1330" spans="1:40" x14ac:dyDescent="0.3">
      <c r="A1330" s="3">
        <v>1324</v>
      </c>
      <c r="B1330" s="3" t="str">
        <f>"1413584"</f>
        <v>1413584</v>
      </c>
      <c r="C1330" s="3">
        <v>33483</v>
      </c>
      <c r="D1330" s="3" t="s">
        <v>5274</v>
      </c>
      <c r="E1330" s="3">
        <v>10081236157</v>
      </c>
      <c r="F1330" s="3" t="s">
        <v>5275</v>
      </c>
      <c r="G1330" s="3" t="s">
        <v>5272</v>
      </c>
      <c r="H1330" s="3" t="s">
        <v>56</v>
      </c>
      <c r="I1330" s="3" t="s">
        <v>56</v>
      </c>
      <c r="J1330" s="3" t="s">
        <v>481</v>
      </c>
      <c r="K1330" s="3" t="s">
        <v>5276</v>
      </c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 t="s">
        <v>81</v>
      </c>
      <c r="AL1330" s="4">
        <v>37776</v>
      </c>
      <c r="AM1330" s="3"/>
      <c r="AN1330" s="3"/>
    </row>
    <row r="1331" spans="1:40" x14ac:dyDescent="0.3">
      <c r="A1331" s="3">
        <v>1325</v>
      </c>
      <c r="B1331" s="3" t="str">
        <f>"201900087177"</f>
        <v>201900087177</v>
      </c>
      <c r="C1331" s="3">
        <v>131165</v>
      </c>
      <c r="D1331" s="3" t="s">
        <v>5277</v>
      </c>
      <c r="E1331" s="3">
        <v>20502114108</v>
      </c>
      <c r="F1331" s="3" t="s">
        <v>5278</v>
      </c>
      <c r="G1331" s="3" t="s">
        <v>5279</v>
      </c>
      <c r="H1331" s="3" t="s">
        <v>56</v>
      </c>
      <c r="I1331" s="3" t="s">
        <v>56</v>
      </c>
      <c r="J1331" s="3" t="s">
        <v>277</v>
      </c>
      <c r="K1331" s="3" t="s">
        <v>5280</v>
      </c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 t="s">
        <v>5281</v>
      </c>
      <c r="AL1331" s="4">
        <v>43622</v>
      </c>
      <c r="AM1331" s="3"/>
      <c r="AN1331" s="3" t="s">
        <v>5282</v>
      </c>
    </row>
    <row r="1332" spans="1:40" x14ac:dyDescent="0.3">
      <c r="A1332" s="3">
        <v>1326</v>
      </c>
      <c r="B1332" s="3" t="str">
        <f>"201900087173"</f>
        <v>201900087173</v>
      </c>
      <c r="C1332" s="3">
        <v>144377</v>
      </c>
      <c r="D1332" s="3" t="s">
        <v>5283</v>
      </c>
      <c r="E1332" s="3">
        <v>20550716675</v>
      </c>
      <c r="F1332" s="3" t="s">
        <v>3316</v>
      </c>
      <c r="G1332" s="3" t="s">
        <v>5284</v>
      </c>
      <c r="H1332" s="3" t="s">
        <v>56</v>
      </c>
      <c r="I1332" s="3" t="s">
        <v>56</v>
      </c>
      <c r="J1332" s="3" t="s">
        <v>121</v>
      </c>
      <c r="K1332" s="3" t="s">
        <v>5285</v>
      </c>
      <c r="L1332" s="3" t="s">
        <v>5286</v>
      </c>
      <c r="M1332" s="3" t="s">
        <v>5287</v>
      </c>
      <c r="N1332" s="3" t="s">
        <v>5288</v>
      </c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 t="s">
        <v>5289</v>
      </c>
      <c r="AL1332" s="4">
        <v>43623</v>
      </c>
      <c r="AM1332" s="3"/>
      <c r="AN1332" s="3" t="s">
        <v>5290</v>
      </c>
    </row>
    <row r="1333" spans="1:40" x14ac:dyDescent="0.3">
      <c r="A1333" s="3">
        <v>1327</v>
      </c>
      <c r="B1333" s="3" t="str">
        <f>"201600078252"</f>
        <v>201600078252</v>
      </c>
      <c r="C1333" s="3">
        <v>86368</v>
      </c>
      <c r="D1333" s="3" t="s">
        <v>5291</v>
      </c>
      <c r="E1333" s="3">
        <v>20100366747</v>
      </c>
      <c r="F1333" s="3" t="s">
        <v>334</v>
      </c>
      <c r="G1333" s="3" t="s">
        <v>451</v>
      </c>
      <c r="H1333" s="3" t="s">
        <v>56</v>
      </c>
      <c r="I1333" s="3" t="s">
        <v>56</v>
      </c>
      <c r="J1333" s="3" t="s">
        <v>185</v>
      </c>
      <c r="K1333" s="3" t="s">
        <v>5292</v>
      </c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 t="s">
        <v>118</v>
      </c>
      <c r="AL1333" s="4">
        <v>42529</v>
      </c>
      <c r="AM1333" s="3"/>
      <c r="AN1333" s="3" t="s">
        <v>262</v>
      </c>
    </row>
    <row r="1334" spans="1:40" x14ac:dyDescent="0.3">
      <c r="A1334" s="3">
        <v>1328</v>
      </c>
      <c r="B1334" s="3" t="str">
        <f>"1328319"</f>
        <v>1328319</v>
      </c>
      <c r="C1334" s="3">
        <v>3597</v>
      </c>
      <c r="D1334" s="3" t="s">
        <v>5293</v>
      </c>
      <c r="E1334" s="3">
        <v>20100366747</v>
      </c>
      <c r="F1334" s="3" t="s">
        <v>258</v>
      </c>
      <c r="G1334" s="3" t="s">
        <v>1055</v>
      </c>
      <c r="H1334" s="3" t="s">
        <v>56</v>
      </c>
      <c r="I1334" s="3" t="s">
        <v>56</v>
      </c>
      <c r="J1334" s="3" t="s">
        <v>185</v>
      </c>
      <c r="K1334" s="3" t="s">
        <v>5294</v>
      </c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 t="s">
        <v>1341</v>
      </c>
      <c r="AL1334" s="4">
        <v>37088</v>
      </c>
      <c r="AM1334" s="3"/>
      <c r="AN1334" s="3"/>
    </row>
    <row r="1335" spans="1:40" ht="27.95" x14ac:dyDescent="0.3">
      <c r="A1335" s="3">
        <v>1329</v>
      </c>
      <c r="B1335" s="3" t="str">
        <f>"201800000344"</f>
        <v>201800000344</v>
      </c>
      <c r="C1335" s="3">
        <v>133831</v>
      </c>
      <c r="D1335" s="3" t="s">
        <v>5295</v>
      </c>
      <c r="E1335" s="3">
        <v>20481402621</v>
      </c>
      <c r="F1335" s="3" t="s">
        <v>5296</v>
      </c>
      <c r="G1335" s="3" t="s">
        <v>5297</v>
      </c>
      <c r="H1335" s="3" t="s">
        <v>44</v>
      </c>
      <c r="I1335" s="3" t="s">
        <v>45</v>
      </c>
      <c r="J1335" s="3" t="s">
        <v>45</v>
      </c>
      <c r="K1335" s="3" t="s">
        <v>5298</v>
      </c>
      <c r="L1335" s="3" t="s">
        <v>5299</v>
      </c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 t="s">
        <v>5300</v>
      </c>
      <c r="AL1335" s="4">
        <v>43116</v>
      </c>
      <c r="AM1335" s="3"/>
      <c r="AN1335" s="3" t="s">
        <v>5301</v>
      </c>
    </row>
    <row r="1336" spans="1:40" x14ac:dyDescent="0.3">
      <c r="A1336" s="3">
        <v>1330</v>
      </c>
      <c r="B1336" s="3" t="str">
        <f>"1116657"</f>
        <v>1116657</v>
      </c>
      <c r="C1336" s="3">
        <v>3395</v>
      </c>
      <c r="D1336" s="3">
        <v>1076895</v>
      </c>
      <c r="E1336" s="3">
        <v>20252539493</v>
      </c>
      <c r="F1336" s="3" t="s">
        <v>1277</v>
      </c>
      <c r="G1336" s="3" t="s">
        <v>1278</v>
      </c>
      <c r="H1336" s="3" t="s">
        <v>75</v>
      </c>
      <c r="I1336" s="3" t="s">
        <v>75</v>
      </c>
      <c r="J1336" s="3" t="s">
        <v>76</v>
      </c>
      <c r="K1336" s="3" t="s">
        <v>5302</v>
      </c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 t="s">
        <v>47</v>
      </c>
      <c r="AL1336" s="4">
        <v>35629</v>
      </c>
      <c r="AM1336" s="3"/>
      <c r="AN1336" s="3"/>
    </row>
    <row r="1337" spans="1:40" x14ac:dyDescent="0.3">
      <c r="A1337" s="3">
        <v>1331</v>
      </c>
      <c r="B1337" s="3" t="str">
        <f>"1328317"</f>
        <v>1328317</v>
      </c>
      <c r="C1337" s="3">
        <v>19455</v>
      </c>
      <c r="D1337" s="3" t="s">
        <v>5303</v>
      </c>
      <c r="E1337" s="3">
        <v>20100366747</v>
      </c>
      <c r="F1337" s="3" t="s">
        <v>258</v>
      </c>
      <c r="G1337" s="3" t="s">
        <v>1055</v>
      </c>
      <c r="H1337" s="3" t="s">
        <v>56</v>
      </c>
      <c r="I1337" s="3" t="s">
        <v>56</v>
      </c>
      <c r="J1337" s="3" t="s">
        <v>185</v>
      </c>
      <c r="K1337" s="3" t="s">
        <v>5304</v>
      </c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 t="s">
        <v>942</v>
      </c>
      <c r="AL1337" s="4">
        <v>37088</v>
      </c>
      <c r="AM1337" s="3"/>
      <c r="AN1337" s="3"/>
    </row>
    <row r="1338" spans="1:40" x14ac:dyDescent="0.3">
      <c r="A1338" s="3">
        <v>1332</v>
      </c>
      <c r="B1338" s="3" t="str">
        <f>"1351404"</f>
        <v>1351404</v>
      </c>
      <c r="C1338" s="3">
        <v>21651</v>
      </c>
      <c r="D1338" s="3" t="s">
        <v>5305</v>
      </c>
      <c r="E1338" s="3">
        <v>20262254268</v>
      </c>
      <c r="F1338" s="3" t="s">
        <v>103</v>
      </c>
      <c r="G1338" s="3" t="s">
        <v>104</v>
      </c>
      <c r="H1338" s="3" t="s">
        <v>56</v>
      </c>
      <c r="I1338" s="3" t="s">
        <v>56</v>
      </c>
      <c r="J1338" s="3" t="s">
        <v>105</v>
      </c>
      <c r="K1338" s="3" t="s">
        <v>5306</v>
      </c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 t="s">
        <v>1586</v>
      </c>
      <c r="AL1338" s="4">
        <v>37295</v>
      </c>
      <c r="AM1338" s="3"/>
      <c r="AN1338" s="3"/>
    </row>
    <row r="1339" spans="1:40" x14ac:dyDescent="0.3">
      <c r="A1339" s="3">
        <v>1333</v>
      </c>
      <c r="B1339" s="3" t="str">
        <f>"1328316"</f>
        <v>1328316</v>
      </c>
      <c r="C1339" s="3">
        <v>19452</v>
      </c>
      <c r="D1339" s="3" t="s">
        <v>5307</v>
      </c>
      <c r="E1339" s="3">
        <v>20100366747</v>
      </c>
      <c r="F1339" s="3" t="s">
        <v>258</v>
      </c>
      <c r="G1339" s="3" t="s">
        <v>1055</v>
      </c>
      <c r="H1339" s="3" t="s">
        <v>56</v>
      </c>
      <c r="I1339" s="3" t="s">
        <v>56</v>
      </c>
      <c r="J1339" s="3" t="s">
        <v>185</v>
      </c>
      <c r="K1339" s="3" t="s">
        <v>5308</v>
      </c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 t="s">
        <v>614</v>
      </c>
      <c r="AL1339" s="4">
        <v>37088</v>
      </c>
      <c r="AM1339" s="3"/>
      <c r="AN1339" s="3"/>
    </row>
    <row r="1340" spans="1:40" x14ac:dyDescent="0.3">
      <c r="A1340" s="3">
        <v>1334</v>
      </c>
      <c r="B1340" s="3" t="str">
        <f>"1351407"</f>
        <v>1351407</v>
      </c>
      <c r="C1340" s="3">
        <v>21652</v>
      </c>
      <c r="D1340" s="3" t="s">
        <v>5309</v>
      </c>
      <c r="E1340" s="3">
        <v>20262254268</v>
      </c>
      <c r="F1340" s="3" t="s">
        <v>103</v>
      </c>
      <c r="G1340" s="3" t="s">
        <v>104</v>
      </c>
      <c r="H1340" s="3" t="s">
        <v>56</v>
      </c>
      <c r="I1340" s="3" t="s">
        <v>56</v>
      </c>
      <c r="J1340" s="3" t="s">
        <v>105</v>
      </c>
      <c r="K1340" s="3" t="s">
        <v>5310</v>
      </c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 t="s">
        <v>1586</v>
      </c>
      <c r="AL1340" s="4">
        <v>37295</v>
      </c>
      <c r="AM1340" s="3"/>
      <c r="AN1340" s="3"/>
    </row>
    <row r="1341" spans="1:40" x14ac:dyDescent="0.3">
      <c r="A1341" s="3">
        <v>1335</v>
      </c>
      <c r="B1341" s="3" t="str">
        <f>"202000104437"</f>
        <v>202000104437</v>
      </c>
      <c r="C1341" s="3">
        <v>97970</v>
      </c>
      <c r="D1341" s="3" t="s">
        <v>5311</v>
      </c>
      <c r="E1341" s="3">
        <v>20510279060</v>
      </c>
      <c r="F1341" s="3" t="s">
        <v>4986</v>
      </c>
      <c r="G1341" s="3" t="s">
        <v>5312</v>
      </c>
      <c r="H1341" s="3" t="s">
        <v>237</v>
      </c>
      <c r="I1341" s="3" t="s">
        <v>868</v>
      </c>
      <c r="J1341" s="3" t="s">
        <v>868</v>
      </c>
      <c r="K1341" s="3" t="s">
        <v>5313</v>
      </c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 t="s">
        <v>1994</v>
      </c>
      <c r="AL1341" s="4">
        <v>44062</v>
      </c>
      <c r="AM1341" s="3"/>
      <c r="AN1341" s="3" t="s">
        <v>4990</v>
      </c>
    </row>
    <row r="1342" spans="1:40" x14ac:dyDescent="0.3">
      <c r="A1342" s="3">
        <v>1336</v>
      </c>
      <c r="B1342" s="3" t="str">
        <f>"1351408"</f>
        <v>1351408</v>
      </c>
      <c r="C1342" s="3">
        <v>21602</v>
      </c>
      <c r="D1342" s="3" t="s">
        <v>5314</v>
      </c>
      <c r="E1342" s="3">
        <v>20262254268</v>
      </c>
      <c r="F1342" s="3" t="s">
        <v>103</v>
      </c>
      <c r="G1342" s="3" t="s">
        <v>104</v>
      </c>
      <c r="H1342" s="3" t="s">
        <v>56</v>
      </c>
      <c r="I1342" s="3" t="s">
        <v>56</v>
      </c>
      <c r="J1342" s="3" t="s">
        <v>105</v>
      </c>
      <c r="K1342" s="3" t="s">
        <v>5315</v>
      </c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 t="s">
        <v>1586</v>
      </c>
      <c r="AL1342" s="4">
        <v>37295</v>
      </c>
      <c r="AM1342" s="3"/>
      <c r="AN1342" s="3"/>
    </row>
    <row r="1343" spans="1:40" x14ac:dyDescent="0.3">
      <c r="A1343" s="3">
        <v>1337</v>
      </c>
      <c r="B1343" s="3" t="str">
        <f>"1328311"</f>
        <v>1328311</v>
      </c>
      <c r="C1343" s="3">
        <v>3332</v>
      </c>
      <c r="D1343" s="3" t="s">
        <v>5316</v>
      </c>
      <c r="E1343" s="3">
        <v>20100366747</v>
      </c>
      <c r="F1343" s="3" t="s">
        <v>258</v>
      </c>
      <c r="G1343" s="3" t="s">
        <v>1055</v>
      </c>
      <c r="H1343" s="3" t="s">
        <v>56</v>
      </c>
      <c r="I1343" s="3" t="s">
        <v>56</v>
      </c>
      <c r="J1343" s="3" t="s">
        <v>185</v>
      </c>
      <c r="K1343" s="3" t="s">
        <v>5317</v>
      </c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 t="s">
        <v>546</v>
      </c>
      <c r="AL1343" s="4">
        <v>37088</v>
      </c>
      <c r="AM1343" s="3"/>
      <c r="AN1343" s="3"/>
    </row>
    <row r="1344" spans="1:40" x14ac:dyDescent="0.3">
      <c r="A1344" s="3">
        <v>1338</v>
      </c>
      <c r="B1344" s="3" t="str">
        <f>"201900079265"</f>
        <v>201900079265</v>
      </c>
      <c r="C1344" s="3">
        <v>140127</v>
      </c>
      <c r="D1344" s="3" t="s">
        <v>5318</v>
      </c>
      <c r="E1344" s="3">
        <v>10409235757</v>
      </c>
      <c r="F1344" s="3" t="s">
        <v>5319</v>
      </c>
      <c r="G1344" s="3" t="s">
        <v>5320</v>
      </c>
      <c r="H1344" s="3" t="s">
        <v>237</v>
      </c>
      <c r="I1344" s="3" t="s">
        <v>868</v>
      </c>
      <c r="J1344" s="3" t="s">
        <v>868</v>
      </c>
      <c r="K1344" s="3" t="s">
        <v>5321</v>
      </c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 t="s">
        <v>634</v>
      </c>
      <c r="AL1344" s="4">
        <v>43605</v>
      </c>
      <c r="AM1344" s="3"/>
      <c r="AN1344" s="3" t="s">
        <v>5322</v>
      </c>
    </row>
    <row r="1345" spans="1:40" x14ac:dyDescent="0.3">
      <c r="A1345" s="3">
        <v>1339</v>
      </c>
      <c r="B1345" s="3" t="str">
        <f>"1328313"</f>
        <v>1328313</v>
      </c>
      <c r="C1345" s="3">
        <v>18107</v>
      </c>
      <c r="D1345" s="3" t="s">
        <v>5323</v>
      </c>
      <c r="E1345" s="3">
        <v>20100366747</v>
      </c>
      <c r="F1345" s="3" t="s">
        <v>258</v>
      </c>
      <c r="G1345" s="3" t="s">
        <v>1055</v>
      </c>
      <c r="H1345" s="3" t="s">
        <v>56</v>
      </c>
      <c r="I1345" s="3" t="s">
        <v>56</v>
      </c>
      <c r="J1345" s="3" t="s">
        <v>185</v>
      </c>
      <c r="K1345" s="3" t="s">
        <v>5324</v>
      </c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 t="s">
        <v>47</v>
      </c>
      <c r="AL1345" s="4">
        <v>37088</v>
      </c>
      <c r="AM1345" s="3"/>
      <c r="AN1345" s="3"/>
    </row>
    <row r="1346" spans="1:40" x14ac:dyDescent="0.3">
      <c r="A1346" s="3">
        <v>1340</v>
      </c>
      <c r="B1346" s="3" t="str">
        <f>"1286930"</f>
        <v>1286930</v>
      </c>
      <c r="C1346" s="3">
        <v>19760</v>
      </c>
      <c r="D1346" s="3" t="s">
        <v>5325</v>
      </c>
      <c r="E1346" s="3">
        <v>20400641502</v>
      </c>
      <c r="F1346" s="3" t="s">
        <v>5326</v>
      </c>
      <c r="G1346" s="3" t="s">
        <v>5327</v>
      </c>
      <c r="H1346" s="3" t="s">
        <v>446</v>
      </c>
      <c r="I1346" s="3" t="s">
        <v>446</v>
      </c>
      <c r="J1346" s="3" t="s">
        <v>2611</v>
      </c>
      <c r="K1346" s="3" t="s">
        <v>5328</v>
      </c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 t="s">
        <v>52</v>
      </c>
      <c r="AL1346" s="4">
        <v>36705</v>
      </c>
      <c r="AM1346" s="3"/>
      <c r="AN1346" s="3"/>
    </row>
    <row r="1347" spans="1:40" x14ac:dyDescent="0.3">
      <c r="A1347" s="3">
        <v>1341</v>
      </c>
      <c r="B1347" s="3" t="str">
        <f>"1148384"</f>
        <v>1148384</v>
      </c>
      <c r="C1347" s="3">
        <v>3303</v>
      </c>
      <c r="D1347" s="3">
        <v>1148384</v>
      </c>
      <c r="E1347" s="3">
        <v>10199232971</v>
      </c>
      <c r="F1347" s="3" t="s">
        <v>2563</v>
      </c>
      <c r="G1347" s="3" t="s">
        <v>5329</v>
      </c>
      <c r="H1347" s="3" t="s">
        <v>237</v>
      </c>
      <c r="I1347" s="3" t="s">
        <v>868</v>
      </c>
      <c r="J1347" s="3" t="s">
        <v>2537</v>
      </c>
      <c r="K1347" s="3" t="s">
        <v>5330</v>
      </c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 t="s">
        <v>81</v>
      </c>
      <c r="AL1347" s="4">
        <v>35681</v>
      </c>
      <c r="AM1347" s="3"/>
      <c r="AN1347" s="3"/>
    </row>
    <row r="1348" spans="1:40" x14ac:dyDescent="0.3">
      <c r="A1348" s="3">
        <v>1342</v>
      </c>
      <c r="B1348" s="3" t="str">
        <f>"1148383"</f>
        <v>1148383</v>
      </c>
      <c r="C1348" s="3">
        <v>3302</v>
      </c>
      <c r="D1348" s="3">
        <v>1148383</v>
      </c>
      <c r="E1348" s="3">
        <v>20214494745</v>
      </c>
      <c r="F1348" s="3" t="s">
        <v>2535</v>
      </c>
      <c r="G1348" s="3" t="s">
        <v>5331</v>
      </c>
      <c r="H1348" s="3" t="s">
        <v>237</v>
      </c>
      <c r="I1348" s="3" t="s">
        <v>868</v>
      </c>
      <c r="J1348" s="3" t="s">
        <v>2537</v>
      </c>
      <c r="K1348" s="3" t="s">
        <v>5332</v>
      </c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 t="s">
        <v>118</v>
      </c>
      <c r="AL1348" s="4">
        <v>35681</v>
      </c>
      <c r="AM1348" s="3"/>
      <c r="AN1348" s="3"/>
    </row>
    <row r="1349" spans="1:40" ht="27.95" x14ac:dyDescent="0.3">
      <c r="A1349" s="3">
        <v>1343</v>
      </c>
      <c r="B1349" s="3" t="str">
        <f>"201700121242"</f>
        <v>201700121242</v>
      </c>
      <c r="C1349" s="3">
        <v>130888</v>
      </c>
      <c r="D1349" s="3" t="s">
        <v>5333</v>
      </c>
      <c r="E1349" s="3">
        <v>20389099164</v>
      </c>
      <c r="F1349" s="3" t="s">
        <v>5152</v>
      </c>
      <c r="G1349" s="3" t="s">
        <v>5334</v>
      </c>
      <c r="H1349" s="3" t="s">
        <v>56</v>
      </c>
      <c r="I1349" s="3" t="s">
        <v>56</v>
      </c>
      <c r="J1349" s="3" t="s">
        <v>363</v>
      </c>
      <c r="K1349" s="3" t="s">
        <v>5335</v>
      </c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 t="s">
        <v>5155</v>
      </c>
      <c r="AL1349" s="4">
        <v>42954</v>
      </c>
      <c r="AM1349" s="3"/>
      <c r="AN1349" s="3" t="s">
        <v>1231</v>
      </c>
    </row>
    <row r="1350" spans="1:40" x14ac:dyDescent="0.3">
      <c r="A1350" s="3">
        <v>1344</v>
      </c>
      <c r="B1350" s="3" t="str">
        <f>"1328305"</f>
        <v>1328305</v>
      </c>
      <c r="C1350" s="3">
        <v>6505</v>
      </c>
      <c r="D1350" s="3" t="s">
        <v>5336</v>
      </c>
      <c r="E1350" s="3">
        <v>20100366747</v>
      </c>
      <c r="F1350" s="3" t="s">
        <v>258</v>
      </c>
      <c r="G1350" s="3" t="s">
        <v>1055</v>
      </c>
      <c r="H1350" s="3" t="s">
        <v>56</v>
      </c>
      <c r="I1350" s="3" t="s">
        <v>56</v>
      </c>
      <c r="J1350" s="3" t="s">
        <v>185</v>
      </c>
      <c r="K1350" s="3" t="s">
        <v>5337</v>
      </c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 t="s">
        <v>546</v>
      </c>
      <c r="AL1350" s="4">
        <v>37089</v>
      </c>
      <c r="AM1350" s="3"/>
      <c r="AN1350" s="3"/>
    </row>
    <row r="1351" spans="1:40" ht="27.95" x14ac:dyDescent="0.3">
      <c r="A1351" s="3">
        <v>1345</v>
      </c>
      <c r="B1351" s="3" t="str">
        <f>"201800036519"</f>
        <v>201800036519</v>
      </c>
      <c r="C1351" s="3">
        <v>134831</v>
      </c>
      <c r="D1351" s="3" t="s">
        <v>5338</v>
      </c>
      <c r="E1351" s="3">
        <v>20404723392</v>
      </c>
      <c r="F1351" s="3" t="s">
        <v>642</v>
      </c>
      <c r="G1351" s="3" t="s">
        <v>5339</v>
      </c>
      <c r="H1351" s="3" t="s">
        <v>89</v>
      </c>
      <c r="I1351" s="3" t="s">
        <v>89</v>
      </c>
      <c r="J1351" s="3" t="s">
        <v>90</v>
      </c>
      <c r="K1351" s="3" t="s">
        <v>5340</v>
      </c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 t="s">
        <v>5341</v>
      </c>
      <c r="AL1351" s="4">
        <v>43195</v>
      </c>
      <c r="AM1351" s="3"/>
      <c r="AN1351" s="3" t="s">
        <v>93</v>
      </c>
    </row>
    <row r="1352" spans="1:40" x14ac:dyDescent="0.3">
      <c r="A1352" s="3">
        <v>1346</v>
      </c>
      <c r="B1352" s="3" t="str">
        <f>"1328308"</f>
        <v>1328308</v>
      </c>
      <c r="C1352" s="3">
        <v>2729</v>
      </c>
      <c r="D1352" s="3" t="s">
        <v>5342</v>
      </c>
      <c r="E1352" s="3">
        <v>20100366747</v>
      </c>
      <c r="F1352" s="3" t="s">
        <v>258</v>
      </c>
      <c r="G1352" s="3" t="s">
        <v>1055</v>
      </c>
      <c r="H1352" s="3" t="s">
        <v>56</v>
      </c>
      <c r="I1352" s="3" t="s">
        <v>56</v>
      </c>
      <c r="J1352" s="3" t="s">
        <v>185</v>
      </c>
      <c r="K1352" s="3" t="s">
        <v>5343</v>
      </c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 t="s">
        <v>47</v>
      </c>
      <c r="AL1352" s="4">
        <v>37088</v>
      </c>
      <c r="AM1352" s="3"/>
      <c r="AN1352" s="3"/>
    </row>
    <row r="1353" spans="1:40" x14ac:dyDescent="0.3">
      <c r="A1353" s="3">
        <v>1347</v>
      </c>
      <c r="B1353" s="3" t="str">
        <f>"201800016201"</f>
        <v>201800016201</v>
      </c>
      <c r="C1353" s="3">
        <v>63533</v>
      </c>
      <c r="D1353" s="3" t="s">
        <v>5344</v>
      </c>
      <c r="E1353" s="3">
        <v>20100366747</v>
      </c>
      <c r="F1353" s="3" t="s">
        <v>258</v>
      </c>
      <c r="G1353" s="3" t="s">
        <v>451</v>
      </c>
      <c r="H1353" s="3" t="s">
        <v>56</v>
      </c>
      <c r="I1353" s="3" t="s">
        <v>56</v>
      </c>
      <c r="J1353" s="3" t="s">
        <v>185</v>
      </c>
      <c r="K1353" s="3" t="s">
        <v>5345</v>
      </c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 t="s">
        <v>118</v>
      </c>
      <c r="AL1353" s="4">
        <v>43136</v>
      </c>
      <c r="AM1353" s="3"/>
      <c r="AN1353" s="3" t="s">
        <v>262</v>
      </c>
    </row>
    <row r="1354" spans="1:40" x14ac:dyDescent="0.3">
      <c r="A1354" s="3">
        <v>1348</v>
      </c>
      <c r="B1354" s="3" t="str">
        <f>"201900053858"</f>
        <v>201900053858</v>
      </c>
      <c r="C1354" s="3">
        <v>114320</v>
      </c>
      <c r="D1354" s="3" t="s">
        <v>5346</v>
      </c>
      <c r="E1354" s="3">
        <v>20515858360</v>
      </c>
      <c r="F1354" s="3" t="s">
        <v>2968</v>
      </c>
      <c r="G1354" s="3" t="s">
        <v>5347</v>
      </c>
      <c r="H1354" s="3" t="s">
        <v>56</v>
      </c>
      <c r="I1354" s="3" t="s">
        <v>56</v>
      </c>
      <c r="J1354" s="3" t="s">
        <v>529</v>
      </c>
      <c r="K1354" s="3" t="s">
        <v>5348</v>
      </c>
      <c r="L1354" s="3" t="s">
        <v>5286</v>
      </c>
      <c r="M1354" s="3" t="s">
        <v>5287</v>
      </c>
      <c r="N1354" s="3" t="s">
        <v>5349</v>
      </c>
      <c r="O1354" s="3" t="s">
        <v>5350</v>
      </c>
      <c r="P1354" s="3" t="s">
        <v>5351</v>
      </c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 t="s">
        <v>621</v>
      </c>
      <c r="AL1354" s="4">
        <v>43565</v>
      </c>
      <c r="AM1354" s="3"/>
      <c r="AN1354" s="3" t="s">
        <v>1346</v>
      </c>
    </row>
    <row r="1355" spans="1:40" x14ac:dyDescent="0.3">
      <c r="A1355" s="3">
        <v>1349</v>
      </c>
      <c r="B1355" s="3" t="str">
        <f>"1328309"</f>
        <v>1328309</v>
      </c>
      <c r="C1355" s="3">
        <v>15475</v>
      </c>
      <c r="D1355" s="3" t="s">
        <v>5352</v>
      </c>
      <c r="E1355" s="3">
        <v>20100366747</v>
      </c>
      <c r="F1355" s="3" t="s">
        <v>258</v>
      </c>
      <c r="G1355" s="3" t="s">
        <v>1055</v>
      </c>
      <c r="H1355" s="3" t="s">
        <v>56</v>
      </c>
      <c r="I1355" s="3" t="s">
        <v>56</v>
      </c>
      <c r="J1355" s="3" t="s">
        <v>185</v>
      </c>
      <c r="K1355" s="3" t="s">
        <v>5353</v>
      </c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 t="s">
        <v>1514</v>
      </c>
      <c r="AL1355" s="4">
        <v>37088</v>
      </c>
      <c r="AM1355" s="3"/>
      <c r="AN1355" s="3"/>
    </row>
    <row r="1356" spans="1:40" x14ac:dyDescent="0.3">
      <c r="A1356" s="3">
        <v>1350</v>
      </c>
      <c r="B1356" s="3" t="str">
        <f>"1527770"</f>
        <v>1527770</v>
      </c>
      <c r="C1356" s="3">
        <v>40158</v>
      </c>
      <c r="D1356" s="3" t="s">
        <v>5354</v>
      </c>
      <c r="E1356" s="3">
        <v>10328106626</v>
      </c>
      <c r="F1356" s="3" t="s">
        <v>949</v>
      </c>
      <c r="G1356" s="3" t="s">
        <v>950</v>
      </c>
      <c r="H1356" s="3" t="s">
        <v>44</v>
      </c>
      <c r="I1356" s="3" t="s">
        <v>45</v>
      </c>
      <c r="J1356" s="3" t="s">
        <v>45</v>
      </c>
      <c r="K1356" s="3" t="s">
        <v>5355</v>
      </c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 t="s">
        <v>5356</v>
      </c>
      <c r="AL1356" s="4">
        <v>38475</v>
      </c>
      <c r="AM1356" s="3"/>
      <c r="AN1356" s="3"/>
    </row>
    <row r="1357" spans="1:40" x14ac:dyDescent="0.3">
      <c r="A1357" s="3">
        <v>1351</v>
      </c>
      <c r="B1357" s="3" t="str">
        <f>"201200159435"</f>
        <v>201200159435</v>
      </c>
      <c r="C1357" s="3">
        <v>92849</v>
      </c>
      <c r="D1357" s="3" t="s">
        <v>5357</v>
      </c>
      <c r="E1357" s="3">
        <v>4626404</v>
      </c>
      <c r="F1357" s="3" t="s">
        <v>5358</v>
      </c>
      <c r="G1357" s="3" t="s">
        <v>5359</v>
      </c>
      <c r="H1357" s="3" t="s">
        <v>97</v>
      </c>
      <c r="I1357" s="3" t="s">
        <v>97</v>
      </c>
      <c r="J1357" s="3" t="s">
        <v>970</v>
      </c>
      <c r="K1357" s="3" t="s">
        <v>5360</v>
      </c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 t="s">
        <v>81</v>
      </c>
      <c r="AL1357" s="4">
        <v>41149</v>
      </c>
      <c r="AM1357" s="3"/>
      <c r="AN1357" s="3" t="s">
        <v>5358</v>
      </c>
    </row>
    <row r="1358" spans="1:40" ht="27.95" x14ac:dyDescent="0.3">
      <c r="A1358" s="3">
        <v>1352</v>
      </c>
      <c r="B1358" s="3" t="str">
        <f>"201500090757"</f>
        <v>201500090757</v>
      </c>
      <c r="C1358" s="3">
        <v>116348</v>
      </c>
      <c r="D1358" s="3" t="s">
        <v>5361</v>
      </c>
      <c r="E1358" s="3">
        <v>20456291393</v>
      </c>
      <c r="F1358" s="3" t="s">
        <v>4231</v>
      </c>
      <c r="G1358" s="3" t="s">
        <v>5362</v>
      </c>
      <c r="H1358" s="3" t="s">
        <v>97</v>
      </c>
      <c r="I1358" s="3" t="s">
        <v>1436</v>
      </c>
      <c r="J1358" s="3" t="s">
        <v>1437</v>
      </c>
      <c r="K1358" s="3" t="s">
        <v>5363</v>
      </c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 t="s">
        <v>518</v>
      </c>
      <c r="AL1358" s="4">
        <v>42222</v>
      </c>
      <c r="AM1358" s="3"/>
      <c r="AN1358" s="3" t="s">
        <v>4234</v>
      </c>
    </row>
    <row r="1359" spans="1:40" x14ac:dyDescent="0.3">
      <c r="A1359" s="3">
        <v>1353</v>
      </c>
      <c r="B1359" s="3" t="str">
        <f>"1410876"</f>
        <v>1410876</v>
      </c>
      <c r="C1359" s="3">
        <v>84491</v>
      </c>
      <c r="D1359" s="3" t="s">
        <v>5364</v>
      </c>
      <c r="E1359" s="3">
        <v>10296791399</v>
      </c>
      <c r="F1359" s="3" t="s">
        <v>5365</v>
      </c>
      <c r="G1359" s="3" t="s">
        <v>5366</v>
      </c>
      <c r="H1359" s="3" t="s">
        <v>97</v>
      </c>
      <c r="I1359" s="3" t="s">
        <v>97</v>
      </c>
      <c r="J1359" s="3" t="s">
        <v>144</v>
      </c>
      <c r="K1359" s="3" t="s">
        <v>5367</v>
      </c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 t="s">
        <v>81</v>
      </c>
      <c r="AL1359" s="4">
        <v>40436</v>
      </c>
      <c r="AM1359" s="3"/>
      <c r="AN1359" s="3" t="s">
        <v>5365</v>
      </c>
    </row>
    <row r="1360" spans="1:40" x14ac:dyDescent="0.3">
      <c r="A1360" s="3">
        <v>1354</v>
      </c>
      <c r="B1360" s="3" t="str">
        <f>"1527775"</f>
        <v>1527775</v>
      </c>
      <c r="C1360" s="3">
        <v>40233</v>
      </c>
      <c r="D1360" s="3" t="s">
        <v>5368</v>
      </c>
      <c r="E1360" s="3">
        <v>20133577735</v>
      </c>
      <c r="F1360" s="3" t="s">
        <v>5369</v>
      </c>
      <c r="G1360" s="3" t="s">
        <v>5370</v>
      </c>
      <c r="H1360" s="3" t="s">
        <v>44</v>
      </c>
      <c r="I1360" s="3" t="s">
        <v>45</v>
      </c>
      <c r="J1360" s="3" t="s">
        <v>45</v>
      </c>
      <c r="K1360" s="3" t="s">
        <v>5371</v>
      </c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 t="s">
        <v>353</v>
      </c>
      <c r="AL1360" s="4">
        <v>38475</v>
      </c>
      <c r="AM1360" s="3"/>
      <c r="AN1360" s="3"/>
    </row>
    <row r="1361" spans="1:40" ht="27.95" x14ac:dyDescent="0.3">
      <c r="A1361" s="3">
        <v>1355</v>
      </c>
      <c r="B1361" s="3" t="str">
        <f>"1959806"</f>
        <v>1959806</v>
      </c>
      <c r="C1361" s="3">
        <v>85156</v>
      </c>
      <c r="D1361" s="3" t="s">
        <v>5372</v>
      </c>
      <c r="E1361" s="3">
        <v>20415747986</v>
      </c>
      <c r="F1361" s="3" t="s">
        <v>3554</v>
      </c>
      <c r="G1361" s="3" t="s">
        <v>5373</v>
      </c>
      <c r="H1361" s="3" t="s">
        <v>56</v>
      </c>
      <c r="I1361" s="3" t="s">
        <v>56</v>
      </c>
      <c r="J1361" s="3" t="s">
        <v>331</v>
      </c>
      <c r="K1361" s="3" t="s">
        <v>5374</v>
      </c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 t="s">
        <v>81</v>
      </c>
      <c r="AL1361" s="4">
        <v>40212</v>
      </c>
      <c r="AM1361" s="3"/>
      <c r="AN1361" s="3"/>
    </row>
    <row r="1362" spans="1:40" x14ac:dyDescent="0.3">
      <c r="A1362" s="3">
        <v>1356</v>
      </c>
      <c r="B1362" s="3" t="str">
        <f>"1527771"</f>
        <v>1527771</v>
      </c>
      <c r="C1362" s="3">
        <v>40163</v>
      </c>
      <c r="D1362" s="3" t="s">
        <v>5375</v>
      </c>
      <c r="E1362" s="3">
        <v>10328106626</v>
      </c>
      <c r="F1362" s="3" t="s">
        <v>949</v>
      </c>
      <c r="G1362" s="3" t="s">
        <v>950</v>
      </c>
      <c r="H1362" s="3" t="s">
        <v>44</v>
      </c>
      <c r="I1362" s="3" t="s">
        <v>45</v>
      </c>
      <c r="J1362" s="3" t="s">
        <v>45</v>
      </c>
      <c r="K1362" s="3" t="s">
        <v>5376</v>
      </c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 t="s">
        <v>65</v>
      </c>
      <c r="AL1362" s="4">
        <v>38475</v>
      </c>
      <c r="AM1362" s="3"/>
      <c r="AN1362" s="3"/>
    </row>
    <row r="1363" spans="1:40" ht="27.95" x14ac:dyDescent="0.3">
      <c r="A1363" s="3">
        <v>1357</v>
      </c>
      <c r="B1363" s="3" t="str">
        <f>"201900099569"</f>
        <v>201900099569</v>
      </c>
      <c r="C1363" s="3">
        <v>144789</v>
      </c>
      <c r="D1363" s="3" t="s">
        <v>5377</v>
      </c>
      <c r="E1363" s="3">
        <v>10454048267</v>
      </c>
      <c r="F1363" s="3" t="s">
        <v>5378</v>
      </c>
      <c r="G1363" s="3" t="s">
        <v>5379</v>
      </c>
      <c r="H1363" s="3" t="s">
        <v>97</v>
      </c>
      <c r="I1363" s="3" t="s">
        <v>97</v>
      </c>
      <c r="J1363" s="3" t="s">
        <v>254</v>
      </c>
      <c r="K1363" s="3" t="s">
        <v>5380</v>
      </c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 t="s">
        <v>256</v>
      </c>
      <c r="AL1363" s="4">
        <v>43644</v>
      </c>
      <c r="AM1363" s="3"/>
      <c r="AN1363" s="3" t="s">
        <v>5381</v>
      </c>
    </row>
    <row r="1364" spans="1:40" x14ac:dyDescent="0.3">
      <c r="A1364" s="3">
        <v>1358</v>
      </c>
      <c r="B1364" s="3" t="str">
        <f>"201400111030"</f>
        <v>201400111030</v>
      </c>
      <c r="C1364" s="3">
        <v>36673</v>
      </c>
      <c r="D1364" s="3" t="s">
        <v>5382</v>
      </c>
      <c r="E1364" s="3">
        <v>20515858360</v>
      </c>
      <c r="F1364" s="3" t="s">
        <v>2968</v>
      </c>
      <c r="G1364" s="3" t="s">
        <v>2969</v>
      </c>
      <c r="H1364" s="3" t="s">
        <v>56</v>
      </c>
      <c r="I1364" s="3" t="s">
        <v>56</v>
      </c>
      <c r="J1364" s="3" t="s">
        <v>529</v>
      </c>
      <c r="K1364" s="3" t="s">
        <v>5383</v>
      </c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 t="s">
        <v>802</v>
      </c>
      <c r="AL1364" s="4">
        <v>41883</v>
      </c>
      <c r="AM1364" s="3"/>
      <c r="AN1364" s="3" t="s">
        <v>1346</v>
      </c>
    </row>
    <row r="1365" spans="1:40" ht="27.95" x14ac:dyDescent="0.3">
      <c r="A1365" s="3">
        <v>1359</v>
      </c>
      <c r="B1365" s="3" t="str">
        <f>"201900099565"</f>
        <v>201900099565</v>
      </c>
      <c r="C1365" s="3">
        <v>144791</v>
      </c>
      <c r="D1365" s="3" t="s">
        <v>5384</v>
      </c>
      <c r="E1365" s="3">
        <v>10296378157</v>
      </c>
      <c r="F1365" s="3" t="s">
        <v>5385</v>
      </c>
      <c r="G1365" s="3" t="s">
        <v>5386</v>
      </c>
      <c r="H1365" s="3" t="s">
        <v>97</v>
      </c>
      <c r="I1365" s="3" t="s">
        <v>97</v>
      </c>
      <c r="J1365" s="3" t="s">
        <v>144</v>
      </c>
      <c r="K1365" s="3" t="s">
        <v>5387</v>
      </c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 t="s">
        <v>226</v>
      </c>
      <c r="AL1365" s="4">
        <v>43644</v>
      </c>
      <c r="AM1365" s="3"/>
      <c r="AN1365" s="3" t="s">
        <v>5388</v>
      </c>
    </row>
    <row r="1366" spans="1:40" x14ac:dyDescent="0.3">
      <c r="A1366" s="3">
        <v>1360</v>
      </c>
      <c r="B1366" s="3" t="str">
        <f>"201800001534"</f>
        <v>201800001534</v>
      </c>
      <c r="C1366" s="3">
        <v>133892</v>
      </c>
      <c r="D1366" s="3" t="s">
        <v>5389</v>
      </c>
      <c r="E1366" s="3">
        <v>10476664638</v>
      </c>
      <c r="F1366" s="3" t="s">
        <v>5390</v>
      </c>
      <c r="G1366" s="3" t="s">
        <v>5391</v>
      </c>
      <c r="H1366" s="3" t="s">
        <v>75</v>
      </c>
      <c r="I1366" s="3" t="s">
        <v>75</v>
      </c>
      <c r="J1366" s="3" t="s">
        <v>1358</v>
      </c>
      <c r="K1366" s="3" t="s">
        <v>5392</v>
      </c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 t="s">
        <v>1162</v>
      </c>
      <c r="AL1366" s="4">
        <v>43115</v>
      </c>
      <c r="AM1366" s="3"/>
      <c r="AN1366" s="3" t="s">
        <v>5390</v>
      </c>
    </row>
    <row r="1367" spans="1:40" x14ac:dyDescent="0.3">
      <c r="A1367" s="3">
        <v>1361</v>
      </c>
      <c r="B1367" s="3" t="str">
        <f>"1431331"</f>
        <v>1431331</v>
      </c>
      <c r="C1367" s="3">
        <v>34249</v>
      </c>
      <c r="D1367" s="3" t="s">
        <v>5393</v>
      </c>
      <c r="E1367" s="3">
        <v>20467282388</v>
      </c>
      <c r="F1367" s="3" t="s">
        <v>1324</v>
      </c>
      <c r="G1367" s="3" t="s">
        <v>1647</v>
      </c>
      <c r="H1367" s="3" t="s">
        <v>75</v>
      </c>
      <c r="I1367" s="3" t="s">
        <v>75</v>
      </c>
      <c r="J1367" s="3" t="s">
        <v>76</v>
      </c>
      <c r="K1367" s="3" t="s">
        <v>5394</v>
      </c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 t="s">
        <v>187</v>
      </c>
      <c r="AL1367" s="4">
        <v>37928</v>
      </c>
      <c r="AM1367" s="3"/>
      <c r="AN1367" s="3"/>
    </row>
    <row r="1368" spans="1:40" x14ac:dyDescent="0.3">
      <c r="A1368" s="3">
        <v>1362</v>
      </c>
      <c r="B1368" s="3" t="str">
        <f>"1431335"</f>
        <v>1431335</v>
      </c>
      <c r="C1368" s="3">
        <v>35178</v>
      </c>
      <c r="D1368" s="3" t="s">
        <v>5395</v>
      </c>
      <c r="E1368" s="3">
        <v>20467282388</v>
      </c>
      <c r="F1368" s="3" t="s">
        <v>1324</v>
      </c>
      <c r="G1368" s="3" t="s">
        <v>1647</v>
      </c>
      <c r="H1368" s="3" t="s">
        <v>75</v>
      </c>
      <c r="I1368" s="3" t="s">
        <v>75</v>
      </c>
      <c r="J1368" s="3" t="s">
        <v>76</v>
      </c>
      <c r="K1368" s="3" t="s">
        <v>5396</v>
      </c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 t="s">
        <v>525</v>
      </c>
      <c r="AL1368" s="4">
        <v>37928</v>
      </c>
      <c r="AM1368" s="3"/>
      <c r="AN1368" s="3"/>
    </row>
    <row r="1369" spans="1:40" x14ac:dyDescent="0.3">
      <c r="A1369" s="3">
        <v>1363</v>
      </c>
      <c r="B1369" s="3" t="str">
        <f>"1361442"</f>
        <v>1361442</v>
      </c>
      <c r="C1369" s="3">
        <v>31910</v>
      </c>
      <c r="D1369" s="3" t="s">
        <v>5397</v>
      </c>
      <c r="E1369" s="3">
        <v>20100366747</v>
      </c>
      <c r="F1369" s="3" t="s">
        <v>258</v>
      </c>
      <c r="G1369" s="3" t="s">
        <v>1055</v>
      </c>
      <c r="H1369" s="3" t="s">
        <v>56</v>
      </c>
      <c r="I1369" s="3" t="s">
        <v>56</v>
      </c>
      <c r="J1369" s="3" t="s">
        <v>185</v>
      </c>
      <c r="K1369" s="3" t="s">
        <v>5398</v>
      </c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 t="s">
        <v>157</v>
      </c>
      <c r="AL1369" s="4">
        <v>37378</v>
      </c>
      <c r="AM1369" s="3"/>
      <c r="AN1369" s="3"/>
    </row>
    <row r="1370" spans="1:40" x14ac:dyDescent="0.3">
      <c r="A1370" s="3">
        <v>1364</v>
      </c>
      <c r="B1370" s="3" t="str">
        <f>"1361441"</f>
        <v>1361441</v>
      </c>
      <c r="C1370" s="3">
        <v>2707</v>
      </c>
      <c r="D1370" s="3" t="s">
        <v>5399</v>
      </c>
      <c r="E1370" s="3">
        <v>20100366747</v>
      </c>
      <c r="F1370" s="3" t="s">
        <v>258</v>
      </c>
      <c r="G1370" s="3" t="s">
        <v>1055</v>
      </c>
      <c r="H1370" s="3" t="s">
        <v>56</v>
      </c>
      <c r="I1370" s="3" t="s">
        <v>56</v>
      </c>
      <c r="J1370" s="3" t="s">
        <v>185</v>
      </c>
      <c r="K1370" s="3" t="s">
        <v>5400</v>
      </c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 t="s">
        <v>546</v>
      </c>
      <c r="AL1370" s="4">
        <v>37378</v>
      </c>
      <c r="AM1370" s="3"/>
      <c r="AN1370" s="3"/>
    </row>
    <row r="1371" spans="1:40" x14ac:dyDescent="0.3">
      <c r="A1371" s="3">
        <v>1365</v>
      </c>
      <c r="B1371" s="3" t="str">
        <f>"1361443"</f>
        <v>1361443</v>
      </c>
      <c r="C1371" s="3">
        <v>31906</v>
      </c>
      <c r="D1371" s="3" t="s">
        <v>5401</v>
      </c>
      <c r="E1371" s="3">
        <v>20100366747</v>
      </c>
      <c r="F1371" s="3" t="s">
        <v>258</v>
      </c>
      <c r="G1371" s="3" t="s">
        <v>1055</v>
      </c>
      <c r="H1371" s="3" t="s">
        <v>56</v>
      </c>
      <c r="I1371" s="3" t="s">
        <v>56</v>
      </c>
      <c r="J1371" s="3" t="s">
        <v>185</v>
      </c>
      <c r="K1371" s="3" t="s">
        <v>5402</v>
      </c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 t="s">
        <v>230</v>
      </c>
      <c r="AL1371" s="4">
        <v>37378</v>
      </c>
      <c r="AM1371" s="3"/>
      <c r="AN1371" s="3"/>
    </row>
    <row r="1372" spans="1:40" x14ac:dyDescent="0.3">
      <c r="A1372" s="3">
        <v>1366</v>
      </c>
      <c r="B1372" s="3" t="str">
        <f>"1154599"</f>
        <v>1154599</v>
      </c>
      <c r="C1372" s="3">
        <v>3663</v>
      </c>
      <c r="D1372" s="3">
        <v>1083209</v>
      </c>
      <c r="E1372" s="3">
        <v>20189318180</v>
      </c>
      <c r="F1372" s="3" t="s">
        <v>5403</v>
      </c>
      <c r="G1372" s="3" t="s">
        <v>5404</v>
      </c>
      <c r="H1372" s="3" t="s">
        <v>271</v>
      </c>
      <c r="I1372" s="3" t="s">
        <v>272</v>
      </c>
      <c r="J1372" s="3" t="s">
        <v>272</v>
      </c>
      <c r="K1372" s="3" t="s">
        <v>5405</v>
      </c>
      <c r="L1372" s="3" t="s">
        <v>5406</v>
      </c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 t="s">
        <v>512</v>
      </c>
      <c r="AL1372" s="4">
        <v>35709</v>
      </c>
      <c r="AM1372" s="3"/>
      <c r="AN1372" s="3"/>
    </row>
    <row r="1373" spans="1:40" ht="27.95" x14ac:dyDescent="0.3">
      <c r="A1373" s="3">
        <v>1367</v>
      </c>
      <c r="B1373" s="3" t="str">
        <f>"1504463"</f>
        <v>1504463</v>
      </c>
      <c r="C1373" s="3">
        <v>39895</v>
      </c>
      <c r="D1373" s="3" t="s">
        <v>5407</v>
      </c>
      <c r="E1373" s="3">
        <v>10077239842</v>
      </c>
      <c r="F1373" s="3" t="s">
        <v>5408</v>
      </c>
      <c r="G1373" s="3" t="s">
        <v>5409</v>
      </c>
      <c r="H1373" s="3" t="s">
        <v>56</v>
      </c>
      <c r="I1373" s="3" t="s">
        <v>56</v>
      </c>
      <c r="J1373" s="3" t="s">
        <v>2927</v>
      </c>
      <c r="K1373" s="3" t="s">
        <v>5410</v>
      </c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 t="s">
        <v>645</v>
      </c>
      <c r="AL1373" s="4">
        <v>38378</v>
      </c>
      <c r="AM1373" s="3"/>
      <c r="AN1373" s="3"/>
    </row>
    <row r="1374" spans="1:40" ht="27.95" x14ac:dyDescent="0.3">
      <c r="A1374" s="3">
        <v>1368</v>
      </c>
      <c r="B1374" s="3" t="str">
        <f>"201800053245"</f>
        <v>201800053245</v>
      </c>
      <c r="C1374" s="3">
        <v>135333</v>
      </c>
      <c r="D1374" s="3" t="s">
        <v>5411</v>
      </c>
      <c r="E1374" s="3">
        <v>10098264120</v>
      </c>
      <c r="F1374" s="3" t="s">
        <v>3216</v>
      </c>
      <c r="G1374" s="3" t="s">
        <v>5412</v>
      </c>
      <c r="H1374" s="3" t="s">
        <v>56</v>
      </c>
      <c r="I1374" s="3" t="s">
        <v>56</v>
      </c>
      <c r="J1374" s="3" t="s">
        <v>277</v>
      </c>
      <c r="K1374" s="3" t="s">
        <v>5413</v>
      </c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 t="s">
        <v>47</v>
      </c>
      <c r="AL1374" s="4">
        <v>43196</v>
      </c>
      <c r="AM1374" s="3"/>
      <c r="AN1374" s="3" t="s">
        <v>3216</v>
      </c>
    </row>
    <row r="1375" spans="1:40" x14ac:dyDescent="0.3">
      <c r="A1375" s="3">
        <v>1369</v>
      </c>
      <c r="B1375" s="3" t="str">
        <f>"1195355"</f>
        <v>1195355</v>
      </c>
      <c r="C1375" s="3">
        <v>14703</v>
      </c>
      <c r="D1375" s="3">
        <v>1195355</v>
      </c>
      <c r="E1375" s="3">
        <v>10192399187</v>
      </c>
      <c r="F1375" s="3" t="s">
        <v>5414</v>
      </c>
      <c r="G1375" s="3" t="s">
        <v>5415</v>
      </c>
      <c r="H1375" s="3" t="s">
        <v>56</v>
      </c>
      <c r="I1375" s="3" t="s">
        <v>56</v>
      </c>
      <c r="J1375" s="3" t="s">
        <v>277</v>
      </c>
      <c r="K1375" s="3" t="s">
        <v>5416</v>
      </c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 t="s">
        <v>233</v>
      </c>
      <c r="AL1375" s="4">
        <v>35989</v>
      </c>
      <c r="AM1375" s="3"/>
      <c r="AN1375" s="3"/>
    </row>
    <row r="1376" spans="1:40" ht="27.95" x14ac:dyDescent="0.3">
      <c r="A1376" s="3">
        <v>1370</v>
      </c>
      <c r="B1376" s="3" t="str">
        <f>"202000145806"</f>
        <v>202000145806</v>
      </c>
      <c r="C1376" s="3">
        <v>104783</v>
      </c>
      <c r="D1376" s="3" t="s">
        <v>5417</v>
      </c>
      <c r="E1376" s="3">
        <v>20455486948</v>
      </c>
      <c r="F1376" s="3" t="s">
        <v>1382</v>
      </c>
      <c r="G1376" s="3" t="s">
        <v>5418</v>
      </c>
      <c r="H1376" s="3" t="s">
        <v>97</v>
      </c>
      <c r="I1376" s="3" t="s">
        <v>97</v>
      </c>
      <c r="J1376" s="3" t="s">
        <v>144</v>
      </c>
      <c r="K1376" s="3" t="s">
        <v>5419</v>
      </c>
      <c r="L1376" s="3" t="s">
        <v>5420</v>
      </c>
      <c r="M1376" s="3" t="s">
        <v>5421</v>
      </c>
      <c r="N1376" s="3" t="s">
        <v>1388</v>
      </c>
      <c r="O1376" s="3" t="s">
        <v>1389</v>
      </c>
      <c r="P1376" s="3" t="s">
        <v>1391</v>
      </c>
      <c r="Q1376" s="3" t="s">
        <v>1392</v>
      </c>
      <c r="R1376" s="3" t="s">
        <v>5422</v>
      </c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 t="s">
        <v>470</v>
      </c>
      <c r="AL1376" s="4">
        <v>44123</v>
      </c>
      <c r="AM1376" s="3"/>
      <c r="AN1376" s="3" t="s">
        <v>1396</v>
      </c>
    </row>
    <row r="1377" spans="1:40" x14ac:dyDescent="0.3">
      <c r="A1377" s="3">
        <v>1371</v>
      </c>
      <c r="B1377" s="3" t="str">
        <f>"201800001523"</f>
        <v>201800001523</v>
      </c>
      <c r="C1377" s="3">
        <v>21112</v>
      </c>
      <c r="D1377" s="3" t="s">
        <v>5423</v>
      </c>
      <c r="E1377" s="3">
        <v>10476664638</v>
      </c>
      <c r="F1377" s="3" t="s">
        <v>5424</v>
      </c>
      <c r="G1377" s="3" t="s">
        <v>5425</v>
      </c>
      <c r="H1377" s="3" t="s">
        <v>75</v>
      </c>
      <c r="I1377" s="3" t="s">
        <v>75</v>
      </c>
      <c r="J1377" s="3" t="s">
        <v>1358</v>
      </c>
      <c r="K1377" s="3" t="s">
        <v>5426</v>
      </c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 t="s">
        <v>1601</v>
      </c>
      <c r="AL1377" s="4">
        <v>43115</v>
      </c>
      <c r="AM1377" s="3"/>
      <c r="AN1377" s="3" t="s">
        <v>5390</v>
      </c>
    </row>
    <row r="1378" spans="1:40" x14ac:dyDescent="0.3">
      <c r="A1378" s="3">
        <v>1372</v>
      </c>
      <c r="B1378" s="3" t="str">
        <f>"201700144674"</f>
        <v>201700144674</v>
      </c>
      <c r="C1378" s="3">
        <v>113089</v>
      </c>
      <c r="D1378" s="3" t="s">
        <v>5427</v>
      </c>
      <c r="E1378" s="3">
        <v>10445493347</v>
      </c>
      <c r="F1378" s="3" t="s">
        <v>5428</v>
      </c>
      <c r="G1378" s="3" t="s">
        <v>5429</v>
      </c>
      <c r="H1378" s="3" t="s">
        <v>587</v>
      </c>
      <c r="I1378" s="3" t="s">
        <v>588</v>
      </c>
      <c r="J1378" s="3" t="s">
        <v>588</v>
      </c>
      <c r="K1378" s="3" t="s">
        <v>5430</v>
      </c>
      <c r="L1378" s="3" t="s">
        <v>5431</v>
      </c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 t="s">
        <v>470</v>
      </c>
      <c r="AL1378" s="4">
        <v>42993</v>
      </c>
      <c r="AM1378" s="3"/>
      <c r="AN1378" s="3"/>
    </row>
    <row r="1379" spans="1:40" x14ac:dyDescent="0.3">
      <c r="A1379" s="3">
        <v>1373</v>
      </c>
      <c r="B1379" s="3" t="str">
        <f>"201600125022"</f>
        <v>201600125022</v>
      </c>
      <c r="C1379" s="3">
        <v>123553</v>
      </c>
      <c r="D1379" s="3" t="s">
        <v>5432</v>
      </c>
      <c r="E1379" s="3">
        <v>10433772941</v>
      </c>
      <c r="F1379" s="3" t="s">
        <v>5433</v>
      </c>
      <c r="G1379" s="3" t="s">
        <v>5434</v>
      </c>
      <c r="H1379" s="3" t="s">
        <v>56</v>
      </c>
      <c r="I1379" s="3" t="s">
        <v>56</v>
      </c>
      <c r="J1379" s="3" t="s">
        <v>363</v>
      </c>
      <c r="K1379" s="3" t="s">
        <v>5435</v>
      </c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 t="s">
        <v>504</v>
      </c>
      <c r="AL1379" s="4">
        <v>42625</v>
      </c>
      <c r="AM1379" s="3"/>
      <c r="AN1379" s="3" t="s">
        <v>5433</v>
      </c>
    </row>
    <row r="1380" spans="1:40" x14ac:dyDescent="0.3">
      <c r="A1380" s="3">
        <v>1374</v>
      </c>
      <c r="B1380" s="3" t="str">
        <f>"1116622"</f>
        <v>1116622</v>
      </c>
      <c r="C1380" s="3">
        <v>3472</v>
      </c>
      <c r="D1380" s="3">
        <v>1006192</v>
      </c>
      <c r="E1380" s="3">
        <v>10083259987</v>
      </c>
      <c r="F1380" s="3" t="s">
        <v>1989</v>
      </c>
      <c r="G1380" s="3" t="s">
        <v>5436</v>
      </c>
      <c r="H1380" s="3" t="s">
        <v>56</v>
      </c>
      <c r="I1380" s="3" t="s">
        <v>56</v>
      </c>
      <c r="J1380" s="3" t="s">
        <v>277</v>
      </c>
      <c r="K1380" s="3" t="s">
        <v>5437</v>
      </c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 t="s">
        <v>1601</v>
      </c>
      <c r="AL1380" s="4">
        <v>35537</v>
      </c>
      <c r="AM1380" s="3"/>
      <c r="AN1380" s="3"/>
    </row>
    <row r="1381" spans="1:40" x14ac:dyDescent="0.3">
      <c r="A1381" s="3">
        <v>1375</v>
      </c>
      <c r="B1381" s="3" t="str">
        <f>"201200051966"</f>
        <v>201200051966</v>
      </c>
      <c r="C1381" s="3">
        <v>83455</v>
      </c>
      <c r="D1381" s="3" t="s">
        <v>5438</v>
      </c>
      <c r="E1381" s="3">
        <v>20100873681</v>
      </c>
      <c r="F1381" s="3" t="s">
        <v>1241</v>
      </c>
      <c r="G1381" s="3" t="s">
        <v>1047</v>
      </c>
      <c r="H1381" s="3" t="s">
        <v>56</v>
      </c>
      <c r="I1381" s="3" t="s">
        <v>56</v>
      </c>
      <c r="J1381" s="3" t="s">
        <v>715</v>
      </c>
      <c r="K1381" s="3" t="s">
        <v>5439</v>
      </c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 t="s">
        <v>4244</v>
      </c>
      <c r="AL1381" s="4">
        <v>41015</v>
      </c>
      <c r="AM1381" s="3"/>
      <c r="AN1381" s="3" t="s">
        <v>2870</v>
      </c>
    </row>
    <row r="1382" spans="1:40" x14ac:dyDescent="0.3">
      <c r="A1382" s="3">
        <v>1376</v>
      </c>
      <c r="B1382" s="3" t="str">
        <f>"201200148117"</f>
        <v>201200148117</v>
      </c>
      <c r="C1382" s="3">
        <v>97554</v>
      </c>
      <c r="D1382" s="3" t="s">
        <v>5440</v>
      </c>
      <c r="E1382" s="3">
        <v>20454987439</v>
      </c>
      <c r="F1382" s="3" t="s">
        <v>5441</v>
      </c>
      <c r="G1382" s="3" t="s">
        <v>5442</v>
      </c>
      <c r="H1382" s="3" t="s">
        <v>97</v>
      </c>
      <c r="I1382" s="3" t="s">
        <v>97</v>
      </c>
      <c r="J1382" s="3" t="s">
        <v>97</v>
      </c>
      <c r="K1382" s="3" t="s">
        <v>5443</v>
      </c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 t="s">
        <v>5140</v>
      </c>
      <c r="AL1382" s="4">
        <v>41130</v>
      </c>
      <c r="AM1382" s="3"/>
      <c r="AN1382" s="3" t="s">
        <v>5444</v>
      </c>
    </row>
    <row r="1383" spans="1:40" x14ac:dyDescent="0.3">
      <c r="A1383" s="3">
        <v>1377</v>
      </c>
      <c r="B1383" s="3" t="str">
        <f>"1589455"</f>
        <v>1589455</v>
      </c>
      <c r="C1383" s="3">
        <v>36415</v>
      </c>
      <c r="D1383" s="3" t="s">
        <v>5445</v>
      </c>
      <c r="E1383" s="3">
        <v>10097746970</v>
      </c>
      <c r="F1383" s="3" t="s">
        <v>5446</v>
      </c>
      <c r="G1383" s="3" t="s">
        <v>5447</v>
      </c>
      <c r="H1383" s="3" t="s">
        <v>56</v>
      </c>
      <c r="I1383" s="3" t="s">
        <v>56</v>
      </c>
      <c r="J1383" s="3" t="s">
        <v>309</v>
      </c>
      <c r="K1383" s="3" t="s">
        <v>5448</v>
      </c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 t="s">
        <v>1425</v>
      </c>
      <c r="AL1383" s="4">
        <v>38764</v>
      </c>
      <c r="AM1383" s="3"/>
      <c r="AN1383" s="3"/>
    </row>
    <row r="1384" spans="1:40" x14ac:dyDescent="0.3">
      <c r="A1384" s="3">
        <v>1378</v>
      </c>
      <c r="B1384" s="3" t="str">
        <f>"1328321"</f>
        <v>1328321</v>
      </c>
      <c r="C1384" s="3">
        <v>2497</v>
      </c>
      <c r="D1384" s="3" t="s">
        <v>5449</v>
      </c>
      <c r="E1384" s="3">
        <v>20100366747</v>
      </c>
      <c r="F1384" s="3" t="s">
        <v>258</v>
      </c>
      <c r="G1384" s="3" t="s">
        <v>1055</v>
      </c>
      <c r="H1384" s="3" t="s">
        <v>56</v>
      </c>
      <c r="I1384" s="3" t="s">
        <v>56</v>
      </c>
      <c r="J1384" s="3" t="s">
        <v>185</v>
      </c>
      <c r="K1384" s="3" t="s">
        <v>5450</v>
      </c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 t="s">
        <v>47</v>
      </c>
      <c r="AL1384" s="4">
        <v>37088</v>
      </c>
      <c r="AM1384" s="3"/>
      <c r="AN1384" s="3"/>
    </row>
    <row r="1385" spans="1:40" x14ac:dyDescent="0.3">
      <c r="A1385" s="3">
        <v>1379</v>
      </c>
      <c r="B1385" s="3" t="str">
        <f>"201800065788"</f>
        <v>201800065788</v>
      </c>
      <c r="C1385" s="3">
        <v>135768</v>
      </c>
      <c r="D1385" s="3" t="s">
        <v>5451</v>
      </c>
      <c r="E1385" s="3">
        <v>10223194279</v>
      </c>
      <c r="F1385" s="3" t="s">
        <v>5452</v>
      </c>
      <c r="G1385" s="3" t="s">
        <v>5453</v>
      </c>
      <c r="H1385" s="3" t="s">
        <v>237</v>
      </c>
      <c r="I1385" s="3" t="s">
        <v>990</v>
      </c>
      <c r="J1385" s="3" t="s">
        <v>990</v>
      </c>
      <c r="K1385" s="3" t="s">
        <v>5454</v>
      </c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 t="s">
        <v>52</v>
      </c>
      <c r="AL1385" s="4">
        <v>43220</v>
      </c>
      <c r="AM1385" s="3"/>
      <c r="AN1385" s="3" t="s">
        <v>5452</v>
      </c>
    </row>
    <row r="1386" spans="1:40" ht="27.95" x14ac:dyDescent="0.3">
      <c r="A1386" s="3">
        <v>1380</v>
      </c>
      <c r="B1386" s="3" t="str">
        <f>"201300191575"</f>
        <v>201300191575</v>
      </c>
      <c r="C1386" s="3">
        <v>106343</v>
      </c>
      <c r="D1386" s="3" t="s">
        <v>5455</v>
      </c>
      <c r="E1386" s="3">
        <v>20454521588</v>
      </c>
      <c r="F1386" s="3" t="s">
        <v>5456</v>
      </c>
      <c r="G1386" s="3" t="s">
        <v>5457</v>
      </c>
      <c r="H1386" s="3" t="s">
        <v>97</v>
      </c>
      <c r="I1386" s="3" t="s">
        <v>97</v>
      </c>
      <c r="J1386" s="3" t="s">
        <v>97</v>
      </c>
      <c r="K1386" s="3" t="s">
        <v>5458</v>
      </c>
      <c r="L1386" s="3" t="s">
        <v>5459</v>
      </c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 t="s">
        <v>5460</v>
      </c>
      <c r="AL1386" s="4">
        <v>41653</v>
      </c>
      <c r="AM1386" s="3"/>
      <c r="AN1386" s="3" t="s">
        <v>5461</v>
      </c>
    </row>
    <row r="1387" spans="1:40" x14ac:dyDescent="0.3">
      <c r="A1387" s="3">
        <v>1381</v>
      </c>
      <c r="B1387" s="3" t="str">
        <f>"1156803"</f>
        <v>1156803</v>
      </c>
      <c r="C1387" s="3">
        <v>6125</v>
      </c>
      <c r="D1387" s="3">
        <v>1156803</v>
      </c>
      <c r="E1387" s="3">
        <v>20134424100</v>
      </c>
      <c r="F1387" s="3" t="s">
        <v>1541</v>
      </c>
      <c r="G1387" s="3" t="s">
        <v>5462</v>
      </c>
      <c r="H1387" s="3" t="s">
        <v>44</v>
      </c>
      <c r="I1387" s="3" t="s">
        <v>1543</v>
      </c>
      <c r="J1387" s="3" t="s">
        <v>1543</v>
      </c>
      <c r="K1387" s="3" t="s">
        <v>5463</v>
      </c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 t="s">
        <v>546</v>
      </c>
      <c r="AL1387" s="4">
        <v>35746</v>
      </c>
      <c r="AM1387" s="3"/>
      <c r="AN1387" s="3"/>
    </row>
    <row r="1388" spans="1:40" x14ac:dyDescent="0.3">
      <c r="A1388" s="3">
        <v>1382</v>
      </c>
      <c r="B1388" s="3" t="str">
        <f>"1589233"</f>
        <v>1589233</v>
      </c>
      <c r="C1388" s="3">
        <v>41902</v>
      </c>
      <c r="D1388" s="3" t="s">
        <v>5464</v>
      </c>
      <c r="E1388" s="3">
        <v>10098898188</v>
      </c>
      <c r="F1388" s="3" t="s">
        <v>5465</v>
      </c>
      <c r="G1388" s="3" t="s">
        <v>5466</v>
      </c>
      <c r="H1388" s="3" t="s">
        <v>1208</v>
      </c>
      <c r="I1388" s="3" t="s">
        <v>5467</v>
      </c>
      <c r="J1388" s="3" t="s">
        <v>5467</v>
      </c>
      <c r="K1388" s="3" t="s">
        <v>5468</v>
      </c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 t="s">
        <v>1679</v>
      </c>
      <c r="AL1388" s="4">
        <v>38744</v>
      </c>
      <c r="AM1388" s="3"/>
      <c r="AN1388" s="3"/>
    </row>
    <row r="1389" spans="1:40" x14ac:dyDescent="0.3">
      <c r="A1389" s="3">
        <v>1383</v>
      </c>
      <c r="B1389" s="3" t="str">
        <f>"1399579"</f>
        <v>1399579</v>
      </c>
      <c r="C1389" s="3">
        <v>34388</v>
      </c>
      <c r="D1389" s="3" t="s">
        <v>5469</v>
      </c>
      <c r="E1389" s="3">
        <v>20100366747</v>
      </c>
      <c r="F1389" s="3" t="s">
        <v>258</v>
      </c>
      <c r="G1389" s="3" t="s">
        <v>1055</v>
      </c>
      <c r="H1389" s="3" t="s">
        <v>44</v>
      </c>
      <c r="I1389" s="3" t="s">
        <v>45</v>
      </c>
      <c r="J1389" s="3" t="s">
        <v>304</v>
      </c>
      <c r="K1389" s="3" t="s">
        <v>5470</v>
      </c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 t="s">
        <v>546</v>
      </c>
      <c r="AL1389" s="4">
        <v>37663</v>
      </c>
      <c r="AM1389" s="3"/>
      <c r="AN1389" s="3"/>
    </row>
    <row r="1390" spans="1:40" x14ac:dyDescent="0.3">
      <c r="A1390" s="3">
        <v>1384</v>
      </c>
      <c r="B1390" s="3" t="str">
        <f>"1399577"</f>
        <v>1399577</v>
      </c>
      <c r="C1390" s="3">
        <v>34380</v>
      </c>
      <c r="D1390" s="3" t="s">
        <v>5471</v>
      </c>
      <c r="E1390" s="3">
        <v>20100366747</v>
      </c>
      <c r="F1390" s="3" t="s">
        <v>258</v>
      </c>
      <c r="G1390" s="3" t="s">
        <v>1055</v>
      </c>
      <c r="H1390" s="3" t="s">
        <v>56</v>
      </c>
      <c r="I1390" s="3" t="s">
        <v>56</v>
      </c>
      <c r="J1390" s="3" t="s">
        <v>185</v>
      </c>
      <c r="K1390" s="3" t="s">
        <v>5472</v>
      </c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 t="s">
        <v>546</v>
      </c>
      <c r="AL1390" s="4">
        <v>37663</v>
      </c>
      <c r="AM1390" s="3"/>
      <c r="AN1390" s="3"/>
    </row>
    <row r="1391" spans="1:40" x14ac:dyDescent="0.3">
      <c r="A1391" s="3">
        <v>1385</v>
      </c>
      <c r="B1391" s="3" t="str">
        <f>"1549395"</f>
        <v>1549395</v>
      </c>
      <c r="C1391" s="3">
        <v>34639</v>
      </c>
      <c r="D1391" s="3" t="s">
        <v>5473</v>
      </c>
      <c r="E1391" s="3">
        <v>10096706010</v>
      </c>
      <c r="F1391" s="3" t="s">
        <v>5474</v>
      </c>
      <c r="G1391" s="3" t="s">
        <v>5475</v>
      </c>
      <c r="H1391" s="3" t="s">
        <v>56</v>
      </c>
      <c r="I1391" s="3" t="s">
        <v>56</v>
      </c>
      <c r="J1391" s="3" t="s">
        <v>84</v>
      </c>
      <c r="K1391" s="3" t="s">
        <v>5476</v>
      </c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 t="s">
        <v>81</v>
      </c>
      <c r="AL1391" s="4">
        <v>38567</v>
      </c>
      <c r="AM1391" s="3"/>
      <c r="AN1391" s="3"/>
    </row>
    <row r="1392" spans="1:40" ht="27.95" x14ac:dyDescent="0.3">
      <c r="A1392" s="3">
        <v>1386</v>
      </c>
      <c r="B1392" s="3" t="str">
        <f>"201600044316"</f>
        <v>201600044316</v>
      </c>
      <c r="C1392" s="3">
        <v>120613</v>
      </c>
      <c r="D1392" s="3" t="s">
        <v>5477</v>
      </c>
      <c r="E1392" s="3">
        <v>20600440412</v>
      </c>
      <c r="F1392" s="3" t="s">
        <v>5478</v>
      </c>
      <c r="G1392" s="3" t="s">
        <v>5479</v>
      </c>
      <c r="H1392" s="3" t="s">
        <v>56</v>
      </c>
      <c r="I1392" s="3" t="s">
        <v>56</v>
      </c>
      <c r="J1392" s="3" t="s">
        <v>84</v>
      </c>
      <c r="K1392" s="3" t="s">
        <v>5480</v>
      </c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 t="s">
        <v>2659</v>
      </c>
      <c r="AL1392" s="4">
        <v>42478</v>
      </c>
      <c r="AM1392" s="3"/>
      <c r="AN1392" s="3" t="s">
        <v>5481</v>
      </c>
    </row>
    <row r="1393" spans="1:40" x14ac:dyDescent="0.3">
      <c r="A1393" s="3">
        <v>1387</v>
      </c>
      <c r="B1393" s="3" t="str">
        <f>"1418338"</f>
        <v>1418338</v>
      </c>
      <c r="C1393" s="3">
        <v>34636</v>
      </c>
      <c r="D1393" s="3" t="s">
        <v>5482</v>
      </c>
      <c r="E1393" s="3">
        <v>20498366865</v>
      </c>
      <c r="F1393" s="3" t="s">
        <v>5483</v>
      </c>
      <c r="G1393" s="3" t="s">
        <v>5484</v>
      </c>
      <c r="H1393" s="3" t="s">
        <v>97</v>
      </c>
      <c r="I1393" s="3" t="s">
        <v>97</v>
      </c>
      <c r="J1393" s="3" t="s">
        <v>2039</v>
      </c>
      <c r="K1393" s="3" t="s">
        <v>5485</v>
      </c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 t="s">
        <v>226</v>
      </c>
      <c r="AL1393" s="4">
        <v>37792</v>
      </c>
      <c r="AM1393" s="3"/>
      <c r="AN1393" s="3"/>
    </row>
    <row r="1394" spans="1:40" x14ac:dyDescent="0.3">
      <c r="A1394" s="3">
        <v>1388</v>
      </c>
      <c r="B1394" s="3" t="str">
        <f>"1141956"</f>
        <v>1141956</v>
      </c>
      <c r="C1394" s="3">
        <v>3606</v>
      </c>
      <c r="D1394" s="3" t="s">
        <v>5486</v>
      </c>
      <c r="E1394" s="3">
        <v>10164008989</v>
      </c>
      <c r="F1394" s="3" t="s">
        <v>5487</v>
      </c>
      <c r="G1394" s="3" t="s">
        <v>5488</v>
      </c>
      <c r="H1394" s="3" t="s">
        <v>318</v>
      </c>
      <c r="I1394" s="3" t="s">
        <v>319</v>
      </c>
      <c r="J1394" s="3" t="s">
        <v>319</v>
      </c>
      <c r="K1394" s="3" t="s">
        <v>5489</v>
      </c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 t="s">
        <v>187</v>
      </c>
      <c r="AL1394" s="4">
        <v>36795</v>
      </c>
      <c r="AM1394" s="3"/>
      <c r="AN1394" s="3"/>
    </row>
    <row r="1395" spans="1:40" x14ac:dyDescent="0.3">
      <c r="A1395" s="3">
        <v>1389</v>
      </c>
      <c r="B1395" s="3" t="str">
        <f>"1141955"</f>
        <v>1141955</v>
      </c>
      <c r="C1395" s="3">
        <v>3602</v>
      </c>
      <c r="D1395" s="3">
        <v>1141955</v>
      </c>
      <c r="E1395" s="3">
        <v>10164329343</v>
      </c>
      <c r="F1395" s="3" t="s">
        <v>5490</v>
      </c>
      <c r="G1395" s="3" t="s">
        <v>5491</v>
      </c>
      <c r="H1395" s="3" t="s">
        <v>318</v>
      </c>
      <c r="I1395" s="3" t="s">
        <v>319</v>
      </c>
      <c r="J1395" s="3" t="s">
        <v>319</v>
      </c>
      <c r="K1395" s="3" t="s">
        <v>5492</v>
      </c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 t="s">
        <v>167</v>
      </c>
      <c r="AL1395" s="4">
        <v>35643</v>
      </c>
      <c r="AM1395" s="3"/>
      <c r="AN1395" s="3"/>
    </row>
    <row r="1396" spans="1:40" x14ac:dyDescent="0.3">
      <c r="A1396" s="3">
        <v>1390</v>
      </c>
      <c r="B1396" s="3" t="str">
        <f>"1141954"</f>
        <v>1141954</v>
      </c>
      <c r="C1396" s="3">
        <v>3611</v>
      </c>
      <c r="D1396" s="3">
        <v>1141954</v>
      </c>
      <c r="E1396" s="3">
        <v>10192384287</v>
      </c>
      <c r="F1396" s="3" t="s">
        <v>5493</v>
      </c>
      <c r="G1396" s="3" t="s">
        <v>5494</v>
      </c>
      <c r="H1396" s="3" t="s">
        <v>318</v>
      </c>
      <c r="I1396" s="3" t="s">
        <v>319</v>
      </c>
      <c r="J1396" s="3" t="s">
        <v>319</v>
      </c>
      <c r="K1396" s="3" t="s">
        <v>5495</v>
      </c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 t="s">
        <v>218</v>
      </c>
      <c r="AL1396" s="4">
        <v>35643</v>
      </c>
      <c r="AM1396" s="3"/>
      <c r="AN1396" s="3"/>
    </row>
    <row r="1397" spans="1:40" ht="27.95" x14ac:dyDescent="0.3">
      <c r="A1397" s="3">
        <v>1391</v>
      </c>
      <c r="B1397" s="3" t="str">
        <f>"201600042959"</f>
        <v>201600042959</v>
      </c>
      <c r="C1397" s="3">
        <v>120562</v>
      </c>
      <c r="D1397" s="3" t="s">
        <v>5496</v>
      </c>
      <c r="E1397" s="3">
        <v>20534929839</v>
      </c>
      <c r="F1397" s="3" t="s">
        <v>5497</v>
      </c>
      <c r="G1397" s="3" t="s">
        <v>5498</v>
      </c>
      <c r="H1397" s="3" t="s">
        <v>216</v>
      </c>
      <c r="I1397" s="3" t="s">
        <v>216</v>
      </c>
      <c r="J1397" s="3" t="s">
        <v>216</v>
      </c>
      <c r="K1397" s="3" t="s">
        <v>5499</v>
      </c>
      <c r="L1397" s="3" t="s">
        <v>5500</v>
      </c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 t="s">
        <v>5501</v>
      </c>
      <c r="AL1397" s="4">
        <v>42475</v>
      </c>
      <c r="AM1397" s="3"/>
      <c r="AN1397" s="3" t="s">
        <v>5502</v>
      </c>
    </row>
    <row r="1398" spans="1:40" x14ac:dyDescent="0.3">
      <c r="A1398" s="3">
        <v>1392</v>
      </c>
      <c r="B1398" s="3" t="str">
        <f>"1286971"</f>
        <v>1286971</v>
      </c>
      <c r="C1398" s="3">
        <v>19530</v>
      </c>
      <c r="D1398" s="3" t="s">
        <v>5503</v>
      </c>
      <c r="E1398" s="3">
        <v>10164262311</v>
      </c>
      <c r="F1398" s="3" t="s">
        <v>5504</v>
      </c>
      <c r="G1398" s="3" t="s">
        <v>5505</v>
      </c>
      <c r="H1398" s="3" t="s">
        <v>318</v>
      </c>
      <c r="I1398" s="3" t="s">
        <v>763</v>
      </c>
      <c r="J1398" s="3" t="s">
        <v>763</v>
      </c>
      <c r="K1398" s="3" t="s">
        <v>5506</v>
      </c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 t="s">
        <v>81</v>
      </c>
      <c r="AL1398" s="4">
        <v>36697</v>
      </c>
      <c r="AM1398" s="3"/>
      <c r="AN1398" s="3"/>
    </row>
    <row r="1399" spans="1:40" x14ac:dyDescent="0.3">
      <c r="A1399" s="3">
        <v>1393</v>
      </c>
      <c r="B1399" s="3" t="str">
        <f>"1753148"</f>
        <v>1753148</v>
      </c>
      <c r="C1399" s="3">
        <v>62380</v>
      </c>
      <c r="D1399" s="3" t="s">
        <v>5507</v>
      </c>
      <c r="E1399" s="3">
        <v>10032028573</v>
      </c>
      <c r="F1399" s="3" t="s">
        <v>2589</v>
      </c>
      <c r="G1399" s="3" t="s">
        <v>5508</v>
      </c>
      <c r="H1399" s="3" t="s">
        <v>50</v>
      </c>
      <c r="I1399" s="3" t="s">
        <v>2591</v>
      </c>
      <c r="J1399" s="3" t="s">
        <v>2591</v>
      </c>
      <c r="K1399" s="3" t="s">
        <v>5509</v>
      </c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 t="s">
        <v>306</v>
      </c>
      <c r="AL1399" s="4">
        <v>39468</v>
      </c>
      <c r="AM1399" s="3"/>
      <c r="AN1399" s="3"/>
    </row>
    <row r="1400" spans="1:40" x14ac:dyDescent="0.3">
      <c r="A1400" s="3">
        <v>1394</v>
      </c>
      <c r="B1400" s="3" t="str">
        <f>"1399587"</f>
        <v>1399587</v>
      </c>
      <c r="C1400" s="3">
        <v>34069</v>
      </c>
      <c r="D1400" s="3" t="s">
        <v>5510</v>
      </c>
      <c r="E1400" s="3">
        <v>20100366747</v>
      </c>
      <c r="F1400" s="3" t="s">
        <v>258</v>
      </c>
      <c r="G1400" s="3" t="s">
        <v>5511</v>
      </c>
      <c r="H1400" s="3" t="s">
        <v>56</v>
      </c>
      <c r="I1400" s="3" t="s">
        <v>56</v>
      </c>
      <c r="J1400" s="3" t="s">
        <v>185</v>
      </c>
      <c r="K1400" s="3" t="s">
        <v>5512</v>
      </c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 t="s">
        <v>118</v>
      </c>
      <c r="AL1400" s="4">
        <v>37663</v>
      </c>
      <c r="AM1400" s="3"/>
      <c r="AN1400" s="3"/>
    </row>
    <row r="1401" spans="1:40" ht="27.95" x14ac:dyDescent="0.3">
      <c r="A1401" s="3">
        <v>1395</v>
      </c>
      <c r="B1401" s="3" t="str">
        <f>"201600051899"</f>
        <v>201600051899</v>
      </c>
      <c r="C1401" s="3">
        <v>112431</v>
      </c>
      <c r="D1401" s="3" t="s">
        <v>5513</v>
      </c>
      <c r="E1401" s="3">
        <v>20160364719</v>
      </c>
      <c r="F1401" s="3" t="s">
        <v>5514</v>
      </c>
      <c r="G1401" s="3" t="s">
        <v>4495</v>
      </c>
      <c r="H1401" s="3" t="s">
        <v>56</v>
      </c>
      <c r="I1401" s="3" t="s">
        <v>56</v>
      </c>
      <c r="J1401" s="3" t="s">
        <v>131</v>
      </c>
      <c r="K1401" s="3" t="s">
        <v>1348</v>
      </c>
      <c r="L1401" s="3" t="s">
        <v>5515</v>
      </c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 t="s">
        <v>139</v>
      </c>
      <c r="AL1401" s="4">
        <v>42488</v>
      </c>
      <c r="AM1401" s="3"/>
      <c r="AN1401" s="3" t="s">
        <v>140</v>
      </c>
    </row>
    <row r="1402" spans="1:40" x14ac:dyDescent="0.3">
      <c r="A1402" s="3">
        <v>1396</v>
      </c>
      <c r="B1402" s="3" t="str">
        <f>"201600043581"</f>
        <v>201600043581</v>
      </c>
      <c r="C1402" s="3">
        <v>120618</v>
      </c>
      <c r="D1402" s="3" t="s">
        <v>5516</v>
      </c>
      <c r="E1402" s="3">
        <v>20516735814</v>
      </c>
      <c r="F1402" s="3" t="s">
        <v>5517</v>
      </c>
      <c r="G1402" s="3" t="s">
        <v>5518</v>
      </c>
      <c r="H1402" s="3" t="s">
        <v>357</v>
      </c>
      <c r="I1402" s="3" t="s">
        <v>357</v>
      </c>
      <c r="J1402" s="3" t="s">
        <v>357</v>
      </c>
      <c r="K1402" s="3" t="s">
        <v>5519</v>
      </c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 t="s">
        <v>538</v>
      </c>
      <c r="AL1402" s="4">
        <v>42474</v>
      </c>
      <c r="AM1402" s="3"/>
      <c r="AN1402" s="3" t="s">
        <v>5520</v>
      </c>
    </row>
    <row r="1403" spans="1:40" x14ac:dyDescent="0.3">
      <c r="A1403" s="3">
        <v>1397</v>
      </c>
      <c r="B1403" s="3" t="str">
        <f>"1399586"</f>
        <v>1399586</v>
      </c>
      <c r="C1403" s="3">
        <v>34360</v>
      </c>
      <c r="D1403" s="3" t="s">
        <v>5521</v>
      </c>
      <c r="E1403" s="3">
        <v>20100366747</v>
      </c>
      <c r="F1403" s="3" t="s">
        <v>258</v>
      </c>
      <c r="G1403" s="3" t="s">
        <v>1055</v>
      </c>
      <c r="H1403" s="3" t="s">
        <v>56</v>
      </c>
      <c r="I1403" s="3" t="s">
        <v>56</v>
      </c>
      <c r="J1403" s="3" t="s">
        <v>185</v>
      </c>
      <c r="K1403" s="3" t="s">
        <v>5522</v>
      </c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 t="s">
        <v>546</v>
      </c>
      <c r="AL1403" s="4">
        <v>37663</v>
      </c>
      <c r="AM1403" s="3"/>
      <c r="AN1403" s="3"/>
    </row>
    <row r="1404" spans="1:40" x14ac:dyDescent="0.3">
      <c r="A1404" s="3">
        <v>1398</v>
      </c>
      <c r="B1404" s="3" t="str">
        <f>"1399585"</f>
        <v>1399585</v>
      </c>
      <c r="C1404" s="3">
        <v>34386</v>
      </c>
      <c r="D1404" s="3" t="s">
        <v>5523</v>
      </c>
      <c r="E1404" s="3">
        <v>20100366747</v>
      </c>
      <c r="F1404" s="3" t="s">
        <v>258</v>
      </c>
      <c r="G1404" s="3" t="s">
        <v>1055</v>
      </c>
      <c r="H1404" s="3" t="s">
        <v>44</v>
      </c>
      <c r="I1404" s="3" t="s">
        <v>45</v>
      </c>
      <c r="J1404" s="3" t="s">
        <v>304</v>
      </c>
      <c r="K1404" s="3" t="s">
        <v>5524</v>
      </c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 t="s">
        <v>546</v>
      </c>
      <c r="AL1404" s="4">
        <v>37663</v>
      </c>
      <c r="AM1404" s="3"/>
      <c r="AN1404" s="3"/>
    </row>
    <row r="1405" spans="1:40" ht="27.95" x14ac:dyDescent="0.3">
      <c r="A1405" s="3">
        <v>1399</v>
      </c>
      <c r="B1405" s="3" t="str">
        <f>"201800091605"</f>
        <v>201800091605</v>
      </c>
      <c r="C1405" s="3">
        <v>136608</v>
      </c>
      <c r="D1405" s="3" t="s">
        <v>5525</v>
      </c>
      <c r="E1405" s="3">
        <v>20533080741</v>
      </c>
      <c r="F1405" s="3" t="s">
        <v>5526</v>
      </c>
      <c r="G1405" s="3" t="s">
        <v>5527</v>
      </c>
      <c r="H1405" s="3" t="s">
        <v>743</v>
      </c>
      <c r="I1405" s="3" t="s">
        <v>744</v>
      </c>
      <c r="J1405" s="3" t="s">
        <v>743</v>
      </c>
      <c r="K1405" s="3" t="s">
        <v>5528</v>
      </c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 t="s">
        <v>81</v>
      </c>
      <c r="AL1405" s="4">
        <v>43258</v>
      </c>
      <c r="AM1405" s="3"/>
      <c r="AN1405" s="3" t="s">
        <v>5529</v>
      </c>
    </row>
    <row r="1406" spans="1:40" x14ac:dyDescent="0.3">
      <c r="A1406" s="3">
        <v>1400</v>
      </c>
      <c r="B1406" s="3" t="str">
        <f>"1932297"</f>
        <v>1932297</v>
      </c>
      <c r="C1406" s="3">
        <v>84314</v>
      </c>
      <c r="D1406" s="3" t="s">
        <v>5530</v>
      </c>
      <c r="E1406" s="3">
        <v>10081019610</v>
      </c>
      <c r="F1406" s="3" t="s">
        <v>4729</v>
      </c>
      <c r="G1406" s="3" t="s">
        <v>5531</v>
      </c>
      <c r="H1406" s="3" t="s">
        <v>56</v>
      </c>
      <c r="I1406" s="3" t="s">
        <v>56</v>
      </c>
      <c r="J1406" s="3" t="s">
        <v>4447</v>
      </c>
      <c r="K1406" s="3" t="s">
        <v>5532</v>
      </c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 t="s">
        <v>2776</v>
      </c>
      <c r="AL1406" s="4">
        <v>40109</v>
      </c>
      <c r="AM1406" s="3"/>
      <c r="AN1406" s="3"/>
    </row>
    <row r="1407" spans="1:40" x14ac:dyDescent="0.3">
      <c r="A1407" s="3">
        <v>1401</v>
      </c>
      <c r="B1407" s="3" t="str">
        <f>"1399584"</f>
        <v>1399584</v>
      </c>
      <c r="C1407" s="3">
        <v>34381</v>
      </c>
      <c r="D1407" s="3" t="s">
        <v>5533</v>
      </c>
      <c r="E1407" s="3">
        <v>20100366747</v>
      </c>
      <c r="F1407" s="3" t="s">
        <v>258</v>
      </c>
      <c r="G1407" s="3" t="s">
        <v>1055</v>
      </c>
      <c r="H1407" s="3" t="s">
        <v>56</v>
      </c>
      <c r="I1407" s="3" t="s">
        <v>56</v>
      </c>
      <c r="J1407" s="3" t="s">
        <v>185</v>
      </c>
      <c r="K1407" s="3" t="s">
        <v>5534</v>
      </c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 t="s">
        <v>546</v>
      </c>
      <c r="AL1407" s="4">
        <v>37663</v>
      </c>
      <c r="AM1407" s="3"/>
      <c r="AN1407" s="3"/>
    </row>
    <row r="1408" spans="1:40" x14ac:dyDescent="0.3">
      <c r="A1408" s="3">
        <v>1402</v>
      </c>
      <c r="B1408" s="3" t="str">
        <f>"1399582"</f>
        <v>1399582</v>
      </c>
      <c r="C1408" s="3">
        <v>34390</v>
      </c>
      <c r="D1408" s="3" t="s">
        <v>5535</v>
      </c>
      <c r="E1408" s="3">
        <v>20100366747</v>
      </c>
      <c r="F1408" s="3" t="s">
        <v>258</v>
      </c>
      <c r="G1408" s="3" t="s">
        <v>1055</v>
      </c>
      <c r="H1408" s="3" t="s">
        <v>56</v>
      </c>
      <c r="I1408" s="3" t="s">
        <v>56</v>
      </c>
      <c r="J1408" s="3" t="s">
        <v>185</v>
      </c>
      <c r="K1408" s="3" t="s">
        <v>5536</v>
      </c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 t="s">
        <v>546</v>
      </c>
      <c r="AL1408" s="4">
        <v>37663</v>
      </c>
      <c r="AM1408" s="3"/>
      <c r="AN1408" s="3"/>
    </row>
    <row r="1409" spans="1:40" x14ac:dyDescent="0.3">
      <c r="A1409" s="3">
        <v>1403</v>
      </c>
      <c r="B1409" s="3" t="str">
        <f>"201700137138"</f>
        <v>201700137138</v>
      </c>
      <c r="C1409" s="3">
        <v>131465</v>
      </c>
      <c r="D1409" s="3" t="s">
        <v>5537</v>
      </c>
      <c r="E1409" s="3">
        <v>20601522757</v>
      </c>
      <c r="F1409" s="3" t="s">
        <v>5538</v>
      </c>
      <c r="G1409" s="3" t="s">
        <v>5539</v>
      </c>
      <c r="H1409" s="3" t="s">
        <v>357</v>
      </c>
      <c r="I1409" s="3" t="s">
        <v>5540</v>
      </c>
      <c r="J1409" s="3" t="s">
        <v>5540</v>
      </c>
      <c r="K1409" s="3" t="s">
        <v>5541</v>
      </c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 t="s">
        <v>602</v>
      </c>
      <c r="AL1409" s="4">
        <v>42985</v>
      </c>
      <c r="AM1409" s="3"/>
      <c r="AN1409" s="3" t="s">
        <v>5542</v>
      </c>
    </row>
    <row r="1410" spans="1:40" x14ac:dyDescent="0.3">
      <c r="A1410" s="3">
        <v>1404</v>
      </c>
      <c r="B1410" s="3" t="str">
        <f>"201600078237"</f>
        <v>201600078237</v>
      </c>
      <c r="C1410" s="3">
        <v>104761</v>
      </c>
      <c r="D1410" s="3" t="s">
        <v>5543</v>
      </c>
      <c r="E1410" s="3">
        <v>20100366747</v>
      </c>
      <c r="F1410" s="3" t="s">
        <v>334</v>
      </c>
      <c r="G1410" s="3" t="s">
        <v>259</v>
      </c>
      <c r="H1410" s="3" t="s">
        <v>56</v>
      </c>
      <c r="I1410" s="3" t="s">
        <v>56</v>
      </c>
      <c r="J1410" s="3" t="s">
        <v>185</v>
      </c>
      <c r="K1410" s="3" t="s">
        <v>5544</v>
      </c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 t="s">
        <v>118</v>
      </c>
      <c r="AL1410" s="4">
        <v>42530</v>
      </c>
      <c r="AM1410" s="3"/>
      <c r="AN1410" s="3" t="s">
        <v>262</v>
      </c>
    </row>
    <row r="1411" spans="1:40" x14ac:dyDescent="0.3">
      <c r="A1411" s="3">
        <v>1405</v>
      </c>
      <c r="B1411" s="3" t="str">
        <f>"1829105"</f>
        <v>1829105</v>
      </c>
      <c r="C1411" s="3">
        <v>63992</v>
      </c>
      <c r="D1411" s="3" t="s">
        <v>5545</v>
      </c>
      <c r="E1411" s="3">
        <v>10028442934</v>
      </c>
      <c r="F1411" s="3" t="s">
        <v>5546</v>
      </c>
      <c r="G1411" s="3" t="s">
        <v>5547</v>
      </c>
      <c r="H1411" s="3" t="s">
        <v>50</v>
      </c>
      <c r="I1411" s="3" t="s">
        <v>50</v>
      </c>
      <c r="J1411" s="3" t="s">
        <v>98</v>
      </c>
      <c r="K1411" s="3" t="s">
        <v>5548</v>
      </c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 t="s">
        <v>256</v>
      </c>
      <c r="AL1411" s="4">
        <v>39708</v>
      </c>
      <c r="AM1411" s="3"/>
      <c r="AN1411" s="3"/>
    </row>
    <row r="1412" spans="1:40" x14ac:dyDescent="0.3">
      <c r="A1412" s="3">
        <v>1406</v>
      </c>
      <c r="B1412" s="3" t="str">
        <f>"201700044424"</f>
        <v>201700044424</v>
      </c>
      <c r="C1412" s="3">
        <v>127496</v>
      </c>
      <c r="D1412" s="3" t="s">
        <v>5549</v>
      </c>
      <c r="E1412" s="3">
        <v>10103485377</v>
      </c>
      <c r="F1412" s="3" t="s">
        <v>5550</v>
      </c>
      <c r="G1412" s="3" t="s">
        <v>5551</v>
      </c>
      <c r="H1412" s="3" t="s">
        <v>386</v>
      </c>
      <c r="I1412" s="3" t="s">
        <v>5552</v>
      </c>
      <c r="J1412" s="3" t="s">
        <v>5553</v>
      </c>
      <c r="K1412" s="3" t="s">
        <v>5554</v>
      </c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 t="s">
        <v>5555</v>
      </c>
      <c r="AL1412" s="4">
        <v>42831</v>
      </c>
      <c r="AM1412" s="3"/>
      <c r="AN1412" s="3" t="s">
        <v>5550</v>
      </c>
    </row>
    <row r="1413" spans="1:40" x14ac:dyDescent="0.3">
      <c r="A1413" s="3">
        <v>1407</v>
      </c>
      <c r="B1413" s="3" t="str">
        <f>"201700118758"</f>
        <v>201700118758</v>
      </c>
      <c r="C1413" s="3">
        <v>130776</v>
      </c>
      <c r="D1413" s="3" t="s">
        <v>5556</v>
      </c>
      <c r="E1413" s="3">
        <v>10013203402</v>
      </c>
      <c r="F1413" s="3" t="s">
        <v>5557</v>
      </c>
      <c r="G1413" s="3" t="s">
        <v>5558</v>
      </c>
      <c r="H1413" s="3" t="s">
        <v>743</v>
      </c>
      <c r="I1413" s="3" t="s">
        <v>1031</v>
      </c>
      <c r="J1413" s="3" t="s">
        <v>1031</v>
      </c>
      <c r="K1413" s="3" t="s">
        <v>5559</v>
      </c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 t="s">
        <v>101</v>
      </c>
      <c r="AL1413" s="4">
        <v>42951</v>
      </c>
      <c r="AM1413" s="3"/>
      <c r="AN1413" s="3" t="s">
        <v>5557</v>
      </c>
    </row>
    <row r="1414" spans="1:40" x14ac:dyDescent="0.3">
      <c r="A1414" s="3">
        <v>1408</v>
      </c>
      <c r="B1414" s="3" t="str">
        <f>"201400028185"</f>
        <v>201400028185</v>
      </c>
      <c r="C1414" s="3">
        <v>108284</v>
      </c>
      <c r="D1414" s="3" t="s">
        <v>5560</v>
      </c>
      <c r="E1414" s="3">
        <v>10103804499</v>
      </c>
      <c r="F1414" s="3" t="s">
        <v>5561</v>
      </c>
      <c r="G1414" s="3" t="s">
        <v>5562</v>
      </c>
      <c r="H1414" s="3" t="s">
        <v>56</v>
      </c>
      <c r="I1414" s="3" t="s">
        <v>56</v>
      </c>
      <c r="J1414" s="3" t="s">
        <v>481</v>
      </c>
      <c r="K1414" s="3" t="s">
        <v>5563</v>
      </c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 t="s">
        <v>2207</v>
      </c>
      <c r="AL1414" s="4">
        <v>41719</v>
      </c>
      <c r="AM1414" s="3"/>
      <c r="AN1414" s="3" t="s">
        <v>5561</v>
      </c>
    </row>
    <row r="1415" spans="1:40" ht="27.95" x14ac:dyDescent="0.3">
      <c r="A1415" s="3">
        <v>1409</v>
      </c>
      <c r="B1415" s="3" t="str">
        <f>"201800153936"</f>
        <v>201800153936</v>
      </c>
      <c r="C1415" s="3">
        <v>138648</v>
      </c>
      <c r="D1415" s="3" t="s">
        <v>5564</v>
      </c>
      <c r="E1415" s="3">
        <v>20525521509</v>
      </c>
      <c r="F1415" s="3" t="s">
        <v>189</v>
      </c>
      <c r="G1415" s="3" t="s">
        <v>815</v>
      </c>
      <c r="H1415" s="3" t="s">
        <v>50</v>
      </c>
      <c r="I1415" s="3" t="s">
        <v>50</v>
      </c>
      <c r="J1415" s="3" t="s">
        <v>50</v>
      </c>
      <c r="K1415" s="3" t="s">
        <v>5565</v>
      </c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 t="s">
        <v>602</v>
      </c>
      <c r="AL1415" s="4">
        <v>43361</v>
      </c>
      <c r="AM1415" s="3"/>
      <c r="AN1415" s="3" t="s">
        <v>817</v>
      </c>
    </row>
    <row r="1416" spans="1:40" x14ac:dyDescent="0.3">
      <c r="A1416" s="3">
        <v>1410</v>
      </c>
      <c r="B1416" s="3" t="str">
        <f>"1904741"</f>
        <v>1904741</v>
      </c>
      <c r="C1416" s="3">
        <v>83541</v>
      </c>
      <c r="D1416" s="3" t="s">
        <v>5566</v>
      </c>
      <c r="E1416" s="3">
        <v>20351516560</v>
      </c>
      <c r="F1416" s="3" t="s">
        <v>5567</v>
      </c>
      <c r="G1416" s="3" t="s">
        <v>5568</v>
      </c>
      <c r="H1416" s="3" t="s">
        <v>216</v>
      </c>
      <c r="I1416" s="3" t="s">
        <v>5569</v>
      </c>
      <c r="J1416" s="3" t="s">
        <v>5569</v>
      </c>
      <c r="K1416" s="3" t="s">
        <v>5570</v>
      </c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 t="s">
        <v>518</v>
      </c>
      <c r="AL1416" s="4">
        <v>40011</v>
      </c>
      <c r="AM1416" s="3"/>
      <c r="AN1416" s="3"/>
    </row>
    <row r="1417" spans="1:40" x14ac:dyDescent="0.3">
      <c r="A1417" s="3">
        <v>1411</v>
      </c>
      <c r="B1417" s="3" t="str">
        <f>"1439726"</f>
        <v>1439726</v>
      </c>
      <c r="C1417" s="3">
        <v>89550</v>
      </c>
      <c r="D1417" s="3" t="s">
        <v>5571</v>
      </c>
      <c r="E1417" s="3">
        <v>20481771235</v>
      </c>
      <c r="F1417" s="3" t="s">
        <v>5572</v>
      </c>
      <c r="G1417" s="3" t="s">
        <v>5573</v>
      </c>
      <c r="H1417" s="3" t="s">
        <v>318</v>
      </c>
      <c r="I1417" s="3" t="s">
        <v>319</v>
      </c>
      <c r="J1417" s="3" t="s">
        <v>319</v>
      </c>
      <c r="K1417" s="3" t="s">
        <v>5574</v>
      </c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 t="s">
        <v>2372</v>
      </c>
      <c r="AL1417" s="4">
        <v>40488</v>
      </c>
      <c r="AM1417" s="3"/>
      <c r="AN1417" s="3" t="s">
        <v>2283</v>
      </c>
    </row>
    <row r="1418" spans="1:40" x14ac:dyDescent="0.3">
      <c r="A1418" s="3">
        <v>1412</v>
      </c>
      <c r="B1418" s="3" t="str">
        <f>"1439727"</f>
        <v>1439727</v>
      </c>
      <c r="C1418" s="3">
        <v>89548</v>
      </c>
      <c r="D1418" s="3" t="s">
        <v>5575</v>
      </c>
      <c r="E1418" s="3">
        <v>20481771235</v>
      </c>
      <c r="F1418" s="3" t="s">
        <v>5572</v>
      </c>
      <c r="G1418" s="3" t="s">
        <v>5573</v>
      </c>
      <c r="H1418" s="3" t="s">
        <v>318</v>
      </c>
      <c r="I1418" s="3" t="s">
        <v>319</v>
      </c>
      <c r="J1418" s="3" t="s">
        <v>319</v>
      </c>
      <c r="K1418" s="3" t="s">
        <v>5576</v>
      </c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 t="s">
        <v>2372</v>
      </c>
      <c r="AL1418" s="4">
        <v>40488</v>
      </c>
      <c r="AM1418" s="3"/>
      <c r="AN1418" s="3" t="s">
        <v>2283</v>
      </c>
    </row>
    <row r="1419" spans="1:40" x14ac:dyDescent="0.3">
      <c r="A1419" s="3">
        <v>1413</v>
      </c>
      <c r="B1419" s="3" t="str">
        <f>"1355535"</f>
        <v>1355535</v>
      </c>
      <c r="C1419" s="3">
        <v>101234</v>
      </c>
      <c r="D1419" s="3" t="s">
        <v>5577</v>
      </c>
      <c r="E1419" s="3">
        <v>10098134277</v>
      </c>
      <c r="F1419" s="3" t="s">
        <v>5578</v>
      </c>
      <c r="G1419" s="3" t="s">
        <v>5579</v>
      </c>
      <c r="H1419" s="3" t="s">
        <v>56</v>
      </c>
      <c r="I1419" s="3" t="s">
        <v>56</v>
      </c>
      <c r="J1419" s="3" t="s">
        <v>131</v>
      </c>
      <c r="K1419" s="3" t="s">
        <v>5580</v>
      </c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 t="s">
        <v>233</v>
      </c>
      <c r="AL1419" s="4">
        <v>37327</v>
      </c>
      <c r="AM1419" s="3"/>
      <c r="AN1419" s="3"/>
    </row>
    <row r="1420" spans="1:40" x14ac:dyDescent="0.3">
      <c r="A1420" s="3">
        <v>1414</v>
      </c>
      <c r="B1420" s="3" t="str">
        <f>"201800070327"</f>
        <v>201800070327</v>
      </c>
      <c r="C1420" s="3">
        <v>134206</v>
      </c>
      <c r="D1420" s="3" t="s">
        <v>5581</v>
      </c>
      <c r="E1420" s="3">
        <v>10427050675</v>
      </c>
      <c r="F1420" s="3" t="s">
        <v>5582</v>
      </c>
      <c r="G1420" s="3" t="s">
        <v>5583</v>
      </c>
      <c r="H1420" s="3" t="s">
        <v>56</v>
      </c>
      <c r="I1420" s="3" t="s">
        <v>56</v>
      </c>
      <c r="J1420" s="3" t="s">
        <v>572</v>
      </c>
      <c r="K1420" s="3" t="s">
        <v>5584</v>
      </c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 t="s">
        <v>5585</v>
      </c>
      <c r="AL1420" s="4">
        <v>43229</v>
      </c>
      <c r="AM1420" s="3"/>
      <c r="AN1420" s="3" t="s">
        <v>5582</v>
      </c>
    </row>
    <row r="1421" spans="1:40" x14ac:dyDescent="0.3">
      <c r="A1421" s="3">
        <v>1415</v>
      </c>
      <c r="B1421" s="3" t="str">
        <f>"1884156"</f>
        <v>1884156</v>
      </c>
      <c r="C1421" s="3">
        <v>82514</v>
      </c>
      <c r="D1421" s="3" t="s">
        <v>5586</v>
      </c>
      <c r="E1421" s="3">
        <v>20531044283</v>
      </c>
      <c r="F1421" s="3" t="s">
        <v>5587</v>
      </c>
      <c r="G1421" s="3" t="s">
        <v>5588</v>
      </c>
      <c r="H1421" s="3" t="s">
        <v>56</v>
      </c>
      <c r="I1421" s="3" t="s">
        <v>1869</v>
      </c>
      <c r="J1421" s="3" t="s">
        <v>1869</v>
      </c>
      <c r="K1421" s="3" t="s">
        <v>5589</v>
      </c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 t="s">
        <v>5590</v>
      </c>
      <c r="AL1421" s="4">
        <v>39965</v>
      </c>
      <c r="AM1421" s="3"/>
      <c r="AN1421" s="3"/>
    </row>
    <row r="1422" spans="1:40" ht="27.95" x14ac:dyDescent="0.3">
      <c r="A1422" s="3">
        <v>1416</v>
      </c>
      <c r="B1422" s="3" t="str">
        <f>"1520656"</f>
        <v>1520656</v>
      </c>
      <c r="C1422" s="3">
        <v>40302</v>
      </c>
      <c r="D1422" s="3" t="s">
        <v>5591</v>
      </c>
      <c r="E1422" s="3">
        <v>20508069015</v>
      </c>
      <c r="F1422" s="3" t="s">
        <v>5592</v>
      </c>
      <c r="G1422" s="3" t="s">
        <v>5593</v>
      </c>
      <c r="H1422" s="3" t="s">
        <v>56</v>
      </c>
      <c r="I1422" s="3" t="s">
        <v>56</v>
      </c>
      <c r="J1422" s="3" t="s">
        <v>572</v>
      </c>
      <c r="K1422" s="3" t="s">
        <v>5594</v>
      </c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 t="s">
        <v>167</v>
      </c>
      <c r="AL1422" s="4">
        <v>38422</v>
      </c>
      <c r="AM1422" s="3"/>
      <c r="AN1422" s="3"/>
    </row>
    <row r="1423" spans="1:40" ht="27.95" x14ac:dyDescent="0.3">
      <c r="A1423" s="3">
        <v>1417</v>
      </c>
      <c r="B1423" s="3" t="str">
        <f>"1520655"</f>
        <v>1520655</v>
      </c>
      <c r="C1423" s="3">
        <v>40304</v>
      </c>
      <c r="D1423" s="3" t="s">
        <v>5595</v>
      </c>
      <c r="E1423" s="3">
        <v>20508069015</v>
      </c>
      <c r="F1423" s="3" t="s">
        <v>5592</v>
      </c>
      <c r="G1423" s="3" t="s">
        <v>5593</v>
      </c>
      <c r="H1423" s="3" t="s">
        <v>56</v>
      </c>
      <c r="I1423" s="3" t="s">
        <v>56</v>
      </c>
      <c r="J1423" s="3" t="s">
        <v>572</v>
      </c>
      <c r="K1423" s="3" t="s">
        <v>5596</v>
      </c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 t="s">
        <v>5597</v>
      </c>
      <c r="AL1423" s="4">
        <v>38422</v>
      </c>
      <c r="AM1423" s="3"/>
      <c r="AN1423" s="3"/>
    </row>
    <row r="1424" spans="1:40" ht="27.95" x14ac:dyDescent="0.3">
      <c r="A1424" s="3">
        <v>1418</v>
      </c>
      <c r="B1424" s="3" t="str">
        <f>"1520658"</f>
        <v>1520658</v>
      </c>
      <c r="C1424" s="3">
        <v>39944</v>
      </c>
      <c r="D1424" s="3" t="s">
        <v>5598</v>
      </c>
      <c r="E1424" s="3">
        <v>20508069015</v>
      </c>
      <c r="F1424" s="3" t="s">
        <v>5592</v>
      </c>
      <c r="G1424" s="3" t="s">
        <v>5593</v>
      </c>
      <c r="H1424" s="3" t="s">
        <v>56</v>
      </c>
      <c r="I1424" s="3" t="s">
        <v>56</v>
      </c>
      <c r="J1424" s="3" t="s">
        <v>572</v>
      </c>
      <c r="K1424" s="3" t="s">
        <v>5599</v>
      </c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 t="s">
        <v>5600</v>
      </c>
      <c r="AL1424" s="4">
        <v>38422</v>
      </c>
      <c r="AM1424" s="3"/>
      <c r="AN1424" s="3"/>
    </row>
    <row r="1425" spans="1:40" x14ac:dyDescent="0.3">
      <c r="A1425" s="3">
        <v>1419</v>
      </c>
      <c r="B1425" s="3" t="str">
        <f>"1486226"</f>
        <v>1486226</v>
      </c>
      <c r="C1425" s="3">
        <v>92486</v>
      </c>
      <c r="D1425" s="3" t="s">
        <v>5601</v>
      </c>
      <c r="E1425" s="3">
        <v>20532548889</v>
      </c>
      <c r="F1425" s="3" t="s">
        <v>5602</v>
      </c>
      <c r="G1425" s="3" t="s">
        <v>5603</v>
      </c>
      <c r="H1425" s="3" t="s">
        <v>743</v>
      </c>
      <c r="I1425" s="3" t="s">
        <v>1031</v>
      </c>
      <c r="J1425" s="3" t="s">
        <v>1031</v>
      </c>
      <c r="K1425" s="3" t="s">
        <v>5604</v>
      </c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 t="s">
        <v>1586</v>
      </c>
      <c r="AL1425" s="4">
        <v>40695</v>
      </c>
      <c r="AM1425" s="3"/>
      <c r="AN1425" s="3" t="s">
        <v>2442</v>
      </c>
    </row>
    <row r="1426" spans="1:40" ht="27.95" x14ac:dyDescent="0.3">
      <c r="A1426" s="3">
        <v>1420</v>
      </c>
      <c r="B1426" s="3" t="str">
        <f>"1484895"</f>
        <v>1484895</v>
      </c>
      <c r="C1426" s="3">
        <v>38547</v>
      </c>
      <c r="D1426" s="3" t="s">
        <v>5605</v>
      </c>
      <c r="E1426" s="3">
        <v>20166717389</v>
      </c>
      <c r="F1426" s="3" t="s">
        <v>2137</v>
      </c>
      <c r="G1426" s="3" t="s">
        <v>5606</v>
      </c>
      <c r="H1426" s="3" t="s">
        <v>357</v>
      </c>
      <c r="I1426" s="3" t="s">
        <v>357</v>
      </c>
      <c r="J1426" s="3" t="s">
        <v>357</v>
      </c>
      <c r="K1426" s="3" t="s">
        <v>5607</v>
      </c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 t="s">
        <v>2140</v>
      </c>
      <c r="AL1426" s="4">
        <v>38195</v>
      </c>
      <c r="AM1426" s="3"/>
      <c r="AN1426" s="3"/>
    </row>
    <row r="1427" spans="1:40" x14ac:dyDescent="0.3">
      <c r="A1427" s="3">
        <v>1421</v>
      </c>
      <c r="B1427" s="3" t="str">
        <f>"1498069"</f>
        <v>1498069</v>
      </c>
      <c r="C1427" s="3">
        <v>92898</v>
      </c>
      <c r="D1427" s="3" t="s">
        <v>5608</v>
      </c>
      <c r="E1427" s="3">
        <v>20525012884</v>
      </c>
      <c r="F1427" s="3" t="s">
        <v>5609</v>
      </c>
      <c r="G1427" s="3" t="s">
        <v>5610</v>
      </c>
      <c r="H1427" s="3" t="s">
        <v>56</v>
      </c>
      <c r="I1427" s="3" t="s">
        <v>56</v>
      </c>
      <c r="J1427" s="3" t="s">
        <v>363</v>
      </c>
      <c r="K1427" s="3" t="s">
        <v>5611</v>
      </c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 t="s">
        <v>1014</v>
      </c>
      <c r="AL1427" s="4">
        <v>40792</v>
      </c>
      <c r="AM1427" s="3"/>
      <c r="AN1427" s="3" t="s">
        <v>5612</v>
      </c>
    </row>
    <row r="1428" spans="1:40" ht="27.95" x14ac:dyDescent="0.3">
      <c r="A1428" s="3">
        <v>1422</v>
      </c>
      <c r="B1428" s="3" t="str">
        <f>"201200212346"</f>
        <v>201200212346</v>
      </c>
      <c r="C1428" s="3">
        <v>99546</v>
      </c>
      <c r="D1428" s="3" t="s">
        <v>5613</v>
      </c>
      <c r="E1428" s="3">
        <v>10430538051</v>
      </c>
      <c r="F1428" s="3" t="s">
        <v>5614</v>
      </c>
      <c r="G1428" s="3" t="s">
        <v>5615</v>
      </c>
      <c r="H1428" s="3" t="s">
        <v>97</v>
      </c>
      <c r="I1428" s="3" t="s">
        <v>97</v>
      </c>
      <c r="J1428" s="3" t="s">
        <v>341</v>
      </c>
      <c r="K1428" s="3" t="s">
        <v>5616</v>
      </c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 t="s">
        <v>1812</v>
      </c>
      <c r="AL1428" s="4">
        <v>41255</v>
      </c>
      <c r="AM1428" s="3"/>
      <c r="AN1428" s="3" t="s">
        <v>5614</v>
      </c>
    </row>
    <row r="1429" spans="1:40" x14ac:dyDescent="0.3">
      <c r="A1429" s="3">
        <v>1423</v>
      </c>
      <c r="B1429" s="3" t="str">
        <f>"1262048"</f>
        <v>1262048</v>
      </c>
      <c r="C1429" s="3">
        <v>17978</v>
      </c>
      <c r="D1429" s="3">
        <v>1262048</v>
      </c>
      <c r="E1429" s="3">
        <v>20100366747</v>
      </c>
      <c r="F1429" s="3" t="s">
        <v>258</v>
      </c>
      <c r="G1429" s="3" t="s">
        <v>1055</v>
      </c>
      <c r="H1429" s="3" t="s">
        <v>56</v>
      </c>
      <c r="I1429" s="3" t="s">
        <v>56</v>
      </c>
      <c r="J1429" s="3" t="s">
        <v>185</v>
      </c>
      <c r="K1429" s="3" t="s">
        <v>5617</v>
      </c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 t="s">
        <v>187</v>
      </c>
      <c r="AL1429" s="4">
        <v>36501</v>
      </c>
      <c r="AM1429" s="3"/>
      <c r="AN1429" s="3"/>
    </row>
    <row r="1430" spans="1:40" x14ac:dyDescent="0.3">
      <c r="A1430" s="3">
        <v>1424</v>
      </c>
      <c r="B1430" s="3" t="str">
        <f>"1334725"</f>
        <v>1334725</v>
      </c>
      <c r="C1430" s="3">
        <v>3386</v>
      </c>
      <c r="D1430" s="3" t="s">
        <v>5618</v>
      </c>
      <c r="E1430" s="3">
        <v>10178632677</v>
      </c>
      <c r="F1430" s="3" t="s">
        <v>5619</v>
      </c>
      <c r="G1430" s="3" t="s">
        <v>5620</v>
      </c>
      <c r="H1430" s="3" t="s">
        <v>44</v>
      </c>
      <c r="I1430" s="3" t="s">
        <v>45</v>
      </c>
      <c r="J1430" s="3" t="s">
        <v>45</v>
      </c>
      <c r="K1430" s="3" t="s">
        <v>5621</v>
      </c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 t="s">
        <v>574</v>
      </c>
      <c r="AL1430" s="4">
        <v>37103</v>
      </c>
      <c r="AM1430" s="3"/>
      <c r="AN1430" s="3"/>
    </row>
    <row r="1431" spans="1:40" x14ac:dyDescent="0.3">
      <c r="A1431" s="3">
        <v>1425</v>
      </c>
      <c r="B1431" s="3" t="str">
        <f>"201800045444"</f>
        <v>201800045444</v>
      </c>
      <c r="C1431" s="3">
        <v>135163</v>
      </c>
      <c r="D1431" s="3" t="s">
        <v>5622</v>
      </c>
      <c r="E1431" s="3">
        <v>10438315590</v>
      </c>
      <c r="F1431" s="3" t="s">
        <v>5623</v>
      </c>
      <c r="G1431" s="3" t="s">
        <v>5624</v>
      </c>
      <c r="H1431" s="3" t="s">
        <v>44</v>
      </c>
      <c r="I1431" s="3" t="s">
        <v>45</v>
      </c>
      <c r="J1431" s="3" t="s">
        <v>45</v>
      </c>
      <c r="K1431" s="3" t="s">
        <v>5625</v>
      </c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 t="s">
        <v>5626</v>
      </c>
      <c r="AL1431" s="4">
        <v>43194</v>
      </c>
      <c r="AM1431" s="3"/>
      <c r="AN1431" s="3" t="s">
        <v>5623</v>
      </c>
    </row>
    <row r="1432" spans="1:40" x14ac:dyDescent="0.3">
      <c r="A1432" s="3">
        <v>1426</v>
      </c>
      <c r="B1432" s="3" t="str">
        <f>"201800134465"</f>
        <v>201800134465</v>
      </c>
      <c r="C1432" s="3">
        <v>138032</v>
      </c>
      <c r="D1432" s="3" t="s">
        <v>5627</v>
      </c>
      <c r="E1432" s="3">
        <v>10296954077</v>
      </c>
      <c r="F1432" s="3" t="s">
        <v>1131</v>
      </c>
      <c r="G1432" s="3" t="s">
        <v>5628</v>
      </c>
      <c r="H1432" s="3" t="s">
        <v>97</v>
      </c>
      <c r="I1432" s="3" t="s">
        <v>97</v>
      </c>
      <c r="J1432" s="3" t="s">
        <v>254</v>
      </c>
      <c r="K1432" s="3" t="s">
        <v>5629</v>
      </c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 t="s">
        <v>2372</v>
      </c>
      <c r="AL1432" s="4">
        <v>43329</v>
      </c>
      <c r="AM1432" s="3"/>
      <c r="AN1432" s="3" t="s">
        <v>1131</v>
      </c>
    </row>
    <row r="1433" spans="1:40" x14ac:dyDescent="0.3">
      <c r="A1433" s="3">
        <v>1427</v>
      </c>
      <c r="B1433" s="3" t="str">
        <f>"1327724"</f>
        <v>1327724</v>
      </c>
      <c r="C1433" s="3">
        <v>21108</v>
      </c>
      <c r="D1433" s="3" t="s">
        <v>5630</v>
      </c>
      <c r="E1433" s="3">
        <v>20183716183</v>
      </c>
      <c r="F1433" s="3" t="s">
        <v>4161</v>
      </c>
      <c r="G1433" s="3" t="s">
        <v>5631</v>
      </c>
      <c r="H1433" s="3" t="s">
        <v>56</v>
      </c>
      <c r="I1433" s="3" t="s">
        <v>56</v>
      </c>
      <c r="J1433" s="3" t="s">
        <v>56</v>
      </c>
      <c r="K1433" s="3" t="s">
        <v>5632</v>
      </c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 t="s">
        <v>1994</v>
      </c>
      <c r="AL1433" s="4">
        <v>37084</v>
      </c>
      <c r="AM1433" s="3"/>
      <c r="AN1433" s="3"/>
    </row>
    <row r="1434" spans="1:40" x14ac:dyDescent="0.3">
      <c r="A1434" s="3">
        <v>1428</v>
      </c>
      <c r="B1434" s="3" t="str">
        <f>"1916381"</f>
        <v>1916381</v>
      </c>
      <c r="C1434" s="3">
        <v>83432</v>
      </c>
      <c r="D1434" s="3" t="s">
        <v>5633</v>
      </c>
      <c r="E1434" s="3">
        <v>20430844700</v>
      </c>
      <c r="F1434" s="3" t="s">
        <v>5634</v>
      </c>
      <c r="G1434" s="3" t="s">
        <v>5635</v>
      </c>
      <c r="H1434" s="3" t="s">
        <v>89</v>
      </c>
      <c r="I1434" s="3" t="s">
        <v>89</v>
      </c>
      <c r="J1434" s="3" t="s">
        <v>89</v>
      </c>
      <c r="K1434" s="3" t="s">
        <v>5636</v>
      </c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 t="s">
        <v>898</v>
      </c>
      <c r="AL1434" s="4">
        <v>40007</v>
      </c>
      <c r="AM1434" s="3"/>
      <c r="AN1434" s="3"/>
    </row>
    <row r="1435" spans="1:40" x14ac:dyDescent="0.3">
      <c r="A1435" s="3">
        <v>1429</v>
      </c>
      <c r="B1435" s="3" t="str">
        <f>"201600137507"</f>
        <v>201600137507</v>
      </c>
      <c r="C1435" s="3">
        <v>84820</v>
      </c>
      <c r="D1435" s="3" t="s">
        <v>5637</v>
      </c>
      <c r="E1435" s="3">
        <v>20100366747</v>
      </c>
      <c r="F1435" s="3" t="s">
        <v>258</v>
      </c>
      <c r="G1435" s="3" t="s">
        <v>3008</v>
      </c>
      <c r="H1435" s="3" t="s">
        <v>56</v>
      </c>
      <c r="I1435" s="3" t="s">
        <v>56</v>
      </c>
      <c r="J1435" s="3" t="s">
        <v>185</v>
      </c>
      <c r="K1435" s="3" t="s">
        <v>5638</v>
      </c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 t="s">
        <v>5639</v>
      </c>
      <c r="AL1435" s="4">
        <v>42648</v>
      </c>
      <c r="AM1435" s="3"/>
      <c r="AN1435" s="3" t="s">
        <v>262</v>
      </c>
    </row>
    <row r="1436" spans="1:40" x14ac:dyDescent="0.3">
      <c r="A1436" s="3">
        <v>1430</v>
      </c>
      <c r="B1436" s="3" t="str">
        <f>"1580156"</f>
        <v>1580156</v>
      </c>
      <c r="C1436" s="3">
        <v>42279</v>
      </c>
      <c r="D1436" s="3" t="s">
        <v>5640</v>
      </c>
      <c r="E1436" s="3">
        <v>20121837634</v>
      </c>
      <c r="F1436" s="3" t="s">
        <v>866</v>
      </c>
      <c r="G1436" s="3" t="s">
        <v>5641</v>
      </c>
      <c r="H1436" s="3" t="s">
        <v>237</v>
      </c>
      <c r="I1436" s="3" t="s">
        <v>868</v>
      </c>
      <c r="J1436" s="3" t="s">
        <v>869</v>
      </c>
      <c r="K1436" s="3" t="s">
        <v>5642</v>
      </c>
      <c r="L1436" s="3" t="s">
        <v>5643</v>
      </c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 t="s">
        <v>5644</v>
      </c>
      <c r="AL1436" s="4">
        <v>38692</v>
      </c>
      <c r="AM1436" s="3"/>
      <c r="AN1436" s="3"/>
    </row>
    <row r="1437" spans="1:40" x14ac:dyDescent="0.3">
      <c r="A1437" s="3">
        <v>1431</v>
      </c>
      <c r="B1437" s="3" t="str">
        <f>"201600107270"</f>
        <v>201600107270</v>
      </c>
      <c r="C1437" s="3">
        <v>39649</v>
      </c>
      <c r="D1437" s="3" t="s">
        <v>5645</v>
      </c>
      <c r="E1437" s="3">
        <v>20100007348</v>
      </c>
      <c r="F1437" s="3" t="s">
        <v>929</v>
      </c>
      <c r="G1437" s="3" t="s">
        <v>5646</v>
      </c>
      <c r="H1437" s="3" t="s">
        <v>75</v>
      </c>
      <c r="I1437" s="3" t="s">
        <v>75</v>
      </c>
      <c r="J1437" s="3" t="s">
        <v>76</v>
      </c>
      <c r="K1437" s="3" t="s">
        <v>5647</v>
      </c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 t="s">
        <v>419</v>
      </c>
      <c r="AL1437" s="4">
        <v>42605</v>
      </c>
      <c r="AM1437" s="3"/>
      <c r="AN1437" s="3" t="s">
        <v>5648</v>
      </c>
    </row>
    <row r="1438" spans="1:40" x14ac:dyDescent="0.3">
      <c r="A1438" s="3">
        <v>1432</v>
      </c>
      <c r="B1438" s="3" t="str">
        <f>"1356352"</f>
        <v>1356352</v>
      </c>
      <c r="C1438" s="3">
        <v>3382</v>
      </c>
      <c r="D1438" s="3" t="s">
        <v>5649</v>
      </c>
      <c r="E1438" s="3">
        <v>10066083581</v>
      </c>
      <c r="F1438" s="3" t="s">
        <v>2268</v>
      </c>
      <c r="G1438" s="3" t="s">
        <v>5650</v>
      </c>
      <c r="H1438" s="3" t="s">
        <v>56</v>
      </c>
      <c r="I1438" s="3" t="s">
        <v>56</v>
      </c>
      <c r="J1438" s="3" t="s">
        <v>363</v>
      </c>
      <c r="K1438" s="3" t="s">
        <v>5651</v>
      </c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 t="s">
        <v>192</v>
      </c>
      <c r="AL1438" s="4">
        <v>37340</v>
      </c>
      <c r="AM1438" s="3"/>
      <c r="AN1438" s="3"/>
    </row>
    <row r="1439" spans="1:40" ht="27.95" x14ac:dyDescent="0.3">
      <c r="A1439" s="3">
        <v>1433</v>
      </c>
      <c r="B1439" s="3" t="str">
        <f>"1358583"</f>
        <v>1358583</v>
      </c>
      <c r="C1439" s="3">
        <v>86569</v>
      </c>
      <c r="D1439" s="3" t="s">
        <v>5652</v>
      </c>
      <c r="E1439" s="3">
        <v>20455092494</v>
      </c>
      <c r="F1439" s="3" t="s">
        <v>5653</v>
      </c>
      <c r="G1439" s="3" t="s">
        <v>5654</v>
      </c>
      <c r="H1439" s="3" t="s">
        <v>97</v>
      </c>
      <c r="I1439" s="3" t="s">
        <v>97</v>
      </c>
      <c r="J1439" s="3" t="s">
        <v>97</v>
      </c>
      <c r="K1439" s="3" t="s">
        <v>5655</v>
      </c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 t="s">
        <v>5656</v>
      </c>
      <c r="AL1439" s="4">
        <v>40329</v>
      </c>
      <c r="AM1439" s="3"/>
      <c r="AN1439" s="3" t="s">
        <v>5657</v>
      </c>
    </row>
    <row r="1440" spans="1:40" ht="27.95" x14ac:dyDescent="0.3">
      <c r="A1440" s="3">
        <v>1434</v>
      </c>
      <c r="B1440" s="3" t="str">
        <f>"201800055554"</f>
        <v>201800055554</v>
      </c>
      <c r="C1440" s="3">
        <v>135394</v>
      </c>
      <c r="D1440" s="3" t="s">
        <v>5658</v>
      </c>
      <c r="E1440" s="3">
        <v>10406128682</v>
      </c>
      <c r="F1440" s="3" t="s">
        <v>5659</v>
      </c>
      <c r="G1440" s="3" t="s">
        <v>5660</v>
      </c>
      <c r="H1440" s="3" t="s">
        <v>97</v>
      </c>
      <c r="I1440" s="3" t="s">
        <v>97</v>
      </c>
      <c r="J1440" s="3" t="s">
        <v>341</v>
      </c>
      <c r="K1440" s="3" t="s">
        <v>5661</v>
      </c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 t="s">
        <v>81</v>
      </c>
      <c r="AL1440" s="4">
        <v>43201</v>
      </c>
      <c r="AM1440" s="3"/>
      <c r="AN1440" s="3" t="s">
        <v>5659</v>
      </c>
    </row>
    <row r="1441" spans="1:40" x14ac:dyDescent="0.3">
      <c r="A1441" s="3">
        <v>1435</v>
      </c>
      <c r="B1441" s="3" t="str">
        <f>"1868284"</f>
        <v>1868284</v>
      </c>
      <c r="C1441" s="3">
        <v>18090</v>
      </c>
      <c r="D1441" s="3" t="s">
        <v>5662</v>
      </c>
      <c r="E1441" s="3">
        <v>10066830867</v>
      </c>
      <c r="F1441" s="3" t="s">
        <v>5663</v>
      </c>
      <c r="G1441" s="3" t="s">
        <v>5664</v>
      </c>
      <c r="H1441" s="3" t="s">
        <v>56</v>
      </c>
      <c r="I1441" s="3" t="s">
        <v>56</v>
      </c>
      <c r="J1441" s="3" t="s">
        <v>1339</v>
      </c>
      <c r="K1441" s="3" t="s">
        <v>5665</v>
      </c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 t="s">
        <v>52</v>
      </c>
      <c r="AL1441" s="4">
        <v>39889</v>
      </c>
      <c r="AM1441" s="3"/>
      <c r="AN1441" s="3"/>
    </row>
    <row r="1442" spans="1:40" ht="27.95" x14ac:dyDescent="0.3">
      <c r="A1442" s="3">
        <v>1436</v>
      </c>
      <c r="B1442" s="3" t="str">
        <f>"201600104732"</f>
        <v>201600104732</v>
      </c>
      <c r="C1442" s="3">
        <v>122790</v>
      </c>
      <c r="D1442" s="3" t="s">
        <v>5666</v>
      </c>
      <c r="E1442" s="3">
        <v>20404723392</v>
      </c>
      <c r="F1442" s="3" t="s">
        <v>642</v>
      </c>
      <c r="G1442" s="3" t="s">
        <v>5667</v>
      </c>
      <c r="H1442" s="3" t="s">
        <v>89</v>
      </c>
      <c r="I1442" s="3" t="s">
        <v>89</v>
      </c>
      <c r="J1442" s="3" t="s">
        <v>90</v>
      </c>
      <c r="K1442" s="3" t="s">
        <v>5668</v>
      </c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 t="s">
        <v>1538</v>
      </c>
      <c r="AL1442" s="4">
        <v>42601</v>
      </c>
      <c r="AM1442" s="3"/>
      <c r="AN1442" s="3" t="s">
        <v>93</v>
      </c>
    </row>
    <row r="1443" spans="1:40" x14ac:dyDescent="0.3">
      <c r="A1443" s="3">
        <v>1437</v>
      </c>
      <c r="B1443" s="3" t="str">
        <f>"201400045403"</f>
        <v>201400045403</v>
      </c>
      <c r="C1443" s="3">
        <v>108870</v>
      </c>
      <c r="D1443" s="3" t="s">
        <v>5669</v>
      </c>
      <c r="E1443" s="3">
        <v>20113539594</v>
      </c>
      <c r="F1443" s="3" t="s">
        <v>164</v>
      </c>
      <c r="G1443" s="3" t="s">
        <v>624</v>
      </c>
      <c r="H1443" s="3" t="s">
        <v>50</v>
      </c>
      <c r="I1443" s="3" t="s">
        <v>50</v>
      </c>
      <c r="J1443" s="3" t="s">
        <v>50</v>
      </c>
      <c r="K1443" s="3" t="s">
        <v>5670</v>
      </c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 t="s">
        <v>504</v>
      </c>
      <c r="AL1443" s="4">
        <v>41752</v>
      </c>
      <c r="AM1443" s="3"/>
      <c r="AN1443" s="3" t="s">
        <v>626</v>
      </c>
    </row>
    <row r="1444" spans="1:40" ht="27.95" x14ac:dyDescent="0.3">
      <c r="A1444" s="3">
        <v>1438</v>
      </c>
      <c r="B1444" s="3" t="str">
        <f>"201600003030"</f>
        <v>201600003030</v>
      </c>
      <c r="C1444" s="3">
        <v>118775</v>
      </c>
      <c r="D1444" s="3" t="s">
        <v>5671</v>
      </c>
      <c r="E1444" s="3">
        <v>20455665796</v>
      </c>
      <c r="F1444" s="3" t="s">
        <v>3929</v>
      </c>
      <c r="G1444" s="3" t="s">
        <v>5672</v>
      </c>
      <c r="H1444" s="3" t="s">
        <v>97</v>
      </c>
      <c r="I1444" s="3" t="s">
        <v>208</v>
      </c>
      <c r="J1444" s="3" t="s">
        <v>779</v>
      </c>
      <c r="K1444" s="3" t="s">
        <v>5673</v>
      </c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 t="s">
        <v>602</v>
      </c>
      <c r="AL1444" s="4">
        <v>42383</v>
      </c>
      <c r="AM1444" s="3"/>
      <c r="AN1444" s="3" t="s">
        <v>3932</v>
      </c>
    </row>
    <row r="1445" spans="1:40" ht="27.95" x14ac:dyDescent="0.3">
      <c r="A1445" s="3">
        <v>1439</v>
      </c>
      <c r="B1445" s="3" t="str">
        <f>"201200164036"</f>
        <v>201200164036</v>
      </c>
      <c r="C1445" s="3">
        <v>98135</v>
      </c>
      <c r="D1445" s="3" t="s">
        <v>5674</v>
      </c>
      <c r="E1445" s="3">
        <v>20547314426</v>
      </c>
      <c r="F1445" s="3" t="s">
        <v>1202</v>
      </c>
      <c r="G1445" s="3" t="s">
        <v>5675</v>
      </c>
      <c r="H1445" s="3" t="s">
        <v>56</v>
      </c>
      <c r="I1445" s="3" t="s">
        <v>56</v>
      </c>
      <c r="J1445" s="3" t="s">
        <v>273</v>
      </c>
      <c r="K1445" s="3" t="s">
        <v>5676</v>
      </c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 t="s">
        <v>5677</v>
      </c>
      <c r="AL1445" s="4">
        <v>41157</v>
      </c>
      <c r="AM1445" s="3"/>
      <c r="AN1445" s="3" t="s">
        <v>1039</v>
      </c>
    </row>
    <row r="1446" spans="1:40" ht="27.95" x14ac:dyDescent="0.3">
      <c r="A1446" s="3">
        <v>1440</v>
      </c>
      <c r="B1446" s="3" t="str">
        <f>"201800169178"</f>
        <v>201800169178</v>
      </c>
      <c r="C1446" s="3">
        <v>139068</v>
      </c>
      <c r="D1446" s="3" t="s">
        <v>5678</v>
      </c>
      <c r="E1446" s="3">
        <v>20455751528</v>
      </c>
      <c r="F1446" s="3" t="s">
        <v>142</v>
      </c>
      <c r="G1446" s="3" t="s">
        <v>5679</v>
      </c>
      <c r="H1446" s="3" t="s">
        <v>97</v>
      </c>
      <c r="I1446" s="3" t="s">
        <v>97</v>
      </c>
      <c r="J1446" s="3" t="s">
        <v>144</v>
      </c>
      <c r="K1446" s="3" t="s">
        <v>5680</v>
      </c>
      <c r="L1446" s="3" t="s">
        <v>5681</v>
      </c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 t="s">
        <v>2281</v>
      </c>
      <c r="AL1446" s="4">
        <v>43388</v>
      </c>
      <c r="AM1446" s="3"/>
      <c r="AN1446" s="3" t="s">
        <v>1333</v>
      </c>
    </row>
    <row r="1447" spans="1:40" ht="27.95" x14ac:dyDescent="0.3">
      <c r="A1447" s="3">
        <v>1441</v>
      </c>
      <c r="B1447" s="3" t="str">
        <f>"201800111105"</f>
        <v>201800111105</v>
      </c>
      <c r="C1447" s="3">
        <v>137337</v>
      </c>
      <c r="D1447" s="3" t="s">
        <v>5682</v>
      </c>
      <c r="E1447" s="3">
        <v>10098800480</v>
      </c>
      <c r="F1447" s="3" t="s">
        <v>5683</v>
      </c>
      <c r="G1447" s="3" t="s">
        <v>5684</v>
      </c>
      <c r="H1447" s="3" t="s">
        <v>56</v>
      </c>
      <c r="I1447" s="3" t="s">
        <v>56</v>
      </c>
      <c r="J1447" s="3" t="s">
        <v>185</v>
      </c>
      <c r="K1447" s="3" t="s">
        <v>5685</v>
      </c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 t="s">
        <v>2508</v>
      </c>
      <c r="AL1447" s="4">
        <v>43294</v>
      </c>
      <c r="AM1447" s="3"/>
      <c r="AN1447" s="3" t="s">
        <v>5683</v>
      </c>
    </row>
    <row r="1448" spans="1:40" x14ac:dyDescent="0.3">
      <c r="A1448" s="3">
        <v>1442</v>
      </c>
      <c r="B1448" s="3" t="str">
        <f>"201600123736"</f>
        <v>201600123736</v>
      </c>
      <c r="C1448" s="3">
        <v>17970</v>
      </c>
      <c r="D1448" s="3" t="s">
        <v>5686</v>
      </c>
      <c r="E1448" s="3">
        <v>20100366747</v>
      </c>
      <c r="F1448" s="3" t="s">
        <v>258</v>
      </c>
      <c r="G1448" s="3" t="s">
        <v>1055</v>
      </c>
      <c r="H1448" s="3" t="s">
        <v>56</v>
      </c>
      <c r="I1448" s="3" t="s">
        <v>56</v>
      </c>
      <c r="J1448" s="3" t="s">
        <v>185</v>
      </c>
      <c r="K1448" s="3" t="s">
        <v>5687</v>
      </c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 t="s">
        <v>5688</v>
      </c>
      <c r="AL1448" s="4">
        <v>42625</v>
      </c>
      <c r="AM1448" s="3"/>
      <c r="AN1448" s="3" t="s">
        <v>5689</v>
      </c>
    </row>
    <row r="1449" spans="1:40" ht="27.95" x14ac:dyDescent="0.3">
      <c r="A1449" s="3">
        <v>1443</v>
      </c>
      <c r="B1449" s="3" t="str">
        <f>"202000145765"</f>
        <v>202000145765</v>
      </c>
      <c r="C1449" s="3">
        <v>112689</v>
      </c>
      <c r="D1449" s="3" t="s">
        <v>5690</v>
      </c>
      <c r="E1449" s="3">
        <v>20455486948</v>
      </c>
      <c r="F1449" s="3" t="s">
        <v>1382</v>
      </c>
      <c r="G1449" s="3" t="s">
        <v>5418</v>
      </c>
      <c r="H1449" s="3" t="s">
        <v>97</v>
      </c>
      <c r="I1449" s="3" t="s">
        <v>97</v>
      </c>
      <c r="J1449" s="3" t="s">
        <v>144</v>
      </c>
      <c r="K1449" s="3" t="s">
        <v>5691</v>
      </c>
      <c r="L1449" s="3" t="s">
        <v>1385</v>
      </c>
      <c r="M1449" s="3" t="s">
        <v>1386</v>
      </c>
      <c r="N1449" s="3" t="s">
        <v>5420</v>
      </c>
      <c r="O1449" s="3" t="s">
        <v>1387</v>
      </c>
      <c r="P1449" s="3" t="s">
        <v>1388</v>
      </c>
      <c r="Q1449" s="3" t="s">
        <v>1389</v>
      </c>
      <c r="R1449" s="3" t="s">
        <v>1390</v>
      </c>
      <c r="S1449" s="3" t="s">
        <v>5692</v>
      </c>
      <c r="T1449" s="3" t="s">
        <v>1395</v>
      </c>
      <c r="U1449" s="3" t="s">
        <v>1392</v>
      </c>
      <c r="V1449" s="3" t="s">
        <v>1391</v>
      </c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 t="s">
        <v>470</v>
      </c>
      <c r="AL1449" s="4">
        <v>44123</v>
      </c>
      <c r="AM1449" s="3"/>
      <c r="AN1449" s="3" t="s">
        <v>1396</v>
      </c>
    </row>
    <row r="1450" spans="1:40" ht="27.95" x14ac:dyDescent="0.3">
      <c r="A1450" s="3">
        <v>1444</v>
      </c>
      <c r="B1450" s="3" t="str">
        <f>"1394700"</f>
        <v>1394700</v>
      </c>
      <c r="C1450" s="3">
        <v>42241</v>
      </c>
      <c r="D1450" s="3" t="s">
        <v>5693</v>
      </c>
      <c r="E1450" s="3">
        <v>20508069015</v>
      </c>
      <c r="F1450" s="3" t="s">
        <v>5694</v>
      </c>
      <c r="G1450" s="3" t="s">
        <v>4835</v>
      </c>
      <c r="H1450" s="3" t="s">
        <v>56</v>
      </c>
      <c r="I1450" s="3" t="s">
        <v>56</v>
      </c>
      <c r="J1450" s="3" t="s">
        <v>432</v>
      </c>
      <c r="K1450" s="3" t="s">
        <v>5695</v>
      </c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 t="s">
        <v>5696</v>
      </c>
      <c r="AL1450" s="4">
        <v>40406</v>
      </c>
      <c r="AM1450" s="3"/>
      <c r="AN1450" s="3" t="s">
        <v>4837</v>
      </c>
    </row>
    <row r="1451" spans="1:40" x14ac:dyDescent="0.3">
      <c r="A1451" s="3">
        <v>1445</v>
      </c>
      <c r="B1451" s="3" t="str">
        <f>"1478958"</f>
        <v>1478958</v>
      </c>
      <c r="C1451" s="3">
        <v>36845</v>
      </c>
      <c r="D1451" s="3" t="s">
        <v>5697</v>
      </c>
      <c r="E1451" s="3">
        <v>10094322851</v>
      </c>
      <c r="F1451" s="3" t="s">
        <v>3710</v>
      </c>
      <c r="G1451" s="3" t="s">
        <v>5698</v>
      </c>
      <c r="H1451" s="3" t="s">
        <v>56</v>
      </c>
      <c r="I1451" s="3" t="s">
        <v>56</v>
      </c>
      <c r="J1451" s="3" t="s">
        <v>56</v>
      </c>
      <c r="K1451" s="3" t="s">
        <v>5699</v>
      </c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 t="s">
        <v>546</v>
      </c>
      <c r="AL1451" s="4">
        <v>38187</v>
      </c>
      <c r="AM1451" s="3"/>
      <c r="AN1451" s="3"/>
    </row>
    <row r="1452" spans="1:40" ht="27.95" x14ac:dyDescent="0.3">
      <c r="A1452" s="3">
        <v>1446</v>
      </c>
      <c r="B1452" s="3" t="str">
        <f>"1394704"</f>
        <v>1394704</v>
      </c>
      <c r="C1452" s="3">
        <v>42318</v>
      </c>
      <c r="D1452" s="3" t="s">
        <v>5700</v>
      </c>
      <c r="E1452" s="3">
        <v>20508069015</v>
      </c>
      <c r="F1452" s="3" t="s">
        <v>5694</v>
      </c>
      <c r="G1452" s="3" t="s">
        <v>4835</v>
      </c>
      <c r="H1452" s="3" t="s">
        <v>56</v>
      </c>
      <c r="I1452" s="3" t="s">
        <v>56</v>
      </c>
      <c r="J1452" s="3" t="s">
        <v>432</v>
      </c>
      <c r="K1452" s="3" t="s">
        <v>5701</v>
      </c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 t="s">
        <v>5696</v>
      </c>
      <c r="AL1452" s="4">
        <v>40406</v>
      </c>
      <c r="AM1452" s="3"/>
      <c r="AN1452" s="3" t="s">
        <v>4837</v>
      </c>
    </row>
    <row r="1453" spans="1:40" x14ac:dyDescent="0.3">
      <c r="A1453" s="3">
        <v>1447</v>
      </c>
      <c r="B1453" s="3" t="str">
        <f>"1412547"</f>
        <v>1412547</v>
      </c>
      <c r="C1453" s="3">
        <v>34868</v>
      </c>
      <c r="D1453" s="3" t="s">
        <v>5702</v>
      </c>
      <c r="E1453" s="3">
        <v>20332248856</v>
      </c>
      <c r="F1453" s="3" t="s">
        <v>5703</v>
      </c>
      <c r="G1453" s="3" t="s">
        <v>5704</v>
      </c>
      <c r="H1453" s="3" t="s">
        <v>56</v>
      </c>
      <c r="I1453" s="3" t="s">
        <v>56</v>
      </c>
      <c r="J1453" s="3" t="s">
        <v>331</v>
      </c>
      <c r="K1453" s="3" t="s">
        <v>5705</v>
      </c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 t="s">
        <v>81</v>
      </c>
      <c r="AL1453" s="4">
        <v>37771</v>
      </c>
      <c r="AM1453" s="3"/>
      <c r="AN1453" s="3"/>
    </row>
    <row r="1454" spans="1:40" x14ac:dyDescent="0.3">
      <c r="A1454" s="3">
        <v>1448</v>
      </c>
      <c r="B1454" s="3" t="str">
        <f>"1420310"</f>
        <v>1420310</v>
      </c>
      <c r="C1454" s="3">
        <v>35154</v>
      </c>
      <c r="D1454" s="3" t="s">
        <v>5706</v>
      </c>
      <c r="E1454" s="3">
        <v>10102915912</v>
      </c>
      <c r="F1454" s="3" t="s">
        <v>5707</v>
      </c>
      <c r="G1454" s="3" t="s">
        <v>5708</v>
      </c>
      <c r="H1454" s="3" t="s">
        <v>56</v>
      </c>
      <c r="I1454" s="3" t="s">
        <v>56</v>
      </c>
      <c r="J1454" s="3" t="s">
        <v>57</v>
      </c>
      <c r="K1454" s="3" t="s">
        <v>5709</v>
      </c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 t="s">
        <v>81</v>
      </c>
      <c r="AL1454" s="4">
        <v>37837</v>
      </c>
      <c r="AM1454" s="3"/>
      <c r="AN1454" s="3"/>
    </row>
    <row r="1455" spans="1:40" x14ac:dyDescent="0.3">
      <c r="A1455" s="3">
        <v>1449</v>
      </c>
      <c r="B1455" s="3" t="str">
        <f>"201900086456"</f>
        <v>201900086456</v>
      </c>
      <c r="C1455" s="3">
        <v>61052</v>
      </c>
      <c r="D1455" s="3" t="s">
        <v>5710</v>
      </c>
      <c r="E1455" s="3">
        <v>20153236551</v>
      </c>
      <c r="F1455" s="3" t="s">
        <v>5711</v>
      </c>
      <c r="G1455" s="3" t="s">
        <v>5712</v>
      </c>
      <c r="H1455" s="3" t="s">
        <v>56</v>
      </c>
      <c r="I1455" s="3" t="s">
        <v>422</v>
      </c>
      <c r="J1455" s="3" t="s">
        <v>869</v>
      </c>
      <c r="K1455" s="3" t="s">
        <v>5713</v>
      </c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 t="s">
        <v>157</v>
      </c>
      <c r="AL1455" s="4">
        <v>43626</v>
      </c>
      <c r="AM1455" s="3"/>
      <c r="AN1455" s="3" t="s">
        <v>1183</v>
      </c>
    </row>
    <row r="1456" spans="1:40" x14ac:dyDescent="0.3">
      <c r="A1456" s="3">
        <v>1450</v>
      </c>
      <c r="B1456" s="3" t="str">
        <f>"1580125"</f>
        <v>1580125</v>
      </c>
      <c r="C1456" s="3">
        <v>41921</v>
      </c>
      <c r="D1456" s="3" t="s">
        <v>5714</v>
      </c>
      <c r="E1456" s="3">
        <v>20501548589</v>
      </c>
      <c r="F1456" s="3" t="s">
        <v>5715</v>
      </c>
      <c r="G1456" s="3" t="s">
        <v>5716</v>
      </c>
      <c r="H1456" s="3" t="s">
        <v>56</v>
      </c>
      <c r="I1456" s="3" t="s">
        <v>56</v>
      </c>
      <c r="J1456" s="3" t="s">
        <v>63</v>
      </c>
      <c r="K1456" s="3" t="s">
        <v>5717</v>
      </c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 t="s">
        <v>2355</v>
      </c>
      <c r="AL1456" s="4">
        <v>38722</v>
      </c>
      <c r="AM1456" s="3"/>
      <c r="AN1456" s="3"/>
    </row>
    <row r="1457" spans="1:40" ht="27.95" x14ac:dyDescent="0.3">
      <c r="A1457" s="3">
        <v>1451</v>
      </c>
      <c r="B1457" s="3" t="str">
        <f>"201600104760"</f>
        <v>201600104760</v>
      </c>
      <c r="C1457" s="3">
        <v>122792</v>
      </c>
      <c r="D1457" s="3" t="s">
        <v>5718</v>
      </c>
      <c r="E1457" s="3">
        <v>20404723392</v>
      </c>
      <c r="F1457" s="3" t="s">
        <v>642</v>
      </c>
      <c r="G1457" s="3" t="s">
        <v>5667</v>
      </c>
      <c r="H1457" s="3" t="s">
        <v>89</v>
      </c>
      <c r="I1457" s="3" t="s">
        <v>89</v>
      </c>
      <c r="J1457" s="3" t="s">
        <v>90</v>
      </c>
      <c r="K1457" s="3" t="s">
        <v>5719</v>
      </c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 t="s">
        <v>1538</v>
      </c>
      <c r="AL1457" s="4">
        <v>42703</v>
      </c>
      <c r="AM1457" s="3"/>
      <c r="AN1457" s="3" t="s">
        <v>93</v>
      </c>
    </row>
    <row r="1458" spans="1:40" ht="27.95" x14ac:dyDescent="0.3">
      <c r="A1458" s="3">
        <v>1452</v>
      </c>
      <c r="B1458" s="3" t="str">
        <f>"1407462"</f>
        <v>1407462</v>
      </c>
      <c r="C1458" s="3">
        <v>33848</v>
      </c>
      <c r="D1458" s="3" t="s">
        <v>5720</v>
      </c>
      <c r="E1458" s="3">
        <v>10292453472</v>
      </c>
      <c r="F1458" s="3" t="s">
        <v>5721</v>
      </c>
      <c r="G1458" s="3" t="s">
        <v>5722</v>
      </c>
      <c r="H1458" s="3" t="s">
        <v>97</v>
      </c>
      <c r="I1458" s="3" t="s">
        <v>97</v>
      </c>
      <c r="J1458" s="3" t="s">
        <v>97</v>
      </c>
      <c r="K1458" s="3" t="s">
        <v>5723</v>
      </c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 t="s">
        <v>81</v>
      </c>
      <c r="AL1458" s="4">
        <v>37711</v>
      </c>
      <c r="AM1458" s="3"/>
      <c r="AN1458" s="3"/>
    </row>
    <row r="1459" spans="1:40" x14ac:dyDescent="0.3">
      <c r="A1459" s="3">
        <v>1453</v>
      </c>
      <c r="B1459" s="3" t="str">
        <f>"201400172294"</f>
        <v>201400172294</v>
      </c>
      <c r="C1459" s="3">
        <v>113166</v>
      </c>
      <c r="D1459" s="3" t="s">
        <v>5724</v>
      </c>
      <c r="E1459" s="3">
        <v>10018780599</v>
      </c>
      <c r="F1459" s="3" t="s">
        <v>4063</v>
      </c>
      <c r="G1459" s="3" t="s">
        <v>5725</v>
      </c>
      <c r="H1459" s="3" t="s">
        <v>202</v>
      </c>
      <c r="I1459" s="3" t="s">
        <v>202</v>
      </c>
      <c r="J1459" s="3" t="s">
        <v>202</v>
      </c>
      <c r="K1459" s="3" t="s">
        <v>5726</v>
      </c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 t="s">
        <v>118</v>
      </c>
      <c r="AL1459" s="4">
        <v>42027</v>
      </c>
      <c r="AM1459" s="3"/>
      <c r="AN1459" s="3" t="s">
        <v>4063</v>
      </c>
    </row>
    <row r="1460" spans="1:40" x14ac:dyDescent="0.3">
      <c r="A1460" s="3">
        <v>1454</v>
      </c>
      <c r="B1460" s="3" t="str">
        <f>"1300025"</f>
        <v>1300025</v>
      </c>
      <c r="C1460" s="3">
        <v>2011</v>
      </c>
      <c r="D1460" s="3">
        <v>1300025</v>
      </c>
      <c r="E1460" s="3">
        <v>10077467225</v>
      </c>
      <c r="F1460" s="3" t="s">
        <v>5727</v>
      </c>
      <c r="G1460" s="3" t="s">
        <v>5728</v>
      </c>
      <c r="H1460" s="3" t="s">
        <v>56</v>
      </c>
      <c r="I1460" s="3" t="s">
        <v>422</v>
      </c>
      <c r="J1460" s="3" t="s">
        <v>423</v>
      </c>
      <c r="K1460" s="3" t="s">
        <v>5729</v>
      </c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 t="s">
        <v>425</v>
      </c>
      <c r="AL1460" s="4">
        <v>36843</v>
      </c>
      <c r="AM1460" s="3"/>
      <c r="AN1460" s="3"/>
    </row>
    <row r="1461" spans="1:40" x14ac:dyDescent="0.3">
      <c r="A1461" s="3">
        <v>1455</v>
      </c>
      <c r="B1461" s="3" t="str">
        <f>"1123556"</f>
        <v>1123556</v>
      </c>
      <c r="C1461" s="3">
        <v>2316</v>
      </c>
      <c r="D1461" s="3">
        <v>955438</v>
      </c>
      <c r="E1461" s="3">
        <v>10066105712</v>
      </c>
      <c r="F1461" s="3" t="s">
        <v>5730</v>
      </c>
      <c r="G1461" s="3" t="s">
        <v>5731</v>
      </c>
      <c r="H1461" s="3" t="s">
        <v>56</v>
      </c>
      <c r="I1461" s="3" t="s">
        <v>56</v>
      </c>
      <c r="J1461" s="3" t="s">
        <v>363</v>
      </c>
      <c r="K1461" s="3" t="s">
        <v>5732</v>
      </c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 t="s">
        <v>5733</v>
      </c>
      <c r="AL1461" s="4">
        <v>35564</v>
      </c>
      <c r="AM1461" s="3"/>
      <c r="AN1461" s="3"/>
    </row>
    <row r="1462" spans="1:40" x14ac:dyDescent="0.3">
      <c r="A1462" s="3">
        <v>1456</v>
      </c>
      <c r="B1462" s="3" t="str">
        <f>"1572730"</f>
        <v>1572730</v>
      </c>
      <c r="C1462" s="3">
        <v>41920</v>
      </c>
      <c r="D1462" s="3" t="s">
        <v>5734</v>
      </c>
      <c r="E1462" s="3">
        <v>10081019610</v>
      </c>
      <c r="F1462" s="3" t="s">
        <v>4729</v>
      </c>
      <c r="G1462" s="3" t="s">
        <v>4730</v>
      </c>
      <c r="H1462" s="3" t="s">
        <v>56</v>
      </c>
      <c r="I1462" s="3" t="s">
        <v>56</v>
      </c>
      <c r="J1462" s="3" t="s">
        <v>4447</v>
      </c>
      <c r="K1462" s="3" t="s">
        <v>5735</v>
      </c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 t="s">
        <v>81</v>
      </c>
      <c r="AL1462" s="4">
        <v>38678</v>
      </c>
      <c r="AM1462" s="3"/>
      <c r="AN1462" s="3"/>
    </row>
    <row r="1463" spans="1:40" x14ac:dyDescent="0.3">
      <c r="A1463" s="3">
        <v>1457</v>
      </c>
      <c r="B1463" s="3" t="str">
        <f>"201900048819"</f>
        <v>201900048819</v>
      </c>
      <c r="C1463" s="3">
        <v>142270</v>
      </c>
      <c r="D1463" s="3" t="s">
        <v>5736</v>
      </c>
      <c r="E1463" s="3">
        <v>20250459981</v>
      </c>
      <c r="F1463" s="3" t="s">
        <v>1351</v>
      </c>
      <c r="G1463" s="3" t="s">
        <v>2858</v>
      </c>
      <c r="H1463" s="3" t="s">
        <v>56</v>
      </c>
      <c r="I1463" s="3" t="s">
        <v>56</v>
      </c>
      <c r="J1463" s="3" t="s">
        <v>273</v>
      </c>
      <c r="K1463" s="3" t="s">
        <v>5737</v>
      </c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 t="s">
        <v>1341</v>
      </c>
      <c r="AL1463" s="4">
        <v>43560</v>
      </c>
      <c r="AM1463" s="3"/>
      <c r="AN1463" s="3" t="s">
        <v>1355</v>
      </c>
    </row>
    <row r="1464" spans="1:40" ht="27.95" x14ac:dyDescent="0.3">
      <c r="A1464" s="3">
        <v>1458</v>
      </c>
      <c r="B1464" s="3" t="str">
        <f>"201600019887"</f>
        <v>201600019887</v>
      </c>
      <c r="C1464" s="3">
        <v>119892</v>
      </c>
      <c r="D1464" s="3" t="s">
        <v>5738</v>
      </c>
      <c r="E1464" s="3">
        <v>20510139136</v>
      </c>
      <c r="F1464" s="3" t="s">
        <v>5739</v>
      </c>
      <c r="G1464" s="3" t="s">
        <v>5740</v>
      </c>
      <c r="H1464" s="3" t="s">
        <v>56</v>
      </c>
      <c r="I1464" s="3" t="s">
        <v>56</v>
      </c>
      <c r="J1464" s="3" t="s">
        <v>56</v>
      </c>
      <c r="K1464" s="3" t="s">
        <v>5741</v>
      </c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 t="s">
        <v>81</v>
      </c>
      <c r="AL1464" s="4">
        <v>42415</v>
      </c>
      <c r="AM1464" s="3"/>
      <c r="AN1464" s="3" t="s">
        <v>5742</v>
      </c>
    </row>
    <row r="1465" spans="1:40" x14ac:dyDescent="0.3">
      <c r="A1465" s="3">
        <v>1459</v>
      </c>
      <c r="B1465" s="3" t="str">
        <f>"1484867"</f>
        <v>1484867</v>
      </c>
      <c r="C1465" s="3">
        <v>89705</v>
      </c>
      <c r="D1465" s="3" t="s">
        <v>5743</v>
      </c>
      <c r="E1465" s="3">
        <v>10100722459</v>
      </c>
      <c r="F1465" s="3" t="s">
        <v>5744</v>
      </c>
      <c r="G1465" s="3" t="s">
        <v>5745</v>
      </c>
      <c r="H1465" s="3" t="s">
        <v>56</v>
      </c>
      <c r="I1465" s="3" t="s">
        <v>56</v>
      </c>
      <c r="J1465" s="3" t="s">
        <v>56</v>
      </c>
      <c r="K1465" s="3" t="s">
        <v>5746</v>
      </c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 t="s">
        <v>187</v>
      </c>
      <c r="AL1465" s="4">
        <v>40701</v>
      </c>
      <c r="AM1465" s="3"/>
      <c r="AN1465" s="3" t="s">
        <v>5744</v>
      </c>
    </row>
    <row r="1466" spans="1:40" x14ac:dyDescent="0.3">
      <c r="A1466" s="3">
        <v>1460</v>
      </c>
      <c r="B1466" s="3" t="str">
        <f>"201300112797"</f>
        <v>201300112797</v>
      </c>
      <c r="C1466" s="3">
        <v>103824</v>
      </c>
      <c r="D1466" s="3" t="s">
        <v>5747</v>
      </c>
      <c r="E1466" s="3">
        <v>10440211033</v>
      </c>
      <c r="F1466" s="3" t="s">
        <v>5748</v>
      </c>
      <c r="G1466" s="3" t="s">
        <v>5749</v>
      </c>
      <c r="H1466" s="3" t="s">
        <v>237</v>
      </c>
      <c r="I1466" s="3" t="s">
        <v>238</v>
      </c>
      <c r="J1466" s="3" t="s">
        <v>5750</v>
      </c>
      <c r="K1466" s="3" t="s">
        <v>5751</v>
      </c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 t="s">
        <v>602</v>
      </c>
      <c r="AL1466" s="4">
        <v>41459</v>
      </c>
      <c r="AM1466" s="3"/>
      <c r="AN1466" s="3" t="s">
        <v>5748</v>
      </c>
    </row>
    <row r="1467" spans="1:40" x14ac:dyDescent="0.3">
      <c r="A1467" s="3">
        <v>1461</v>
      </c>
      <c r="B1467" s="3" t="str">
        <f>"201400069240"</f>
        <v>201400069240</v>
      </c>
      <c r="C1467" s="3">
        <v>109770</v>
      </c>
      <c r="D1467" s="3" t="s">
        <v>5752</v>
      </c>
      <c r="E1467" s="3">
        <v>10181089291</v>
      </c>
      <c r="F1467" s="3" t="s">
        <v>5753</v>
      </c>
      <c r="G1467" s="3" t="s">
        <v>5754</v>
      </c>
      <c r="H1467" s="3" t="s">
        <v>44</v>
      </c>
      <c r="I1467" s="3" t="s">
        <v>45</v>
      </c>
      <c r="J1467" s="3" t="s">
        <v>45</v>
      </c>
      <c r="K1467" s="3" t="s">
        <v>5755</v>
      </c>
      <c r="L1467" s="3" t="s">
        <v>5756</v>
      </c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 t="s">
        <v>118</v>
      </c>
      <c r="AL1467" s="4">
        <v>41813</v>
      </c>
      <c r="AM1467" s="3"/>
      <c r="AN1467" s="3" t="s">
        <v>5753</v>
      </c>
    </row>
    <row r="1468" spans="1:40" x14ac:dyDescent="0.3">
      <c r="A1468" s="3">
        <v>1462</v>
      </c>
      <c r="B1468" s="3" t="str">
        <f>"1502223"</f>
        <v>1502223</v>
      </c>
      <c r="C1468" s="3">
        <v>36991</v>
      </c>
      <c r="D1468" s="3" t="s">
        <v>5757</v>
      </c>
      <c r="E1468" s="3">
        <v>10061246091</v>
      </c>
      <c r="F1468" s="3" t="s">
        <v>5758</v>
      </c>
      <c r="G1468" s="3" t="s">
        <v>5759</v>
      </c>
      <c r="H1468" s="3" t="s">
        <v>56</v>
      </c>
      <c r="I1468" s="3" t="s">
        <v>56</v>
      </c>
      <c r="J1468" s="3" t="s">
        <v>56</v>
      </c>
      <c r="K1468" s="3" t="s">
        <v>5760</v>
      </c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 t="s">
        <v>52</v>
      </c>
      <c r="AL1468" s="4">
        <v>38309</v>
      </c>
      <c r="AM1468" s="3"/>
      <c r="AN1468" s="3"/>
    </row>
    <row r="1469" spans="1:40" x14ac:dyDescent="0.3">
      <c r="A1469" s="3">
        <v>1463</v>
      </c>
      <c r="B1469" s="3" t="str">
        <f>"1448075"</f>
        <v>1448075</v>
      </c>
      <c r="C1469" s="3">
        <v>37851</v>
      </c>
      <c r="D1469" s="3" t="s">
        <v>5761</v>
      </c>
      <c r="E1469" s="3">
        <v>20100366747</v>
      </c>
      <c r="F1469" s="3" t="s">
        <v>258</v>
      </c>
      <c r="G1469" s="3" t="s">
        <v>1055</v>
      </c>
      <c r="H1469" s="3" t="s">
        <v>56</v>
      </c>
      <c r="I1469" s="3" t="s">
        <v>56</v>
      </c>
      <c r="J1469" s="3" t="s">
        <v>185</v>
      </c>
      <c r="K1469" s="3" t="s">
        <v>5762</v>
      </c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 t="s">
        <v>47</v>
      </c>
      <c r="AL1469" s="4">
        <v>38006</v>
      </c>
      <c r="AM1469" s="3"/>
      <c r="AN1469" s="3"/>
    </row>
    <row r="1470" spans="1:40" x14ac:dyDescent="0.3">
      <c r="A1470" s="3">
        <v>1464</v>
      </c>
      <c r="B1470" s="3" t="str">
        <f>"1448072"</f>
        <v>1448072</v>
      </c>
      <c r="C1470" s="3">
        <v>37788</v>
      </c>
      <c r="D1470" s="3" t="s">
        <v>5763</v>
      </c>
      <c r="E1470" s="3">
        <v>20100366747</v>
      </c>
      <c r="F1470" s="3" t="s">
        <v>258</v>
      </c>
      <c r="G1470" s="3" t="s">
        <v>1055</v>
      </c>
      <c r="H1470" s="3" t="s">
        <v>56</v>
      </c>
      <c r="I1470" s="3" t="s">
        <v>56</v>
      </c>
      <c r="J1470" s="3" t="s">
        <v>185</v>
      </c>
      <c r="K1470" s="3" t="s">
        <v>5764</v>
      </c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 t="s">
        <v>52</v>
      </c>
      <c r="AL1470" s="4">
        <v>38006</v>
      </c>
      <c r="AM1470" s="3"/>
      <c r="AN1470" s="3"/>
    </row>
    <row r="1471" spans="1:40" x14ac:dyDescent="0.3">
      <c r="A1471" s="3">
        <v>1465</v>
      </c>
      <c r="B1471" s="3" t="str">
        <f>"1614426"</f>
        <v>1614426</v>
      </c>
      <c r="C1471" s="3">
        <v>37543</v>
      </c>
      <c r="D1471" s="3" t="s">
        <v>5765</v>
      </c>
      <c r="E1471" s="3">
        <v>10160141188</v>
      </c>
      <c r="F1471" s="3" t="s">
        <v>5766</v>
      </c>
      <c r="G1471" s="3" t="s">
        <v>5767</v>
      </c>
      <c r="H1471" s="3" t="s">
        <v>56</v>
      </c>
      <c r="I1471" s="3" t="s">
        <v>1869</v>
      </c>
      <c r="J1471" s="3" t="s">
        <v>1869</v>
      </c>
      <c r="K1471" s="3" t="s">
        <v>5768</v>
      </c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 t="s">
        <v>81</v>
      </c>
      <c r="AL1471" s="4">
        <v>38964</v>
      </c>
      <c r="AM1471" s="3"/>
      <c r="AN1471" s="3"/>
    </row>
    <row r="1472" spans="1:40" x14ac:dyDescent="0.3">
      <c r="A1472" s="3">
        <v>1466</v>
      </c>
      <c r="B1472" s="3" t="str">
        <f>"201600093813"</f>
        <v>201600093813</v>
      </c>
      <c r="C1472" s="3">
        <v>106027</v>
      </c>
      <c r="D1472" s="3" t="s">
        <v>5769</v>
      </c>
      <c r="E1472" s="3">
        <v>20100366747</v>
      </c>
      <c r="F1472" s="3" t="s">
        <v>334</v>
      </c>
      <c r="G1472" s="3" t="s">
        <v>451</v>
      </c>
      <c r="H1472" s="3" t="s">
        <v>56</v>
      </c>
      <c r="I1472" s="3" t="s">
        <v>56</v>
      </c>
      <c r="J1472" s="3" t="s">
        <v>185</v>
      </c>
      <c r="K1472" s="3" t="s">
        <v>5770</v>
      </c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 t="s">
        <v>579</v>
      </c>
      <c r="AL1472" s="4">
        <v>42555</v>
      </c>
      <c r="AM1472" s="3"/>
      <c r="AN1472" s="3" t="s">
        <v>262</v>
      </c>
    </row>
    <row r="1473" spans="1:40" x14ac:dyDescent="0.3">
      <c r="A1473" s="3">
        <v>1467</v>
      </c>
      <c r="B1473" s="3" t="str">
        <f>"1412563"</f>
        <v>1412563</v>
      </c>
      <c r="C1473" s="3">
        <v>34050</v>
      </c>
      <c r="D1473" s="3" t="s">
        <v>5771</v>
      </c>
      <c r="E1473" s="3">
        <v>10068734768</v>
      </c>
      <c r="F1473" s="3" t="s">
        <v>5772</v>
      </c>
      <c r="G1473" s="3" t="s">
        <v>5773</v>
      </c>
      <c r="H1473" s="3" t="s">
        <v>75</v>
      </c>
      <c r="I1473" s="3" t="s">
        <v>75</v>
      </c>
      <c r="J1473" s="3" t="s">
        <v>76</v>
      </c>
      <c r="K1473" s="3" t="s">
        <v>5774</v>
      </c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 t="s">
        <v>546</v>
      </c>
      <c r="AL1473" s="4">
        <v>37768</v>
      </c>
      <c r="AM1473" s="3"/>
      <c r="AN1473" s="3"/>
    </row>
    <row r="1474" spans="1:40" x14ac:dyDescent="0.3">
      <c r="A1474" s="3">
        <v>1468</v>
      </c>
      <c r="B1474" s="3" t="str">
        <f>"201600137537"</f>
        <v>201600137537</v>
      </c>
      <c r="C1474" s="3">
        <v>92553</v>
      </c>
      <c r="D1474" s="3" t="s">
        <v>5775</v>
      </c>
      <c r="E1474" s="3">
        <v>20100366747</v>
      </c>
      <c r="F1474" s="3" t="s">
        <v>258</v>
      </c>
      <c r="G1474" s="3" t="s">
        <v>451</v>
      </c>
      <c r="H1474" s="3" t="s">
        <v>56</v>
      </c>
      <c r="I1474" s="3" t="s">
        <v>56</v>
      </c>
      <c r="J1474" s="3" t="s">
        <v>185</v>
      </c>
      <c r="K1474" s="3" t="s">
        <v>5776</v>
      </c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 t="s">
        <v>1297</v>
      </c>
      <c r="AL1474" s="4">
        <v>42655</v>
      </c>
      <c r="AM1474" s="3"/>
      <c r="AN1474" s="3" t="s">
        <v>3808</v>
      </c>
    </row>
    <row r="1475" spans="1:40" x14ac:dyDescent="0.3">
      <c r="A1475" s="3">
        <v>1469</v>
      </c>
      <c r="B1475" s="3" t="str">
        <f>"201200033735"</f>
        <v>201200033735</v>
      </c>
      <c r="C1475" s="3">
        <v>96129</v>
      </c>
      <c r="D1475" s="3" t="s">
        <v>5777</v>
      </c>
      <c r="E1475" s="3">
        <v>10244832437</v>
      </c>
      <c r="F1475" s="3" t="s">
        <v>5778</v>
      </c>
      <c r="G1475" s="3" t="s">
        <v>5779</v>
      </c>
      <c r="H1475" s="3" t="s">
        <v>446</v>
      </c>
      <c r="I1475" s="3" t="s">
        <v>446</v>
      </c>
      <c r="J1475" s="3" t="s">
        <v>1144</v>
      </c>
      <c r="K1475" s="3" t="s">
        <v>5780</v>
      </c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 t="s">
        <v>4482</v>
      </c>
      <c r="AL1475" s="4">
        <v>40991</v>
      </c>
      <c r="AM1475" s="3"/>
      <c r="AN1475" s="3" t="s">
        <v>5778</v>
      </c>
    </row>
    <row r="1476" spans="1:40" x14ac:dyDescent="0.3">
      <c r="A1476" s="3">
        <v>1470</v>
      </c>
      <c r="B1476" s="3" t="str">
        <f>"201600137531"</f>
        <v>201600137531</v>
      </c>
      <c r="C1476" s="3">
        <v>96328</v>
      </c>
      <c r="D1476" s="3" t="s">
        <v>5781</v>
      </c>
      <c r="E1476" s="3">
        <v>20100366747</v>
      </c>
      <c r="F1476" s="3" t="s">
        <v>258</v>
      </c>
      <c r="G1476" s="3" t="s">
        <v>451</v>
      </c>
      <c r="H1476" s="3" t="s">
        <v>56</v>
      </c>
      <c r="I1476" s="3" t="s">
        <v>56</v>
      </c>
      <c r="J1476" s="3" t="s">
        <v>185</v>
      </c>
      <c r="K1476" s="3" t="s">
        <v>5782</v>
      </c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 t="s">
        <v>5783</v>
      </c>
      <c r="AL1476" s="4">
        <v>42655</v>
      </c>
      <c r="AM1476" s="3"/>
      <c r="AN1476" s="3" t="s">
        <v>3808</v>
      </c>
    </row>
    <row r="1477" spans="1:40" ht="27.95" x14ac:dyDescent="0.3">
      <c r="A1477" s="3">
        <v>1471</v>
      </c>
      <c r="B1477" s="3" t="str">
        <f>"201600019892"</f>
        <v>201600019892</v>
      </c>
      <c r="C1477" s="3">
        <v>119893</v>
      </c>
      <c r="D1477" s="3" t="s">
        <v>5784</v>
      </c>
      <c r="E1477" s="3">
        <v>20510139136</v>
      </c>
      <c r="F1477" s="3" t="s">
        <v>5739</v>
      </c>
      <c r="G1477" s="3" t="s">
        <v>5785</v>
      </c>
      <c r="H1477" s="3" t="s">
        <v>56</v>
      </c>
      <c r="I1477" s="3" t="s">
        <v>56</v>
      </c>
      <c r="J1477" s="3" t="s">
        <v>56</v>
      </c>
      <c r="K1477" s="3" t="s">
        <v>5786</v>
      </c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 t="s">
        <v>81</v>
      </c>
      <c r="AL1477" s="4">
        <v>42415</v>
      </c>
      <c r="AM1477" s="3"/>
      <c r="AN1477" s="3" t="s">
        <v>5742</v>
      </c>
    </row>
    <row r="1478" spans="1:40" x14ac:dyDescent="0.3">
      <c r="A1478" s="3">
        <v>1472</v>
      </c>
      <c r="B1478" s="3" t="str">
        <f>"1448076"</f>
        <v>1448076</v>
      </c>
      <c r="C1478" s="3">
        <v>37846</v>
      </c>
      <c r="D1478" s="3" t="s">
        <v>5787</v>
      </c>
      <c r="E1478" s="3">
        <v>20100366747</v>
      </c>
      <c r="F1478" s="3" t="s">
        <v>258</v>
      </c>
      <c r="G1478" s="3" t="s">
        <v>1055</v>
      </c>
      <c r="H1478" s="3" t="s">
        <v>56</v>
      </c>
      <c r="I1478" s="3" t="s">
        <v>56</v>
      </c>
      <c r="J1478" s="3" t="s">
        <v>185</v>
      </c>
      <c r="K1478" s="3" t="s">
        <v>5788</v>
      </c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 t="s">
        <v>5789</v>
      </c>
      <c r="AL1478" s="4">
        <v>38006</v>
      </c>
      <c r="AM1478" s="3"/>
      <c r="AN1478" s="3"/>
    </row>
    <row r="1479" spans="1:40" x14ac:dyDescent="0.3">
      <c r="A1479" s="3">
        <v>1473</v>
      </c>
      <c r="B1479" s="3" t="str">
        <f>"1250490"</f>
        <v>1250490</v>
      </c>
      <c r="C1479" s="3">
        <v>16377</v>
      </c>
      <c r="D1479" s="3">
        <v>1250490</v>
      </c>
      <c r="E1479" s="3">
        <v>10273667763</v>
      </c>
      <c r="F1479" s="3" t="s">
        <v>2625</v>
      </c>
      <c r="G1479" s="3" t="s">
        <v>5790</v>
      </c>
      <c r="H1479" s="3" t="s">
        <v>318</v>
      </c>
      <c r="I1479" s="3" t="s">
        <v>319</v>
      </c>
      <c r="J1479" s="3" t="s">
        <v>495</v>
      </c>
      <c r="K1479" s="3" t="s">
        <v>5791</v>
      </c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 t="s">
        <v>218</v>
      </c>
      <c r="AL1479" s="4">
        <v>36396</v>
      </c>
      <c r="AM1479" s="3"/>
      <c r="AN1479" s="3"/>
    </row>
    <row r="1480" spans="1:40" x14ac:dyDescent="0.3">
      <c r="A1480" s="3">
        <v>1474</v>
      </c>
      <c r="B1480" s="3" t="str">
        <f>"1866566"</f>
        <v>1866566</v>
      </c>
      <c r="C1480" s="3">
        <v>82891</v>
      </c>
      <c r="D1480" s="3" t="s">
        <v>5792</v>
      </c>
      <c r="E1480" s="3">
        <v>20208713265</v>
      </c>
      <c r="F1480" s="3" t="s">
        <v>5793</v>
      </c>
      <c r="G1480" s="3" t="s">
        <v>5794</v>
      </c>
      <c r="H1480" s="3" t="s">
        <v>56</v>
      </c>
      <c r="I1480" s="3" t="s">
        <v>56</v>
      </c>
      <c r="J1480" s="3" t="s">
        <v>57</v>
      </c>
      <c r="K1480" s="3" t="s">
        <v>5795</v>
      </c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 t="s">
        <v>602</v>
      </c>
      <c r="AL1480" s="4">
        <v>39883</v>
      </c>
      <c r="AM1480" s="3"/>
      <c r="AN1480" s="3"/>
    </row>
    <row r="1481" spans="1:40" x14ac:dyDescent="0.3">
      <c r="A1481" s="3">
        <v>1475</v>
      </c>
      <c r="B1481" s="3" t="str">
        <f>"1153417"</f>
        <v>1153417</v>
      </c>
      <c r="C1481" s="3">
        <v>3642</v>
      </c>
      <c r="D1481" s="3">
        <v>1153417</v>
      </c>
      <c r="E1481" s="3">
        <v>20133051024</v>
      </c>
      <c r="F1481" s="3" t="s">
        <v>5796</v>
      </c>
      <c r="G1481" s="3" t="s">
        <v>5797</v>
      </c>
      <c r="H1481" s="3" t="s">
        <v>56</v>
      </c>
      <c r="I1481" s="3" t="s">
        <v>1869</v>
      </c>
      <c r="J1481" s="3" t="s">
        <v>1873</v>
      </c>
      <c r="K1481" s="3" t="s">
        <v>5798</v>
      </c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 t="s">
        <v>634</v>
      </c>
      <c r="AL1481" s="4">
        <v>35680</v>
      </c>
      <c r="AM1481" s="3"/>
      <c r="AN1481" s="3"/>
    </row>
    <row r="1482" spans="1:40" ht="27.95" x14ac:dyDescent="0.3">
      <c r="A1482" s="3">
        <v>1476</v>
      </c>
      <c r="B1482" s="3" t="str">
        <f>"202000019063"</f>
        <v>202000019063</v>
      </c>
      <c r="C1482" s="3">
        <v>149071</v>
      </c>
      <c r="D1482" s="3" t="s">
        <v>5799</v>
      </c>
      <c r="E1482" s="3">
        <v>20605414541</v>
      </c>
      <c r="F1482" s="3" t="s">
        <v>5800</v>
      </c>
      <c r="G1482" s="3" t="s">
        <v>5801</v>
      </c>
      <c r="H1482" s="3" t="s">
        <v>237</v>
      </c>
      <c r="I1482" s="3" t="s">
        <v>868</v>
      </c>
      <c r="J1482" s="3" t="s">
        <v>2537</v>
      </c>
      <c r="K1482" s="3" t="s">
        <v>5802</v>
      </c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 t="s">
        <v>915</v>
      </c>
      <c r="AL1482" s="4">
        <v>43865</v>
      </c>
      <c r="AM1482" s="3"/>
      <c r="AN1482" s="3" t="s">
        <v>5803</v>
      </c>
    </row>
    <row r="1483" spans="1:40" ht="27.95" x14ac:dyDescent="0.3">
      <c r="A1483" s="3">
        <v>1477</v>
      </c>
      <c r="B1483" s="3" t="str">
        <f>"201200213466"</f>
        <v>201200213466</v>
      </c>
      <c r="C1483" s="3">
        <v>99591</v>
      </c>
      <c r="D1483" s="3" t="s">
        <v>5804</v>
      </c>
      <c r="E1483" s="3">
        <v>10266828395</v>
      </c>
      <c r="F1483" s="3" t="s">
        <v>5805</v>
      </c>
      <c r="G1483" s="3" t="s">
        <v>5806</v>
      </c>
      <c r="H1483" s="3" t="s">
        <v>357</v>
      </c>
      <c r="I1483" s="3" t="s">
        <v>357</v>
      </c>
      <c r="J1483" s="3" t="s">
        <v>357</v>
      </c>
      <c r="K1483" s="3" t="s">
        <v>5807</v>
      </c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 t="s">
        <v>2508</v>
      </c>
      <c r="AL1483" s="4">
        <v>41250</v>
      </c>
      <c r="AM1483" s="3"/>
      <c r="AN1483" s="3" t="s">
        <v>5805</v>
      </c>
    </row>
    <row r="1484" spans="1:40" ht="27.95" x14ac:dyDescent="0.3">
      <c r="A1484" s="3">
        <v>1478</v>
      </c>
      <c r="B1484" s="3" t="str">
        <f>"201800169173"</f>
        <v>201800169173</v>
      </c>
      <c r="C1484" s="3">
        <v>139067</v>
      </c>
      <c r="D1484" s="3" t="s">
        <v>5808</v>
      </c>
      <c r="E1484" s="3">
        <v>20455751528</v>
      </c>
      <c r="F1484" s="3" t="s">
        <v>142</v>
      </c>
      <c r="G1484" s="3" t="s">
        <v>5809</v>
      </c>
      <c r="H1484" s="3" t="s">
        <v>97</v>
      </c>
      <c r="I1484" s="3" t="s">
        <v>97</v>
      </c>
      <c r="J1484" s="3" t="s">
        <v>144</v>
      </c>
      <c r="K1484" s="3" t="s">
        <v>5810</v>
      </c>
      <c r="L1484" s="3" t="s">
        <v>5811</v>
      </c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 t="s">
        <v>2281</v>
      </c>
      <c r="AL1484" s="4">
        <v>43388</v>
      </c>
      <c r="AM1484" s="3"/>
      <c r="AN1484" s="3" t="s">
        <v>1333</v>
      </c>
    </row>
    <row r="1485" spans="1:40" ht="27.95" x14ac:dyDescent="0.3">
      <c r="A1485" s="3">
        <v>1479</v>
      </c>
      <c r="B1485" s="3" t="str">
        <f>"201800169172"</f>
        <v>201800169172</v>
      </c>
      <c r="C1485" s="3">
        <v>139070</v>
      </c>
      <c r="D1485" s="3" t="s">
        <v>5812</v>
      </c>
      <c r="E1485" s="3">
        <v>20455751528</v>
      </c>
      <c r="F1485" s="3" t="s">
        <v>142</v>
      </c>
      <c r="G1485" s="3" t="s">
        <v>5813</v>
      </c>
      <c r="H1485" s="3" t="s">
        <v>97</v>
      </c>
      <c r="I1485" s="3" t="s">
        <v>97</v>
      </c>
      <c r="J1485" s="3" t="s">
        <v>144</v>
      </c>
      <c r="K1485" s="3" t="s">
        <v>3802</v>
      </c>
      <c r="L1485" s="3" t="s">
        <v>3751</v>
      </c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 t="s">
        <v>2281</v>
      </c>
      <c r="AL1485" s="4">
        <v>43388</v>
      </c>
      <c r="AM1485" s="3"/>
      <c r="AN1485" s="3" t="s">
        <v>151</v>
      </c>
    </row>
    <row r="1486" spans="1:40" x14ac:dyDescent="0.3">
      <c r="A1486" s="3">
        <v>1480</v>
      </c>
      <c r="B1486" s="3" t="str">
        <f>"1461895"</f>
        <v>1461895</v>
      </c>
      <c r="C1486" s="3">
        <v>37291</v>
      </c>
      <c r="D1486" s="3" t="s">
        <v>5814</v>
      </c>
      <c r="E1486" s="3">
        <v>20100366747</v>
      </c>
      <c r="F1486" s="3" t="s">
        <v>258</v>
      </c>
      <c r="G1486" s="3" t="s">
        <v>5815</v>
      </c>
      <c r="H1486" s="3" t="s">
        <v>97</v>
      </c>
      <c r="I1486" s="3" t="s">
        <v>97</v>
      </c>
      <c r="J1486" s="3" t="s">
        <v>105</v>
      </c>
      <c r="K1486" s="3" t="s">
        <v>5816</v>
      </c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 t="s">
        <v>81</v>
      </c>
      <c r="AL1486" s="4">
        <v>38065</v>
      </c>
      <c r="AM1486" s="3"/>
      <c r="AN1486" s="3"/>
    </row>
    <row r="1487" spans="1:40" x14ac:dyDescent="0.3">
      <c r="A1487" s="3">
        <v>1481</v>
      </c>
      <c r="B1487" s="3" t="str">
        <f>"201800151621"</f>
        <v>201800151621</v>
      </c>
      <c r="C1487" s="3">
        <v>138570</v>
      </c>
      <c r="D1487" s="3" t="s">
        <v>5817</v>
      </c>
      <c r="E1487" s="3">
        <v>20451294891</v>
      </c>
      <c r="F1487" s="3" t="s">
        <v>5818</v>
      </c>
      <c r="G1487" s="3" t="s">
        <v>5819</v>
      </c>
      <c r="H1487" s="3" t="s">
        <v>245</v>
      </c>
      <c r="I1487" s="3" t="s">
        <v>246</v>
      </c>
      <c r="J1487" s="3" t="s">
        <v>659</v>
      </c>
      <c r="K1487" s="3" t="s">
        <v>5820</v>
      </c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 t="s">
        <v>157</v>
      </c>
      <c r="AL1487" s="4">
        <v>43360</v>
      </c>
      <c r="AM1487" s="3"/>
      <c r="AN1487" s="3" t="s">
        <v>3466</v>
      </c>
    </row>
    <row r="1488" spans="1:40" x14ac:dyDescent="0.3">
      <c r="A1488" s="3">
        <v>1482</v>
      </c>
      <c r="B1488" s="3" t="str">
        <f>"201600093824"</f>
        <v>201600093824</v>
      </c>
      <c r="C1488" s="3">
        <v>60432</v>
      </c>
      <c r="D1488" s="3" t="s">
        <v>5821</v>
      </c>
      <c r="E1488" s="3">
        <v>20100366747</v>
      </c>
      <c r="F1488" s="3" t="s">
        <v>258</v>
      </c>
      <c r="G1488" s="3" t="s">
        <v>5822</v>
      </c>
      <c r="H1488" s="3" t="s">
        <v>44</v>
      </c>
      <c r="I1488" s="3" t="s">
        <v>45</v>
      </c>
      <c r="J1488" s="3" t="s">
        <v>304</v>
      </c>
      <c r="K1488" s="3" t="s">
        <v>5823</v>
      </c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 t="s">
        <v>5824</v>
      </c>
      <c r="AL1488" s="4">
        <v>42558</v>
      </c>
      <c r="AM1488" s="3"/>
      <c r="AN1488" s="3" t="s">
        <v>262</v>
      </c>
    </row>
    <row r="1489" spans="1:40" ht="27.95" x14ac:dyDescent="0.3">
      <c r="A1489" s="3">
        <v>1483</v>
      </c>
      <c r="B1489" s="3" t="str">
        <f>"202000145721"</f>
        <v>202000145721</v>
      </c>
      <c r="C1489" s="3">
        <v>112695</v>
      </c>
      <c r="D1489" s="3" t="s">
        <v>5825</v>
      </c>
      <c r="E1489" s="3">
        <v>20455486948</v>
      </c>
      <c r="F1489" s="3" t="s">
        <v>1382</v>
      </c>
      <c r="G1489" s="3" t="s">
        <v>1383</v>
      </c>
      <c r="H1489" s="3" t="s">
        <v>97</v>
      </c>
      <c r="I1489" s="3" t="s">
        <v>97</v>
      </c>
      <c r="J1489" s="3" t="s">
        <v>144</v>
      </c>
      <c r="K1489" s="3" t="s">
        <v>5826</v>
      </c>
      <c r="L1489" s="3" t="s">
        <v>1385</v>
      </c>
      <c r="M1489" s="3" t="s">
        <v>1386</v>
      </c>
      <c r="N1489" s="3" t="s">
        <v>5420</v>
      </c>
      <c r="O1489" s="3" t="s">
        <v>5827</v>
      </c>
      <c r="P1489" s="3" t="s">
        <v>1387</v>
      </c>
      <c r="Q1489" s="3" t="s">
        <v>1388</v>
      </c>
      <c r="R1489" s="3" t="s">
        <v>1389</v>
      </c>
      <c r="S1489" s="3" t="s">
        <v>5828</v>
      </c>
      <c r="T1489" s="3" t="s">
        <v>1391</v>
      </c>
      <c r="U1489" s="3" t="s">
        <v>1392</v>
      </c>
      <c r="V1489" s="3" t="s">
        <v>1394</v>
      </c>
      <c r="W1489" s="3" t="s">
        <v>5829</v>
      </c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 t="s">
        <v>470</v>
      </c>
      <c r="AL1489" s="4">
        <v>44131</v>
      </c>
      <c r="AM1489" s="3"/>
      <c r="AN1489" s="3" t="s">
        <v>1396</v>
      </c>
    </row>
    <row r="1490" spans="1:40" x14ac:dyDescent="0.3">
      <c r="A1490" s="3">
        <v>1484</v>
      </c>
      <c r="B1490" s="3" t="str">
        <f>"1461892"</f>
        <v>1461892</v>
      </c>
      <c r="C1490" s="3">
        <v>37857</v>
      </c>
      <c r="D1490" s="3" t="s">
        <v>5830</v>
      </c>
      <c r="E1490" s="3">
        <v>10306423733</v>
      </c>
      <c r="F1490" s="3" t="s">
        <v>5831</v>
      </c>
      <c r="G1490" s="3" t="s">
        <v>5832</v>
      </c>
      <c r="H1490" s="3" t="s">
        <v>97</v>
      </c>
      <c r="I1490" s="3" t="s">
        <v>208</v>
      </c>
      <c r="J1490" s="3" t="s">
        <v>209</v>
      </c>
      <c r="K1490" s="3" t="s">
        <v>5833</v>
      </c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 t="s">
        <v>2898</v>
      </c>
      <c r="AL1490" s="4">
        <v>38071</v>
      </c>
      <c r="AM1490" s="3"/>
      <c r="AN1490" s="3"/>
    </row>
    <row r="1491" spans="1:40" x14ac:dyDescent="0.3">
      <c r="A1491" s="3">
        <v>1485</v>
      </c>
      <c r="B1491" s="3" t="str">
        <f>"1461065"</f>
        <v>1461065</v>
      </c>
      <c r="C1491" s="3">
        <v>36853</v>
      </c>
      <c r="D1491" s="3" t="s">
        <v>5834</v>
      </c>
      <c r="E1491" s="3">
        <v>10282499555</v>
      </c>
      <c r="F1491" s="3" t="s">
        <v>5835</v>
      </c>
      <c r="G1491" s="3" t="s">
        <v>5836</v>
      </c>
      <c r="H1491" s="3" t="s">
        <v>386</v>
      </c>
      <c r="I1491" s="3" t="s">
        <v>387</v>
      </c>
      <c r="J1491" s="3" t="s">
        <v>386</v>
      </c>
      <c r="K1491" s="3" t="s">
        <v>5837</v>
      </c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 t="s">
        <v>81</v>
      </c>
      <c r="AL1491" s="4">
        <v>38062</v>
      </c>
      <c r="AM1491" s="3"/>
      <c r="AN1491" s="3"/>
    </row>
    <row r="1492" spans="1:40" x14ac:dyDescent="0.3">
      <c r="A1492" s="3">
        <v>1486</v>
      </c>
      <c r="B1492" s="3" t="str">
        <f>"1714893"</f>
        <v>1714893</v>
      </c>
      <c r="C1492" s="3">
        <v>45098</v>
      </c>
      <c r="D1492" s="3" t="s">
        <v>5838</v>
      </c>
      <c r="E1492" s="3">
        <v>10087126124</v>
      </c>
      <c r="F1492" s="3" t="s">
        <v>200</v>
      </c>
      <c r="G1492" s="3" t="s">
        <v>5839</v>
      </c>
      <c r="H1492" s="3" t="s">
        <v>202</v>
      </c>
      <c r="I1492" s="3" t="s">
        <v>202</v>
      </c>
      <c r="J1492" s="3" t="s">
        <v>2952</v>
      </c>
      <c r="K1492" s="3" t="s">
        <v>5840</v>
      </c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 t="s">
        <v>525</v>
      </c>
      <c r="AL1492" s="4">
        <v>39314</v>
      </c>
      <c r="AM1492" s="3"/>
      <c r="AN1492" s="3"/>
    </row>
    <row r="1493" spans="1:40" x14ac:dyDescent="0.3">
      <c r="A1493" s="3">
        <v>1487</v>
      </c>
      <c r="B1493" s="3" t="str">
        <f>"1400192"</f>
        <v>1400192</v>
      </c>
      <c r="C1493" s="3">
        <v>88129</v>
      </c>
      <c r="D1493" s="3" t="s">
        <v>5841</v>
      </c>
      <c r="E1493" s="3">
        <v>20455555001</v>
      </c>
      <c r="F1493" s="3" t="s">
        <v>5842</v>
      </c>
      <c r="G1493" s="3" t="s">
        <v>5843</v>
      </c>
      <c r="H1493" s="3" t="s">
        <v>97</v>
      </c>
      <c r="I1493" s="3" t="s">
        <v>97</v>
      </c>
      <c r="J1493" s="3" t="s">
        <v>97</v>
      </c>
      <c r="K1493" s="3" t="s">
        <v>5844</v>
      </c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 t="s">
        <v>192</v>
      </c>
      <c r="AL1493" s="4">
        <v>40415</v>
      </c>
      <c r="AM1493" s="3"/>
      <c r="AN1493" s="3" t="s">
        <v>5845</v>
      </c>
    </row>
    <row r="1494" spans="1:40" ht="27.95" x14ac:dyDescent="0.3">
      <c r="A1494" s="3">
        <v>1488</v>
      </c>
      <c r="B1494" s="3" t="str">
        <f>"1406752"</f>
        <v>1406752</v>
      </c>
      <c r="C1494" s="3">
        <v>42604</v>
      </c>
      <c r="D1494" s="3" t="s">
        <v>5846</v>
      </c>
      <c r="E1494" s="3">
        <v>10181428282</v>
      </c>
      <c r="F1494" s="3" t="s">
        <v>5847</v>
      </c>
      <c r="G1494" s="3" t="s">
        <v>5848</v>
      </c>
      <c r="H1494" s="3" t="s">
        <v>44</v>
      </c>
      <c r="I1494" s="3" t="s">
        <v>45</v>
      </c>
      <c r="J1494" s="3" t="s">
        <v>726</v>
      </c>
      <c r="K1494" s="3" t="s">
        <v>5849</v>
      </c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 t="s">
        <v>81</v>
      </c>
      <c r="AL1494" s="4">
        <v>37708</v>
      </c>
      <c r="AM1494" s="3"/>
      <c r="AN1494" s="3"/>
    </row>
    <row r="1495" spans="1:40" x14ac:dyDescent="0.3">
      <c r="A1495" s="3">
        <v>1489</v>
      </c>
      <c r="B1495" s="3" t="str">
        <f>"1419803"</f>
        <v>1419803</v>
      </c>
      <c r="C1495" s="3">
        <v>13884</v>
      </c>
      <c r="D1495" s="3" t="s">
        <v>5850</v>
      </c>
      <c r="E1495" s="3">
        <v>10411746823</v>
      </c>
      <c r="F1495" s="3" t="s">
        <v>5851</v>
      </c>
      <c r="G1495" s="3" t="s">
        <v>5852</v>
      </c>
      <c r="H1495" s="3" t="s">
        <v>202</v>
      </c>
      <c r="I1495" s="3" t="s">
        <v>202</v>
      </c>
      <c r="J1495" s="3" t="s">
        <v>202</v>
      </c>
      <c r="K1495" s="3" t="s">
        <v>5853</v>
      </c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 t="s">
        <v>634</v>
      </c>
      <c r="AL1495" s="4">
        <v>37811</v>
      </c>
      <c r="AM1495" s="3"/>
      <c r="AN1495" s="3"/>
    </row>
    <row r="1496" spans="1:40" x14ac:dyDescent="0.3">
      <c r="A1496" s="3">
        <v>1490</v>
      </c>
      <c r="B1496" s="3" t="str">
        <f>"1159252"</f>
        <v>1159252</v>
      </c>
      <c r="C1496" s="3">
        <v>6136</v>
      </c>
      <c r="D1496" s="3">
        <v>1159252</v>
      </c>
      <c r="E1496" s="3">
        <v>20510740760</v>
      </c>
      <c r="F1496" s="3" t="s">
        <v>3495</v>
      </c>
      <c r="G1496" s="3" t="s">
        <v>3496</v>
      </c>
      <c r="H1496" s="3" t="s">
        <v>56</v>
      </c>
      <c r="I1496" s="3" t="s">
        <v>56</v>
      </c>
      <c r="J1496" s="3" t="s">
        <v>432</v>
      </c>
      <c r="K1496" s="3" t="s">
        <v>5854</v>
      </c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 t="s">
        <v>842</v>
      </c>
      <c r="AL1496" s="4">
        <v>35751</v>
      </c>
      <c r="AM1496" s="3"/>
      <c r="AN1496" s="3"/>
    </row>
    <row r="1497" spans="1:40" x14ac:dyDescent="0.3">
      <c r="A1497" s="3">
        <v>1491</v>
      </c>
      <c r="B1497" s="3" t="str">
        <f>"1512444"</f>
        <v>1512444</v>
      </c>
      <c r="C1497" s="3">
        <v>94624</v>
      </c>
      <c r="D1497" s="3" t="s">
        <v>5855</v>
      </c>
      <c r="E1497" s="3">
        <v>10028473988</v>
      </c>
      <c r="F1497" s="3" t="s">
        <v>5856</v>
      </c>
      <c r="G1497" s="3" t="s">
        <v>5857</v>
      </c>
      <c r="H1497" s="3" t="s">
        <v>50</v>
      </c>
      <c r="I1497" s="3" t="s">
        <v>50</v>
      </c>
      <c r="J1497" s="3" t="s">
        <v>50</v>
      </c>
      <c r="K1497" s="3" t="s">
        <v>5858</v>
      </c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 t="s">
        <v>2207</v>
      </c>
      <c r="AL1497" s="4">
        <v>40861</v>
      </c>
      <c r="AM1497" s="3"/>
      <c r="AN1497" s="3" t="s">
        <v>5856</v>
      </c>
    </row>
    <row r="1498" spans="1:40" x14ac:dyDescent="0.3">
      <c r="A1498" s="3">
        <v>1492</v>
      </c>
      <c r="B1498" s="3" t="str">
        <f>"201800199142"</f>
        <v>201800199142</v>
      </c>
      <c r="C1498" s="3">
        <v>140068</v>
      </c>
      <c r="D1498" s="3" t="s">
        <v>5859</v>
      </c>
      <c r="E1498" s="3">
        <v>20393248654</v>
      </c>
      <c r="F1498" s="3" t="s">
        <v>5860</v>
      </c>
      <c r="G1498" s="3" t="s">
        <v>5861</v>
      </c>
      <c r="H1498" s="3" t="s">
        <v>395</v>
      </c>
      <c r="I1498" s="3" t="s">
        <v>396</v>
      </c>
      <c r="J1498" s="3" t="s">
        <v>490</v>
      </c>
      <c r="K1498" s="3" t="s">
        <v>5862</v>
      </c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 t="s">
        <v>1151</v>
      </c>
      <c r="AL1498" s="4">
        <v>43437</v>
      </c>
      <c r="AM1498" s="3"/>
      <c r="AN1498" s="3" t="s">
        <v>1152</v>
      </c>
    </row>
    <row r="1499" spans="1:40" x14ac:dyDescent="0.3">
      <c r="A1499" s="3">
        <v>1493</v>
      </c>
      <c r="B1499" s="3" t="str">
        <f>"1314580"</f>
        <v>1314580</v>
      </c>
      <c r="C1499" s="3">
        <v>20633</v>
      </c>
      <c r="D1499" s="3" t="s">
        <v>5863</v>
      </c>
      <c r="E1499" s="3">
        <v>20257364438</v>
      </c>
      <c r="F1499" s="3" t="s">
        <v>3192</v>
      </c>
      <c r="G1499" s="3" t="s">
        <v>3193</v>
      </c>
      <c r="H1499" s="3" t="s">
        <v>56</v>
      </c>
      <c r="I1499" s="3" t="s">
        <v>56</v>
      </c>
      <c r="J1499" s="3" t="s">
        <v>715</v>
      </c>
      <c r="K1499" s="3" t="s">
        <v>5864</v>
      </c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 t="s">
        <v>187</v>
      </c>
      <c r="AL1499" s="4">
        <v>36973</v>
      </c>
      <c r="AM1499" s="3"/>
      <c r="AN1499" s="3"/>
    </row>
    <row r="1500" spans="1:40" x14ac:dyDescent="0.3">
      <c r="A1500" s="3">
        <v>1494</v>
      </c>
      <c r="B1500" s="3" t="str">
        <f>"1314581"</f>
        <v>1314581</v>
      </c>
      <c r="C1500" s="3">
        <v>20634</v>
      </c>
      <c r="D1500" s="3" t="s">
        <v>5865</v>
      </c>
      <c r="E1500" s="3">
        <v>20257364438</v>
      </c>
      <c r="F1500" s="3" t="s">
        <v>3192</v>
      </c>
      <c r="G1500" s="3" t="s">
        <v>3193</v>
      </c>
      <c r="H1500" s="3" t="s">
        <v>56</v>
      </c>
      <c r="I1500" s="3" t="s">
        <v>56</v>
      </c>
      <c r="J1500" s="3" t="s">
        <v>715</v>
      </c>
      <c r="K1500" s="3" t="s">
        <v>5866</v>
      </c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 t="s">
        <v>187</v>
      </c>
      <c r="AL1500" s="4">
        <v>36973</v>
      </c>
      <c r="AM1500" s="3"/>
      <c r="AN1500" s="3"/>
    </row>
    <row r="1501" spans="1:40" x14ac:dyDescent="0.3">
      <c r="A1501" s="3">
        <v>1495</v>
      </c>
      <c r="B1501" s="3" t="str">
        <f>"1314582"</f>
        <v>1314582</v>
      </c>
      <c r="C1501" s="3">
        <v>20635</v>
      </c>
      <c r="D1501" s="3" t="s">
        <v>5867</v>
      </c>
      <c r="E1501" s="3">
        <v>20257364438</v>
      </c>
      <c r="F1501" s="3" t="s">
        <v>3192</v>
      </c>
      <c r="G1501" s="3" t="s">
        <v>3193</v>
      </c>
      <c r="H1501" s="3" t="s">
        <v>56</v>
      </c>
      <c r="I1501" s="3" t="s">
        <v>56</v>
      </c>
      <c r="J1501" s="3" t="s">
        <v>715</v>
      </c>
      <c r="K1501" s="3" t="s">
        <v>5868</v>
      </c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 t="s">
        <v>187</v>
      </c>
      <c r="AL1501" s="4">
        <v>36973</v>
      </c>
      <c r="AM1501" s="3"/>
      <c r="AN1501" s="3"/>
    </row>
    <row r="1502" spans="1:40" x14ac:dyDescent="0.3">
      <c r="A1502" s="3">
        <v>1496</v>
      </c>
      <c r="B1502" s="3" t="str">
        <f>"201200051937"</f>
        <v>201200051937</v>
      </c>
      <c r="C1502" s="3">
        <v>33380</v>
      </c>
      <c r="D1502" s="3" t="s">
        <v>5869</v>
      </c>
      <c r="E1502" s="3">
        <v>20100873681</v>
      </c>
      <c r="F1502" s="3" t="s">
        <v>1241</v>
      </c>
      <c r="G1502" s="3" t="s">
        <v>1047</v>
      </c>
      <c r="H1502" s="3" t="s">
        <v>56</v>
      </c>
      <c r="I1502" s="3" t="s">
        <v>56</v>
      </c>
      <c r="J1502" s="3" t="s">
        <v>715</v>
      </c>
      <c r="K1502" s="3" t="s">
        <v>5870</v>
      </c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 t="s">
        <v>5871</v>
      </c>
      <c r="AL1502" s="4">
        <v>41011</v>
      </c>
      <c r="AM1502" s="3"/>
      <c r="AN1502" s="3" t="s">
        <v>5872</v>
      </c>
    </row>
    <row r="1503" spans="1:40" ht="27.95" x14ac:dyDescent="0.3">
      <c r="A1503" s="3">
        <v>1497</v>
      </c>
      <c r="B1503" s="3" t="str">
        <f>"1484887"</f>
        <v>1484887</v>
      </c>
      <c r="C1503" s="3">
        <v>37783</v>
      </c>
      <c r="D1503" s="3" t="s">
        <v>5873</v>
      </c>
      <c r="E1503" s="3">
        <v>10282695435</v>
      </c>
      <c r="F1503" s="3" t="s">
        <v>5874</v>
      </c>
      <c r="G1503" s="3" t="s">
        <v>5875</v>
      </c>
      <c r="H1503" s="3" t="s">
        <v>386</v>
      </c>
      <c r="I1503" s="3" t="s">
        <v>5876</v>
      </c>
      <c r="J1503" s="3" t="s">
        <v>5877</v>
      </c>
      <c r="K1503" s="3" t="s">
        <v>5878</v>
      </c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 t="s">
        <v>5228</v>
      </c>
      <c r="AL1503" s="4">
        <v>38185</v>
      </c>
      <c r="AM1503" s="3"/>
      <c r="AN1503" s="3"/>
    </row>
    <row r="1504" spans="1:40" x14ac:dyDescent="0.3">
      <c r="A1504" s="3">
        <v>1498</v>
      </c>
      <c r="B1504" s="3" t="str">
        <f>"202000011962"</f>
        <v>202000011962</v>
      </c>
      <c r="C1504" s="3">
        <v>148870</v>
      </c>
      <c r="D1504" s="3" t="s">
        <v>5879</v>
      </c>
      <c r="E1504" s="3">
        <v>10106438345</v>
      </c>
      <c r="F1504" s="3" t="s">
        <v>5880</v>
      </c>
      <c r="G1504" s="3" t="s">
        <v>5881</v>
      </c>
      <c r="H1504" s="3" t="s">
        <v>97</v>
      </c>
      <c r="I1504" s="3" t="s">
        <v>1436</v>
      </c>
      <c r="J1504" s="3" t="s">
        <v>1437</v>
      </c>
      <c r="K1504" s="3" t="s">
        <v>5882</v>
      </c>
      <c r="L1504" s="3" t="s">
        <v>5883</v>
      </c>
      <c r="M1504" s="3" t="s">
        <v>5884</v>
      </c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 t="s">
        <v>2281</v>
      </c>
      <c r="AL1504" s="4">
        <v>43857</v>
      </c>
      <c r="AM1504" s="3"/>
      <c r="AN1504" s="3" t="s">
        <v>5885</v>
      </c>
    </row>
    <row r="1505" spans="1:40" x14ac:dyDescent="0.3">
      <c r="A1505" s="3">
        <v>1499</v>
      </c>
      <c r="B1505" s="3" t="str">
        <f>"1372053"</f>
        <v>1372053</v>
      </c>
      <c r="C1505" s="3">
        <v>86994</v>
      </c>
      <c r="D1505" s="3" t="s">
        <v>5886</v>
      </c>
      <c r="E1505" s="3">
        <v>20486242788</v>
      </c>
      <c r="F1505" s="3" t="s">
        <v>5887</v>
      </c>
      <c r="G1505" s="3" t="s">
        <v>5888</v>
      </c>
      <c r="H1505" s="3" t="s">
        <v>237</v>
      </c>
      <c r="I1505" s="3" t="s">
        <v>3868</v>
      </c>
      <c r="J1505" s="3" t="s">
        <v>3869</v>
      </c>
      <c r="K1505" s="3" t="s">
        <v>5889</v>
      </c>
      <c r="L1505" s="3" t="s">
        <v>5890</v>
      </c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 t="s">
        <v>864</v>
      </c>
      <c r="AL1505" s="4">
        <v>40359</v>
      </c>
      <c r="AM1505" s="3"/>
      <c r="AN1505" s="3" t="s">
        <v>5891</v>
      </c>
    </row>
    <row r="1506" spans="1:40" x14ac:dyDescent="0.3">
      <c r="A1506" s="3">
        <v>1500</v>
      </c>
      <c r="B1506" s="3" t="str">
        <f>"201300154475"</f>
        <v>201300154475</v>
      </c>
      <c r="C1506" s="3">
        <v>105314</v>
      </c>
      <c r="D1506" s="3" t="s">
        <v>5892</v>
      </c>
      <c r="E1506" s="3">
        <v>10210649412</v>
      </c>
      <c r="F1506" s="3" t="s">
        <v>5893</v>
      </c>
      <c r="G1506" s="3" t="s">
        <v>5894</v>
      </c>
      <c r="H1506" s="3" t="s">
        <v>237</v>
      </c>
      <c r="I1506" s="3" t="s">
        <v>2842</v>
      </c>
      <c r="J1506" s="3" t="s">
        <v>2842</v>
      </c>
      <c r="K1506" s="3" t="s">
        <v>5895</v>
      </c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 t="s">
        <v>5896</v>
      </c>
      <c r="AL1506" s="4">
        <v>41550</v>
      </c>
      <c r="AM1506" s="3"/>
      <c r="AN1506" s="3" t="s">
        <v>5893</v>
      </c>
    </row>
    <row r="1507" spans="1:40" x14ac:dyDescent="0.3">
      <c r="A1507" s="3">
        <v>1501</v>
      </c>
      <c r="B1507" s="3" t="str">
        <f>"1395322"</f>
        <v>1395322</v>
      </c>
      <c r="C1507" s="3">
        <v>6401</v>
      </c>
      <c r="D1507" s="3" t="s">
        <v>5897</v>
      </c>
      <c r="E1507" s="3">
        <v>20362013802</v>
      </c>
      <c r="F1507" s="3" t="s">
        <v>3635</v>
      </c>
      <c r="G1507" s="3" t="s">
        <v>2291</v>
      </c>
      <c r="H1507" s="3" t="s">
        <v>172</v>
      </c>
      <c r="I1507" s="3" t="s">
        <v>172</v>
      </c>
      <c r="J1507" s="3" t="s">
        <v>1719</v>
      </c>
      <c r="K1507" s="3" t="s">
        <v>5898</v>
      </c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 t="s">
        <v>218</v>
      </c>
      <c r="AL1507" s="4">
        <v>37613</v>
      </c>
      <c r="AM1507" s="3"/>
      <c r="AN1507" s="3"/>
    </row>
    <row r="1508" spans="1:40" x14ac:dyDescent="0.3">
      <c r="A1508" s="3">
        <v>1502</v>
      </c>
      <c r="B1508" s="3" t="str">
        <f>"1395324"</f>
        <v>1395324</v>
      </c>
      <c r="C1508" s="3">
        <v>2768</v>
      </c>
      <c r="D1508" s="3" t="s">
        <v>5899</v>
      </c>
      <c r="E1508" s="3">
        <v>20362013802</v>
      </c>
      <c r="F1508" s="3" t="s">
        <v>3635</v>
      </c>
      <c r="G1508" s="3" t="s">
        <v>2291</v>
      </c>
      <c r="H1508" s="3" t="s">
        <v>172</v>
      </c>
      <c r="I1508" s="3" t="s">
        <v>172</v>
      </c>
      <c r="J1508" s="3" t="s">
        <v>1719</v>
      </c>
      <c r="K1508" s="3" t="s">
        <v>5900</v>
      </c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 t="s">
        <v>218</v>
      </c>
      <c r="AL1508" s="4">
        <v>37613</v>
      </c>
      <c r="AM1508" s="3"/>
      <c r="AN1508" s="3"/>
    </row>
    <row r="1509" spans="1:40" x14ac:dyDescent="0.3">
      <c r="A1509" s="3">
        <v>1503</v>
      </c>
      <c r="B1509" s="3" t="str">
        <f>"201900024902"</f>
        <v>201900024902</v>
      </c>
      <c r="C1509" s="3">
        <v>88469</v>
      </c>
      <c r="D1509" s="3" t="s">
        <v>5901</v>
      </c>
      <c r="E1509" s="3">
        <v>20601688418</v>
      </c>
      <c r="F1509" s="3" t="s">
        <v>5902</v>
      </c>
      <c r="G1509" s="3" t="s">
        <v>5903</v>
      </c>
      <c r="H1509" s="3" t="s">
        <v>97</v>
      </c>
      <c r="I1509" s="3" t="s">
        <v>97</v>
      </c>
      <c r="J1509" s="3" t="s">
        <v>144</v>
      </c>
      <c r="K1509" s="3" t="s">
        <v>5904</v>
      </c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 t="s">
        <v>4474</v>
      </c>
      <c r="AL1509" s="4">
        <v>43515</v>
      </c>
      <c r="AM1509" s="3"/>
      <c r="AN1509" s="3" t="s">
        <v>5905</v>
      </c>
    </row>
    <row r="1510" spans="1:40" ht="27.95" x14ac:dyDescent="0.3">
      <c r="A1510" s="3">
        <v>1504</v>
      </c>
      <c r="B1510" s="3" t="str">
        <f>"202000011006"</f>
        <v>202000011006</v>
      </c>
      <c r="C1510" s="3">
        <v>144555</v>
      </c>
      <c r="D1510" s="3" t="s">
        <v>5906</v>
      </c>
      <c r="E1510" s="3">
        <v>20604178313</v>
      </c>
      <c r="F1510" s="3" t="s">
        <v>4322</v>
      </c>
      <c r="G1510" s="3" t="s">
        <v>5907</v>
      </c>
      <c r="H1510" s="3" t="s">
        <v>56</v>
      </c>
      <c r="I1510" s="3" t="s">
        <v>56</v>
      </c>
      <c r="J1510" s="3" t="s">
        <v>4324</v>
      </c>
      <c r="K1510" s="3" t="s">
        <v>5908</v>
      </c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 t="s">
        <v>157</v>
      </c>
      <c r="AL1510" s="4">
        <v>43859</v>
      </c>
      <c r="AM1510" s="3"/>
      <c r="AN1510" s="3" t="s">
        <v>4327</v>
      </c>
    </row>
    <row r="1511" spans="1:40" x14ac:dyDescent="0.3">
      <c r="A1511" s="3">
        <v>1505</v>
      </c>
      <c r="B1511" s="3" t="str">
        <f>"1139305"</f>
        <v>1139305</v>
      </c>
      <c r="C1511" s="3">
        <v>3505</v>
      </c>
      <c r="D1511" s="3">
        <v>1125090</v>
      </c>
      <c r="E1511" s="3">
        <v>10152873943</v>
      </c>
      <c r="F1511" s="3" t="s">
        <v>5909</v>
      </c>
      <c r="G1511" s="3" t="s">
        <v>5910</v>
      </c>
      <c r="H1511" s="3" t="s">
        <v>56</v>
      </c>
      <c r="I1511" s="3" t="s">
        <v>56</v>
      </c>
      <c r="J1511" s="3" t="s">
        <v>63</v>
      </c>
      <c r="K1511" s="3" t="s">
        <v>5911</v>
      </c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 t="s">
        <v>306</v>
      </c>
      <c r="AL1511" s="4">
        <v>35629</v>
      </c>
      <c r="AM1511" s="3"/>
      <c r="AN1511" s="3"/>
    </row>
    <row r="1512" spans="1:40" ht="27.95" x14ac:dyDescent="0.3">
      <c r="A1512" s="3">
        <v>1506</v>
      </c>
      <c r="B1512" s="3" t="str">
        <f>"202000011011"</f>
        <v>202000011011</v>
      </c>
      <c r="C1512" s="3">
        <v>144842</v>
      </c>
      <c r="D1512" s="3" t="s">
        <v>5912</v>
      </c>
      <c r="E1512" s="3">
        <v>20604178313</v>
      </c>
      <c r="F1512" s="3" t="s">
        <v>4322</v>
      </c>
      <c r="G1512" s="3" t="s">
        <v>5907</v>
      </c>
      <c r="H1512" s="3" t="s">
        <v>56</v>
      </c>
      <c r="I1512" s="3" t="s">
        <v>56</v>
      </c>
      <c r="J1512" s="3" t="s">
        <v>4324</v>
      </c>
      <c r="K1512" s="3" t="s">
        <v>5913</v>
      </c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 t="s">
        <v>5914</v>
      </c>
      <c r="AL1512" s="4">
        <v>43859</v>
      </c>
      <c r="AM1512" s="3"/>
      <c r="AN1512" s="3" t="s">
        <v>4327</v>
      </c>
    </row>
    <row r="1513" spans="1:40" x14ac:dyDescent="0.3">
      <c r="A1513" s="3">
        <v>1507</v>
      </c>
      <c r="B1513" s="3" t="str">
        <f>"201500032675"</f>
        <v>201500032675</v>
      </c>
      <c r="C1513" s="3">
        <v>114411</v>
      </c>
      <c r="D1513" s="3" t="s">
        <v>5915</v>
      </c>
      <c r="E1513" s="3">
        <v>20533141553</v>
      </c>
      <c r="F1513" s="3" t="s">
        <v>5916</v>
      </c>
      <c r="G1513" s="3" t="s">
        <v>5917</v>
      </c>
      <c r="H1513" s="3" t="s">
        <v>56</v>
      </c>
      <c r="I1513" s="3" t="s">
        <v>56</v>
      </c>
      <c r="J1513" s="3" t="s">
        <v>313</v>
      </c>
      <c r="K1513" s="3" t="s">
        <v>5918</v>
      </c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 t="s">
        <v>614</v>
      </c>
      <c r="AL1513" s="4">
        <v>42111</v>
      </c>
      <c r="AM1513" s="3"/>
      <c r="AN1513" s="3" t="s">
        <v>615</v>
      </c>
    </row>
    <row r="1514" spans="1:40" x14ac:dyDescent="0.3">
      <c r="A1514" s="3">
        <v>1508</v>
      </c>
      <c r="B1514" s="3" t="str">
        <f>"1410365"</f>
        <v>1410365</v>
      </c>
      <c r="C1514" s="3">
        <v>33623</v>
      </c>
      <c r="D1514" s="3" t="s">
        <v>5919</v>
      </c>
      <c r="E1514" s="3">
        <v>10416608810</v>
      </c>
      <c r="F1514" s="3" t="s">
        <v>5920</v>
      </c>
      <c r="G1514" s="3" t="s">
        <v>5921</v>
      </c>
      <c r="H1514" s="3" t="s">
        <v>56</v>
      </c>
      <c r="I1514" s="3" t="s">
        <v>56</v>
      </c>
      <c r="J1514" s="3" t="s">
        <v>277</v>
      </c>
      <c r="K1514" s="3" t="s">
        <v>5922</v>
      </c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 t="s">
        <v>81</v>
      </c>
      <c r="AL1514" s="4">
        <v>37749</v>
      </c>
      <c r="AM1514" s="3"/>
      <c r="AN1514" s="3"/>
    </row>
    <row r="1515" spans="1:40" x14ac:dyDescent="0.3">
      <c r="A1515" s="3">
        <v>1509</v>
      </c>
      <c r="B1515" s="3" t="str">
        <f>"201100164534"</f>
        <v>201100164534</v>
      </c>
      <c r="C1515" s="3">
        <v>95119</v>
      </c>
      <c r="D1515" s="3" t="s">
        <v>5923</v>
      </c>
      <c r="E1515" s="3">
        <v>10214297103</v>
      </c>
      <c r="F1515" s="3" t="s">
        <v>5924</v>
      </c>
      <c r="G1515" s="3" t="s">
        <v>5925</v>
      </c>
      <c r="H1515" s="3" t="s">
        <v>216</v>
      </c>
      <c r="I1515" s="3" t="s">
        <v>216</v>
      </c>
      <c r="J1515" s="3" t="s">
        <v>216</v>
      </c>
      <c r="K1515" s="3" t="s">
        <v>5926</v>
      </c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 t="s">
        <v>614</v>
      </c>
      <c r="AL1515" s="3" t="s">
        <v>290</v>
      </c>
      <c r="AM1515" s="3"/>
      <c r="AN1515" s="3" t="s">
        <v>5924</v>
      </c>
    </row>
    <row r="1516" spans="1:40" ht="27.95" x14ac:dyDescent="0.3">
      <c r="A1516" s="3">
        <v>1510</v>
      </c>
      <c r="B1516" s="3" t="str">
        <f>"201900181385"</f>
        <v>201900181385</v>
      </c>
      <c r="C1516" s="3">
        <v>147560</v>
      </c>
      <c r="D1516" s="3" t="s">
        <v>5927</v>
      </c>
      <c r="E1516" s="3">
        <v>10705818121</v>
      </c>
      <c r="F1516" s="3" t="s">
        <v>5928</v>
      </c>
      <c r="G1516" s="3" t="s">
        <v>5929</v>
      </c>
      <c r="H1516" s="3" t="s">
        <v>97</v>
      </c>
      <c r="I1516" s="3" t="s">
        <v>97</v>
      </c>
      <c r="J1516" s="3" t="s">
        <v>254</v>
      </c>
      <c r="K1516" s="3" t="s">
        <v>5930</v>
      </c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 t="s">
        <v>256</v>
      </c>
      <c r="AL1516" s="4">
        <v>43777</v>
      </c>
      <c r="AM1516" s="3"/>
      <c r="AN1516" s="3" t="s">
        <v>5928</v>
      </c>
    </row>
    <row r="1517" spans="1:40" ht="27.95" x14ac:dyDescent="0.3">
      <c r="A1517" s="3">
        <v>1511</v>
      </c>
      <c r="B1517" s="3" t="str">
        <f>"201300172658"</f>
        <v>201300172658</v>
      </c>
      <c r="C1517" s="3">
        <v>106263</v>
      </c>
      <c r="D1517" s="3" t="s">
        <v>5931</v>
      </c>
      <c r="E1517" s="3">
        <v>20516822202</v>
      </c>
      <c r="F1517" s="3" t="s">
        <v>2745</v>
      </c>
      <c r="G1517" s="3" t="s">
        <v>5932</v>
      </c>
      <c r="H1517" s="3" t="s">
        <v>56</v>
      </c>
      <c r="I1517" s="3" t="s">
        <v>56</v>
      </c>
      <c r="J1517" s="3" t="s">
        <v>185</v>
      </c>
      <c r="K1517" s="3" t="s">
        <v>5933</v>
      </c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 t="s">
        <v>4641</v>
      </c>
      <c r="AL1517" s="3" t="s">
        <v>290</v>
      </c>
      <c r="AM1517" s="3"/>
      <c r="AN1517" s="3" t="s">
        <v>2748</v>
      </c>
    </row>
    <row r="1518" spans="1:40" ht="27.95" x14ac:dyDescent="0.3">
      <c r="A1518" s="3">
        <v>1512</v>
      </c>
      <c r="B1518" s="3" t="str">
        <f>"201600094905"</f>
        <v>201600094905</v>
      </c>
      <c r="C1518" s="3">
        <v>121487</v>
      </c>
      <c r="D1518" s="3" t="s">
        <v>5934</v>
      </c>
      <c r="E1518" s="3">
        <v>20572128459</v>
      </c>
      <c r="F1518" s="3" t="s">
        <v>5935</v>
      </c>
      <c r="G1518" s="3" t="s">
        <v>5936</v>
      </c>
      <c r="H1518" s="3" t="s">
        <v>245</v>
      </c>
      <c r="I1518" s="3" t="s">
        <v>1819</v>
      </c>
      <c r="J1518" s="3" t="s">
        <v>1820</v>
      </c>
      <c r="K1518" s="3" t="s">
        <v>5937</v>
      </c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 t="s">
        <v>1979</v>
      </c>
      <c r="AL1518" s="4">
        <v>42563</v>
      </c>
      <c r="AM1518" s="3"/>
      <c r="AN1518" s="3" t="s">
        <v>5938</v>
      </c>
    </row>
    <row r="1519" spans="1:40" x14ac:dyDescent="0.3">
      <c r="A1519" s="3">
        <v>1513</v>
      </c>
      <c r="B1519" s="3" t="str">
        <f>"1377504"</f>
        <v>1377504</v>
      </c>
      <c r="C1519" s="3">
        <v>2511</v>
      </c>
      <c r="D1519" s="3" t="s">
        <v>5939</v>
      </c>
      <c r="E1519" s="3">
        <v>20154657194</v>
      </c>
      <c r="F1519" s="3" t="s">
        <v>2287</v>
      </c>
      <c r="G1519" s="3" t="s">
        <v>2288</v>
      </c>
      <c r="H1519" s="3" t="s">
        <v>56</v>
      </c>
      <c r="I1519" s="3" t="s">
        <v>56</v>
      </c>
      <c r="J1519" s="3" t="s">
        <v>331</v>
      </c>
      <c r="K1519" s="3" t="s">
        <v>5940</v>
      </c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 t="s">
        <v>5165</v>
      </c>
      <c r="AL1519" s="4">
        <v>37481</v>
      </c>
      <c r="AM1519" s="3"/>
      <c r="AN1519" s="3"/>
    </row>
    <row r="1520" spans="1:40" x14ac:dyDescent="0.3">
      <c r="A1520" s="3">
        <v>1514</v>
      </c>
      <c r="B1520" s="3" t="str">
        <f>"1470269"</f>
        <v>1470269</v>
      </c>
      <c r="C1520" s="3">
        <v>36455</v>
      </c>
      <c r="D1520" s="3" t="s">
        <v>5941</v>
      </c>
      <c r="E1520" s="3">
        <v>10296466480</v>
      </c>
      <c r="F1520" s="3" t="s">
        <v>5942</v>
      </c>
      <c r="G1520" s="3" t="s">
        <v>5943</v>
      </c>
      <c r="H1520" s="3" t="s">
        <v>97</v>
      </c>
      <c r="I1520" s="3" t="s">
        <v>97</v>
      </c>
      <c r="J1520" s="3" t="s">
        <v>105</v>
      </c>
      <c r="K1520" s="3" t="s">
        <v>5944</v>
      </c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 t="s">
        <v>81</v>
      </c>
      <c r="AL1520" s="4">
        <v>38112</v>
      </c>
      <c r="AM1520" s="3"/>
      <c r="AN1520" s="3"/>
    </row>
    <row r="1521" spans="1:40" ht="27.95" x14ac:dyDescent="0.3">
      <c r="A1521" s="3">
        <v>1515</v>
      </c>
      <c r="B1521" s="3" t="str">
        <f>"202000011000"</f>
        <v>202000011000</v>
      </c>
      <c r="C1521" s="3">
        <v>101260</v>
      </c>
      <c r="D1521" s="3" t="s">
        <v>5945</v>
      </c>
      <c r="E1521" s="3">
        <v>20604178313</v>
      </c>
      <c r="F1521" s="3" t="s">
        <v>4322</v>
      </c>
      <c r="G1521" s="3" t="s">
        <v>4323</v>
      </c>
      <c r="H1521" s="3" t="s">
        <v>56</v>
      </c>
      <c r="I1521" s="3" t="s">
        <v>56</v>
      </c>
      <c r="J1521" s="3" t="s">
        <v>4324</v>
      </c>
      <c r="K1521" s="3" t="s">
        <v>5946</v>
      </c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 t="s">
        <v>218</v>
      </c>
      <c r="AL1521" s="4">
        <v>43859</v>
      </c>
      <c r="AM1521" s="3"/>
      <c r="AN1521" s="3" t="s">
        <v>4327</v>
      </c>
    </row>
    <row r="1522" spans="1:40" x14ac:dyDescent="0.3">
      <c r="A1522" s="3">
        <v>1516</v>
      </c>
      <c r="B1522" s="3" t="str">
        <f>"1470264"</f>
        <v>1470264</v>
      </c>
      <c r="C1522" s="3">
        <v>40799</v>
      </c>
      <c r="D1522" s="3" t="s">
        <v>5947</v>
      </c>
      <c r="E1522" s="3">
        <v>10297366560</v>
      </c>
      <c r="F1522" s="3" t="s">
        <v>5948</v>
      </c>
      <c r="G1522" s="3" t="s">
        <v>5949</v>
      </c>
      <c r="H1522" s="3" t="s">
        <v>97</v>
      </c>
      <c r="I1522" s="3" t="s">
        <v>97</v>
      </c>
      <c r="J1522" s="3" t="s">
        <v>326</v>
      </c>
      <c r="K1522" s="3" t="s">
        <v>5950</v>
      </c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 t="s">
        <v>5951</v>
      </c>
      <c r="AL1522" s="4">
        <v>40598</v>
      </c>
      <c r="AM1522" s="3"/>
      <c r="AN1522" s="3" t="s">
        <v>5948</v>
      </c>
    </row>
    <row r="1523" spans="1:40" x14ac:dyDescent="0.3">
      <c r="A1523" s="3">
        <v>1517</v>
      </c>
      <c r="B1523" s="3" t="str">
        <f>"201900137546"</f>
        <v>201900137546</v>
      </c>
      <c r="C1523" s="3">
        <v>146130</v>
      </c>
      <c r="D1523" s="3" t="s">
        <v>5952</v>
      </c>
      <c r="E1523" s="3">
        <v>20602238581</v>
      </c>
      <c r="F1523" s="3" t="s">
        <v>5953</v>
      </c>
      <c r="G1523" s="3" t="s">
        <v>5954</v>
      </c>
      <c r="H1523" s="3" t="s">
        <v>395</v>
      </c>
      <c r="I1523" s="3" t="s">
        <v>396</v>
      </c>
      <c r="J1523" s="3" t="s">
        <v>490</v>
      </c>
      <c r="K1523" s="3" t="s">
        <v>5955</v>
      </c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 t="s">
        <v>2041</v>
      </c>
      <c r="AL1523" s="4">
        <v>43713</v>
      </c>
      <c r="AM1523" s="3"/>
      <c r="AN1523" s="3" t="s">
        <v>5956</v>
      </c>
    </row>
    <row r="1524" spans="1:40" ht="27.95" x14ac:dyDescent="0.3">
      <c r="A1524" s="3">
        <v>1518</v>
      </c>
      <c r="B1524" s="3" t="str">
        <f>"1707198"</f>
        <v>1707198</v>
      </c>
      <c r="C1524" s="3">
        <v>16226</v>
      </c>
      <c r="D1524" s="3" t="s">
        <v>5957</v>
      </c>
      <c r="E1524" s="3">
        <v>20514300691</v>
      </c>
      <c r="F1524" s="3" t="s">
        <v>5958</v>
      </c>
      <c r="G1524" s="3" t="s">
        <v>5959</v>
      </c>
      <c r="H1524" s="3" t="s">
        <v>56</v>
      </c>
      <c r="I1524" s="3" t="s">
        <v>56</v>
      </c>
      <c r="J1524" s="3" t="s">
        <v>529</v>
      </c>
      <c r="K1524" s="3" t="s">
        <v>5960</v>
      </c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 t="s">
        <v>65</v>
      </c>
      <c r="AL1524" s="4">
        <v>39295</v>
      </c>
      <c r="AM1524" s="3"/>
      <c r="AN1524" s="3"/>
    </row>
    <row r="1525" spans="1:40" ht="27.95" x14ac:dyDescent="0.3">
      <c r="A1525" s="3">
        <v>1519</v>
      </c>
      <c r="B1525" s="3" t="str">
        <f>"201900183625"</f>
        <v>201900183625</v>
      </c>
      <c r="C1525" s="3">
        <v>128063</v>
      </c>
      <c r="D1525" s="3" t="s">
        <v>5961</v>
      </c>
      <c r="E1525" s="3">
        <v>20455486948</v>
      </c>
      <c r="F1525" s="3" t="s">
        <v>1382</v>
      </c>
      <c r="G1525" s="3" t="s">
        <v>5962</v>
      </c>
      <c r="H1525" s="3" t="s">
        <v>97</v>
      </c>
      <c r="I1525" s="3" t="s">
        <v>97</v>
      </c>
      <c r="J1525" s="3" t="s">
        <v>144</v>
      </c>
      <c r="K1525" s="3" t="s">
        <v>5963</v>
      </c>
      <c r="L1525" s="3" t="s">
        <v>5964</v>
      </c>
      <c r="M1525" s="3" t="s">
        <v>5965</v>
      </c>
      <c r="N1525" s="3" t="s">
        <v>5966</v>
      </c>
      <c r="O1525" s="3" t="s">
        <v>5967</v>
      </c>
      <c r="P1525" s="3" t="s">
        <v>5968</v>
      </c>
      <c r="Q1525" s="3" t="s">
        <v>5969</v>
      </c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 t="s">
        <v>470</v>
      </c>
      <c r="AL1525" s="4">
        <v>43778</v>
      </c>
      <c r="AM1525" s="3"/>
      <c r="AN1525" s="3" t="s">
        <v>5970</v>
      </c>
    </row>
    <row r="1526" spans="1:40" x14ac:dyDescent="0.3">
      <c r="A1526" s="3">
        <v>1520</v>
      </c>
      <c r="B1526" s="3" t="str">
        <f>"201300044898"</f>
        <v>201300044898</v>
      </c>
      <c r="C1526" s="3">
        <v>101415</v>
      </c>
      <c r="D1526" s="3" t="s">
        <v>5971</v>
      </c>
      <c r="E1526" s="3">
        <v>20408003106</v>
      </c>
      <c r="F1526" s="3" t="s">
        <v>3183</v>
      </c>
      <c r="G1526" s="3" t="s">
        <v>5033</v>
      </c>
      <c r="H1526" s="3" t="s">
        <v>271</v>
      </c>
      <c r="I1526" s="3" t="s">
        <v>272</v>
      </c>
      <c r="J1526" s="3" t="s">
        <v>272</v>
      </c>
      <c r="K1526" s="3" t="s">
        <v>5972</v>
      </c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 t="s">
        <v>546</v>
      </c>
      <c r="AL1526" s="3" t="s">
        <v>290</v>
      </c>
      <c r="AM1526" s="3"/>
      <c r="AN1526" s="3" t="s">
        <v>3186</v>
      </c>
    </row>
    <row r="1527" spans="1:40" x14ac:dyDescent="0.3">
      <c r="A1527" s="3">
        <v>1521</v>
      </c>
      <c r="B1527" s="3" t="str">
        <f>"201400116942"</f>
        <v>201400116942</v>
      </c>
      <c r="C1527" s="3">
        <v>111210</v>
      </c>
      <c r="D1527" s="3" t="s">
        <v>5973</v>
      </c>
      <c r="E1527" s="3">
        <v>20556236608</v>
      </c>
      <c r="F1527" s="3" t="s">
        <v>5974</v>
      </c>
      <c r="G1527" s="3" t="s">
        <v>5975</v>
      </c>
      <c r="H1527" s="3" t="s">
        <v>56</v>
      </c>
      <c r="I1527" s="3" t="s">
        <v>56</v>
      </c>
      <c r="J1527" s="3" t="s">
        <v>69</v>
      </c>
      <c r="K1527" s="3" t="s">
        <v>5976</v>
      </c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 t="s">
        <v>5977</v>
      </c>
      <c r="AL1527" s="4">
        <v>41899</v>
      </c>
      <c r="AM1527" s="3"/>
      <c r="AN1527" s="3" t="s">
        <v>5978</v>
      </c>
    </row>
    <row r="1528" spans="1:40" x14ac:dyDescent="0.3">
      <c r="A1528" s="3">
        <v>1522</v>
      </c>
      <c r="B1528" s="3" t="str">
        <f>"1274506"</f>
        <v>1274506</v>
      </c>
      <c r="C1528" s="3">
        <v>18166</v>
      </c>
      <c r="D1528" s="3">
        <v>1048693</v>
      </c>
      <c r="E1528" s="3">
        <v>10258066991</v>
      </c>
      <c r="F1528" s="3" t="s">
        <v>5979</v>
      </c>
      <c r="G1528" s="3" t="s">
        <v>5980</v>
      </c>
      <c r="H1528" s="3" t="s">
        <v>75</v>
      </c>
      <c r="I1528" s="3" t="s">
        <v>75</v>
      </c>
      <c r="J1528" s="3" t="s">
        <v>76</v>
      </c>
      <c r="K1528" s="3" t="s">
        <v>5981</v>
      </c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 t="s">
        <v>65</v>
      </c>
      <c r="AL1528" s="4">
        <v>36613</v>
      </c>
      <c r="AM1528" s="3"/>
      <c r="AN1528" s="3"/>
    </row>
    <row r="1529" spans="1:40" x14ac:dyDescent="0.3">
      <c r="A1529" s="3">
        <v>1523</v>
      </c>
      <c r="B1529" s="3" t="str">
        <f>"201500032692"</f>
        <v>201500032692</v>
      </c>
      <c r="C1529" s="3">
        <v>114410</v>
      </c>
      <c r="D1529" s="3" t="s">
        <v>5982</v>
      </c>
      <c r="E1529" s="3">
        <v>20533141553</v>
      </c>
      <c r="F1529" s="3" t="s">
        <v>5916</v>
      </c>
      <c r="G1529" s="3" t="s">
        <v>5917</v>
      </c>
      <c r="H1529" s="3" t="s">
        <v>56</v>
      </c>
      <c r="I1529" s="3" t="s">
        <v>56</v>
      </c>
      <c r="J1529" s="3" t="s">
        <v>313</v>
      </c>
      <c r="K1529" s="3" t="s">
        <v>5983</v>
      </c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 t="s">
        <v>614</v>
      </c>
      <c r="AL1529" s="4">
        <v>42111</v>
      </c>
      <c r="AM1529" s="3"/>
      <c r="AN1529" s="3" t="s">
        <v>615</v>
      </c>
    </row>
    <row r="1530" spans="1:40" x14ac:dyDescent="0.3">
      <c r="A1530" s="3">
        <v>1524</v>
      </c>
      <c r="B1530" s="3" t="str">
        <f>"1470273"</f>
        <v>1470273</v>
      </c>
      <c r="C1530" s="3">
        <v>37349</v>
      </c>
      <c r="D1530" s="3" t="s">
        <v>5984</v>
      </c>
      <c r="E1530" s="3">
        <v>10304849067</v>
      </c>
      <c r="F1530" s="3" t="s">
        <v>5985</v>
      </c>
      <c r="G1530" s="3" t="s">
        <v>5986</v>
      </c>
      <c r="H1530" s="3" t="s">
        <v>97</v>
      </c>
      <c r="I1530" s="3" t="s">
        <v>97</v>
      </c>
      <c r="J1530" s="3" t="s">
        <v>105</v>
      </c>
      <c r="K1530" s="3" t="s">
        <v>5987</v>
      </c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 t="s">
        <v>906</v>
      </c>
      <c r="AL1530" s="4">
        <v>38112</v>
      </c>
      <c r="AM1530" s="3"/>
      <c r="AN1530" s="3"/>
    </row>
    <row r="1531" spans="1:40" x14ac:dyDescent="0.3">
      <c r="A1531" s="3">
        <v>1525</v>
      </c>
      <c r="B1531" s="3" t="str">
        <f>"201400012931"</f>
        <v>201400012931</v>
      </c>
      <c r="C1531" s="3">
        <v>107779</v>
      </c>
      <c r="D1531" s="3" t="s">
        <v>5988</v>
      </c>
      <c r="E1531" s="3">
        <v>20514606774</v>
      </c>
      <c r="F1531" s="3" t="s">
        <v>5989</v>
      </c>
      <c r="G1531" s="3" t="s">
        <v>5990</v>
      </c>
      <c r="H1531" s="3" t="s">
        <v>56</v>
      </c>
      <c r="I1531" s="3" t="s">
        <v>56</v>
      </c>
      <c r="J1531" s="3" t="s">
        <v>653</v>
      </c>
      <c r="K1531" s="3" t="s">
        <v>5991</v>
      </c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 t="s">
        <v>3589</v>
      </c>
      <c r="AL1531" s="4">
        <v>41684</v>
      </c>
      <c r="AM1531" s="3"/>
      <c r="AN1531" s="3" t="s">
        <v>5992</v>
      </c>
    </row>
    <row r="1532" spans="1:40" x14ac:dyDescent="0.3">
      <c r="A1532" s="3">
        <v>1526</v>
      </c>
      <c r="B1532" s="3" t="str">
        <f>"1453199"</f>
        <v>1453199</v>
      </c>
      <c r="C1532" s="3">
        <v>37566</v>
      </c>
      <c r="D1532" s="3" t="s">
        <v>5993</v>
      </c>
      <c r="E1532" s="3">
        <v>20263992629</v>
      </c>
      <c r="F1532" s="3" t="s">
        <v>4427</v>
      </c>
      <c r="G1532" s="3" t="s">
        <v>4428</v>
      </c>
      <c r="H1532" s="3" t="s">
        <v>56</v>
      </c>
      <c r="I1532" s="3" t="s">
        <v>56</v>
      </c>
      <c r="J1532" s="3" t="s">
        <v>56</v>
      </c>
      <c r="K1532" s="3" t="s">
        <v>5994</v>
      </c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 t="s">
        <v>5995</v>
      </c>
      <c r="AL1532" s="4">
        <v>38042</v>
      </c>
      <c r="AM1532" s="3"/>
      <c r="AN1532" s="3"/>
    </row>
    <row r="1533" spans="1:40" x14ac:dyDescent="0.3">
      <c r="A1533" s="3">
        <v>1527</v>
      </c>
      <c r="B1533" s="3" t="str">
        <f>"201800130368"</f>
        <v>201800130368</v>
      </c>
      <c r="C1533" s="3">
        <v>137923</v>
      </c>
      <c r="D1533" s="3" t="s">
        <v>5996</v>
      </c>
      <c r="E1533" s="3">
        <v>20100007348</v>
      </c>
      <c r="F1533" s="3" t="s">
        <v>929</v>
      </c>
      <c r="G1533" s="3" t="s">
        <v>5997</v>
      </c>
      <c r="H1533" s="3" t="s">
        <v>75</v>
      </c>
      <c r="I1533" s="3" t="s">
        <v>75</v>
      </c>
      <c r="J1533" s="3" t="s">
        <v>76</v>
      </c>
      <c r="K1533" s="3" t="s">
        <v>5998</v>
      </c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 t="s">
        <v>924</v>
      </c>
      <c r="AL1533" s="4">
        <v>43325</v>
      </c>
      <c r="AM1533" s="3"/>
      <c r="AN1533" s="3" t="s">
        <v>5177</v>
      </c>
    </row>
    <row r="1534" spans="1:40" x14ac:dyDescent="0.3">
      <c r="A1534" s="3">
        <v>1528</v>
      </c>
      <c r="B1534" s="3" t="str">
        <f>"1586434"</f>
        <v>1586434</v>
      </c>
      <c r="C1534" s="3">
        <v>39762</v>
      </c>
      <c r="D1534" s="3" t="s">
        <v>5999</v>
      </c>
      <c r="E1534" s="3">
        <v>20134424100</v>
      </c>
      <c r="F1534" s="3" t="s">
        <v>6000</v>
      </c>
      <c r="G1534" s="3" t="s">
        <v>6001</v>
      </c>
      <c r="H1534" s="3" t="s">
        <v>44</v>
      </c>
      <c r="I1534" s="3" t="s">
        <v>1543</v>
      </c>
      <c r="J1534" s="3" t="s">
        <v>1543</v>
      </c>
      <c r="K1534" s="3" t="s">
        <v>6002</v>
      </c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 t="s">
        <v>3261</v>
      </c>
      <c r="AL1534" s="4">
        <v>38741</v>
      </c>
      <c r="AM1534" s="3"/>
      <c r="AN1534" s="3"/>
    </row>
    <row r="1535" spans="1:40" x14ac:dyDescent="0.3">
      <c r="A1535" s="3">
        <v>1529</v>
      </c>
      <c r="B1535" s="3" t="str">
        <f>"1515305"</f>
        <v>1515305</v>
      </c>
      <c r="C1535" s="3">
        <v>39259</v>
      </c>
      <c r="D1535" s="3" t="s">
        <v>6003</v>
      </c>
      <c r="E1535" s="3">
        <v>10292917177</v>
      </c>
      <c r="F1535" s="3" t="s">
        <v>444</v>
      </c>
      <c r="G1535" s="3" t="s">
        <v>6004</v>
      </c>
      <c r="H1535" s="3" t="s">
        <v>97</v>
      </c>
      <c r="I1535" s="3" t="s">
        <v>97</v>
      </c>
      <c r="J1535" s="3" t="s">
        <v>326</v>
      </c>
      <c r="K1535" s="3" t="s">
        <v>6005</v>
      </c>
      <c r="L1535" s="3" t="s">
        <v>6006</v>
      </c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 t="s">
        <v>5201</v>
      </c>
      <c r="AL1535" s="4">
        <v>38380</v>
      </c>
      <c r="AM1535" s="3"/>
      <c r="AN1535" s="3"/>
    </row>
    <row r="1536" spans="1:40" x14ac:dyDescent="0.3">
      <c r="A1536" s="3">
        <v>1530</v>
      </c>
      <c r="B1536" s="3" t="str">
        <f>"201800130366"</f>
        <v>201800130366</v>
      </c>
      <c r="C1536" s="3">
        <v>137922</v>
      </c>
      <c r="D1536" s="3" t="s">
        <v>6007</v>
      </c>
      <c r="E1536" s="3">
        <v>20100007348</v>
      </c>
      <c r="F1536" s="3" t="s">
        <v>6008</v>
      </c>
      <c r="G1536" s="3" t="s">
        <v>6009</v>
      </c>
      <c r="H1536" s="3" t="s">
        <v>75</v>
      </c>
      <c r="I1536" s="3" t="s">
        <v>75</v>
      </c>
      <c r="J1536" s="3" t="s">
        <v>76</v>
      </c>
      <c r="K1536" s="3" t="s">
        <v>6010</v>
      </c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 t="s">
        <v>924</v>
      </c>
      <c r="AL1536" s="4">
        <v>43325</v>
      </c>
      <c r="AM1536" s="3"/>
      <c r="AN1536" s="3" t="s">
        <v>5177</v>
      </c>
    </row>
    <row r="1537" spans="1:40" x14ac:dyDescent="0.3">
      <c r="A1537" s="3">
        <v>1531</v>
      </c>
      <c r="B1537" s="3" t="str">
        <f>"202000107229"</f>
        <v>202000107229</v>
      </c>
      <c r="C1537" s="3">
        <v>132380</v>
      </c>
      <c r="D1537" s="3" t="s">
        <v>6011</v>
      </c>
      <c r="E1537" s="3">
        <v>20600790898</v>
      </c>
      <c r="F1537" s="3" t="s">
        <v>6012</v>
      </c>
      <c r="G1537" s="3" t="s">
        <v>6013</v>
      </c>
      <c r="H1537" s="3" t="s">
        <v>1208</v>
      </c>
      <c r="I1537" s="3" t="s">
        <v>1209</v>
      </c>
      <c r="J1537" s="3" t="s">
        <v>1209</v>
      </c>
      <c r="K1537" s="3" t="s">
        <v>6014</v>
      </c>
      <c r="L1537" s="3" t="s">
        <v>6015</v>
      </c>
      <c r="M1537" s="3" t="s">
        <v>6016</v>
      </c>
      <c r="N1537" s="3" t="s">
        <v>6017</v>
      </c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 t="s">
        <v>371</v>
      </c>
      <c r="AL1537" s="4">
        <v>44068</v>
      </c>
      <c r="AM1537" s="3"/>
      <c r="AN1537" s="3" t="s">
        <v>6018</v>
      </c>
    </row>
    <row r="1538" spans="1:40" x14ac:dyDescent="0.3">
      <c r="A1538" s="3">
        <v>1532</v>
      </c>
      <c r="B1538" s="3" t="str">
        <f>"201900017091"</f>
        <v>201900017091</v>
      </c>
      <c r="C1538" s="3">
        <v>141087</v>
      </c>
      <c r="D1538" s="3" t="s">
        <v>6019</v>
      </c>
      <c r="E1538" s="3">
        <v>20230767131</v>
      </c>
      <c r="F1538" s="3" t="s">
        <v>6020</v>
      </c>
      <c r="G1538" s="3" t="s">
        <v>6021</v>
      </c>
      <c r="H1538" s="3" t="s">
        <v>3837</v>
      </c>
      <c r="I1538" s="3" t="s">
        <v>4994</v>
      </c>
      <c r="J1538" s="3" t="s">
        <v>4994</v>
      </c>
      <c r="K1538" s="3" t="s">
        <v>6022</v>
      </c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 t="s">
        <v>5733</v>
      </c>
      <c r="AL1538" s="4">
        <v>43524</v>
      </c>
      <c r="AM1538" s="3"/>
      <c r="AN1538" s="3" t="s">
        <v>6023</v>
      </c>
    </row>
    <row r="1539" spans="1:40" x14ac:dyDescent="0.3">
      <c r="A1539" s="3">
        <v>1533</v>
      </c>
      <c r="B1539" s="3" t="str">
        <f>"1502206"</f>
        <v>1502206</v>
      </c>
      <c r="C1539" s="3">
        <v>93811</v>
      </c>
      <c r="D1539" s="3" t="s">
        <v>6024</v>
      </c>
      <c r="E1539" s="3">
        <v>10414422204</v>
      </c>
      <c r="F1539" s="3" t="s">
        <v>6025</v>
      </c>
      <c r="G1539" s="3" t="s">
        <v>6026</v>
      </c>
      <c r="H1539" s="3" t="s">
        <v>237</v>
      </c>
      <c r="I1539" s="3" t="s">
        <v>6027</v>
      </c>
      <c r="J1539" s="3" t="s">
        <v>6028</v>
      </c>
      <c r="K1539" s="3" t="s">
        <v>6029</v>
      </c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 t="s">
        <v>81</v>
      </c>
      <c r="AL1539" s="4">
        <v>40801</v>
      </c>
      <c r="AM1539" s="3"/>
      <c r="AN1539" s="3" t="s">
        <v>6025</v>
      </c>
    </row>
    <row r="1540" spans="1:40" x14ac:dyDescent="0.3">
      <c r="A1540" s="3">
        <v>1534</v>
      </c>
      <c r="B1540" s="3" t="str">
        <f>"201500021652"</f>
        <v>201500021652</v>
      </c>
      <c r="C1540" s="3">
        <v>43097</v>
      </c>
      <c r="D1540" s="3" t="s">
        <v>6030</v>
      </c>
      <c r="E1540" s="3">
        <v>20554545743</v>
      </c>
      <c r="F1540" s="3" t="s">
        <v>2029</v>
      </c>
      <c r="G1540" s="3" t="s">
        <v>2120</v>
      </c>
      <c r="H1540" s="3" t="s">
        <v>56</v>
      </c>
      <c r="I1540" s="3" t="s">
        <v>56</v>
      </c>
      <c r="J1540" s="3" t="s">
        <v>313</v>
      </c>
      <c r="K1540" s="3" t="s">
        <v>6031</v>
      </c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 t="s">
        <v>2045</v>
      </c>
      <c r="AL1540" s="3" t="s">
        <v>290</v>
      </c>
      <c r="AM1540" s="3"/>
      <c r="AN1540" s="3" t="s">
        <v>1262</v>
      </c>
    </row>
    <row r="1541" spans="1:40" x14ac:dyDescent="0.3">
      <c r="A1541" s="3">
        <v>1535</v>
      </c>
      <c r="B1541" s="3" t="str">
        <f>"1470283"</f>
        <v>1470283</v>
      </c>
      <c r="C1541" s="3">
        <v>37297</v>
      </c>
      <c r="D1541" s="3" t="s">
        <v>6032</v>
      </c>
      <c r="E1541" s="3">
        <v>10296312318</v>
      </c>
      <c r="F1541" s="3" t="s">
        <v>6033</v>
      </c>
      <c r="G1541" s="3" t="s">
        <v>6034</v>
      </c>
      <c r="H1541" s="3" t="s">
        <v>97</v>
      </c>
      <c r="I1541" s="3" t="s">
        <v>97</v>
      </c>
      <c r="J1541" s="3" t="s">
        <v>97</v>
      </c>
      <c r="K1541" s="3" t="s">
        <v>6035</v>
      </c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 t="s">
        <v>419</v>
      </c>
      <c r="AL1541" s="4">
        <v>38110</v>
      </c>
      <c r="AM1541" s="3"/>
      <c r="AN1541" s="3"/>
    </row>
    <row r="1542" spans="1:40" x14ac:dyDescent="0.3">
      <c r="A1542" s="3">
        <v>1536</v>
      </c>
      <c r="B1542" s="3" t="str">
        <f>"1453197"</f>
        <v>1453197</v>
      </c>
      <c r="C1542" s="3">
        <v>37567</v>
      </c>
      <c r="D1542" s="3" t="s">
        <v>6036</v>
      </c>
      <c r="E1542" s="3">
        <v>20263992629</v>
      </c>
      <c r="F1542" s="3" t="s">
        <v>4427</v>
      </c>
      <c r="G1542" s="3" t="s">
        <v>4428</v>
      </c>
      <c r="H1542" s="3" t="s">
        <v>56</v>
      </c>
      <c r="I1542" s="3" t="s">
        <v>56</v>
      </c>
      <c r="J1542" s="3" t="s">
        <v>56</v>
      </c>
      <c r="K1542" s="3" t="s">
        <v>6037</v>
      </c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 t="s">
        <v>157</v>
      </c>
      <c r="AL1542" s="4">
        <v>38042</v>
      </c>
      <c r="AM1542" s="3"/>
      <c r="AN1542" s="3"/>
    </row>
    <row r="1543" spans="1:40" x14ac:dyDescent="0.3">
      <c r="A1543" s="3">
        <v>1537</v>
      </c>
      <c r="B1543" s="3" t="str">
        <f>"1136621"</f>
        <v>1136621</v>
      </c>
      <c r="C1543" s="3">
        <v>3394</v>
      </c>
      <c r="D1543" s="3">
        <v>1076897</v>
      </c>
      <c r="E1543" s="3">
        <v>20252539493</v>
      </c>
      <c r="F1543" s="3" t="s">
        <v>1277</v>
      </c>
      <c r="G1543" s="3" t="s">
        <v>1278</v>
      </c>
      <c r="H1543" s="3" t="s">
        <v>75</v>
      </c>
      <c r="I1543" s="3" t="s">
        <v>75</v>
      </c>
      <c r="J1543" s="3" t="s">
        <v>76</v>
      </c>
      <c r="K1543" s="3" t="s">
        <v>6038</v>
      </c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 t="s">
        <v>187</v>
      </c>
      <c r="AL1543" s="4">
        <v>35629</v>
      </c>
      <c r="AM1543" s="3"/>
      <c r="AN1543" s="3"/>
    </row>
    <row r="1544" spans="1:40" x14ac:dyDescent="0.3">
      <c r="A1544" s="3">
        <v>1538</v>
      </c>
      <c r="B1544" s="3" t="str">
        <f>"201500008666"</f>
        <v>201500008666</v>
      </c>
      <c r="C1544" s="3">
        <v>86812</v>
      </c>
      <c r="D1544" s="3" t="s">
        <v>6039</v>
      </c>
      <c r="E1544" s="3">
        <v>20349264413</v>
      </c>
      <c r="F1544" s="3" t="s">
        <v>287</v>
      </c>
      <c r="G1544" s="3" t="s">
        <v>288</v>
      </c>
      <c r="H1544" s="3" t="s">
        <v>56</v>
      </c>
      <c r="I1544" s="3" t="s">
        <v>56</v>
      </c>
      <c r="J1544" s="3" t="s">
        <v>105</v>
      </c>
      <c r="K1544" s="3" t="s">
        <v>6040</v>
      </c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 t="s">
        <v>6041</v>
      </c>
      <c r="AL1544" s="4">
        <v>42055</v>
      </c>
      <c r="AM1544" s="3"/>
      <c r="AN1544" s="3" t="s">
        <v>291</v>
      </c>
    </row>
    <row r="1545" spans="1:40" x14ac:dyDescent="0.3">
      <c r="A1545" s="3">
        <v>1539</v>
      </c>
      <c r="B1545" s="3" t="str">
        <f>"201500008667"</f>
        <v>201500008667</v>
      </c>
      <c r="C1545" s="3">
        <v>94131</v>
      </c>
      <c r="D1545" s="3" t="s">
        <v>6042</v>
      </c>
      <c r="E1545" s="3">
        <v>20349264413</v>
      </c>
      <c r="F1545" s="3" t="s">
        <v>287</v>
      </c>
      <c r="G1545" s="3" t="s">
        <v>288</v>
      </c>
      <c r="H1545" s="3" t="s">
        <v>56</v>
      </c>
      <c r="I1545" s="3" t="s">
        <v>56</v>
      </c>
      <c r="J1545" s="3" t="s">
        <v>105</v>
      </c>
      <c r="K1545" s="3" t="s">
        <v>6043</v>
      </c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 t="s">
        <v>6044</v>
      </c>
      <c r="AL1545" s="4">
        <v>42055</v>
      </c>
      <c r="AM1545" s="3"/>
      <c r="AN1545" s="3" t="s">
        <v>291</v>
      </c>
    </row>
    <row r="1546" spans="1:40" x14ac:dyDescent="0.3">
      <c r="A1546" s="3">
        <v>1540</v>
      </c>
      <c r="B1546" s="3" t="str">
        <f>"1316212"</f>
        <v>1316212</v>
      </c>
      <c r="C1546" s="3">
        <v>15474</v>
      </c>
      <c r="D1546" s="3" t="s">
        <v>6045</v>
      </c>
      <c r="E1546" s="3">
        <v>20100366747</v>
      </c>
      <c r="F1546" s="3" t="s">
        <v>258</v>
      </c>
      <c r="G1546" s="3" t="s">
        <v>1055</v>
      </c>
      <c r="H1546" s="3" t="s">
        <v>56</v>
      </c>
      <c r="I1546" s="3" t="s">
        <v>56</v>
      </c>
      <c r="J1546" s="3" t="s">
        <v>185</v>
      </c>
      <c r="K1546" s="3" t="s">
        <v>6046</v>
      </c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 t="s">
        <v>118</v>
      </c>
      <c r="AL1546" s="4">
        <v>36990</v>
      </c>
      <c r="AM1546" s="3"/>
      <c r="AN1546" s="3"/>
    </row>
    <row r="1547" spans="1:40" x14ac:dyDescent="0.3">
      <c r="A1547" s="3">
        <v>1541</v>
      </c>
      <c r="B1547" s="3" t="str">
        <f>"1491730"</f>
        <v>1491730</v>
      </c>
      <c r="C1547" s="3">
        <v>92916</v>
      </c>
      <c r="D1547" s="3" t="s">
        <v>6047</v>
      </c>
      <c r="E1547" s="3">
        <v>10438858089</v>
      </c>
      <c r="F1547" s="3" t="s">
        <v>6048</v>
      </c>
      <c r="G1547" s="3" t="s">
        <v>6049</v>
      </c>
      <c r="H1547" s="3" t="s">
        <v>97</v>
      </c>
      <c r="I1547" s="3" t="s">
        <v>97</v>
      </c>
      <c r="J1547" s="3" t="s">
        <v>341</v>
      </c>
      <c r="K1547" s="3" t="s">
        <v>6050</v>
      </c>
      <c r="L1547" s="3" t="s">
        <v>1652</v>
      </c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 t="s">
        <v>470</v>
      </c>
      <c r="AL1547" s="4">
        <v>40730</v>
      </c>
      <c r="AM1547" s="3"/>
      <c r="AN1547" s="3" t="s">
        <v>6048</v>
      </c>
    </row>
    <row r="1548" spans="1:40" ht="27.95" x14ac:dyDescent="0.3">
      <c r="A1548" s="3">
        <v>1542</v>
      </c>
      <c r="B1548" s="3" t="str">
        <f>"1323546"</f>
        <v>1323546</v>
      </c>
      <c r="C1548" s="3">
        <v>2540</v>
      </c>
      <c r="D1548" s="3" t="s">
        <v>6051</v>
      </c>
      <c r="E1548" s="3">
        <v>20210133748</v>
      </c>
      <c r="F1548" s="3" t="s">
        <v>4609</v>
      </c>
      <c r="G1548" s="3" t="s">
        <v>4610</v>
      </c>
      <c r="H1548" s="3" t="s">
        <v>56</v>
      </c>
      <c r="I1548" s="3" t="s">
        <v>56</v>
      </c>
      <c r="J1548" s="3" t="s">
        <v>63</v>
      </c>
      <c r="K1548" s="3" t="s">
        <v>6052</v>
      </c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 t="s">
        <v>634</v>
      </c>
      <c r="AL1548" s="4">
        <v>37064</v>
      </c>
      <c r="AM1548" s="3"/>
      <c r="AN1548" s="3"/>
    </row>
    <row r="1549" spans="1:40" x14ac:dyDescent="0.3">
      <c r="A1549" s="3">
        <v>1543</v>
      </c>
      <c r="B1549" s="3" t="str">
        <f>"201800214985"</f>
        <v>201800214985</v>
      </c>
      <c r="C1549" s="3">
        <v>140543</v>
      </c>
      <c r="D1549" s="3" t="s">
        <v>6053</v>
      </c>
      <c r="E1549" s="3">
        <v>10734485247</v>
      </c>
      <c r="F1549" s="3" t="s">
        <v>6054</v>
      </c>
      <c r="G1549" s="3" t="s">
        <v>6055</v>
      </c>
      <c r="H1549" s="3" t="s">
        <v>1208</v>
      </c>
      <c r="I1549" s="3" t="s">
        <v>1209</v>
      </c>
      <c r="J1549" s="3" t="s">
        <v>1209</v>
      </c>
      <c r="K1549" s="3" t="s">
        <v>6056</v>
      </c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 t="s">
        <v>1812</v>
      </c>
      <c r="AL1549" s="4">
        <v>43493</v>
      </c>
      <c r="AM1549" s="3"/>
      <c r="AN1549" s="3" t="s">
        <v>6054</v>
      </c>
    </row>
    <row r="1550" spans="1:40" x14ac:dyDescent="0.3">
      <c r="A1550" s="3">
        <v>1544</v>
      </c>
      <c r="B1550" s="3" t="str">
        <f>"1440095"</f>
        <v>1440095</v>
      </c>
      <c r="C1550" s="3">
        <v>89107</v>
      </c>
      <c r="D1550" s="3" t="s">
        <v>6057</v>
      </c>
      <c r="E1550" s="3">
        <v>10100735429</v>
      </c>
      <c r="F1550" s="3" t="s">
        <v>6058</v>
      </c>
      <c r="G1550" s="3" t="s">
        <v>6059</v>
      </c>
      <c r="H1550" s="3" t="s">
        <v>56</v>
      </c>
      <c r="I1550" s="3" t="s">
        <v>56</v>
      </c>
      <c r="J1550" s="3" t="s">
        <v>529</v>
      </c>
      <c r="K1550" s="3" t="s">
        <v>6060</v>
      </c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 t="s">
        <v>906</v>
      </c>
      <c r="AL1550" s="4">
        <v>40490</v>
      </c>
      <c r="AM1550" s="3"/>
      <c r="AN1550" s="3" t="s">
        <v>6058</v>
      </c>
    </row>
    <row r="1551" spans="1:40" x14ac:dyDescent="0.3">
      <c r="A1551" s="3">
        <v>1545</v>
      </c>
      <c r="B1551" s="3" t="str">
        <f>"201500008671"</f>
        <v>201500008671</v>
      </c>
      <c r="C1551" s="3">
        <v>94132</v>
      </c>
      <c r="D1551" s="3" t="s">
        <v>6061</v>
      </c>
      <c r="E1551" s="3">
        <v>20349264413</v>
      </c>
      <c r="F1551" s="3" t="s">
        <v>287</v>
      </c>
      <c r="G1551" s="3" t="s">
        <v>288</v>
      </c>
      <c r="H1551" s="3" t="s">
        <v>56</v>
      </c>
      <c r="I1551" s="3" t="s">
        <v>56</v>
      </c>
      <c r="J1551" s="3" t="s">
        <v>105</v>
      </c>
      <c r="K1551" s="3" t="s">
        <v>6062</v>
      </c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 t="s">
        <v>6044</v>
      </c>
      <c r="AL1551" s="4">
        <v>42055</v>
      </c>
      <c r="AM1551" s="3"/>
      <c r="AN1551" s="3" t="s">
        <v>291</v>
      </c>
    </row>
    <row r="1552" spans="1:40" x14ac:dyDescent="0.3">
      <c r="A1552" s="3">
        <v>1546</v>
      </c>
      <c r="B1552" s="3" t="str">
        <f>"1297033"</f>
        <v>1297033</v>
      </c>
      <c r="C1552" s="3">
        <v>19686</v>
      </c>
      <c r="D1552" s="3" t="s">
        <v>6063</v>
      </c>
      <c r="E1552" s="3">
        <v>10066096730</v>
      </c>
      <c r="F1552" s="3" t="s">
        <v>6064</v>
      </c>
      <c r="G1552" s="3" t="s">
        <v>6065</v>
      </c>
      <c r="H1552" s="3" t="s">
        <v>446</v>
      </c>
      <c r="I1552" s="3" t="s">
        <v>6066</v>
      </c>
      <c r="J1552" s="3" t="s">
        <v>6066</v>
      </c>
      <c r="K1552" s="3" t="s">
        <v>6067</v>
      </c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 t="s">
        <v>52</v>
      </c>
      <c r="AL1552" s="4">
        <v>36784</v>
      </c>
      <c r="AM1552" s="3"/>
      <c r="AN1552" s="3"/>
    </row>
    <row r="1553" spans="1:40" x14ac:dyDescent="0.3">
      <c r="A1553" s="3">
        <v>1547</v>
      </c>
      <c r="B1553" s="3" t="str">
        <f>"1403926"</f>
        <v>1403926</v>
      </c>
      <c r="C1553" s="3">
        <v>34362</v>
      </c>
      <c r="D1553" s="3" t="s">
        <v>6068</v>
      </c>
      <c r="E1553" s="3">
        <v>20476335672</v>
      </c>
      <c r="F1553" s="3" t="s">
        <v>4637</v>
      </c>
      <c r="G1553" s="3" t="s">
        <v>6069</v>
      </c>
      <c r="H1553" s="3" t="s">
        <v>75</v>
      </c>
      <c r="I1553" s="3" t="s">
        <v>75</v>
      </c>
      <c r="J1553" s="3" t="s">
        <v>4639</v>
      </c>
      <c r="K1553" s="3" t="s">
        <v>6070</v>
      </c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 t="s">
        <v>81</v>
      </c>
      <c r="AL1553" s="4">
        <v>37732</v>
      </c>
      <c r="AM1553" s="3"/>
      <c r="AN1553" s="3"/>
    </row>
    <row r="1554" spans="1:40" x14ac:dyDescent="0.3">
      <c r="A1554" s="3">
        <v>1548</v>
      </c>
      <c r="B1554" s="3" t="str">
        <f>"1403924"</f>
        <v>1403924</v>
      </c>
      <c r="C1554" s="3">
        <v>34395</v>
      </c>
      <c r="D1554" s="3" t="s">
        <v>6071</v>
      </c>
      <c r="E1554" s="3">
        <v>20476335672</v>
      </c>
      <c r="F1554" s="3" t="s">
        <v>4637</v>
      </c>
      <c r="G1554" s="3" t="s">
        <v>6069</v>
      </c>
      <c r="H1554" s="3" t="s">
        <v>75</v>
      </c>
      <c r="I1554" s="3" t="s">
        <v>75</v>
      </c>
      <c r="J1554" s="3" t="s">
        <v>4639</v>
      </c>
      <c r="K1554" s="3" t="s">
        <v>6072</v>
      </c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 t="s">
        <v>81</v>
      </c>
      <c r="AL1554" s="4">
        <v>37732</v>
      </c>
      <c r="AM1554" s="3"/>
      <c r="AN1554" s="3"/>
    </row>
    <row r="1555" spans="1:40" x14ac:dyDescent="0.3">
      <c r="A1555" s="3">
        <v>1549</v>
      </c>
      <c r="B1555" s="3" t="str">
        <f>"201800124349"</f>
        <v>201800124349</v>
      </c>
      <c r="C1555" s="3">
        <v>137727</v>
      </c>
      <c r="D1555" s="3" t="s">
        <v>6073</v>
      </c>
      <c r="E1555" s="3">
        <v>10224183891</v>
      </c>
      <c r="F1555" s="3" t="s">
        <v>6074</v>
      </c>
      <c r="G1555" s="3" t="s">
        <v>6075</v>
      </c>
      <c r="H1555" s="3" t="s">
        <v>395</v>
      </c>
      <c r="I1555" s="3" t="s">
        <v>396</v>
      </c>
      <c r="J1555" s="3" t="s">
        <v>6076</v>
      </c>
      <c r="K1555" s="3" t="s">
        <v>6077</v>
      </c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 t="s">
        <v>906</v>
      </c>
      <c r="AL1555" s="4">
        <v>43453</v>
      </c>
      <c r="AM1555" s="3"/>
      <c r="AN1555" s="3" t="s">
        <v>6074</v>
      </c>
    </row>
    <row r="1556" spans="1:40" x14ac:dyDescent="0.3">
      <c r="A1556" s="3">
        <v>1550</v>
      </c>
      <c r="B1556" s="3" t="str">
        <f>"201500021663"</f>
        <v>201500021663</v>
      </c>
      <c r="C1556" s="3">
        <v>43098</v>
      </c>
      <c r="D1556" s="3" t="s">
        <v>6078</v>
      </c>
      <c r="E1556" s="3">
        <v>20554545743</v>
      </c>
      <c r="F1556" s="3" t="s">
        <v>2029</v>
      </c>
      <c r="G1556" s="3" t="s">
        <v>2120</v>
      </c>
      <c r="H1556" s="3" t="s">
        <v>56</v>
      </c>
      <c r="I1556" s="3" t="s">
        <v>56</v>
      </c>
      <c r="J1556" s="3" t="s">
        <v>313</v>
      </c>
      <c r="K1556" s="3" t="s">
        <v>6079</v>
      </c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 t="s">
        <v>2045</v>
      </c>
      <c r="AL1556" s="4">
        <v>42086</v>
      </c>
      <c r="AM1556" s="3"/>
      <c r="AN1556" s="3" t="s">
        <v>1262</v>
      </c>
    </row>
    <row r="1557" spans="1:40" x14ac:dyDescent="0.3">
      <c r="A1557" s="3">
        <v>1551</v>
      </c>
      <c r="B1557" s="3" t="str">
        <f>"1403923"</f>
        <v>1403923</v>
      </c>
      <c r="C1557" s="3">
        <v>34451</v>
      </c>
      <c r="D1557" s="3" t="s">
        <v>6080</v>
      </c>
      <c r="E1557" s="3">
        <v>20476335672</v>
      </c>
      <c r="F1557" s="3" t="s">
        <v>4637</v>
      </c>
      <c r="G1557" s="3" t="s">
        <v>6069</v>
      </c>
      <c r="H1557" s="3" t="s">
        <v>75</v>
      </c>
      <c r="I1557" s="3" t="s">
        <v>75</v>
      </c>
      <c r="J1557" s="3" t="s">
        <v>4639</v>
      </c>
      <c r="K1557" s="3" t="s">
        <v>6081</v>
      </c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 t="s">
        <v>634</v>
      </c>
      <c r="AL1557" s="4">
        <v>37697</v>
      </c>
      <c r="AM1557" s="3"/>
      <c r="AN1557" s="3"/>
    </row>
    <row r="1558" spans="1:40" x14ac:dyDescent="0.3">
      <c r="A1558" s="3">
        <v>1552</v>
      </c>
      <c r="B1558" s="3" t="str">
        <f>"1208834"</f>
        <v>1208834</v>
      </c>
      <c r="C1558" s="3">
        <v>14504</v>
      </c>
      <c r="D1558" s="3">
        <v>1203487</v>
      </c>
      <c r="E1558" s="3">
        <v>20404567595</v>
      </c>
      <c r="F1558" s="3" t="s">
        <v>4585</v>
      </c>
      <c r="G1558" s="3" t="s">
        <v>4586</v>
      </c>
      <c r="H1558" s="3" t="s">
        <v>89</v>
      </c>
      <c r="I1558" s="3" t="s">
        <v>89</v>
      </c>
      <c r="J1558" s="3" t="s">
        <v>89</v>
      </c>
      <c r="K1558" s="3" t="s">
        <v>6082</v>
      </c>
      <c r="L1558" s="3" t="s">
        <v>6083</v>
      </c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 t="s">
        <v>1087</v>
      </c>
      <c r="AL1558" s="4">
        <v>36096</v>
      </c>
      <c r="AM1558" s="3"/>
      <c r="AN1558" s="3"/>
    </row>
    <row r="1559" spans="1:40" x14ac:dyDescent="0.3">
      <c r="A1559" s="3">
        <v>1553</v>
      </c>
      <c r="B1559" s="3" t="str">
        <f>"201900105447"</f>
        <v>201900105447</v>
      </c>
      <c r="C1559" s="3">
        <v>144990</v>
      </c>
      <c r="D1559" s="3" t="s">
        <v>6084</v>
      </c>
      <c r="E1559" s="3">
        <v>20600440412</v>
      </c>
      <c r="F1559" s="3" t="s">
        <v>6085</v>
      </c>
      <c r="G1559" s="3" t="s">
        <v>6086</v>
      </c>
      <c r="H1559" s="3" t="s">
        <v>237</v>
      </c>
      <c r="I1559" s="3" t="s">
        <v>868</v>
      </c>
      <c r="J1559" s="3" t="s">
        <v>868</v>
      </c>
      <c r="K1559" s="3" t="s">
        <v>6087</v>
      </c>
      <c r="L1559" s="3" t="s">
        <v>6088</v>
      </c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 t="s">
        <v>3382</v>
      </c>
      <c r="AL1559" s="4">
        <v>44126</v>
      </c>
      <c r="AM1559" s="3"/>
      <c r="AN1559" s="3" t="s">
        <v>5481</v>
      </c>
    </row>
    <row r="1560" spans="1:40" x14ac:dyDescent="0.3">
      <c r="A1560" s="3">
        <v>1554</v>
      </c>
      <c r="B1560" s="3" t="str">
        <f>"201800207529"</f>
        <v>201800207529</v>
      </c>
      <c r="C1560" s="3">
        <v>103262</v>
      </c>
      <c r="D1560" s="3" t="s">
        <v>6089</v>
      </c>
      <c r="E1560" s="3">
        <v>20602096301</v>
      </c>
      <c r="F1560" s="3" t="s">
        <v>6090</v>
      </c>
      <c r="G1560" s="3" t="s">
        <v>6091</v>
      </c>
      <c r="H1560" s="3" t="s">
        <v>50</v>
      </c>
      <c r="I1560" s="3" t="s">
        <v>6092</v>
      </c>
      <c r="J1560" s="3" t="s">
        <v>6093</v>
      </c>
      <c r="K1560" s="3" t="s">
        <v>6094</v>
      </c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 t="s">
        <v>218</v>
      </c>
      <c r="AL1560" s="4">
        <v>43455</v>
      </c>
      <c r="AM1560" s="3"/>
      <c r="AN1560" s="3" t="s">
        <v>6095</v>
      </c>
    </row>
    <row r="1561" spans="1:40" x14ac:dyDescent="0.3">
      <c r="A1561" s="3">
        <v>1555</v>
      </c>
      <c r="B1561" s="3" t="str">
        <f>"1428654"</f>
        <v>1428654</v>
      </c>
      <c r="C1561" s="3">
        <v>89182</v>
      </c>
      <c r="D1561" s="3" t="s">
        <v>6096</v>
      </c>
      <c r="E1561" s="3">
        <v>20525521509</v>
      </c>
      <c r="F1561" s="3" t="s">
        <v>189</v>
      </c>
      <c r="G1561" s="3" t="s">
        <v>190</v>
      </c>
      <c r="H1561" s="3" t="s">
        <v>50</v>
      </c>
      <c r="I1561" s="3" t="s">
        <v>50</v>
      </c>
      <c r="J1561" s="3" t="s">
        <v>98</v>
      </c>
      <c r="K1561" s="3" t="s">
        <v>6097</v>
      </c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 t="s">
        <v>300</v>
      </c>
      <c r="AL1561" s="4">
        <v>40470</v>
      </c>
      <c r="AM1561" s="3"/>
      <c r="AN1561" s="3" t="s">
        <v>885</v>
      </c>
    </row>
    <row r="1562" spans="1:40" x14ac:dyDescent="0.3">
      <c r="A1562" s="3">
        <v>1556</v>
      </c>
      <c r="B1562" s="3" t="str">
        <f>"1310422"</f>
        <v>1310422</v>
      </c>
      <c r="C1562" s="3">
        <v>15472</v>
      </c>
      <c r="D1562" s="3" t="s">
        <v>6098</v>
      </c>
      <c r="E1562" s="3">
        <v>20100366747</v>
      </c>
      <c r="F1562" s="3" t="s">
        <v>258</v>
      </c>
      <c r="G1562" s="3" t="s">
        <v>1055</v>
      </c>
      <c r="H1562" s="3" t="s">
        <v>56</v>
      </c>
      <c r="I1562" s="3" t="s">
        <v>56</v>
      </c>
      <c r="J1562" s="3" t="s">
        <v>185</v>
      </c>
      <c r="K1562" s="3" t="s">
        <v>6099</v>
      </c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 t="s">
        <v>546</v>
      </c>
      <c r="AL1562" s="4">
        <v>36938</v>
      </c>
      <c r="AM1562" s="3"/>
      <c r="AN1562" s="3"/>
    </row>
    <row r="1563" spans="1:40" x14ac:dyDescent="0.3">
      <c r="A1563" s="3">
        <v>1557</v>
      </c>
      <c r="B1563" s="3" t="str">
        <f>"1310421"</f>
        <v>1310421</v>
      </c>
      <c r="C1563" s="3">
        <v>15473</v>
      </c>
      <c r="D1563" s="3" t="s">
        <v>6100</v>
      </c>
      <c r="E1563" s="3">
        <v>20100366747</v>
      </c>
      <c r="F1563" s="3" t="s">
        <v>258</v>
      </c>
      <c r="G1563" s="3" t="s">
        <v>1055</v>
      </c>
      <c r="H1563" s="3" t="s">
        <v>56</v>
      </c>
      <c r="I1563" s="3" t="s">
        <v>56</v>
      </c>
      <c r="J1563" s="3" t="s">
        <v>185</v>
      </c>
      <c r="K1563" s="3" t="s">
        <v>6101</v>
      </c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 t="s">
        <v>546</v>
      </c>
      <c r="AL1563" s="4">
        <v>36938</v>
      </c>
      <c r="AM1563" s="3"/>
      <c r="AN1563" s="3"/>
    </row>
    <row r="1564" spans="1:40" x14ac:dyDescent="0.3">
      <c r="A1564" s="3">
        <v>1558</v>
      </c>
      <c r="B1564" s="3" t="str">
        <f>"1310423"</f>
        <v>1310423</v>
      </c>
      <c r="C1564" s="3">
        <v>15834</v>
      </c>
      <c r="D1564" s="3" t="s">
        <v>6102</v>
      </c>
      <c r="E1564" s="3">
        <v>20100366747</v>
      </c>
      <c r="F1564" s="3" t="s">
        <v>258</v>
      </c>
      <c r="G1564" s="3" t="s">
        <v>1055</v>
      </c>
      <c r="H1564" s="3" t="s">
        <v>56</v>
      </c>
      <c r="I1564" s="3" t="s">
        <v>56</v>
      </c>
      <c r="J1564" s="3" t="s">
        <v>185</v>
      </c>
      <c r="K1564" s="3" t="s">
        <v>6103</v>
      </c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 t="s">
        <v>1341</v>
      </c>
      <c r="AL1564" s="4">
        <v>36938</v>
      </c>
      <c r="AM1564" s="3"/>
      <c r="AN1564" s="3"/>
    </row>
    <row r="1565" spans="1:40" x14ac:dyDescent="0.3">
      <c r="A1565" s="3">
        <v>1559</v>
      </c>
      <c r="B1565" s="3" t="str">
        <f>"1310426"</f>
        <v>1310426</v>
      </c>
      <c r="C1565" s="3">
        <v>19461</v>
      </c>
      <c r="D1565" s="3" t="s">
        <v>6104</v>
      </c>
      <c r="E1565" s="3">
        <v>20100366747</v>
      </c>
      <c r="F1565" s="3" t="s">
        <v>258</v>
      </c>
      <c r="G1565" s="3" t="s">
        <v>1055</v>
      </c>
      <c r="H1565" s="3" t="s">
        <v>56</v>
      </c>
      <c r="I1565" s="3" t="s">
        <v>56</v>
      </c>
      <c r="J1565" s="3" t="s">
        <v>185</v>
      </c>
      <c r="K1565" s="3" t="s">
        <v>6105</v>
      </c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 t="s">
        <v>2781</v>
      </c>
      <c r="AL1565" s="4">
        <v>36938</v>
      </c>
      <c r="AM1565" s="3"/>
      <c r="AN1565" s="3"/>
    </row>
    <row r="1566" spans="1:40" x14ac:dyDescent="0.3">
      <c r="A1566" s="3">
        <v>1560</v>
      </c>
      <c r="B1566" s="3" t="str">
        <f>"1310425"</f>
        <v>1310425</v>
      </c>
      <c r="C1566" s="3">
        <v>19458</v>
      </c>
      <c r="D1566" s="3" t="s">
        <v>6106</v>
      </c>
      <c r="E1566" s="3">
        <v>20100366747</v>
      </c>
      <c r="F1566" s="3" t="s">
        <v>258</v>
      </c>
      <c r="G1566" s="3" t="s">
        <v>1055</v>
      </c>
      <c r="H1566" s="3" t="s">
        <v>56</v>
      </c>
      <c r="I1566" s="3" t="s">
        <v>56</v>
      </c>
      <c r="J1566" s="3" t="s">
        <v>185</v>
      </c>
      <c r="K1566" s="3" t="s">
        <v>6107</v>
      </c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 t="s">
        <v>1341</v>
      </c>
      <c r="AL1566" s="4">
        <v>36938</v>
      </c>
      <c r="AM1566" s="3"/>
      <c r="AN1566" s="3"/>
    </row>
    <row r="1567" spans="1:40" x14ac:dyDescent="0.3">
      <c r="A1567" s="3">
        <v>1561</v>
      </c>
      <c r="B1567" s="3" t="str">
        <f>"1900554"</f>
        <v>1900554</v>
      </c>
      <c r="C1567" s="3">
        <v>21277</v>
      </c>
      <c r="D1567" s="3" t="s">
        <v>6108</v>
      </c>
      <c r="E1567" s="3">
        <v>20100873681</v>
      </c>
      <c r="F1567" s="3" t="s">
        <v>1241</v>
      </c>
      <c r="G1567" s="3" t="s">
        <v>1047</v>
      </c>
      <c r="H1567" s="3" t="s">
        <v>56</v>
      </c>
      <c r="I1567" s="3" t="s">
        <v>56</v>
      </c>
      <c r="J1567" s="3" t="s">
        <v>715</v>
      </c>
      <c r="K1567" s="3" t="s">
        <v>6109</v>
      </c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 t="s">
        <v>2898</v>
      </c>
      <c r="AL1567" s="4">
        <v>39997</v>
      </c>
      <c r="AM1567" s="3"/>
      <c r="AN1567" s="3"/>
    </row>
    <row r="1568" spans="1:40" x14ac:dyDescent="0.3">
      <c r="A1568" s="3">
        <v>1562</v>
      </c>
      <c r="B1568" s="3" t="str">
        <f>"1720266"</f>
        <v>1720266</v>
      </c>
      <c r="C1568" s="3">
        <v>20592</v>
      </c>
      <c r="D1568" s="3" t="s">
        <v>6110</v>
      </c>
      <c r="E1568" s="3">
        <v>10192055992</v>
      </c>
      <c r="F1568" s="3" t="s">
        <v>6111</v>
      </c>
      <c r="G1568" s="3" t="s">
        <v>6112</v>
      </c>
      <c r="H1568" s="3" t="s">
        <v>318</v>
      </c>
      <c r="I1568" s="3" t="s">
        <v>319</v>
      </c>
      <c r="J1568" s="3" t="s">
        <v>319</v>
      </c>
      <c r="K1568" s="3" t="s">
        <v>6113</v>
      </c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 t="s">
        <v>2587</v>
      </c>
      <c r="AL1568" s="4">
        <v>39321</v>
      </c>
      <c r="AM1568" s="3"/>
      <c r="AN1568" s="3"/>
    </row>
    <row r="1569" spans="1:40" x14ac:dyDescent="0.3">
      <c r="A1569" s="3">
        <v>1563</v>
      </c>
      <c r="B1569" s="3" t="str">
        <f>"201500021679"</f>
        <v>201500021679</v>
      </c>
      <c r="C1569" s="3">
        <v>60951</v>
      </c>
      <c r="D1569" s="3" t="s">
        <v>6114</v>
      </c>
      <c r="E1569" s="3">
        <v>20100082714</v>
      </c>
      <c r="F1569" s="3" t="s">
        <v>2020</v>
      </c>
      <c r="G1569" s="3" t="s">
        <v>2120</v>
      </c>
      <c r="H1569" s="3" t="s">
        <v>56</v>
      </c>
      <c r="I1569" s="3" t="s">
        <v>56</v>
      </c>
      <c r="J1569" s="3" t="s">
        <v>313</v>
      </c>
      <c r="K1569" s="3" t="s">
        <v>6115</v>
      </c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 t="s">
        <v>230</v>
      </c>
      <c r="AL1569" s="3" t="s">
        <v>290</v>
      </c>
      <c r="AM1569" s="3"/>
      <c r="AN1569" s="3" t="s">
        <v>1262</v>
      </c>
    </row>
    <row r="1570" spans="1:40" x14ac:dyDescent="0.3">
      <c r="A1570" s="3">
        <v>1564</v>
      </c>
      <c r="B1570" s="3" t="str">
        <f>"201500008662"</f>
        <v>201500008662</v>
      </c>
      <c r="C1570" s="3">
        <v>86916</v>
      </c>
      <c r="D1570" s="3" t="s">
        <v>6116</v>
      </c>
      <c r="E1570" s="3">
        <v>20349264413</v>
      </c>
      <c r="F1570" s="3" t="s">
        <v>287</v>
      </c>
      <c r="G1570" s="3" t="s">
        <v>288</v>
      </c>
      <c r="H1570" s="3" t="s">
        <v>56</v>
      </c>
      <c r="I1570" s="3" t="s">
        <v>56</v>
      </c>
      <c r="J1570" s="3" t="s">
        <v>105</v>
      </c>
      <c r="K1570" s="3" t="s">
        <v>6117</v>
      </c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 t="s">
        <v>6041</v>
      </c>
      <c r="AL1570" s="4">
        <v>42055</v>
      </c>
      <c r="AM1570" s="3"/>
      <c r="AN1570" s="3" t="s">
        <v>291</v>
      </c>
    </row>
    <row r="1571" spans="1:40" x14ac:dyDescent="0.3">
      <c r="A1571" s="3">
        <v>1565</v>
      </c>
      <c r="B1571" s="3" t="str">
        <f>"1863421"</f>
        <v>1863421</v>
      </c>
      <c r="C1571" s="3">
        <v>82737</v>
      </c>
      <c r="D1571" s="3" t="s">
        <v>6118</v>
      </c>
      <c r="E1571" s="3">
        <v>20121837634</v>
      </c>
      <c r="F1571" s="3" t="s">
        <v>866</v>
      </c>
      <c r="G1571" s="3" t="s">
        <v>1624</v>
      </c>
      <c r="H1571" s="3" t="s">
        <v>237</v>
      </c>
      <c r="I1571" s="3" t="s">
        <v>868</v>
      </c>
      <c r="J1571" s="3" t="s">
        <v>869</v>
      </c>
      <c r="K1571" s="3" t="s">
        <v>6119</v>
      </c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 t="s">
        <v>192</v>
      </c>
      <c r="AL1571" s="4">
        <v>39855</v>
      </c>
      <c r="AM1571" s="3"/>
      <c r="AN1571" s="3"/>
    </row>
    <row r="1572" spans="1:40" x14ac:dyDescent="0.3">
      <c r="A1572" s="3">
        <v>1566</v>
      </c>
      <c r="B1572" s="3" t="str">
        <f>"1282596"</f>
        <v>1282596</v>
      </c>
      <c r="C1572" s="3">
        <v>19607</v>
      </c>
      <c r="D1572" s="3">
        <v>990816</v>
      </c>
      <c r="E1572" s="3">
        <v>10254790881</v>
      </c>
      <c r="F1572" s="3" t="s">
        <v>6120</v>
      </c>
      <c r="G1572" s="3" t="s">
        <v>6121</v>
      </c>
      <c r="H1572" s="3" t="s">
        <v>56</v>
      </c>
      <c r="I1572" s="3" t="s">
        <v>56</v>
      </c>
      <c r="J1572" s="3" t="s">
        <v>277</v>
      </c>
      <c r="K1572" s="3" t="s">
        <v>6122</v>
      </c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 t="s">
        <v>634</v>
      </c>
      <c r="AL1572" s="4">
        <v>36698</v>
      </c>
      <c r="AM1572" s="3"/>
      <c r="AN1572" s="3"/>
    </row>
    <row r="1573" spans="1:40" x14ac:dyDescent="0.3">
      <c r="A1573" s="3">
        <v>1567</v>
      </c>
      <c r="B1573" s="3" t="str">
        <f>"1754699"</f>
        <v>1754699</v>
      </c>
      <c r="C1573" s="3">
        <v>61061</v>
      </c>
      <c r="D1573" s="3" t="s">
        <v>6123</v>
      </c>
      <c r="E1573" s="3">
        <v>10211337279</v>
      </c>
      <c r="F1573" s="3" t="s">
        <v>6124</v>
      </c>
      <c r="G1573" s="3" t="s">
        <v>6125</v>
      </c>
      <c r="H1573" s="3" t="s">
        <v>237</v>
      </c>
      <c r="I1573" s="3" t="s">
        <v>2842</v>
      </c>
      <c r="J1573" s="3" t="s">
        <v>2842</v>
      </c>
      <c r="K1573" s="3" t="s">
        <v>6126</v>
      </c>
      <c r="L1573" s="3" t="s">
        <v>6127</v>
      </c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 t="s">
        <v>306</v>
      </c>
      <c r="AL1573" s="4">
        <v>39468</v>
      </c>
      <c r="AM1573" s="3"/>
      <c r="AN1573" s="3"/>
    </row>
    <row r="1574" spans="1:40" x14ac:dyDescent="0.3">
      <c r="A1574" s="3">
        <v>1568</v>
      </c>
      <c r="B1574" s="3" t="str">
        <f>"1863414"</f>
        <v>1863414</v>
      </c>
      <c r="C1574" s="3">
        <v>82733</v>
      </c>
      <c r="D1574" s="3" t="s">
        <v>6128</v>
      </c>
      <c r="E1574" s="3">
        <v>20121837634</v>
      </c>
      <c r="F1574" s="3" t="s">
        <v>866</v>
      </c>
      <c r="G1574" s="3" t="s">
        <v>1624</v>
      </c>
      <c r="H1574" s="3" t="s">
        <v>237</v>
      </c>
      <c r="I1574" s="3" t="s">
        <v>868</v>
      </c>
      <c r="J1574" s="3" t="s">
        <v>869</v>
      </c>
      <c r="K1574" s="3" t="s">
        <v>6129</v>
      </c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 t="s">
        <v>192</v>
      </c>
      <c r="AL1574" s="4">
        <v>39855</v>
      </c>
      <c r="AM1574" s="3"/>
      <c r="AN1574" s="3"/>
    </row>
    <row r="1575" spans="1:40" x14ac:dyDescent="0.3">
      <c r="A1575" s="3">
        <v>1569</v>
      </c>
      <c r="B1575" s="3" t="str">
        <f>"1316230"</f>
        <v>1316230</v>
      </c>
      <c r="C1575" s="3">
        <v>3434</v>
      </c>
      <c r="D1575" s="3" t="s">
        <v>6130</v>
      </c>
      <c r="E1575" s="3">
        <v>20100366747</v>
      </c>
      <c r="F1575" s="3" t="s">
        <v>258</v>
      </c>
      <c r="G1575" s="3" t="s">
        <v>1055</v>
      </c>
      <c r="H1575" s="3" t="s">
        <v>56</v>
      </c>
      <c r="I1575" s="3" t="s">
        <v>56</v>
      </c>
      <c r="J1575" s="3" t="s">
        <v>185</v>
      </c>
      <c r="K1575" s="3" t="s">
        <v>6131</v>
      </c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 t="s">
        <v>65</v>
      </c>
      <c r="AL1575" s="4">
        <v>36990</v>
      </c>
      <c r="AM1575" s="3"/>
      <c r="AN1575" s="3"/>
    </row>
    <row r="1576" spans="1:40" x14ac:dyDescent="0.3">
      <c r="A1576" s="3">
        <v>1570</v>
      </c>
      <c r="B1576" s="3" t="str">
        <f>"201500109066"</f>
        <v>201500109066</v>
      </c>
      <c r="C1576" s="3">
        <v>117019</v>
      </c>
      <c r="D1576" s="3" t="s">
        <v>6132</v>
      </c>
      <c r="E1576" s="3">
        <v>20558005026</v>
      </c>
      <c r="F1576" s="3" t="s">
        <v>6133</v>
      </c>
      <c r="G1576" s="3" t="s">
        <v>6134</v>
      </c>
      <c r="H1576" s="3" t="s">
        <v>97</v>
      </c>
      <c r="I1576" s="3" t="s">
        <v>97</v>
      </c>
      <c r="J1576" s="3" t="s">
        <v>144</v>
      </c>
      <c r="K1576" s="3" t="s">
        <v>6135</v>
      </c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 t="s">
        <v>65</v>
      </c>
      <c r="AL1576" s="4">
        <v>42255</v>
      </c>
      <c r="AM1576" s="3"/>
      <c r="AN1576" s="3" t="s">
        <v>6136</v>
      </c>
    </row>
    <row r="1577" spans="1:40" x14ac:dyDescent="0.3">
      <c r="A1577" s="3">
        <v>1571</v>
      </c>
      <c r="B1577" s="3" t="str">
        <f>"201800061021"</f>
        <v>201800061021</v>
      </c>
      <c r="C1577" s="3">
        <v>134291</v>
      </c>
      <c r="D1577" s="3" t="s">
        <v>6137</v>
      </c>
      <c r="E1577" s="3">
        <v>20480162600</v>
      </c>
      <c r="F1577" s="3" t="s">
        <v>2567</v>
      </c>
      <c r="G1577" s="3" t="s">
        <v>2568</v>
      </c>
      <c r="H1577" s="3" t="s">
        <v>357</v>
      </c>
      <c r="I1577" s="3" t="s">
        <v>2569</v>
      </c>
      <c r="J1577" s="3" t="s">
        <v>2569</v>
      </c>
      <c r="K1577" s="3" t="s">
        <v>6138</v>
      </c>
      <c r="L1577" s="3" t="s">
        <v>6139</v>
      </c>
      <c r="M1577" s="3" t="s">
        <v>6140</v>
      </c>
      <c r="N1577" s="3" t="s">
        <v>6141</v>
      </c>
      <c r="O1577" s="3" t="s">
        <v>6142</v>
      </c>
      <c r="P1577" s="3" t="s">
        <v>6143</v>
      </c>
      <c r="Q1577" s="3" t="s">
        <v>6144</v>
      </c>
      <c r="R1577" s="3" t="s">
        <v>6145</v>
      </c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 t="s">
        <v>6146</v>
      </c>
      <c r="AL1577" s="4">
        <v>43207</v>
      </c>
      <c r="AM1577" s="3"/>
      <c r="AN1577" s="3" t="s">
        <v>2572</v>
      </c>
    </row>
    <row r="1578" spans="1:40" x14ac:dyDescent="0.3">
      <c r="A1578" s="3">
        <v>1572</v>
      </c>
      <c r="B1578" s="3" t="str">
        <f>"1392725"</f>
        <v>1392725</v>
      </c>
      <c r="C1578" s="3">
        <v>87499</v>
      </c>
      <c r="D1578" s="3" t="s">
        <v>6147</v>
      </c>
      <c r="E1578" s="3">
        <v>10083663907</v>
      </c>
      <c r="F1578" s="3" t="s">
        <v>6148</v>
      </c>
      <c r="G1578" s="3" t="s">
        <v>6149</v>
      </c>
      <c r="H1578" s="3" t="s">
        <v>386</v>
      </c>
      <c r="I1578" s="3" t="s">
        <v>387</v>
      </c>
      <c r="J1578" s="3" t="s">
        <v>2513</v>
      </c>
      <c r="K1578" s="3" t="s">
        <v>6150</v>
      </c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 t="s">
        <v>6151</v>
      </c>
      <c r="AL1578" s="4">
        <v>40401</v>
      </c>
      <c r="AM1578" s="3"/>
      <c r="AN1578" s="3" t="s">
        <v>6148</v>
      </c>
    </row>
    <row r="1579" spans="1:40" ht="27.95" x14ac:dyDescent="0.3">
      <c r="A1579" s="3">
        <v>1573</v>
      </c>
      <c r="B1579" s="3" t="str">
        <f>"201400089993"</f>
        <v>201400089993</v>
      </c>
      <c r="C1579" s="3">
        <v>110535</v>
      </c>
      <c r="D1579" s="3" t="s">
        <v>6152</v>
      </c>
      <c r="E1579" s="3">
        <v>20516822202</v>
      </c>
      <c r="F1579" s="3" t="s">
        <v>1850</v>
      </c>
      <c r="G1579" s="3" t="s">
        <v>6153</v>
      </c>
      <c r="H1579" s="3" t="s">
        <v>56</v>
      </c>
      <c r="I1579" s="3" t="s">
        <v>56</v>
      </c>
      <c r="J1579" s="3" t="s">
        <v>185</v>
      </c>
      <c r="K1579" s="3" t="s">
        <v>6154</v>
      </c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 t="s">
        <v>583</v>
      </c>
      <c r="AL1579" s="4">
        <v>41835</v>
      </c>
      <c r="AM1579" s="3"/>
      <c r="AN1579" s="3" t="s">
        <v>2748</v>
      </c>
    </row>
    <row r="1580" spans="1:40" ht="27.95" x14ac:dyDescent="0.3">
      <c r="A1580" s="3">
        <v>1574</v>
      </c>
      <c r="B1580" s="3" t="str">
        <f>"201500021680"</f>
        <v>201500021680</v>
      </c>
      <c r="C1580" s="3">
        <v>60952</v>
      </c>
      <c r="D1580" s="3" t="s">
        <v>6155</v>
      </c>
      <c r="E1580" s="3">
        <v>20554545743</v>
      </c>
      <c r="F1580" s="3" t="s">
        <v>2029</v>
      </c>
      <c r="G1580" s="3" t="s">
        <v>1260</v>
      </c>
      <c r="H1580" s="3" t="s">
        <v>56</v>
      </c>
      <c r="I1580" s="3" t="s">
        <v>56</v>
      </c>
      <c r="J1580" s="3" t="s">
        <v>313</v>
      </c>
      <c r="K1580" s="3" t="s">
        <v>6156</v>
      </c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 t="s">
        <v>230</v>
      </c>
      <c r="AL1580" s="4">
        <v>42086</v>
      </c>
      <c r="AM1580" s="3"/>
      <c r="AN1580" s="3" t="s">
        <v>1262</v>
      </c>
    </row>
    <row r="1581" spans="1:40" x14ac:dyDescent="0.3">
      <c r="A1581" s="3">
        <v>1575</v>
      </c>
      <c r="B1581" s="3" t="str">
        <f>"201200072862"</f>
        <v>201200072862</v>
      </c>
      <c r="C1581" s="3">
        <v>96972</v>
      </c>
      <c r="D1581" s="3" t="s">
        <v>6157</v>
      </c>
      <c r="E1581" s="3">
        <v>10412677744</v>
      </c>
      <c r="F1581" s="3" t="s">
        <v>2688</v>
      </c>
      <c r="G1581" s="3" t="s">
        <v>6158</v>
      </c>
      <c r="H1581" s="3" t="s">
        <v>237</v>
      </c>
      <c r="I1581" s="3" t="s">
        <v>868</v>
      </c>
      <c r="J1581" s="3" t="s">
        <v>2537</v>
      </c>
      <c r="K1581" s="3" t="s">
        <v>6159</v>
      </c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 t="s">
        <v>602</v>
      </c>
      <c r="AL1581" s="4">
        <v>41053</v>
      </c>
      <c r="AM1581" s="3"/>
      <c r="AN1581" s="3" t="s">
        <v>2688</v>
      </c>
    </row>
    <row r="1582" spans="1:40" ht="27.95" x14ac:dyDescent="0.3">
      <c r="A1582" s="3">
        <v>1576</v>
      </c>
      <c r="B1582" s="3" t="str">
        <f>"201900199516"</f>
        <v>201900199516</v>
      </c>
      <c r="C1582" s="3">
        <v>104576</v>
      </c>
      <c r="D1582" s="3" t="s">
        <v>6160</v>
      </c>
      <c r="E1582" s="3">
        <v>20605407499</v>
      </c>
      <c r="F1582" s="3" t="s">
        <v>6161</v>
      </c>
      <c r="G1582" s="3" t="s">
        <v>6162</v>
      </c>
      <c r="H1582" s="3" t="s">
        <v>446</v>
      </c>
      <c r="I1582" s="3" t="s">
        <v>895</v>
      </c>
      <c r="J1582" s="3" t="s">
        <v>896</v>
      </c>
      <c r="K1582" s="3" t="s">
        <v>6163</v>
      </c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 t="s">
        <v>3570</v>
      </c>
      <c r="AL1582" s="4">
        <v>43805</v>
      </c>
      <c r="AM1582" s="3"/>
      <c r="AN1582" s="3" t="s">
        <v>893</v>
      </c>
    </row>
    <row r="1583" spans="1:40" ht="27.95" x14ac:dyDescent="0.3">
      <c r="A1583" s="3">
        <v>1577</v>
      </c>
      <c r="B1583" s="3" t="str">
        <f>"201900024148"</f>
        <v>201900024148</v>
      </c>
      <c r="C1583" s="3">
        <v>141357</v>
      </c>
      <c r="D1583" s="3" t="s">
        <v>6164</v>
      </c>
      <c r="E1583" s="3">
        <v>20389099164</v>
      </c>
      <c r="F1583" s="3" t="s">
        <v>1227</v>
      </c>
      <c r="G1583" s="3" t="s">
        <v>4983</v>
      </c>
      <c r="H1583" s="3" t="s">
        <v>56</v>
      </c>
      <c r="I1583" s="3" t="s">
        <v>56</v>
      </c>
      <c r="J1583" s="3" t="s">
        <v>363</v>
      </c>
      <c r="K1583" s="3" t="s">
        <v>6165</v>
      </c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 t="s">
        <v>6166</v>
      </c>
      <c r="AL1583" s="4">
        <v>43514</v>
      </c>
      <c r="AM1583" s="3"/>
      <c r="AN1583" s="3" t="s">
        <v>1231</v>
      </c>
    </row>
    <row r="1584" spans="1:40" x14ac:dyDescent="0.3">
      <c r="A1584" s="3">
        <v>1578</v>
      </c>
      <c r="B1584" s="3" t="str">
        <f>"1130264"</f>
        <v>1130264</v>
      </c>
      <c r="C1584" s="3">
        <v>3371</v>
      </c>
      <c r="D1584" s="3">
        <v>1130264</v>
      </c>
      <c r="E1584" s="3">
        <v>20284608055</v>
      </c>
      <c r="F1584" s="3" t="s">
        <v>6167</v>
      </c>
      <c r="G1584" s="3" t="s">
        <v>6168</v>
      </c>
      <c r="H1584" s="3" t="s">
        <v>56</v>
      </c>
      <c r="I1584" s="3" t="s">
        <v>3997</v>
      </c>
      <c r="J1584" s="3" t="s">
        <v>3997</v>
      </c>
      <c r="K1584" s="3" t="s">
        <v>6169</v>
      </c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 t="s">
        <v>6170</v>
      </c>
      <c r="AL1584" s="4">
        <v>35599</v>
      </c>
      <c r="AM1584" s="3"/>
      <c r="AN1584" s="3"/>
    </row>
    <row r="1585" spans="1:40" x14ac:dyDescent="0.3">
      <c r="A1585" s="3">
        <v>1579</v>
      </c>
      <c r="B1585" s="3" t="str">
        <f>"201200045305"</f>
        <v>201200045305</v>
      </c>
      <c r="C1585" s="3">
        <v>94808</v>
      </c>
      <c r="D1585" s="3" t="s">
        <v>6171</v>
      </c>
      <c r="E1585" s="3">
        <v>20525521509</v>
      </c>
      <c r="F1585" s="3" t="s">
        <v>6172</v>
      </c>
      <c r="G1585" s="3" t="s">
        <v>6173</v>
      </c>
      <c r="H1585" s="3" t="s">
        <v>50</v>
      </c>
      <c r="I1585" s="3" t="s">
        <v>50</v>
      </c>
      <c r="J1585" s="3" t="s">
        <v>98</v>
      </c>
      <c r="K1585" s="3" t="s">
        <v>6174</v>
      </c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 t="s">
        <v>3628</v>
      </c>
      <c r="AL1585" s="4">
        <v>41002</v>
      </c>
      <c r="AM1585" s="3"/>
      <c r="AN1585" s="3" t="s">
        <v>885</v>
      </c>
    </row>
    <row r="1586" spans="1:40" x14ac:dyDescent="0.3">
      <c r="A1586" s="3">
        <v>1580</v>
      </c>
      <c r="B1586" s="3" t="str">
        <f>"1316226"</f>
        <v>1316226</v>
      </c>
      <c r="C1586" s="3">
        <v>2512</v>
      </c>
      <c r="D1586" s="3" t="s">
        <v>6175</v>
      </c>
      <c r="E1586" s="3">
        <v>20100366747</v>
      </c>
      <c r="F1586" s="3" t="s">
        <v>258</v>
      </c>
      <c r="G1586" s="3" t="s">
        <v>1055</v>
      </c>
      <c r="H1586" s="3" t="s">
        <v>56</v>
      </c>
      <c r="I1586" s="3" t="s">
        <v>56</v>
      </c>
      <c r="J1586" s="3" t="s">
        <v>185</v>
      </c>
      <c r="K1586" s="3" t="s">
        <v>6176</v>
      </c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 t="s">
        <v>47</v>
      </c>
      <c r="AL1586" s="4">
        <v>36990</v>
      </c>
      <c r="AM1586" s="3"/>
      <c r="AN1586" s="3"/>
    </row>
    <row r="1587" spans="1:40" x14ac:dyDescent="0.3">
      <c r="A1587" s="3">
        <v>1581</v>
      </c>
      <c r="B1587" s="3" t="str">
        <f>"1316227"</f>
        <v>1316227</v>
      </c>
      <c r="C1587" s="3">
        <v>2348</v>
      </c>
      <c r="D1587" s="3" t="s">
        <v>6177</v>
      </c>
      <c r="E1587" s="3">
        <v>20100366747</v>
      </c>
      <c r="F1587" s="3" t="s">
        <v>258</v>
      </c>
      <c r="G1587" s="3" t="s">
        <v>1055</v>
      </c>
      <c r="H1587" s="3" t="s">
        <v>56</v>
      </c>
      <c r="I1587" s="3" t="s">
        <v>56</v>
      </c>
      <c r="J1587" s="3" t="s">
        <v>185</v>
      </c>
      <c r="K1587" s="3" t="s">
        <v>6178</v>
      </c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 t="s">
        <v>1341</v>
      </c>
      <c r="AL1587" s="4">
        <v>36990</v>
      </c>
      <c r="AM1587" s="3"/>
      <c r="AN1587" s="3"/>
    </row>
    <row r="1588" spans="1:40" x14ac:dyDescent="0.3">
      <c r="A1588" s="3">
        <v>1582</v>
      </c>
      <c r="B1588" s="3" t="str">
        <f>"1104181"</f>
        <v>1104181</v>
      </c>
      <c r="C1588" s="3">
        <v>2260</v>
      </c>
      <c r="D1588" s="3">
        <v>59</v>
      </c>
      <c r="E1588" s="3">
        <v>20131321784</v>
      </c>
      <c r="F1588" s="3" t="s">
        <v>6179</v>
      </c>
      <c r="G1588" s="3" t="s">
        <v>6180</v>
      </c>
      <c r="H1588" s="3" t="s">
        <v>56</v>
      </c>
      <c r="I1588" s="3" t="s">
        <v>56</v>
      </c>
      <c r="J1588" s="3" t="s">
        <v>363</v>
      </c>
      <c r="K1588" s="3" t="s">
        <v>6181</v>
      </c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 t="s">
        <v>1812</v>
      </c>
      <c r="AL1588" s="4">
        <v>35459</v>
      </c>
      <c r="AM1588" s="3"/>
      <c r="AN1588" s="3"/>
    </row>
    <row r="1589" spans="1:40" x14ac:dyDescent="0.3">
      <c r="A1589" s="3">
        <v>1583</v>
      </c>
      <c r="B1589" s="3" t="str">
        <f>"201500021698"</f>
        <v>201500021698</v>
      </c>
      <c r="C1589" s="3">
        <v>102652</v>
      </c>
      <c r="D1589" s="3" t="s">
        <v>6182</v>
      </c>
      <c r="E1589" s="3">
        <v>20516667126</v>
      </c>
      <c r="F1589" s="3" t="s">
        <v>6183</v>
      </c>
      <c r="G1589" s="3" t="s">
        <v>6184</v>
      </c>
      <c r="H1589" s="3" t="s">
        <v>56</v>
      </c>
      <c r="I1589" s="3" t="s">
        <v>56</v>
      </c>
      <c r="J1589" s="3" t="s">
        <v>481</v>
      </c>
      <c r="K1589" s="3" t="s">
        <v>6185</v>
      </c>
      <c r="L1589" s="3" t="s">
        <v>484</v>
      </c>
      <c r="M1589" s="3" t="s">
        <v>6186</v>
      </c>
      <c r="N1589" s="3" t="s">
        <v>6187</v>
      </c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 t="s">
        <v>2659</v>
      </c>
      <c r="AL1589" s="4">
        <v>42074</v>
      </c>
      <c r="AM1589" s="3"/>
      <c r="AN1589" s="3" t="s">
        <v>2733</v>
      </c>
    </row>
    <row r="1590" spans="1:40" x14ac:dyDescent="0.3">
      <c r="A1590" s="3">
        <v>1584</v>
      </c>
      <c r="B1590" s="3" t="str">
        <f>"1941535"</f>
        <v>1941535</v>
      </c>
      <c r="C1590" s="3">
        <v>82557</v>
      </c>
      <c r="D1590" s="3" t="s">
        <v>6188</v>
      </c>
      <c r="E1590" s="3">
        <v>10418481922</v>
      </c>
      <c r="F1590" s="3" t="s">
        <v>2469</v>
      </c>
      <c r="G1590" s="3" t="s">
        <v>6189</v>
      </c>
      <c r="H1590" s="3" t="s">
        <v>222</v>
      </c>
      <c r="I1590" s="3" t="s">
        <v>223</v>
      </c>
      <c r="J1590" s="3" t="s">
        <v>224</v>
      </c>
      <c r="K1590" s="3" t="s">
        <v>6190</v>
      </c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 t="s">
        <v>6191</v>
      </c>
      <c r="AL1590" s="4">
        <v>40133</v>
      </c>
      <c r="AM1590" s="3"/>
      <c r="AN1590" s="3"/>
    </row>
    <row r="1591" spans="1:40" x14ac:dyDescent="0.3">
      <c r="A1591" s="3">
        <v>1585</v>
      </c>
      <c r="B1591" s="3" t="str">
        <f>"1435118"</f>
        <v>1435118</v>
      </c>
      <c r="C1591" s="3">
        <v>35758</v>
      </c>
      <c r="D1591" s="3" t="s">
        <v>6192</v>
      </c>
      <c r="E1591" s="3">
        <v>15143267153</v>
      </c>
      <c r="F1591" s="3" t="s">
        <v>6193</v>
      </c>
      <c r="G1591" s="3" t="s">
        <v>6194</v>
      </c>
      <c r="H1591" s="3" t="s">
        <v>56</v>
      </c>
      <c r="I1591" s="3" t="s">
        <v>56</v>
      </c>
      <c r="J1591" s="3" t="s">
        <v>309</v>
      </c>
      <c r="K1591" s="3" t="s">
        <v>6195</v>
      </c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 t="s">
        <v>81</v>
      </c>
      <c r="AL1591" s="4">
        <v>37928</v>
      </c>
      <c r="AM1591" s="3"/>
      <c r="AN1591" s="3"/>
    </row>
    <row r="1592" spans="1:40" x14ac:dyDescent="0.3">
      <c r="A1592" s="3">
        <v>1586</v>
      </c>
      <c r="B1592" s="3" t="str">
        <f>"1435115"</f>
        <v>1435115</v>
      </c>
      <c r="C1592" s="3">
        <v>34973</v>
      </c>
      <c r="D1592" s="3" t="s">
        <v>6196</v>
      </c>
      <c r="E1592" s="3">
        <v>20433289219</v>
      </c>
      <c r="F1592" s="3" t="s">
        <v>6197</v>
      </c>
      <c r="G1592" s="3" t="s">
        <v>6194</v>
      </c>
      <c r="H1592" s="3" t="s">
        <v>56</v>
      </c>
      <c r="I1592" s="3" t="s">
        <v>56</v>
      </c>
      <c r="J1592" s="3" t="s">
        <v>309</v>
      </c>
      <c r="K1592" s="3" t="s">
        <v>6198</v>
      </c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 t="s">
        <v>81</v>
      </c>
      <c r="AL1592" s="4">
        <v>37932</v>
      </c>
      <c r="AM1592" s="3"/>
      <c r="AN1592" s="3"/>
    </row>
    <row r="1593" spans="1:40" x14ac:dyDescent="0.3">
      <c r="A1593" s="3">
        <v>1587</v>
      </c>
      <c r="B1593" s="3" t="str">
        <f>"201200037723"</f>
        <v>201200037723</v>
      </c>
      <c r="C1593" s="3">
        <v>96197</v>
      </c>
      <c r="D1593" s="3" t="s">
        <v>6199</v>
      </c>
      <c r="E1593" s="3">
        <v>20516822202</v>
      </c>
      <c r="F1593" s="3" t="s">
        <v>6200</v>
      </c>
      <c r="G1593" s="3" t="s">
        <v>6201</v>
      </c>
      <c r="H1593" s="3" t="s">
        <v>75</v>
      </c>
      <c r="I1593" s="3" t="s">
        <v>75</v>
      </c>
      <c r="J1593" s="3" t="s">
        <v>1358</v>
      </c>
      <c r="K1593" s="3" t="s">
        <v>6202</v>
      </c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 t="s">
        <v>1865</v>
      </c>
      <c r="AL1593" s="4">
        <v>40987</v>
      </c>
      <c r="AM1593" s="3"/>
      <c r="AN1593" s="3" t="s">
        <v>1853</v>
      </c>
    </row>
    <row r="1594" spans="1:40" x14ac:dyDescent="0.3">
      <c r="A1594" s="3">
        <v>1588</v>
      </c>
      <c r="B1594" s="3" t="str">
        <f>"1444080"</f>
        <v>1444080</v>
      </c>
      <c r="C1594" s="3">
        <v>36044</v>
      </c>
      <c r="D1594" s="3" t="s">
        <v>6203</v>
      </c>
      <c r="E1594" s="3">
        <v>10295528945</v>
      </c>
      <c r="F1594" s="3" t="s">
        <v>6204</v>
      </c>
      <c r="G1594" s="3" t="s">
        <v>6205</v>
      </c>
      <c r="H1594" s="3" t="s">
        <v>97</v>
      </c>
      <c r="I1594" s="3" t="s">
        <v>97</v>
      </c>
      <c r="J1594" s="3" t="s">
        <v>2039</v>
      </c>
      <c r="K1594" s="3" t="s">
        <v>6206</v>
      </c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 t="s">
        <v>233</v>
      </c>
      <c r="AL1594" s="4">
        <v>37943</v>
      </c>
      <c r="AM1594" s="3"/>
      <c r="AN1594" s="3"/>
    </row>
    <row r="1595" spans="1:40" x14ac:dyDescent="0.3">
      <c r="A1595" s="3">
        <v>1589</v>
      </c>
      <c r="B1595" s="3" t="str">
        <f>"201800057372"</f>
        <v>201800057372</v>
      </c>
      <c r="C1595" s="3">
        <v>21716</v>
      </c>
      <c r="D1595" s="3" t="s">
        <v>6207</v>
      </c>
      <c r="E1595" s="3">
        <v>20539718810</v>
      </c>
      <c r="F1595" s="3" t="s">
        <v>6208</v>
      </c>
      <c r="G1595" s="3" t="s">
        <v>6209</v>
      </c>
      <c r="H1595" s="3" t="s">
        <v>44</v>
      </c>
      <c r="I1595" s="3" t="s">
        <v>45</v>
      </c>
      <c r="J1595" s="3" t="s">
        <v>45</v>
      </c>
      <c r="K1595" s="3" t="s">
        <v>6210</v>
      </c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 t="s">
        <v>187</v>
      </c>
      <c r="AL1595" s="4">
        <v>43207</v>
      </c>
      <c r="AM1595" s="3"/>
      <c r="AN1595" s="3" t="s">
        <v>6211</v>
      </c>
    </row>
    <row r="1596" spans="1:40" x14ac:dyDescent="0.3">
      <c r="A1596" s="3">
        <v>1590</v>
      </c>
      <c r="B1596" s="3" t="str">
        <f>"201700196113"</f>
        <v>201700196113</v>
      </c>
      <c r="C1596" s="3">
        <v>133051</v>
      </c>
      <c r="D1596" s="3" t="s">
        <v>6212</v>
      </c>
      <c r="E1596" s="3">
        <v>10480516660</v>
      </c>
      <c r="F1596" s="3" t="s">
        <v>6213</v>
      </c>
      <c r="G1596" s="3" t="s">
        <v>6214</v>
      </c>
      <c r="H1596" s="3" t="s">
        <v>97</v>
      </c>
      <c r="I1596" s="3" t="s">
        <v>97</v>
      </c>
      <c r="J1596" s="3" t="s">
        <v>1459</v>
      </c>
      <c r="K1596" s="3" t="s">
        <v>6215</v>
      </c>
      <c r="L1596" s="3" t="s">
        <v>6216</v>
      </c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 t="s">
        <v>6217</v>
      </c>
      <c r="AL1596" s="4">
        <v>43060</v>
      </c>
      <c r="AM1596" s="3"/>
      <c r="AN1596" s="3" t="s">
        <v>6213</v>
      </c>
    </row>
    <row r="1597" spans="1:40" ht="27.95" x14ac:dyDescent="0.3">
      <c r="A1597" s="3">
        <v>1591</v>
      </c>
      <c r="B1597" s="3" t="str">
        <f>"1894201"</f>
        <v>1894201</v>
      </c>
      <c r="C1597" s="3">
        <v>83367</v>
      </c>
      <c r="D1597" s="3" t="s">
        <v>6218</v>
      </c>
      <c r="E1597" s="3">
        <v>20404723392</v>
      </c>
      <c r="F1597" s="3" t="s">
        <v>642</v>
      </c>
      <c r="G1597" s="3" t="s">
        <v>5191</v>
      </c>
      <c r="H1597" s="3" t="s">
        <v>89</v>
      </c>
      <c r="I1597" s="3" t="s">
        <v>89</v>
      </c>
      <c r="J1597" s="3" t="s">
        <v>90</v>
      </c>
      <c r="K1597" s="3" t="s">
        <v>6219</v>
      </c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 t="s">
        <v>6220</v>
      </c>
      <c r="AL1597" s="4">
        <v>39953</v>
      </c>
      <c r="AM1597" s="3"/>
      <c r="AN1597" s="3"/>
    </row>
    <row r="1598" spans="1:40" x14ac:dyDescent="0.3">
      <c r="A1598" s="3">
        <v>1592</v>
      </c>
      <c r="B1598" s="3" t="str">
        <f>"201800208921"</f>
        <v>201800208921</v>
      </c>
      <c r="C1598" s="3">
        <v>140397</v>
      </c>
      <c r="D1598" s="3" t="s">
        <v>6221</v>
      </c>
      <c r="E1598" s="3">
        <v>20481459576</v>
      </c>
      <c r="F1598" s="3" t="s">
        <v>6222</v>
      </c>
      <c r="G1598" s="3" t="s">
        <v>6223</v>
      </c>
      <c r="H1598" s="3" t="s">
        <v>44</v>
      </c>
      <c r="I1598" s="3" t="s">
        <v>45</v>
      </c>
      <c r="J1598" s="3" t="s">
        <v>45</v>
      </c>
      <c r="K1598" s="3" t="s">
        <v>6224</v>
      </c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 t="s">
        <v>2508</v>
      </c>
      <c r="AL1598" s="4">
        <v>43455</v>
      </c>
      <c r="AM1598" s="3"/>
      <c r="AN1598" s="3" t="s">
        <v>6225</v>
      </c>
    </row>
    <row r="1599" spans="1:40" x14ac:dyDescent="0.3">
      <c r="A1599" s="3">
        <v>1593</v>
      </c>
      <c r="B1599" s="3" t="str">
        <f>"1110899"</f>
        <v>1110899</v>
      </c>
      <c r="C1599" s="3">
        <v>3529</v>
      </c>
      <c r="D1599" s="3">
        <v>988739</v>
      </c>
      <c r="E1599" s="3">
        <v>20100371236</v>
      </c>
      <c r="F1599" s="3" t="s">
        <v>6226</v>
      </c>
      <c r="G1599" s="3" t="s">
        <v>6227</v>
      </c>
      <c r="H1599" s="3" t="s">
        <v>56</v>
      </c>
      <c r="I1599" s="3" t="s">
        <v>56</v>
      </c>
      <c r="J1599" s="3" t="s">
        <v>1677</v>
      </c>
      <c r="K1599" s="3" t="s">
        <v>6228</v>
      </c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 t="s">
        <v>233</v>
      </c>
      <c r="AL1599" s="4">
        <v>35501</v>
      </c>
      <c r="AM1599" s="3"/>
      <c r="AN1599" s="3"/>
    </row>
    <row r="1600" spans="1:40" ht="27.95" x14ac:dyDescent="0.3">
      <c r="A1600" s="3">
        <v>1594</v>
      </c>
      <c r="B1600" s="3" t="str">
        <f>"201300139264"</f>
        <v>201300139264</v>
      </c>
      <c r="C1600" s="3">
        <v>104600</v>
      </c>
      <c r="D1600" s="3" t="s">
        <v>6229</v>
      </c>
      <c r="E1600" s="3">
        <v>20100076749</v>
      </c>
      <c r="F1600" s="3" t="s">
        <v>159</v>
      </c>
      <c r="G1600" s="3" t="s">
        <v>6230</v>
      </c>
      <c r="H1600" s="3" t="s">
        <v>56</v>
      </c>
      <c r="I1600" s="3" t="s">
        <v>56</v>
      </c>
      <c r="J1600" s="3" t="s">
        <v>121</v>
      </c>
      <c r="K1600" s="3" t="s">
        <v>6231</v>
      </c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 t="s">
        <v>5209</v>
      </c>
      <c r="AL1600" s="4">
        <v>41520</v>
      </c>
      <c r="AM1600" s="3"/>
      <c r="AN1600" s="3" t="s">
        <v>2908</v>
      </c>
    </row>
    <row r="1601" spans="1:40" ht="27.95" x14ac:dyDescent="0.3">
      <c r="A1601" s="3">
        <v>1595</v>
      </c>
      <c r="B1601" s="3" t="str">
        <f>"201300131784"</f>
        <v>201300131784</v>
      </c>
      <c r="C1601" s="3">
        <v>104611</v>
      </c>
      <c r="D1601" s="3" t="s">
        <v>6232</v>
      </c>
      <c r="E1601" s="3">
        <v>20136751043</v>
      </c>
      <c r="F1601" s="3" t="s">
        <v>2639</v>
      </c>
      <c r="G1601" s="3" t="s">
        <v>6233</v>
      </c>
      <c r="H1601" s="3" t="s">
        <v>75</v>
      </c>
      <c r="I1601" s="3" t="s">
        <v>75</v>
      </c>
      <c r="J1601" s="3" t="s">
        <v>2698</v>
      </c>
      <c r="K1601" s="3" t="s">
        <v>6234</v>
      </c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 t="s">
        <v>6235</v>
      </c>
      <c r="AL1601" s="3" t="s">
        <v>290</v>
      </c>
      <c r="AM1601" s="3"/>
      <c r="AN1601" s="3" t="s">
        <v>6236</v>
      </c>
    </row>
    <row r="1602" spans="1:40" x14ac:dyDescent="0.3">
      <c r="A1602" s="3">
        <v>1596</v>
      </c>
      <c r="B1602" s="3" t="str">
        <f>"201600061279"</f>
        <v>201600061279</v>
      </c>
      <c r="C1602" s="3">
        <v>108370</v>
      </c>
      <c r="D1602" s="3" t="s">
        <v>6237</v>
      </c>
      <c r="E1602" s="3">
        <v>20100366747</v>
      </c>
      <c r="F1602" s="3" t="s">
        <v>334</v>
      </c>
      <c r="G1602" s="3" t="s">
        <v>335</v>
      </c>
      <c r="H1602" s="3" t="s">
        <v>56</v>
      </c>
      <c r="I1602" s="3" t="s">
        <v>56</v>
      </c>
      <c r="J1602" s="3" t="s">
        <v>185</v>
      </c>
      <c r="K1602" s="3" t="s">
        <v>6238</v>
      </c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 t="s">
        <v>2848</v>
      </c>
      <c r="AL1602" s="4">
        <v>42510</v>
      </c>
      <c r="AM1602" s="3"/>
      <c r="AN1602" s="3" t="s">
        <v>262</v>
      </c>
    </row>
    <row r="1603" spans="1:40" ht="27.95" x14ac:dyDescent="0.3">
      <c r="A1603" s="3">
        <v>1597</v>
      </c>
      <c r="B1603" s="3" t="str">
        <f>"1344997"</f>
        <v>1344997</v>
      </c>
      <c r="C1603" s="3">
        <v>21609</v>
      </c>
      <c r="D1603" s="3" t="s">
        <v>6239</v>
      </c>
      <c r="E1603" s="3">
        <v>20210133748</v>
      </c>
      <c r="F1603" s="3" t="s">
        <v>4609</v>
      </c>
      <c r="G1603" s="3" t="s">
        <v>3851</v>
      </c>
      <c r="H1603" s="3" t="s">
        <v>56</v>
      </c>
      <c r="I1603" s="3" t="s">
        <v>56</v>
      </c>
      <c r="J1603" s="3" t="s">
        <v>63</v>
      </c>
      <c r="K1603" s="3" t="s">
        <v>6240</v>
      </c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 t="s">
        <v>187</v>
      </c>
      <c r="AL1603" s="4">
        <v>37242</v>
      </c>
      <c r="AM1603" s="3"/>
      <c r="AN1603" s="3"/>
    </row>
    <row r="1604" spans="1:40" x14ac:dyDescent="0.3">
      <c r="A1604" s="3">
        <v>1598</v>
      </c>
      <c r="B1604" s="3" t="str">
        <f>"1298299"</f>
        <v>1298299</v>
      </c>
      <c r="C1604" s="3">
        <v>19692</v>
      </c>
      <c r="D1604" s="3">
        <v>1298299</v>
      </c>
      <c r="E1604" s="3">
        <v>20293033804</v>
      </c>
      <c r="F1604" s="3" t="s">
        <v>6241</v>
      </c>
      <c r="G1604" s="3" t="s">
        <v>6242</v>
      </c>
      <c r="H1604" s="3" t="s">
        <v>75</v>
      </c>
      <c r="I1604" s="3" t="s">
        <v>75</v>
      </c>
      <c r="J1604" s="3" t="s">
        <v>4639</v>
      </c>
      <c r="K1604" s="3" t="s">
        <v>6243</v>
      </c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 t="s">
        <v>2355</v>
      </c>
      <c r="AL1604" s="4">
        <v>36825</v>
      </c>
      <c r="AM1604" s="3"/>
      <c r="AN1604" s="3"/>
    </row>
    <row r="1605" spans="1:40" x14ac:dyDescent="0.3">
      <c r="A1605" s="3">
        <v>1599</v>
      </c>
      <c r="B1605" s="3" t="str">
        <f>"201800057369"</f>
        <v>201800057369</v>
      </c>
      <c r="C1605" s="3">
        <v>93012</v>
      </c>
      <c r="D1605" s="3" t="s">
        <v>6244</v>
      </c>
      <c r="E1605" s="3">
        <v>20539718810</v>
      </c>
      <c r="F1605" s="3" t="s">
        <v>6208</v>
      </c>
      <c r="G1605" s="3" t="s">
        <v>6209</v>
      </c>
      <c r="H1605" s="3" t="s">
        <v>44</v>
      </c>
      <c r="I1605" s="3" t="s">
        <v>45</v>
      </c>
      <c r="J1605" s="3" t="s">
        <v>6245</v>
      </c>
      <c r="K1605" s="3" t="s">
        <v>6246</v>
      </c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 t="s">
        <v>6247</v>
      </c>
      <c r="AL1605" s="4">
        <v>43207</v>
      </c>
      <c r="AM1605" s="3"/>
      <c r="AN1605" s="3" t="s">
        <v>6211</v>
      </c>
    </row>
    <row r="1606" spans="1:40" x14ac:dyDescent="0.3">
      <c r="A1606" s="3">
        <v>1600</v>
      </c>
      <c r="B1606" s="3" t="str">
        <f>"1298297"</f>
        <v>1298297</v>
      </c>
      <c r="C1606" s="3">
        <v>19691</v>
      </c>
      <c r="D1606" s="3">
        <v>1298297</v>
      </c>
      <c r="E1606" s="3">
        <v>20293033804</v>
      </c>
      <c r="F1606" s="3" t="s">
        <v>6241</v>
      </c>
      <c r="G1606" s="3" t="s">
        <v>6242</v>
      </c>
      <c r="H1606" s="3" t="s">
        <v>75</v>
      </c>
      <c r="I1606" s="3" t="s">
        <v>75</v>
      </c>
      <c r="J1606" s="3" t="s">
        <v>4639</v>
      </c>
      <c r="K1606" s="3" t="s">
        <v>6248</v>
      </c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 t="s">
        <v>65</v>
      </c>
      <c r="AL1606" s="4">
        <v>36825</v>
      </c>
      <c r="AM1606" s="3"/>
      <c r="AN1606" s="3"/>
    </row>
    <row r="1607" spans="1:40" x14ac:dyDescent="0.3">
      <c r="A1607" s="3">
        <v>1601</v>
      </c>
      <c r="B1607" s="3" t="str">
        <f>"201600092664"</f>
        <v>201600092664</v>
      </c>
      <c r="C1607" s="3">
        <v>91860</v>
      </c>
      <c r="D1607" s="3" t="s">
        <v>6249</v>
      </c>
      <c r="E1607" s="3">
        <v>10313569018</v>
      </c>
      <c r="F1607" s="3" t="s">
        <v>391</v>
      </c>
      <c r="G1607" s="3" t="s">
        <v>6250</v>
      </c>
      <c r="H1607" s="3" t="s">
        <v>386</v>
      </c>
      <c r="I1607" s="3" t="s">
        <v>387</v>
      </c>
      <c r="J1607" s="3" t="s">
        <v>388</v>
      </c>
      <c r="K1607" s="3" t="s">
        <v>6251</v>
      </c>
      <c r="L1607" s="3" t="s">
        <v>6252</v>
      </c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 t="s">
        <v>621</v>
      </c>
      <c r="AL1607" s="4">
        <v>42578</v>
      </c>
      <c r="AM1607" s="3"/>
      <c r="AN1607" s="3" t="s">
        <v>391</v>
      </c>
    </row>
    <row r="1608" spans="1:40" x14ac:dyDescent="0.3">
      <c r="A1608" s="3">
        <v>1602</v>
      </c>
      <c r="B1608" s="3" t="str">
        <f>"201500012297"</f>
        <v>201500012297</v>
      </c>
      <c r="C1608" s="3">
        <v>113718</v>
      </c>
      <c r="D1608" s="3" t="s">
        <v>6253</v>
      </c>
      <c r="E1608" s="3">
        <v>10032028573</v>
      </c>
      <c r="F1608" s="3" t="s">
        <v>2589</v>
      </c>
      <c r="G1608" s="3" t="s">
        <v>3525</v>
      </c>
      <c r="H1608" s="3" t="s">
        <v>50</v>
      </c>
      <c r="I1608" s="3" t="s">
        <v>2591</v>
      </c>
      <c r="J1608" s="3" t="s">
        <v>2591</v>
      </c>
      <c r="K1608" s="3" t="s">
        <v>6254</v>
      </c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 t="s">
        <v>1014</v>
      </c>
      <c r="AL1608" s="4">
        <v>42045</v>
      </c>
      <c r="AM1608" s="3"/>
      <c r="AN1608" s="3" t="s">
        <v>2589</v>
      </c>
    </row>
    <row r="1609" spans="1:40" x14ac:dyDescent="0.3">
      <c r="A1609" s="3">
        <v>1603</v>
      </c>
      <c r="B1609" s="3" t="str">
        <f>"201500113863"</f>
        <v>201500113863</v>
      </c>
      <c r="C1609" s="3">
        <v>108408</v>
      </c>
      <c r="D1609" s="3" t="s">
        <v>6255</v>
      </c>
      <c r="E1609" s="3">
        <v>10295761241</v>
      </c>
      <c r="F1609" s="3" t="s">
        <v>4529</v>
      </c>
      <c r="G1609" s="3" t="s">
        <v>6256</v>
      </c>
      <c r="H1609" s="3" t="s">
        <v>97</v>
      </c>
      <c r="I1609" s="3" t="s">
        <v>97</v>
      </c>
      <c r="J1609" s="3" t="s">
        <v>341</v>
      </c>
      <c r="K1609" s="3" t="s">
        <v>6257</v>
      </c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 t="s">
        <v>981</v>
      </c>
      <c r="AL1609" s="4">
        <v>42264</v>
      </c>
      <c r="AM1609" s="3"/>
      <c r="AN1609" s="3" t="s">
        <v>4529</v>
      </c>
    </row>
    <row r="1610" spans="1:40" x14ac:dyDescent="0.3">
      <c r="A1610" s="3">
        <v>1604</v>
      </c>
      <c r="B1610" s="3" t="str">
        <f>"1116951"</f>
        <v>1116951</v>
      </c>
      <c r="C1610" s="3">
        <v>3581</v>
      </c>
      <c r="D1610" s="3">
        <v>1116951</v>
      </c>
      <c r="E1610" s="3">
        <v>17111041261</v>
      </c>
      <c r="F1610" s="3" t="s">
        <v>6258</v>
      </c>
      <c r="G1610" s="3" t="s">
        <v>6259</v>
      </c>
      <c r="H1610" s="3" t="s">
        <v>56</v>
      </c>
      <c r="I1610" s="3" t="s">
        <v>56</v>
      </c>
      <c r="J1610" s="3" t="s">
        <v>2724</v>
      </c>
      <c r="K1610" s="3" t="s">
        <v>6260</v>
      </c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 t="s">
        <v>81</v>
      </c>
      <c r="AL1610" s="4">
        <v>35543</v>
      </c>
      <c r="AM1610" s="3"/>
      <c r="AN1610" s="3"/>
    </row>
    <row r="1611" spans="1:40" x14ac:dyDescent="0.3">
      <c r="A1611" s="3">
        <v>1605</v>
      </c>
      <c r="B1611" s="3" t="str">
        <f>"201500113867"</f>
        <v>201500113867</v>
      </c>
      <c r="C1611" s="3">
        <v>92915</v>
      </c>
      <c r="D1611" s="3" t="s">
        <v>6261</v>
      </c>
      <c r="E1611" s="3">
        <v>10295761241</v>
      </c>
      <c r="F1611" s="3" t="s">
        <v>4529</v>
      </c>
      <c r="G1611" s="3" t="s">
        <v>6262</v>
      </c>
      <c r="H1611" s="3" t="s">
        <v>97</v>
      </c>
      <c r="I1611" s="3" t="s">
        <v>97</v>
      </c>
      <c r="J1611" s="3" t="s">
        <v>341</v>
      </c>
      <c r="K1611" s="3" t="s">
        <v>6263</v>
      </c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 t="s">
        <v>6264</v>
      </c>
      <c r="AL1611" s="4">
        <v>42264</v>
      </c>
      <c r="AM1611" s="3"/>
      <c r="AN1611" s="3" t="s">
        <v>4529</v>
      </c>
    </row>
    <row r="1612" spans="1:40" x14ac:dyDescent="0.3">
      <c r="A1612" s="3">
        <v>1606</v>
      </c>
      <c r="B1612" s="3" t="str">
        <f>"1212266"</f>
        <v>1212266</v>
      </c>
      <c r="C1612" s="3">
        <v>16308</v>
      </c>
      <c r="D1612" s="3">
        <v>1212266</v>
      </c>
      <c r="E1612" s="3">
        <v>20100007348</v>
      </c>
      <c r="F1612" s="3" t="s">
        <v>929</v>
      </c>
      <c r="G1612" s="3" t="s">
        <v>930</v>
      </c>
      <c r="H1612" s="3" t="s">
        <v>75</v>
      </c>
      <c r="I1612" s="3" t="s">
        <v>75</v>
      </c>
      <c r="J1612" s="3" t="s">
        <v>76</v>
      </c>
      <c r="K1612" s="3" t="s">
        <v>6265</v>
      </c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 t="s">
        <v>187</v>
      </c>
      <c r="AL1612" s="4">
        <v>36124</v>
      </c>
      <c r="AM1612" s="3"/>
      <c r="AN1612" s="3"/>
    </row>
    <row r="1613" spans="1:40" x14ac:dyDescent="0.3">
      <c r="A1613" s="3">
        <v>1607</v>
      </c>
      <c r="B1613" s="3" t="str">
        <f>"1498700"</f>
        <v>1498700</v>
      </c>
      <c r="C1613" s="3">
        <v>39792</v>
      </c>
      <c r="D1613" s="3" t="s">
        <v>6266</v>
      </c>
      <c r="E1613" s="3">
        <v>20501548589</v>
      </c>
      <c r="F1613" s="3" t="s">
        <v>4109</v>
      </c>
      <c r="G1613" s="3" t="s">
        <v>6267</v>
      </c>
      <c r="H1613" s="3" t="s">
        <v>56</v>
      </c>
      <c r="I1613" s="3" t="s">
        <v>56</v>
      </c>
      <c r="J1613" s="3" t="s">
        <v>63</v>
      </c>
      <c r="K1613" s="3" t="s">
        <v>6268</v>
      </c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 t="s">
        <v>6269</v>
      </c>
      <c r="AL1613" s="4">
        <v>38385</v>
      </c>
      <c r="AM1613" s="3"/>
      <c r="AN1613" s="3"/>
    </row>
    <row r="1614" spans="1:40" ht="27.95" x14ac:dyDescent="0.3">
      <c r="A1614" s="3">
        <v>1608</v>
      </c>
      <c r="B1614" s="3" t="str">
        <f>"201200186930"</f>
        <v>201200186930</v>
      </c>
      <c r="C1614" s="3">
        <v>98789</v>
      </c>
      <c r="D1614" s="3" t="s">
        <v>6270</v>
      </c>
      <c r="E1614" s="3">
        <v>10803707028</v>
      </c>
      <c r="F1614" s="3" t="s">
        <v>2708</v>
      </c>
      <c r="G1614" s="3" t="s">
        <v>6271</v>
      </c>
      <c r="H1614" s="3" t="s">
        <v>222</v>
      </c>
      <c r="I1614" s="3" t="s">
        <v>223</v>
      </c>
      <c r="J1614" s="3" t="s">
        <v>224</v>
      </c>
      <c r="K1614" s="3" t="s">
        <v>6272</v>
      </c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 t="s">
        <v>1014</v>
      </c>
      <c r="AL1614" s="4">
        <v>41208</v>
      </c>
      <c r="AM1614" s="3"/>
      <c r="AN1614" s="3" t="s">
        <v>2708</v>
      </c>
    </row>
    <row r="1615" spans="1:40" x14ac:dyDescent="0.3">
      <c r="A1615" s="3">
        <v>1609</v>
      </c>
      <c r="B1615" s="3" t="str">
        <f>"201800168823"</f>
        <v>201800168823</v>
      </c>
      <c r="C1615" s="3">
        <v>3665</v>
      </c>
      <c r="D1615" s="3" t="s">
        <v>6273</v>
      </c>
      <c r="E1615" s="3">
        <v>20262254268</v>
      </c>
      <c r="F1615" s="3" t="s">
        <v>103</v>
      </c>
      <c r="G1615" s="3" t="s">
        <v>104</v>
      </c>
      <c r="H1615" s="3" t="s">
        <v>56</v>
      </c>
      <c r="I1615" s="3" t="s">
        <v>56</v>
      </c>
      <c r="J1615" s="3" t="s">
        <v>105</v>
      </c>
      <c r="K1615" s="3" t="s">
        <v>6274</v>
      </c>
      <c r="L1615" s="3" t="s">
        <v>1076</v>
      </c>
      <c r="M1615" s="3" t="s">
        <v>1073</v>
      </c>
      <c r="N1615" s="3" t="s">
        <v>1074</v>
      </c>
      <c r="O1615" s="3" t="s">
        <v>1078</v>
      </c>
      <c r="P1615" s="3" t="s">
        <v>111</v>
      </c>
      <c r="Q1615" s="3" t="s">
        <v>107</v>
      </c>
      <c r="R1615" s="3" t="s">
        <v>861</v>
      </c>
      <c r="S1615" s="3" t="s">
        <v>863</v>
      </c>
      <c r="T1615" s="3" t="s">
        <v>1072</v>
      </c>
      <c r="U1615" s="3" t="s">
        <v>3901</v>
      </c>
      <c r="V1615" s="3" t="s">
        <v>6275</v>
      </c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 t="s">
        <v>3174</v>
      </c>
      <c r="AL1615" s="4">
        <v>43388</v>
      </c>
      <c r="AM1615" s="3"/>
      <c r="AN1615" s="3" t="s">
        <v>113</v>
      </c>
    </row>
    <row r="1616" spans="1:40" x14ac:dyDescent="0.3">
      <c r="A1616" s="3">
        <v>1610</v>
      </c>
      <c r="B1616" s="3" t="str">
        <f>"201800131475"</f>
        <v>201800131475</v>
      </c>
      <c r="C1616" s="3">
        <v>137957</v>
      </c>
      <c r="D1616" s="3" t="s">
        <v>6276</v>
      </c>
      <c r="E1616" s="3">
        <v>20533141553</v>
      </c>
      <c r="F1616" s="3" t="s">
        <v>5916</v>
      </c>
      <c r="G1616" s="3" t="s">
        <v>6277</v>
      </c>
      <c r="H1616" s="3" t="s">
        <v>202</v>
      </c>
      <c r="I1616" s="3" t="s">
        <v>202</v>
      </c>
      <c r="J1616" s="3" t="s">
        <v>612</v>
      </c>
      <c r="K1616" s="3" t="s">
        <v>6278</v>
      </c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 t="s">
        <v>226</v>
      </c>
      <c r="AL1616" s="4">
        <v>43321</v>
      </c>
      <c r="AM1616" s="3"/>
      <c r="AN1616" s="3" t="s">
        <v>615</v>
      </c>
    </row>
    <row r="1617" spans="1:40" x14ac:dyDescent="0.3">
      <c r="A1617" s="3">
        <v>1611</v>
      </c>
      <c r="B1617" s="3" t="str">
        <f>"201800165334"</f>
        <v>201800165334</v>
      </c>
      <c r="C1617" s="3">
        <v>130930</v>
      </c>
      <c r="D1617" s="3" t="s">
        <v>6279</v>
      </c>
      <c r="E1617" s="3">
        <v>10336680196</v>
      </c>
      <c r="F1617" s="3" t="s">
        <v>3488</v>
      </c>
      <c r="G1617" s="3" t="s">
        <v>6280</v>
      </c>
      <c r="H1617" s="3" t="s">
        <v>318</v>
      </c>
      <c r="I1617" s="3" t="s">
        <v>319</v>
      </c>
      <c r="J1617" s="3" t="s">
        <v>495</v>
      </c>
      <c r="K1617" s="3" t="s">
        <v>6281</v>
      </c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 t="s">
        <v>1087</v>
      </c>
      <c r="AL1617" s="4">
        <v>43391</v>
      </c>
      <c r="AM1617" s="3"/>
      <c r="AN1617" s="3" t="s">
        <v>3488</v>
      </c>
    </row>
    <row r="1618" spans="1:40" x14ac:dyDescent="0.3">
      <c r="A1618" s="3">
        <v>1612</v>
      </c>
      <c r="B1618" s="3" t="str">
        <f>"1373120"</f>
        <v>1373120</v>
      </c>
      <c r="C1618" s="3">
        <v>87481</v>
      </c>
      <c r="D1618" s="3" t="s">
        <v>6282</v>
      </c>
      <c r="E1618" s="3">
        <v>20534841079</v>
      </c>
      <c r="F1618" s="3" t="s">
        <v>6283</v>
      </c>
      <c r="G1618" s="3" t="s">
        <v>6284</v>
      </c>
      <c r="H1618" s="3" t="s">
        <v>97</v>
      </c>
      <c r="I1618" s="3" t="s">
        <v>97</v>
      </c>
      <c r="J1618" s="3" t="s">
        <v>1459</v>
      </c>
      <c r="K1618" s="3" t="s">
        <v>6285</v>
      </c>
      <c r="L1618" s="3" t="s">
        <v>6286</v>
      </c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 t="s">
        <v>470</v>
      </c>
      <c r="AL1618" s="4">
        <v>40360</v>
      </c>
      <c r="AM1618" s="3"/>
      <c r="AN1618" s="3" t="s">
        <v>6287</v>
      </c>
    </row>
    <row r="1619" spans="1:40" x14ac:dyDescent="0.3">
      <c r="A1619" s="3">
        <v>1613</v>
      </c>
      <c r="B1619" s="3" t="str">
        <f>"1212257"</f>
        <v>1212257</v>
      </c>
      <c r="C1619" s="3">
        <v>16305</v>
      </c>
      <c r="D1619" s="3">
        <v>1212257</v>
      </c>
      <c r="E1619" s="3">
        <v>20100007348</v>
      </c>
      <c r="F1619" s="3" t="s">
        <v>929</v>
      </c>
      <c r="G1619" s="3" t="s">
        <v>930</v>
      </c>
      <c r="H1619" s="3" t="s">
        <v>75</v>
      </c>
      <c r="I1619" s="3" t="s">
        <v>75</v>
      </c>
      <c r="J1619" s="3" t="s">
        <v>76</v>
      </c>
      <c r="K1619" s="3" t="s">
        <v>6288</v>
      </c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 t="s">
        <v>187</v>
      </c>
      <c r="AL1619" s="4">
        <v>36124</v>
      </c>
      <c r="AM1619" s="3"/>
      <c r="AN1619" s="3"/>
    </row>
    <row r="1620" spans="1:40" x14ac:dyDescent="0.3">
      <c r="A1620" s="3">
        <v>1614</v>
      </c>
      <c r="B1620" s="3" t="str">
        <f>"1891201"</f>
        <v>1891201</v>
      </c>
      <c r="C1620" s="3">
        <v>83494</v>
      </c>
      <c r="D1620" s="3" t="s">
        <v>6289</v>
      </c>
      <c r="E1620" s="3">
        <v>10252166501</v>
      </c>
      <c r="F1620" s="3" t="s">
        <v>6290</v>
      </c>
      <c r="G1620" s="3" t="s">
        <v>6291</v>
      </c>
      <c r="H1620" s="3" t="s">
        <v>446</v>
      </c>
      <c r="I1620" s="3" t="s">
        <v>446</v>
      </c>
      <c r="J1620" s="3" t="s">
        <v>447</v>
      </c>
      <c r="K1620" s="3" t="s">
        <v>6292</v>
      </c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 t="s">
        <v>2394</v>
      </c>
      <c r="AL1620" s="4">
        <v>39966</v>
      </c>
      <c r="AM1620" s="3"/>
      <c r="AN1620" s="3"/>
    </row>
    <row r="1621" spans="1:40" ht="27.95" x14ac:dyDescent="0.3">
      <c r="A1621" s="3">
        <v>1615</v>
      </c>
      <c r="B1621" s="3" t="str">
        <f>"201700107356"</f>
        <v>201700107356</v>
      </c>
      <c r="C1621" s="3">
        <v>83080</v>
      </c>
      <c r="D1621" s="3" t="s">
        <v>6293</v>
      </c>
      <c r="E1621" s="3">
        <v>10294874246</v>
      </c>
      <c r="F1621" s="3" t="s">
        <v>6294</v>
      </c>
      <c r="G1621" s="3" t="s">
        <v>6295</v>
      </c>
      <c r="H1621" s="3" t="s">
        <v>97</v>
      </c>
      <c r="I1621" s="3" t="s">
        <v>97</v>
      </c>
      <c r="J1621" s="3" t="s">
        <v>254</v>
      </c>
      <c r="K1621" s="3" t="s">
        <v>6296</v>
      </c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 t="s">
        <v>2659</v>
      </c>
      <c r="AL1621" s="4">
        <v>42940</v>
      </c>
      <c r="AM1621" s="3"/>
      <c r="AN1621" s="3" t="s">
        <v>6294</v>
      </c>
    </row>
    <row r="1622" spans="1:40" x14ac:dyDescent="0.3">
      <c r="A1622" s="3">
        <v>1616</v>
      </c>
      <c r="B1622" s="3" t="str">
        <f>"1806351"</f>
        <v>1806351</v>
      </c>
      <c r="C1622" s="3">
        <v>62750</v>
      </c>
      <c r="D1622" s="3" t="s">
        <v>6297</v>
      </c>
      <c r="E1622" s="3">
        <v>20121837634</v>
      </c>
      <c r="F1622" s="3" t="s">
        <v>866</v>
      </c>
      <c r="G1622" s="3" t="s">
        <v>1624</v>
      </c>
      <c r="H1622" s="3" t="s">
        <v>237</v>
      </c>
      <c r="I1622" s="3" t="s">
        <v>868</v>
      </c>
      <c r="J1622" s="3" t="s">
        <v>869</v>
      </c>
      <c r="K1622" s="3" t="s">
        <v>6298</v>
      </c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 t="s">
        <v>1812</v>
      </c>
      <c r="AL1622" s="4">
        <v>39631</v>
      </c>
      <c r="AM1622" s="3"/>
      <c r="AN1622" s="3"/>
    </row>
    <row r="1623" spans="1:40" x14ac:dyDescent="0.3">
      <c r="A1623" s="3">
        <v>1617</v>
      </c>
      <c r="B1623" s="3" t="str">
        <f>"201800131487"</f>
        <v>201800131487</v>
      </c>
      <c r="C1623" s="3">
        <v>137956</v>
      </c>
      <c r="D1623" s="3" t="s">
        <v>6299</v>
      </c>
      <c r="E1623" s="3">
        <v>20533141553</v>
      </c>
      <c r="F1623" s="3" t="s">
        <v>5916</v>
      </c>
      <c r="G1623" s="3" t="s">
        <v>6300</v>
      </c>
      <c r="H1623" s="3" t="s">
        <v>202</v>
      </c>
      <c r="I1623" s="3" t="s">
        <v>202</v>
      </c>
      <c r="J1623" s="3" t="s">
        <v>612</v>
      </c>
      <c r="K1623" s="3" t="s">
        <v>6301</v>
      </c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 t="s">
        <v>226</v>
      </c>
      <c r="AL1623" s="4">
        <v>43321</v>
      </c>
      <c r="AM1623" s="3"/>
      <c r="AN1623" s="3" t="s">
        <v>615</v>
      </c>
    </row>
    <row r="1624" spans="1:40" x14ac:dyDescent="0.3">
      <c r="A1624" s="3">
        <v>1618</v>
      </c>
      <c r="B1624" s="3" t="str">
        <f>"1481728"</f>
        <v>1481728</v>
      </c>
      <c r="C1624" s="3">
        <v>39664</v>
      </c>
      <c r="D1624" s="3" t="s">
        <v>6302</v>
      </c>
      <c r="E1624" s="3">
        <v>20100366747</v>
      </c>
      <c r="F1624" s="3" t="s">
        <v>258</v>
      </c>
      <c r="G1624" s="3" t="s">
        <v>6303</v>
      </c>
      <c r="H1624" s="3" t="s">
        <v>56</v>
      </c>
      <c r="I1624" s="3" t="s">
        <v>56</v>
      </c>
      <c r="J1624" s="3" t="s">
        <v>185</v>
      </c>
      <c r="K1624" s="3" t="s">
        <v>6304</v>
      </c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 t="s">
        <v>65</v>
      </c>
      <c r="AL1624" s="4">
        <v>38195</v>
      </c>
      <c r="AM1624" s="3"/>
      <c r="AN1624" s="3"/>
    </row>
    <row r="1625" spans="1:40" x14ac:dyDescent="0.3">
      <c r="A1625" s="3">
        <v>1619</v>
      </c>
      <c r="B1625" s="3" t="str">
        <f>"201600092649"</f>
        <v>201600092649</v>
      </c>
      <c r="C1625" s="3">
        <v>122284</v>
      </c>
      <c r="D1625" s="3" t="s">
        <v>6305</v>
      </c>
      <c r="E1625" s="3">
        <v>20522002021</v>
      </c>
      <c r="F1625" s="3" t="s">
        <v>713</v>
      </c>
      <c r="G1625" s="3" t="s">
        <v>6306</v>
      </c>
      <c r="H1625" s="3" t="s">
        <v>56</v>
      </c>
      <c r="I1625" s="3" t="s">
        <v>56</v>
      </c>
      <c r="J1625" s="3" t="s">
        <v>715</v>
      </c>
      <c r="K1625" s="3" t="s">
        <v>6307</v>
      </c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 t="s">
        <v>218</v>
      </c>
      <c r="AL1625" s="4">
        <v>42555</v>
      </c>
      <c r="AM1625" s="3"/>
      <c r="AN1625" s="3" t="s">
        <v>2767</v>
      </c>
    </row>
    <row r="1626" spans="1:40" x14ac:dyDescent="0.3">
      <c r="A1626" s="3">
        <v>1620</v>
      </c>
      <c r="B1626" s="3" t="str">
        <f>"1212250"</f>
        <v>1212250</v>
      </c>
      <c r="C1626" s="3">
        <v>16302</v>
      </c>
      <c r="D1626" s="3">
        <v>1212250</v>
      </c>
      <c r="E1626" s="3">
        <v>20100007348</v>
      </c>
      <c r="F1626" s="3" t="s">
        <v>929</v>
      </c>
      <c r="G1626" s="3" t="s">
        <v>930</v>
      </c>
      <c r="H1626" s="3" t="s">
        <v>75</v>
      </c>
      <c r="I1626" s="3" t="s">
        <v>75</v>
      </c>
      <c r="J1626" s="3" t="s">
        <v>76</v>
      </c>
      <c r="K1626" s="3" t="s">
        <v>6308</v>
      </c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 t="s">
        <v>187</v>
      </c>
      <c r="AL1626" s="4">
        <v>36124</v>
      </c>
      <c r="AM1626" s="3"/>
      <c r="AN1626" s="3"/>
    </row>
    <row r="1627" spans="1:40" x14ac:dyDescent="0.3">
      <c r="A1627" s="3">
        <v>1621</v>
      </c>
      <c r="B1627" s="3" t="str">
        <f>"1212252"</f>
        <v>1212252</v>
      </c>
      <c r="C1627" s="3">
        <v>20597</v>
      </c>
      <c r="D1627" s="3">
        <v>1212252</v>
      </c>
      <c r="E1627" s="3">
        <v>20100007348</v>
      </c>
      <c r="F1627" s="3" t="s">
        <v>929</v>
      </c>
      <c r="G1627" s="3" t="s">
        <v>930</v>
      </c>
      <c r="H1627" s="3" t="s">
        <v>75</v>
      </c>
      <c r="I1627" s="3" t="s">
        <v>75</v>
      </c>
      <c r="J1627" s="3" t="s">
        <v>76</v>
      </c>
      <c r="K1627" s="3" t="s">
        <v>6309</v>
      </c>
      <c r="L1627" s="3" t="s">
        <v>6310</v>
      </c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 t="s">
        <v>6311</v>
      </c>
      <c r="AL1627" s="4">
        <v>36143</v>
      </c>
      <c r="AM1627" s="3"/>
      <c r="AN1627" s="3"/>
    </row>
    <row r="1628" spans="1:40" x14ac:dyDescent="0.3">
      <c r="A1628" s="3">
        <v>1622</v>
      </c>
      <c r="B1628" s="3" t="str">
        <f>"1212254"</f>
        <v>1212254</v>
      </c>
      <c r="C1628" s="3">
        <v>16304</v>
      </c>
      <c r="D1628" s="3">
        <v>1212254</v>
      </c>
      <c r="E1628" s="3">
        <v>20100007348</v>
      </c>
      <c r="F1628" s="3" t="s">
        <v>929</v>
      </c>
      <c r="G1628" s="3" t="s">
        <v>930</v>
      </c>
      <c r="H1628" s="3" t="s">
        <v>75</v>
      </c>
      <c r="I1628" s="3" t="s">
        <v>75</v>
      </c>
      <c r="J1628" s="3" t="s">
        <v>76</v>
      </c>
      <c r="K1628" s="3" t="s">
        <v>6312</v>
      </c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 t="s">
        <v>187</v>
      </c>
      <c r="AL1628" s="4">
        <v>36124</v>
      </c>
      <c r="AM1628" s="3"/>
      <c r="AN1628" s="3"/>
    </row>
    <row r="1629" spans="1:40" x14ac:dyDescent="0.3">
      <c r="A1629" s="3">
        <v>1623</v>
      </c>
      <c r="B1629" s="3" t="str">
        <f>"201800131481"</f>
        <v>201800131481</v>
      </c>
      <c r="C1629" s="3">
        <v>137955</v>
      </c>
      <c r="D1629" s="3" t="s">
        <v>6313</v>
      </c>
      <c r="E1629" s="3">
        <v>20533141553</v>
      </c>
      <c r="F1629" s="3" t="s">
        <v>5916</v>
      </c>
      <c r="G1629" s="3" t="s">
        <v>6300</v>
      </c>
      <c r="H1629" s="3" t="s">
        <v>202</v>
      </c>
      <c r="I1629" s="3" t="s">
        <v>202</v>
      </c>
      <c r="J1629" s="3" t="s">
        <v>612</v>
      </c>
      <c r="K1629" s="3" t="s">
        <v>6314</v>
      </c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 t="s">
        <v>226</v>
      </c>
      <c r="AL1629" s="4">
        <v>43321</v>
      </c>
      <c r="AM1629" s="3"/>
      <c r="AN1629" s="3" t="s">
        <v>615</v>
      </c>
    </row>
    <row r="1630" spans="1:40" x14ac:dyDescent="0.3">
      <c r="A1630" s="3">
        <v>1624</v>
      </c>
      <c r="B1630" s="3" t="str">
        <f>"201600034573"</f>
        <v>201600034573</v>
      </c>
      <c r="C1630" s="3">
        <v>106029</v>
      </c>
      <c r="D1630" s="3" t="s">
        <v>6315</v>
      </c>
      <c r="E1630" s="3">
        <v>20100366747</v>
      </c>
      <c r="F1630" s="3" t="s">
        <v>334</v>
      </c>
      <c r="G1630" s="3" t="s">
        <v>451</v>
      </c>
      <c r="H1630" s="3" t="s">
        <v>56</v>
      </c>
      <c r="I1630" s="3" t="s">
        <v>56</v>
      </c>
      <c r="J1630" s="3" t="s">
        <v>185</v>
      </c>
      <c r="K1630" s="3" t="s">
        <v>6316</v>
      </c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 t="s">
        <v>579</v>
      </c>
      <c r="AL1630" s="4">
        <v>42471</v>
      </c>
      <c r="AM1630" s="3"/>
      <c r="AN1630" s="3" t="s">
        <v>262</v>
      </c>
    </row>
    <row r="1631" spans="1:40" ht="27.95" x14ac:dyDescent="0.3">
      <c r="A1631" s="3">
        <v>1625</v>
      </c>
      <c r="B1631" s="3" t="str">
        <f>"201800102810"</f>
        <v>201800102810</v>
      </c>
      <c r="C1631" s="3">
        <v>137070</v>
      </c>
      <c r="D1631" s="3" t="s">
        <v>6317</v>
      </c>
      <c r="E1631" s="3">
        <v>20404723392</v>
      </c>
      <c r="F1631" s="3" t="s">
        <v>87</v>
      </c>
      <c r="G1631" s="3" t="s">
        <v>3240</v>
      </c>
      <c r="H1631" s="3" t="s">
        <v>89</v>
      </c>
      <c r="I1631" s="3" t="s">
        <v>89</v>
      </c>
      <c r="J1631" s="3" t="s">
        <v>90</v>
      </c>
      <c r="K1631" s="3" t="s">
        <v>6318</v>
      </c>
      <c r="L1631" s="3" t="s">
        <v>6319</v>
      </c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 t="s">
        <v>6320</v>
      </c>
      <c r="AL1631" s="4">
        <v>43283</v>
      </c>
      <c r="AM1631" s="3"/>
      <c r="AN1631" s="3" t="s">
        <v>93</v>
      </c>
    </row>
    <row r="1632" spans="1:40" x14ac:dyDescent="0.3">
      <c r="A1632" s="3">
        <v>1626</v>
      </c>
      <c r="B1632" s="3" t="str">
        <f>"201600034577"</f>
        <v>201600034577</v>
      </c>
      <c r="C1632" s="3">
        <v>104962</v>
      </c>
      <c r="D1632" s="3" t="s">
        <v>6321</v>
      </c>
      <c r="E1632" s="3">
        <v>20100366747</v>
      </c>
      <c r="F1632" s="3" t="s">
        <v>334</v>
      </c>
      <c r="G1632" s="3" t="s">
        <v>451</v>
      </c>
      <c r="H1632" s="3" t="s">
        <v>56</v>
      </c>
      <c r="I1632" s="3" t="s">
        <v>56</v>
      </c>
      <c r="J1632" s="3" t="s">
        <v>185</v>
      </c>
      <c r="K1632" s="3" t="s">
        <v>6322</v>
      </c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 t="s">
        <v>118</v>
      </c>
      <c r="AL1632" s="4">
        <v>42471</v>
      </c>
      <c r="AM1632" s="3"/>
      <c r="AN1632" s="3" t="s">
        <v>262</v>
      </c>
    </row>
    <row r="1633" spans="1:40" x14ac:dyDescent="0.3">
      <c r="A1633" s="3">
        <v>1627</v>
      </c>
      <c r="B1633" s="3" t="str">
        <f>"1367540"</f>
        <v>1367540</v>
      </c>
      <c r="C1633" s="3">
        <v>61909</v>
      </c>
      <c r="D1633" s="3" t="s">
        <v>6323</v>
      </c>
      <c r="E1633" s="3">
        <v>20516934698</v>
      </c>
      <c r="F1633" s="3" t="s">
        <v>6324</v>
      </c>
      <c r="G1633" s="3" t="s">
        <v>6325</v>
      </c>
      <c r="H1633" s="3" t="s">
        <v>56</v>
      </c>
      <c r="I1633" s="3" t="s">
        <v>56</v>
      </c>
      <c r="J1633" s="3" t="s">
        <v>838</v>
      </c>
      <c r="K1633" s="3" t="s">
        <v>6326</v>
      </c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 t="s">
        <v>65</v>
      </c>
      <c r="AL1633" s="4">
        <v>40347</v>
      </c>
      <c r="AM1633" s="3"/>
      <c r="AN1633" s="3" t="s">
        <v>6327</v>
      </c>
    </row>
    <row r="1634" spans="1:40" x14ac:dyDescent="0.3">
      <c r="A1634" s="3">
        <v>1628</v>
      </c>
      <c r="B1634" s="3" t="str">
        <f>"201900021249"</f>
        <v>201900021249</v>
      </c>
      <c r="C1634" s="3">
        <v>141254</v>
      </c>
      <c r="D1634" s="3" t="s">
        <v>6328</v>
      </c>
      <c r="E1634" s="3">
        <v>10463309103</v>
      </c>
      <c r="F1634" s="3" t="s">
        <v>6329</v>
      </c>
      <c r="G1634" s="3" t="s">
        <v>6330</v>
      </c>
      <c r="H1634" s="3" t="s">
        <v>89</v>
      </c>
      <c r="I1634" s="3" t="s">
        <v>6331</v>
      </c>
      <c r="J1634" s="3" t="s">
        <v>6332</v>
      </c>
      <c r="K1634" s="3" t="s">
        <v>6333</v>
      </c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 t="s">
        <v>52</v>
      </c>
      <c r="AL1634" s="4">
        <v>43511</v>
      </c>
      <c r="AM1634" s="3"/>
      <c r="AN1634" s="3" t="s">
        <v>6329</v>
      </c>
    </row>
    <row r="1635" spans="1:40" x14ac:dyDescent="0.3">
      <c r="A1635" s="3">
        <v>1629</v>
      </c>
      <c r="B1635" s="3" t="str">
        <f>"1553113"</f>
        <v>1553113</v>
      </c>
      <c r="C1635" s="3">
        <v>36714</v>
      </c>
      <c r="D1635" s="3" t="s">
        <v>6334</v>
      </c>
      <c r="E1635" s="3">
        <v>10095446821</v>
      </c>
      <c r="F1635" s="3" t="s">
        <v>6335</v>
      </c>
      <c r="G1635" s="3" t="s">
        <v>6336</v>
      </c>
      <c r="H1635" s="3" t="s">
        <v>75</v>
      </c>
      <c r="I1635" s="3" t="s">
        <v>75</v>
      </c>
      <c r="J1635" s="3" t="s">
        <v>76</v>
      </c>
      <c r="K1635" s="3" t="s">
        <v>6337</v>
      </c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 t="s">
        <v>3574</v>
      </c>
      <c r="AL1635" s="4">
        <v>38580</v>
      </c>
      <c r="AM1635" s="3"/>
      <c r="AN1635" s="3"/>
    </row>
    <row r="1636" spans="1:40" x14ac:dyDescent="0.3">
      <c r="A1636" s="3">
        <v>1630</v>
      </c>
      <c r="B1636" s="3" t="str">
        <f>"1916089"</f>
        <v>1916089</v>
      </c>
      <c r="C1636" s="3">
        <v>84113</v>
      </c>
      <c r="D1636" s="3" t="s">
        <v>6338</v>
      </c>
      <c r="E1636" s="3">
        <v>10179015671</v>
      </c>
      <c r="F1636" s="3" t="s">
        <v>6339</v>
      </c>
      <c r="G1636" s="3" t="s">
        <v>6340</v>
      </c>
      <c r="H1636" s="3" t="s">
        <v>44</v>
      </c>
      <c r="I1636" s="3" t="s">
        <v>45</v>
      </c>
      <c r="J1636" s="3" t="s">
        <v>45</v>
      </c>
      <c r="K1636" s="3" t="s">
        <v>6341</v>
      </c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 t="s">
        <v>218</v>
      </c>
      <c r="AL1636" s="4">
        <v>40043</v>
      </c>
      <c r="AM1636" s="3"/>
      <c r="AN1636" s="3"/>
    </row>
    <row r="1637" spans="1:40" ht="27.95" x14ac:dyDescent="0.3">
      <c r="A1637" s="3">
        <v>1631</v>
      </c>
      <c r="B1637" s="3" t="str">
        <f>"1576464"</f>
        <v>1576464</v>
      </c>
      <c r="C1637" s="3">
        <v>42268</v>
      </c>
      <c r="D1637" s="3" t="s">
        <v>6342</v>
      </c>
      <c r="E1637" s="3">
        <v>20508069015</v>
      </c>
      <c r="F1637" s="3" t="s">
        <v>6343</v>
      </c>
      <c r="G1637" s="3" t="s">
        <v>6344</v>
      </c>
      <c r="H1637" s="3" t="s">
        <v>56</v>
      </c>
      <c r="I1637" s="3" t="s">
        <v>56</v>
      </c>
      <c r="J1637" s="3" t="s">
        <v>432</v>
      </c>
      <c r="K1637" s="3" t="s">
        <v>6345</v>
      </c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 t="s">
        <v>5696</v>
      </c>
      <c r="AL1637" s="4">
        <v>38698</v>
      </c>
      <c r="AM1637" s="3"/>
      <c r="AN1637" s="3"/>
    </row>
    <row r="1638" spans="1:40" x14ac:dyDescent="0.3">
      <c r="A1638" s="3">
        <v>1632</v>
      </c>
      <c r="B1638" s="3" t="str">
        <f>"1686446"</f>
        <v>1686446</v>
      </c>
      <c r="C1638" s="3">
        <v>82738</v>
      </c>
      <c r="D1638" s="3" t="s">
        <v>6346</v>
      </c>
      <c r="E1638" s="3">
        <v>20121837634</v>
      </c>
      <c r="F1638" s="3" t="s">
        <v>866</v>
      </c>
      <c r="G1638" s="3" t="s">
        <v>1624</v>
      </c>
      <c r="H1638" s="3" t="s">
        <v>237</v>
      </c>
      <c r="I1638" s="3" t="s">
        <v>868</v>
      </c>
      <c r="J1638" s="3" t="s">
        <v>869</v>
      </c>
      <c r="K1638" s="3" t="s">
        <v>6347</v>
      </c>
      <c r="L1638" s="3" t="s">
        <v>871</v>
      </c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 t="s">
        <v>6348</v>
      </c>
      <c r="AL1638" s="4">
        <v>39192</v>
      </c>
      <c r="AM1638" s="3"/>
      <c r="AN1638" s="3"/>
    </row>
    <row r="1639" spans="1:40" ht="27.95" x14ac:dyDescent="0.3">
      <c r="A1639" s="3">
        <v>1633</v>
      </c>
      <c r="B1639" s="3" t="str">
        <f>"1576463"</f>
        <v>1576463</v>
      </c>
      <c r="C1639" s="3">
        <v>42267</v>
      </c>
      <c r="D1639" s="3" t="s">
        <v>6349</v>
      </c>
      <c r="E1639" s="3">
        <v>20508069015</v>
      </c>
      <c r="F1639" s="3" t="s">
        <v>430</v>
      </c>
      <c r="G1639" s="3" t="s">
        <v>6350</v>
      </c>
      <c r="H1639" s="3" t="s">
        <v>56</v>
      </c>
      <c r="I1639" s="3" t="s">
        <v>56</v>
      </c>
      <c r="J1639" s="3" t="s">
        <v>432</v>
      </c>
      <c r="K1639" s="3" t="s">
        <v>6351</v>
      </c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 t="s">
        <v>5696</v>
      </c>
      <c r="AL1639" s="4">
        <v>38698</v>
      </c>
      <c r="AM1639" s="3"/>
      <c r="AN1639" s="3"/>
    </row>
    <row r="1640" spans="1:40" ht="27.95" x14ac:dyDescent="0.3">
      <c r="A1640" s="3">
        <v>1634</v>
      </c>
      <c r="B1640" s="3" t="str">
        <f>"1110856"</f>
        <v>1110856</v>
      </c>
      <c r="C1640" s="3">
        <v>3540</v>
      </c>
      <c r="D1640" s="3">
        <v>985547</v>
      </c>
      <c r="E1640" s="3">
        <v>20210133748</v>
      </c>
      <c r="F1640" s="3" t="s">
        <v>4609</v>
      </c>
      <c r="G1640" s="3" t="s">
        <v>4610</v>
      </c>
      <c r="H1640" s="3" t="s">
        <v>56</v>
      </c>
      <c r="I1640" s="3" t="s">
        <v>56</v>
      </c>
      <c r="J1640" s="3" t="s">
        <v>63</v>
      </c>
      <c r="K1640" s="3" t="s">
        <v>6352</v>
      </c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 t="s">
        <v>634</v>
      </c>
      <c r="AL1640" s="4">
        <v>35501</v>
      </c>
      <c r="AM1640" s="3"/>
      <c r="AN1640" s="3"/>
    </row>
    <row r="1641" spans="1:40" ht="27.95" x14ac:dyDescent="0.3">
      <c r="A1641" s="3">
        <v>1635</v>
      </c>
      <c r="B1641" s="3" t="str">
        <f>"1576466"</f>
        <v>1576466</v>
      </c>
      <c r="C1641" s="3">
        <v>42257</v>
      </c>
      <c r="D1641" s="3" t="s">
        <v>6353</v>
      </c>
      <c r="E1641" s="3">
        <v>20508069015</v>
      </c>
      <c r="F1641" s="3" t="s">
        <v>6354</v>
      </c>
      <c r="G1641" s="3" t="s">
        <v>6355</v>
      </c>
      <c r="H1641" s="3" t="s">
        <v>56</v>
      </c>
      <c r="I1641" s="3" t="s">
        <v>56</v>
      </c>
      <c r="J1641" s="3" t="s">
        <v>432</v>
      </c>
      <c r="K1641" s="3" t="s">
        <v>6356</v>
      </c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 t="s">
        <v>5696</v>
      </c>
      <c r="AL1641" s="4">
        <v>38698</v>
      </c>
      <c r="AM1641" s="3"/>
      <c r="AN1641" s="3"/>
    </row>
    <row r="1642" spans="1:40" ht="27.95" x14ac:dyDescent="0.3">
      <c r="A1642" s="3">
        <v>1636</v>
      </c>
      <c r="B1642" s="3" t="str">
        <f>"1576467"</f>
        <v>1576467</v>
      </c>
      <c r="C1642" s="3">
        <v>42240</v>
      </c>
      <c r="D1642" s="3" t="s">
        <v>6357</v>
      </c>
      <c r="E1642" s="3">
        <v>20508069015</v>
      </c>
      <c r="F1642" s="3" t="s">
        <v>6358</v>
      </c>
      <c r="G1642" s="3" t="s">
        <v>6355</v>
      </c>
      <c r="H1642" s="3" t="s">
        <v>56</v>
      </c>
      <c r="I1642" s="3" t="s">
        <v>56</v>
      </c>
      <c r="J1642" s="3" t="s">
        <v>432</v>
      </c>
      <c r="K1642" s="3" t="s">
        <v>6359</v>
      </c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 t="s">
        <v>5696</v>
      </c>
      <c r="AL1642" s="4">
        <v>38698</v>
      </c>
      <c r="AM1642" s="3"/>
      <c r="AN1642" s="3"/>
    </row>
    <row r="1643" spans="1:40" ht="27.95" x14ac:dyDescent="0.3">
      <c r="A1643" s="3">
        <v>1637</v>
      </c>
      <c r="B1643" s="3" t="str">
        <f>"1110854"</f>
        <v>1110854</v>
      </c>
      <c r="C1643" s="3">
        <v>3542</v>
      </c>
      <c r="D1643" s="3">
        <v>990735</v>
      </c>
      <c r="E1643" s="3">
        <v>20210133748</v>
      </c>
      <c r="F1643" s="3" t="s">
        <v>4609</v>
      </c>
      <c r="G1643" s="3" t="s">
        <v>4610</v>
      </c>
      <c r="H1643" s="3" t="s">
        <v>56</v>
      </c>
      <c r="I1643" s="3" t="s">
        <v>56</v>
      </c>
      <c r="J1643" s="3" t="s">
        <v>63</v>
      </c>
      <c r="K1643" s="3" t="s">
        <v>6360</v>
      </c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 t="s">
        <v>634</v>
      </c>
      <c r="AL1643" s="4">
        <v>35501</v>
      </c>
      <c r="AM1643" s="3"/>
      <c r="AN1643" s="3"/>
    </row>
    <row r="1644" spans="1:40" x14ac:dyDescent="0.3">
      <c r="A1644" s="3">
        <v>1638</v>
      </c>
      <c r="B1644" s="3" t="str">
        <f>"1158121"</f>
        <v>1158121</v>
      </c>
      <c r="C1644" s="3">
        <v>6140</v>
      </c>
      <c r="D1644" s="3">
        <v>1158121</v>
      </c>
      <c r="E1644" s="3">
        <v>10296180543</v>
      </c>
      <c r="F1644" s="3" t="s">
        <v>6361</v>
      </c>
      <c r="G1644" s="3" t="s">
        <v>6362</v>
      </c>
      <c r="H1644" s="3" t="s">
        <v>97</v>
      </c>
      <c r="I1644" s="3" t="s">
        <v>97</v>
      </c>
      <c r="J1644" s="3" t="s">
        <v>97</v>
      </c>
      <c r="K1644" s="3" t="s">
        <v>6363</v>
      </c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 t="s">
        <v>5155</v>
      </c>
      <c r="AL1644" s="4">
        <v>35753</v>
      </c>
      <c r="AM1644" s="3"/>
      <c r="AN1644" s="3"/>
    </row>
    <row r="1645" spans="1:40" x14ac:dyDescent="0.3">
      <c r="A1645" s="3">
        <v>1639</v>
      </c>
      <c r="B1645" s="3" t="str">
        <f>"201600134016"</f>
        <v>201600134016</v>
      </c>
      <c r="C1645" s="3">
        <v>123861</v>
      </c>
      <c r="D1645" s="3" t="s">
        <v>6364</v>
      </c>
      <c r="E1645" s="3">
        <v>20600730968</v>
      </c>
      <c r="F1645" s="3" t="s">
        <v>6365</v>
      </c>
      <c r="G1645" s="3" t="s">
        <v>6366</v>
      </c>
      <c r="H1645" s="3" t="s">
        <v>271</v>
      </c>
      <c r="I1645" s="3" t="s">
        <v>6367</v>
      </c>
      <c r="J1645" s="3" t="s">
        <v>6368</v>
      </c>
      <c r="K1645" s="3" t="s">
        <v>6369</v>
      </c>
      <c r="L1645" s="3" t="s">
        <v>6370</v>
      </c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 t="s">
        <v>404</v>
      </c>
      <c r="AL1645" s="4">
        <v>42655</v>
      </c>
      <c r="AM1645" s="3"/>
      <c r="AN1645" s="3" t="s">
        <v>6371</v>
      </c>
    </row>
    <row r="1646" spans="1:40" ht="27.95" x14ac:dyDescent="0.3">
      <c r="A1646" s="3">
        <v>1640</v>
      </c>
      <c r="B1646" s="3" t="str">
        <f>"1367544"</f>
        <v>1367544</v>
      </c>
      <c r="C1646" s="3">
        <v>44769</v>
      </c>
      <c r="D1646" s="3" t="s">
        <v>6372</v>
      </c>
      <c r="E1646" s="3">
        <v>20517249336</v>
      </c>
      <c r="F1646" s="3" t="s">
        <v>836</v>
      </c>
      <c r="G1646" s="3" t="s">
        <v>6325</v>
      </c>
      <c r="H1646" s="3" t="s">
        <v>56</v>
      </c>
      <c r="I1646" s="3" t="s">
        <v>56</v>
      </c>
      <c r="J1646" s="3" t="s">
        <v>838</v>
      </c>
      <c r="K1646" s="3" t="s">
        <v>6373</v>
      </c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 t="s">
        <v>434</v>
      </c>
      <c r="AL1646" s="4">
        <v>40347</v>
      </c>
      <c r="AM1646" s="3"/>
      <c r="AN1646" s="3" t="s">
        <v>6374</v>
      </c>
    </row>
    <row r="1647" spans="1:40" x14ac:dyDescent="0.3">
      <c r="A1647" s="3">
        <v>1641</v>
      </c>
      <c r="B1647" s="3" t="str">
        <f>"1206069"</f>
        <v>1206069</v>
      </c>
      <c r="C1647" s="3">
        <v>14809</v>
      </c>
      <c r="D1647" s="3">
        <v>1206069</v>
      </c>
      <c r="E1647" s="3">
        <v>10035929008</v>
      </c>
      <c r="F1647" s="3" t="s">
        <v>6375</v>
      </c>
      <c r="G1647" s="3" t="s">
        <v>6376</v>
      </c>
      <c r="H1647" s="3" t="s">
        <v>50</v>
      </c>
      <c r="I1647" s="3" t="s">
        <v>749</v>
      </c>
      <c r="J1647" s="3" t="s">
        <v>749</v>
      </c>
      <c r="K1647" s="3" t="s">
        <v>6377</v>
      </c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 t="s">
        <v>1341</v>
      </c>
      <c r="AL1647" s="4">
        <v>36075</v>
      </c>
      <c r="AM1647" s="3"/>
      <c r="AN1647" s="3"/>
    </row>
    <row r="1648" spans="1:40" ht="27.95" x14ac:dyDescent="0.3">
      <c r="A1648" s="3">
        <v>1642</v>
      </c>
      <c r="B1648" s="3" t="str">
        <f>"1206068"</f>
        <v>1206068</v>
      </c>
      <c r="C1648" s="3">
        <v>14808</v>
      </c>
      <c r="D1648" s="3">
        <v>1206068</v>
      </c>
      <c r="E1648" s="3">
        <v>10036566669</v>
      </c>
      <c r="F1648" s="3" t="s">
        <v>747</v>
      </c>
      <c r="G1648" s="3" t="s">
        <v>6378</v>
      </c>
      <c r="H1648" s="3" t="s">
        <v>50</v>
      </c>
      <c r="I1648" s="3" t="s">
        <v>749</v>
      </c>
      <c r="J1648" s="3" t="s">
        <v>749</v>
      </c>
      <c r="K1648" s="3" t="s">
        <v>6379</v>
      </c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 t="s">
        <v>52</v>
      </c>
      <c r="AL1648" s="4">
        <v>36074</v>
      </c>
      <c r="AM1648" s="3"/>
      <c r="AN1648" s="3"/>
    </row>
    <row r="1649" spans="1:40" ht="27.95" x14ac:dyDescent="0.3">
      <c r="A1649" s="3">
        <v>1643</v>
      </c>
      <c r="B1649" s="3" t="str">
        <f>"1110851"</f>
        <v>1110851</v>
      </c>
      <c r="C1649" s="3">
        <v>3536</v>
      </c>
      <c r="D1649" s="3">
        <v>977308</v>
      </c>
      <c r="E1649" s="3">
        <v>20122113761</v>
      </c>
      <c r="F1649" s="3" t="s">
        <v>3850</v>
      </c>
      <c r="G1649" s="3" t="s">
        <v>3851</v>
      </c>
      <c r="H1649" s="3" t="s">
        <v>56</v>
      </c>
      <c r="I1649" s="3" t="s">
        <v>56</v>
      </c>
      <c r="J1649" s="3" t="s">
        <v>63</v>
      </c>
      <c r="K1649" s="3" t="s">
        <v>6380</v>
      </c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 t="s">
        <v>233</v>
      </c>
      <c r="AL1649" s="4">
        <v>35501</v>
      </c>
      <c r="AM1649" s="3"/>
      <c r="AN1649" s="3"/>
    </row>
    <row r="1650" spans="1:40" x14ac:dyDescent="0.3">
      <c r="A1650" s="3">
        <v>1644</v>
      </c>
      <c r="B1650" s="3" t="str">
        <f>"1864760"</f>
        <v>1864760</v>
      </c>
      <c r="C1650" s="3">
        <v>39185</v>
      </c>
      <c r="D1650" s="3" t="s">
        <v>6381</v>
      </c>
      <c r="E1650" s="3">
        <v>20121837634</v>
      </c>
      <c r="F1650" s="3" t="s">
        <v>866</v>
      </c>
      <c r="G1650" s="3" t="s">
        <v>867</v>
      </c>
      <c r="H1650" s="3" t="s">
        <v>237</v>
      </c>
      <c r="I1650" s="3" t="s">
        <v>868</v>
      </c>
      <c r="J1650" s="3" t="s">
        <v>869</v>
      </c>
      <c r="K1650" s="3" t="s">
        <v>6382</v>
      </c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 t="s">
        <v>241</v>
      </c>
      <c r="AL1650" s="4">
        <v>39863</v>
      </c>
      <c r="AM1650" s="3"/>
      <c r="AN1650" s="3"/>
    </row>
    <row r="1651" spans="1:40" x14ac:dyDescent="0.3">
      <c r="A1651" s="3">
        <v>1645</v>
      </c>
      <c r="B1651" s="3" t="str">
        <f>"1367530"</f>
        <v>1367530</v>
      </c>
      <c r="C1651" s="3">
        <v>44534</v>
      </c>
      <c r="D1651" s="3" t="s">
        <v>6383</v>
      </c>
      <c r="E1651" s="3">
        <v>20516934698</v>
      </c>
      <c r="F1651" s="3" t="s">
        <v>6384</v>
      </c>
      <c r="G1651" s="3" t="s">
        <v>6325</v>
      </c>
      <c r="H1651" s="3" t="s">
        <v>56</v>
      </c>
      <c r="I1651" s="3" t="s">
        <v>56</v>
      </c>
      <c r="J1651" s="3" t="s">
        <v>838</v>
      </c>
      <c r="K1651" s="3" t="s">
        <v>6385</v>
      </c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 t="s">
        <v>434</v>
      </c>
      <c r="AL1651" s="4">
        <v>40347</v>
      </c>
      <c r="AM1651" s="3"/>
      <c r="AN1651" s="3" t="s">
        <v>6386</v>
      </c>
    </row>
    <row r="1652" spans="1:40" ht="27.95" x14ac:dyDescent="0.3">
      <c r="A1652" s="3">
        <v>1646</v>
      </c>
      <c r="B1652" s="3" t="str">
        <f>"1916981"</f>
        <v>1916981</v>
      </c>
      <c r="C1652" s="3">
        <v>83607</v>
      </c>
      <c r="D1652" s="3" t="s">
        <v>6387</v>
      </c>
      <c r="E1652" s="3">
        <v>10103923251</v>
      </c>
      <c r="F1652" s="3" t="s">
        <v>2782</v>
      </c>
      <c r="G1652" s="3" t="s">
        <v>6388</v>
      </c>
      <c r="H1652" s="3" t="s">
        <v>75</v>
      </c>
      <c r="I1652" s="3" t="s">
        <v>75</v>
      </c>
      <c r="J1652" s="3" t="s">
        <v>76</v>
      </c>
      <c r="K1652" s="3" t="s">
        <v>6389</v>
      </c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 t="s">
        <v>230</v>
      </c>
      <c r="AL1652" s="4">
        <v>40053</v>
      </c>
      <c r="AM1652" s="3"/>
      <c r="AN1652" s="3"/>
    </row>
    <row r="1653" spans="1:40" x14ac:dyDescent="0.3">
      <c r="A1653" s="3">
        <v>1647</v>
      </c>
      <c r="B1653" s="3" t="str">
        <f>"1155368"</f>
        <v>1155368</v>
      </c>
      <c r="C1653" s="3">
        <v>6124</v>
      </c>
      <c r="D1653" s="3">
        <v>1155368</v>
      </c>
      <c r="E1653" s="3">
        <v>20510740760</v>
      </c>
      <c r="F1653" s="3" t="s">
        <v>3495</v>
      </c>
      <c r="G1653" s="3" t="s">
        <v>3496</v>
      </c>
      <c r="H1653" s="3" t="s">
        <v>56</v>
      </c>
      <c r="I1653" s="3" t="s">
        <v>56</v>
      </c>
      <c r="J1653" s="3" t="s">
        <v>432</v>
      </c>
      <c r="K1653" s="3" t="s">
        <v>6390</v>
      </c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 t="s">
        <v>81</v>
      </c>
      <c r="AL1653" s="4">
        <v>35746</v>
      </c>
      <c r="AM1653" s="3"/>
      <c r="AN1653" s="3"/>
    </row>
    <row r="1654" spans="1:40" x14ac:dyDescent="0.3">
      <c r="A1654" s="3">
        <v>1648</v>
      </c>
      <c r="B1654" s="3" t="str">
        <f>"1916980"</f>
        <v>1916980</v>
      </c>
      <c r="C1654" s="3">
        <v>83614</v>
      </c>
      <c r="D1654" s="3" t="s">
        <v>6391</v>
      </c>
      <c r="E1654" s="3">
        <v>10400978153</v>
      </c>
      <c r="F1654" s="3" t="s">
        <v>2784</v>
      </c>
      <c r="G1654" s="3" t="s">
        <v>6392</v>
      </c>
      <c r="H1654" s="3" t="s">
        <v>56</v>
      </c>
      <c r="I1654" s="3" t="s">
        <v>56</v>
      </c>
      <c r="J1654" s="3" t="s">
        <v>63</v>
      </c>
      <c r="K1654" s="3" t="s">
        <v>6393</v>
      </c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 t="s">
        <v>6394</v>
      </c>
      <c r="AL1654" s="4">
        <v>40053</v>
      </c>
      <c r="AM1654" s="3"/>
      <c r="AN1654" s="3"/>
    </row>
    <row r="1655" spans="1:40" x14ac:dyDescent="0.3">
      <c r="A1655" s="3">
        <v>1649</v>
      </c>
      <c r="B1655" s="3" t="str">
        <f>"202000109002"</f>
        <v>202000109002</v>
      </c>
      <c r="C1655" s="3">
        <v>119483</v>
      </c>
      <c r="D1655" s="3" t="s">
        <v>6395</v>
      </c>
      <c r="E1655" s="3">
        <v>20600790898</v>
      </c>
      <c r="F1655" s="3" t="s">
        <v>6012</v>
      </c>
      <c r="G1655" s="3" t="s">
        <v>6013</v>
      </c>
      <c r="H1655" s="3" t="s">
        <v>1208</v>
      </c>
      <c r="I1655" s="3" t="s">
        <v>1209</v>
      </c>
      <c r="J1655" s="3" t="s">
        <v>1209</v>
      </c>
      <c r="K1655" s="3" t="s">
        <v>6396</v>
      </c>
      <c r="L1655" s="3" t="s">
        <v>6016</v>
      </c>
      <c r="M1655" s="3" t="s">
        <v>6017</v>
      </c>
      <c r="N1655" s="3" t="s">
        <v>6015</v>
      </c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 t="s">
        <v>371</v>
      </c>
      <c r="AL1655" s="4">
        <v>44070</v>
      </c>
      <c r="AM1655" s="3"/>
      <c r="AN1655" s="3" t="s">
        <v>6018</v>
      </c>
    </row>
    <row r="1656" spans="1:40" ht="27.95" x14ac:dyDescent="0.3">
      <c r="A1656" s="3">
        <v>1650</v>
      </c>
      <c r="B1656" s="3" t="str">
        <f>"201400102713"</f>
        <v>201400102713</v>
      </c>
      <c r="C1656" s="3">
        <v>110957</v>
      </c>
      <c r="D1656" s="3" t="s">
        <v>6397</v>
      </c>
      <c r="E1656" s="3">
        <v>20527267197</v>
      </c>
      <c r="F1656" s="3" t="s">
        <v>6398</v>
      </c>
      <c r="G1656" s="3" t="s">
        <v>6399</v>
      </c>
      <c r="H1656" s="3" t="s">
        <v>446</v>
      </c>
      <c r="I1656" s="3" t="s">
        <v>446</v>
      </c>
      <c r="J1656" s="3" t="s">
        <v>830</v>
      </c>
      <c r="K1656" s="3" t="s">
        <v>6400</v>
      </c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 t="s">
        <v>230</v>
      </c>
      <c r="AL1656" s="4">
        <v>41863</v>
      </c>
      <c r="AM1656" s="3"/>
      <c r="AN1656" s="3" t="s">
        <v>6401</v>
      </c>
    </row>
    <row r="1657" spans="1:40" x14ac:dyDescent="0.3">
      <c r="A1657" s="3">
        <v>1651</v>
      </c>
      <c r="B1657" s="3" t="str">
        <f>"201800118373"</f>
        <v>201800118373</v>
      </c>
      <c r="C1657" s="3">
        <v>123666</v>
      </c>
      <c r="D1657" s="3" t="s">
        <v>6402</v>
      </c>
      <c r="E1657" s="3">
        <v>20573264925</v>
      </c>
      <c r="F1657" s="3" t="s">
        <v>6403</v>
      </c>
      <c r="G1657" s="3" t="s">
        <v>5801</v>
      </c>
      <c r="H1657" s="3" t="s">
        <v>237</v>
      </c>
      <c r="I1657" s="3" t="s">
        <v>868</v>
      </c>
      <c r="J1657" s="3" t="s">
        <v>2537</v>
      </c>
      <c r="K1657" s="3" t="s">
        <v>6404</v>
      </c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 t="s">
        <v>864</v>
      </c>
      <c r="AL1657" s="4">
        <v>43311</v>
      </c>
      <c r="AM1657" s="3"/>
      <c r="AN1657" s="3" t="s">
        <v>6405</v>
      </c>
    </row>
    <row r="1658" spans="1:40" ht="27.95" x14ac:dyDescent="0.3">
      <c r="A1658" s="3">
        <v>1652</v>
      </c>
      <c r="B1658" s="3" t="str">
        <f>"1110848"</f>
        <v>1110848</v>
      </c>
      <c r="C1658" s="3">
        <v>3534</v>
      </c>
      <c r="D1658" s="3">
        <v>985545</v>
      </c>
      <c r="E1658" s="3">
        <v>20122113761</v>
      </c>
      <c r="F1658" s="3" t="s">
        <v>3850</v>
      </c>
      <c r="G1658" s="3" t="s">
        <v>6406</v>
      </c>
      <c r="H1658" s="3" t="s">
        <v>56</v>
      </c>
      <c r="I1658" s="3" t="s">
        <v>56</v>
      </c>
      <c r="J1658" s="3" t="s">
        <v>63</v>
      </c>
      <c r="K1658" s="3" t="s">
        <v>6407</v>
      </c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 t="s">
        <v>634</v>
      </c>
      <c r="AL1658" s="4">
        <v>35501</v>
      </c>
      <c r="AM1658" s="3"/>
      <c r="AN1658" s="3"/>
    </row>
    <row r="1659" spans="1:40" x14ac:dyDescent="0.3">
      <c r="A1659" s="3">
        <v>1653</v>
      </c>
      <c r="B1659" s="3" t="str">
        <f>"1149606"</f>
        <v>1149606</v>
      </c>
      <c r="C1659" s="3">
        <v>3296</v>
      </c>
      <c r="D1659" s="3">
        <v>1147960</v>
      </c>
      <c r="E1659" s="3">
        <v>20218087761</v>
      </c>
      <c r="F1659" s="3" t="s">
        <v>6408</v>
      </c>
      <c r="G1659" s="3" t="s">
        <v>6409</v>
      </c>
      <c r="H1659" s="3" t="s">
        <v>56</v>
      </c>
      <c r="I1659" s="3" t="s">
        <v>56</v>
      </c>
      <c r="J1659" s="3" t="s">
        <v>56</v>
      </c>
      <c r="K1659" s="3" t="s">
        <v>6410</v>
      </c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 t="s">
        <v>1341</v>
      </c>
      <c r="AL1659" s="4">
        <v>35681</v>
      </c>
      <c r="AM1659" s="3"/>
      <c r="AN1659" s="3"/>
    </row>
    <row r="1660" spans="1:40" x14ac:dyDescent="0.3">
      <c r="A1660" s="3">
        <v>1654</v>
      </c>
      <c r="B1660" s="3" t="str">
        <f>"1147355"</f>
        <v>1147355</v>
      </c>
      <c r="C1660" s="3">
        <v>3390</v>
      </c>
      <c r="D1660" s="3">
        <v>1147355</v>
      </c>
      <c r="E1660" s="3">
        <v>10156084277</v>
      </c>
      <c r="F1660" s="3" t="s">
        <v>6411</v>
      </c>
      <c r="G1660" s="3" t="s">
        <v>6412</v>
      </c>
      <c r="H1660" s="3" t="s">
        <v>56</v>
      </c>
      <c r="I1660" s="3" t="s">
        <v>663</v>
      </c>
      <c r="J1660" s="3" t="s">
        <v>664</v>
      </c>
      <c r="K1660" s="3" t="s">
        <v>6413</v>
      </c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 t="s">
        <v>842</v>
      </c>
      <c r="AL1660" s="4">
        <v>35664</v>
      </c>
      <c r="AM1660" s="3"/>
      <c r="AN1660" s="3"/>
    </row>
    <row r="1661" spans="1:40" x14ac:dyDescent="0.3">
      <c r="A1661" s="3">
        <v>1655</v>
      </c>
      <c r="B1661" s="3" t="str">
        <f>"1367535"</f>
        <v>1367535</v>
      </c>
      <c r="C1661" s="3">
        <v>61910</v>
      </c>
      <c r="D1661" s="3" t="s">
        <v>6414</v>
      </c>
      <c r="E1661" s="3">
        <v>20516934698</v>
      </c>
      <c r="F1661" s="3" t="s">
        <v>6324</v>
      </c>
      <c r="G1661" s="3" t="s">
        <v>6325</v>
      </c>
      <c r="H1661" s="3" t="s">
        <v>56</v>
      </c>
      <c r="I1661" s="3" t="s">
        <v>56</v>
      </c>
      <c r="J1661" s="3" t="s">
        <v>838</v>
      </c>
      <c r="K1661" s="3" t="s">
        <v>6415</v>
      </c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 t="s">
        <v>65</v>
      </c>
      <c r="AL1661" s="4">
        <v>40347</v>
      </c>
      <c r="AM1661" s="3"/>
      <c r="AN1661" s="3" t="s">
        <v>6327</v>
      </c>
    </row>
    <row r="1662" spans="1:40" x14ac:dyDescent="0.3">
      <c r="A1662" s="3">
        <v>1656</v>
      </c>
      <c r="B1662" s="3" t="str">
        <f>"1983328"</f>
        <v>1983328</v>
      </c>
      <c r="C1662" s="3">
        <v>86102</v>
      </c>
      <c r="D1662" s="3" t="s">
        <v>6416</v>
      </c>
      <c r="E1662" s="3">
        <v>20113539594</v>
      </c>
      <c r="F1662" s="3" t="s">
        <v>164</v>
      </c>
      <c r="G1662" s="3" t="s">
        <v>6417</v>
      </c>
      <c r="H1662" s="3" t="s">
        <v>50</v>
      </c>
      <c r="I1662" s="3" t="s">
        <v>50</v>
      </c>
      <c r="J1662" s="3" t="s">
        <v>50</v>
      </c>
      <c r="K1662" s="3" t="s">
        <v>6418</v>
      </c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 t="s">
        <v>6419</v>
      </c>
      <c r="AL1662" s="4">
        <v>40281</v>
      </c>
      <c r="AM1662" s="3"/>
      <c r="AN1662" s="3"/>
    </row>
    <row r="1663" spans="1:40" x14ac:dyDescent="0.3">
      <c r="A1663" s="3">
        <v>1657</v>
      </c>
      <c r="B1663" s="3" t="str">
        <f>"201600034590"</f>
        <v>201600034590</v>
      </c>
      <c r="C1663" s="3">
        <v>106270</v>
      </c>
      <c r="D1663" s="3" t="s">
        <v>6420</v>
      </c>
      <c r="E1663" s="3">
        <v>20100366747</v>
      </c>
      <c r="F1663" s="3" t="s">
        <v>258</v>
      </c>
      <c r="G1663" s="3" t="s">
        <v>335</v>
      </c>
      <c r="H1663" s="3" t="s">
        <v>56</v>
      </c>
      <c r="I1663" s="3" t="s">
        <v>56</v>
      </c>
      <c r="J1663" s="3" t="s">
        <v>185</v>
      </c>
      <c r="K1663" s="3" t="s">
        <v>6421</v>
      </c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 t="s">
        <v>579</v>
      </c>
      <c r="AL1663" s="4">
        <v>42457</v>
      </c>
      <c r="AM1663" s="3"/>
      <c r="AN1663" s="3" t="s">
        <v>262</v>
      </c>
    </row>
    <row r="1664" spans="1:40" x14ac:dyDescent="0.3">
      <c r="A1664" s="3">
        <v>1658</v>
      </c>
      <c r="B1664" s="3" t="str">
        <f>"201900155861"</f>
        <v>201900155861</v>
      </c>
      <c r="C1664" s="3">
        <v>113199</v>
      </c>
      <c r="D1664" s="3" t="s">
        <v>6422</v>
      </c>
      <c r="E1664" s="3">
        <v>20601661552</v>
      </c>
      <c r="F1664" s="3" t="s">
        <v>455</v>
      </c>
      <c r="G1664" s="3" t="s">
        <v>456</v>
      </c>
      <c r="H1664" s="3" t="s">
        <v>172</v>
      </c>
      <c r="I1664" s="3" t="s">
        <v>172</v>
      </c>
      <c r="J1664" s="3" t="s">
        <v>173</v>
      </c>
      <c r="K1664" s="3" t="s">
        <v>6423</v>
      </c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 t="s">
        <v>4508</v>
      </c>
      <c r="AL1664" s="4">
        <v>43735</v>
      </c>
      <c r="AM1664" s="3"/>
      <c r="AN1664" s="3" t="s">
        <v>6424</v>
      </c>
    </row>
    <row r="1665" spans="1:40" x14ac:dyDescent="0.3">
      <c r="A1665" s="3">
        <v>1659</v>
      </c>
      <c r="B1665" s="3" t="str">
        <f>"1367538"</f>
        <v>1367538</v>
      </c>
      <c r="C1665" s="3">
        <v>43275</v>
      </c>
      <c r="D1665" s="3" t="s">
        <v>6425</v>
      </c>
      <c r="E1665" s="3">
        <v>20516934698</v>
      </c>
      <c r="F1665" s="3" t="s">
        <v>6324</v>
      </c>
      <c r="G1665" s="3" t="s">
        <v>6325</v>
      </c>
      <c r="H1665" s="3" t="s">
        <v>56</v>
      </c>
      <c r="I1665" s="3" t="s">
        <v>56</v>
      </c>
      <c r="J1665" s="3" t="s">
        <v>838</v>
      </c>
      <c r="K1665" s="3" t="s">
        <v>6426</v>
      </c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 t="s">
        <v>65</v>
      </c>
      <c r="AL1665" s="4">
        <v>40347</v>
      </c>
      <c r="AM1665" s="3"/>
      <c r="AN1665" s="3" t="s">
        <v>6327</v>
      </c>
    </row>
    <row r="1666" spans="1:40" x14ac:dyDescent="0.3">
      <c r="A1666" s="3">
        <v>1660</v>
      </c>
      <c r="B1666" s="3" t="str">
        <f>"201600034599"</f>
        <v>201600034599</v>
      </c>
      <c r="C1666" s="3">
        <v>106028</v>
      </c>
      <c r="D1666" s="3" t="s">
        <v>6427</v>
      </c>
      <c r="E1666" s="3">
        <v>20100366747</v>
      </c>
      <c r="F1666" s="3" t="s">
        <v>334</v>
      </c>
      <c r="G1666" s="3" t="s">
        <v>451</v>
      </c>
      <c r="H1666" s="3" t="s">
        <v>56</v>
      </c>
      <c r="I1666" s="3" t="s">
        <v>56</v>
      </c>
      <c r="J1666" s="3" t="s">
        <v>185</v>
      </c>
      <c r="K1666" s="3" t="s">
        <v>6428</v>
      </c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 t="s">
        <v>579</v>
      </c>
      <c r="AL1666" s="4">
        <v>42471</v>
      </c>
      <c r="AM1666" s="3"/>
      <c r="AN1666" s="3" t="s">
        <v>262</v>
      </c>
    </row>
    <row r="1667" spans="1:40" x14ac:dyDescent="0.3">
      <c r="A1667" s="3">
        <v>1661</v>
      </c>
      <c r="B1667" s="3" t="str">
        <f>"1689996"</f>
        <v>1689996</v>
      </c>
      <c r="C1667" s="3">
        <v>41818</v>
      </c>
      <c r="D1667" s="3" t="s">
        <v>6429</v>
      </c>
      <c r="E1667" s="3">
        <v>10235218831</v>
      </c>
      <c r="F1667" s="3" t="s">
        <v>6430</v>
      </c>
      <c r="G1667" s="3" t="s">
        <v>6431</v>
      </c>
      <c r="H1667" s="3" t="s">
        <v>56</v>
      </c>
      <c r="I1667" s="3" t="s">
        <v>56</v>
      </c>
      <c r="J1667" s="3" t="s">
        <v>57</v>
      </c>
      <c r="K1667" s="3" t="s">
        <v>6432</v>
      </c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 t="s">
        <v>157</v>
      </c>
      <c r="AL1667" s="4">
        <v>39225</v>
      </c>
      <c r="AM1667" s="3"/>
      <c r="AN1667" s="3"/>
    </row>
    <row r="1668" spans="1:40" x14ac:dyDescent="0.3">
      <c r="A1668" s="3">
        <v>1662</v>
      </c>
      <c r="B1668" s="3" t="str">
        <f>"201600034597"</f>
        <v>201600034597</v>
      </c>
      <c r="C1668" s="3">
        <v>106031</v>
      </c>
      <c r="D1668" s="3" t="s">
        <v>6433</v>
      </c>
      <c r="E1668" s="3">
        <v>20100366747</v>
      </c>
      <c r="F1668" s="3" t="s">
        <v>334</v>
      </c>
      <c r="G1668" s="3" t="s">
        <v>451</v>
      </c>
      <c r="H1668" s="3" t="s">
        <v>56</v>
      </c>
      <c r="I1668" s="3" t="s">
        <v>56</v>
      </c>
      <c r="J1668" s="3" t="s">
        <v>185</v>
      </c>
      <c r="K1668" s="3" t="s">
        <v>6434</v>
      </c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 t="s">
        <v>579</v>
      </c>
      <c r="AL1668" s="4">
        <v>42471</v>
      </c>
      <c r="AM1668" s="3"/>
      <c r="AN1668" s="3" t="s">
        <v>262</v>
      </c>
    </row>
    <row r="1669" spans="1:40" ht="27.95" x14ac:dyDescent="0.3">
      <c r="A1669" s="3">
        <v>1663</v>
      </c>
      <c r="B1669" s="3" t="str">
        <f>"201900086604"</f>
        <v>201900086604</v>
      </c>
      <c r="C1669" s="3">
        <v>144360</v>
      </c>
      <c r="D1669" s="3" t="s">
        <v>6435</v>
      </c>
      <c r="E1669" s="3">
        <v>10224849252</v>
      </c>
      <c r="F1669" s="3" t="s">
        <v>6436</v>
      </c>
      <c r="G1669" s="3" t="s">
        <v>6437</v>
      </c>
      <c r="H1669" s="3" t="s">
        <v>395</v>
      </c>
      <c r="I1669" s="3" t="s">
        <v>396</v>
      </c>
      <c r="J1669" s="3" t="s">
        <v>397</v>
      </c>
      <c r="K1669" s="3" t="s">
        <v>6438</v>
      </c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 t="s">
        <v>3580</v>
      </c>
      <c r="AL1669" s="4">
        <v>43623</v>
      </c>
      <c r="AM1669" s="3"/>
      <c r="AN1669" s="3" t="s">
        <v>6436</v>
      </c>
    </row>
    <row r="1670" spans="1:40" x14ac:dyDescent="0.3">
      <c r="A1670" s="3">
        <v>1664</v>
      </c>
      <c r="B1670" s="3" t="str">
        <f>"201200124383"</f>
        <v>201200124383</v>
      </c>
      <c r="C1670" s="3">
        <v>97220</v>
      </c>
      <c r="D1670" s="3" t="s">
        <v>6439</v>
      </c>
      <c r="E1670" s="3">
        <v>10305071809</v>
      </c>
      <c r="F1670" s="3" t="s">
        <v>4234</v>
      </c>
      <c r="G1670" s="3" t="s">
        <v>6440</v>
      </c>
      <c r="H1670" s="3" t="s">
        <v>97</v>
      </c>
      <c r="I1670" s="3" t="s">
        <v>1436</v>
      </c>
      <c r="J1670" s="3" t="s">
        <v>1437</v>
      </c>
      <c r="K1670" s="3" t="s">
        <v>6441</v>
      </c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 t="s">
        <v>167</v>
      </c>
      <c r="AL1670" s="4">
        <v>41079</v>
      </c>
      <c r="AM1670" s="3"/>
      <c r="AN1670" s="3" t="s">
        <v>4234</v>
      </c>
    </row>
    <row r="1671" spans="1:40" ht="27.95" x14ac:dyDescent="0.3">
      <c r="A1671" s="3">
        <v>1665</v>
      </c>
      <c r="B1671" s="3" t="str">
        <f>"1677535"</f>
        <v>1677535</v>
      </c>
      <c r="C1671" s="3">
        <v>41055</v>
      </c>
      <c r="D1671" s="3" t="s">
        <v>6442</v>
      </c>
      <c r="E1671" s="3">
        <v>20508069015</v>
      </c>
      <c r="F1671" s="3" t="s">
        <v>5592</v>
      </c>
      <c r="G1671" s="3" t="s">
        <v>6443</v>
      </c>
      <c r="H1671" s="3" t="s">
        <v>56</v>
      </c>
      <c r="I1671" s="3" t="s">
        <v>56</v>
      </c>
      <c r="J1671" s="3" t="s">
        <v>56</v>
      </c>
      <c r="K1671" s="3" t="s">
        <v>6444</v>
      </c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 t="s">
        <v>1668</v>
      </c>
      <c r="AL1671" s="4">
        <v>39171</v>
      </c>
      <c r="AM1671" s="3"/>
      <c r="AN1671" s="3"/>
    </row>
    <row r="1672" spans="1:40" x14ac:dyDescent="0.3">
      <c r="A1672" s="3">
        <v>1666</v>
      </c>
      <c r="B1672" s="3" t="str">
        <f>"201900016996"</f>
        <v>201900016996</v>
      </c>
      <c r="C1672" s="3">
        <v>141086</v>
      </c>
      <c r="D1672" s="3" t="s">
        <v>6445</v>
      </c>
      <c r="E1672" s="3">
        <v>10196724279</v>
      </c>
      <c r="F1672" s="3" t="s">
        <v>6446</v>
      </c>
      <c r="G1672" s="3" t="s">
        <v>6447</v>
      </c>
      <c r="H1672" s="3" t="s">
        <v>44</v>
      </c>
      <c r="I1672" s="3" t="s">
        <v>45</v>
      </c>
      <c r="J1672" s="3" t="s">
        <v>726</v>
      </c>
      <c r="K1672" s="3" t="s">
        <v>6448</v>
      </c>
      <c r="L1672" s="3" t="s">
        <v>6449</v>
      </c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 t="s">
        <v>2372</v>
      </c>
      <c r="AL1672" s="4">
        <v>43502</v>
      </c>
      <c r="AM1672" s="3"/>
      <c r="AN1672" s="3" t="s">
        <v>6446</v>
      </c>
    </row>
    <row r="1673" spans="1:40" x14ac:dyDescent="0.3">
      <c r="A1673" s="3">
        <v>1667</v>
      </c>
      <c r="B1673" s="3" t="str">
        <f>"1157401"</f>
        <v>1157401</v>
      </c>
      <c r="C1673" s="3">
        <v>6129</v>
      </c>
      <c r="D1673" s="3">
        <v>1119797</v>
      </c>
      <c r="E1673" s="3">
        <v>10071451688</v>
      </c>
      <c r="F1673" s="3" t="s">
        <v>6450</v>
      </c>
      <c r="G1673" s="3" t="s">
        <v>6451</v>
      </c>
      <c r="H1673" s="3" t="s">
        <v>56</v>
      </c>
      <c r="I1673" s="3" t="s">
        <v>56</v>
      </c>
      <c r="J1673" s="3" t="s">
        <v>273</v>
      </c>
      <c r="K1673" s="3" t="s">
        <v>6452</v>
      </c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 t="s">
        <v>65</v>
      </c>
      <c r="AL1673" s="4">
        <v>35746</v>
      </c>
      <c r="AM1673" s="3"/>
      <c r="AN1673" s="3"/>
    </row>
    <row r="1674" spans="1:40" x14ac:dyDescent="0.3">
      <c r="A1674" s="3">
        <v>1668</v>
      </c>
      <c r="B1674" s="3" t="str">
        <f>"1110873"</f>
        <v>1110873</v>
      </c>
      <c r="C1674" s="3">
        <v>3554</v>
      </c>
      <c r="D1674" s="3">
        <v>984246</v>
      </c>
      <c r="E1674" s="3">
        <v>10078352146</v>
      </c>
      <c r="F1674" s="3" t="s">
        <v>6453</v>
      </c>
      <c r="G1674" s="3" t="s">
        <v>6454</v>
      </c>
      <c r="H1674" s="3" t="s">
        <v>56</v>
      </c>
      <c r="I1674" s="3" t="s">
        <v>56</v>
      </c>
      <c r="J1674" s="3" t="s">
        <v>331</v>
      </c>
      <c r="K1674" s="3" t="s">
        <v>6455</v>
      </c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 t="s">
        <v>81</v>
      </c>
      <c r="AL1674" s="4">
        <v>35520</v>
      </c>
      <c r="AM1674" s="3"/>
      <c r="AN1674" s="3"/>
    </row>
    <row r="1675" spans="1:40" ht="27.95" x14ac:dyDescent="0.3">
      <c r="A1675" s="3">
        <v>1669</v>
      </c>
      <c r="B1675" s="3" t="str">
        <f>"1367565"</f>
        <v>1367565</v>
      </c>
      <c r="C1675" s="3">
        <v>41833</v>
      </c>
      <c r="D1675" s="3" t="s">
        <v>6456</v>
      </c>
      <c r="E1675" s="3">
        <v>20517249336</v>
      </c>
      <c r="F1675" s="3" t="s">
        <v>836</v>
      </c>
      <c r="G1675" s="3" t="s">
        <v>6457</v>
      </c>
      <c r="H1675" s="3" t="s">
        <v>56</v>
      </c>
      <c r="I1675" s="3" t="s">
        <v>56</v>
      </c>
      <c r="J1675" s="3" t="s">
        <v>838</v>
      </c>
      <c r="K1675" s="3" t="s">
        <v>6458</v>
      </c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 t="s">
        <v>6459</v>
      </c>
      <c r="AL1675" s="4">
        <v>40347</v>
      </c>
      <c r="AM1675" s="3"/>
      <c r="AN1675" s="3" t="s">
        <v>6460</v>
      </c>
    </row>
    <row r="1676" spans="1:40" ht="27.95" x14ac:dyDescent="0.3">
      <c r="A1676" s="3">
        <v>1670</v>
      </c>
      <c r="B1676" s="3" t="str">
        <f>"1367550"</f>
        <v>1367550</v>
      </c>
      <c r="C1676" s="3">
        <v>43479</v>
      </c>
      <c r="D1676" s="3" t="s">
        <v>6461</v>
      </c>
      <c r="E1676" s="3">
        <v>20517249336</v>
      </c>
      <c r="F1676" s="3" t="s">
        <v>836</v>
      </c>
      <c r="G1676" s="3" t="s">
        <v>6325</v>
      </c>
      <c r="H1676" s="3" t="s">
        <v>56</v>
      </c>
      <c r="I1676" s="3" t="s">
        <v>56</v>
      </c>
      <c r="J1676" s="3" t="s">
        <v>838</v>
      </c>
      <c r="K1676" s="3" t="s">
        <v>6462</v>
      </c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 t="s">
        <v>5696</v>
      </c>
      <c r="AL1676" s="4">
        <v>40347</v>
      </c>
      <c r="AM1676" s="3"/>
      <c r="AN1676" s="3" t="s">
        <v>6460</v>
      </c>
    </row>
    <row r="1677" spans="1:40" x14ac:dyDescent="0.3">
      <c r="A1677" s="3">
        <v>1671</v>
      </c>
      <c r="B1677" s="3" t="str">
        <f>"1580783"</f>
        <v>1580783</v>
      </c>
      <c r="C1677" s="3">
        <v>34138</v>
      </c>
      <c r="D1677" s="3" t="s">
        <v>6463</v>
      </c>
      <c r="E1677" s="3">
        <v>20101521193</v>
      </c>
      <c r="F1677" s="3" t="s">
        <v>6464</v>
      </c>
      <c r="G1677" s="3" t="s">
        <v>6465</v>
      </c>
      <c r="H1677" s="3" t="s">
        <v>56</v>
      </c>
      <c r="I1677" s="3" t="s">
        <v>56</v>
      </c>
      <c r="J1677" s="3" t="s">
        <v>56</v>
      </c>
      <c r="K1677" s="3" t="s">
        <v>6466</v>
      </c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 t="s">
        <v>946</v>
      </c>
      <c r="AL1677" s="4">
        <v>38726</v>
      </c>
      <c r="AM1677" s="3"/>
      <c r="AN1677" s="3"/>
    </row>
    <row r="1678" spans="1:40" x14ac:dyDescent="0.3">
      <c r="A1678" s="3">
        <v>1672</v>
      </c>
      <c r="B1678" s="3" t="str">
        <f>"1408182"</f>
        <v>1408182</v>
      </c>
      <c r="C1678" s="3">
        <v>34394</v>
      </c>
      <c r="D1678" s="3" t="s">
        <v>6467</v>
      </c>
      <c r="E1678" s="3">
        <v>20476335672</v>
      </c>
      <c r="F1678" s="3" t="s">
        <v>4637</v>
      </c>
      <c r="G1678" s="3" t="s">
        <v>6069</v>
      </c>
      <c r="H1678" s="3" t="s">
        <v>75</v>
      </c>
      <c r="I1678" s="3" t="s">
        <v>75</v>
      </c>
      <c r="J1678" s="3" t="s">
        <v>4639</v>
      </c>
      <c r="K1678" s="3" t="s">
        <v>6468</v>
      </c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 t="s">
        <v>634</v>
      </c>
      <c r="AL1678" s="4">
        <v>37732</v>
      </c>
      <c r="AM1678" s="3"/>
      <c r="AN1678" s="3"/>
    </row>
    <row r="1679" spans="1:40" ht="27.95" x14ac:dyDescent="0.3">
      <c r="A1679" s="3">
        <v>1673</v>
      </c>
      <c r="B1679" s="3" t="str">
        <f>"1446319"</f>
        <v>1446319</v>
      </c>
      <c r="C1679" s="3">
        <v>36516</v>
      </c>
      <c r="D1679" s="3" t="s">
        <v>6469</v>
      </c>
      <c r="E1679" s="3">
        <v>20257364438</v>
      </c>
      <c r="F1679" s="3" t="s">
        <v>3192</v>
      </c>
      <c r="G1679" s="3" t="s">
        <v>6470</v>
      </c>
      <c r="H1679" s="3" t="s">
        <v>56</v>
      </c>
      <c r="I1679" s="3" t="s">
        <v>56</v>
      </c>
      <c r="J1679" s="3" t="s">
        <v>715</v>
      </c>
      <c r="K1679" s="3" t="s">
        <v>6471</v>
      </c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 t="s">
        <v>187</v>
      </c>
      <c r="AL1679" s="4">
        <v>38033</v>
      </c>
      <c r="AM1679" s="3"/>
      <c r="AN1679" s="3"/>
    </row>
    <row r="1680" spans="1:40" ht="27.95" x14ac:dyDescent="0.3">
      <c r="A1680" s="3">
        <v>1674</v>
      </c>
      <c r="B1680" s="3" t="str">
        <f>"1110868"</f>
        <v>1110868</v>
      </c>
      <c r="C1680" s="3">
        <v>3532</v>
      </c>
      <c r="D1680" s="3">
        <v>990729</v>
      </c>
      <c r="E1680" s="3">
        <v>20122113761</v>
      </c>
      <c r="F1680" s="3" t="s">
        <v>3850</v>
      </c>
      <c r="G1680" s="3" t="s">
        <v>3851</v>
      </c>
      <c r="H1680" s="3" t="s">
        <v>56</v>
      </c>
      <c r="I1680" s="3" t="s">
        <v>56</v>
      </c>
      <c r="J1680" s="3" t="s">
        <v>63</v>
      </c>
      <c r="K1680" s="3" t="s">
        <v>6472</v>
      </c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 t="s">
        <v>634</v>
      </c>
      <c r="AL1680" s="4">
        <v>35501</v>
      </c>
      <c r="AM1680" s="3"/>
      <c r="AN1680" s="3"/>
    </row>
    <row r="1681" spans="1:40" ht="27.95" x14ac:dyDescent="0.3">
      <c r="A1681" s="3">
        <v>1675</v>
      </c>
      <c r="B1681" s="3" t="str">
        <f>"201300091884"</f>
        <v>201300091884</v>
      </c>
      <c r="C1681" s="3">
        <v>103047</v>
      </c>
      <c r="D1681" s="3" t="s">
        <v>6473</v>
      </c>
      <c r="E1681" s="3">
        <v>20456099018</v>
      </c>
      <c r="F1681" s="3" t="s">
        <v>6474</v>
      </c>
      <c r="G1681" s="3" t="s">
        <v>6475</v>
      </c>
      <c r="H1681" s="3" t="s">
        <v>97</v>
      </c>
      <c r="I1681" s="3" t="s">
        <v>3452</v>
      </c>
      <c r="J1681" s="3" t="s">
        <v>6476</v>
      </c>
      <c r="K1681" s="3" t="s">
        <v>6477</v>
      </c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 t="s">
        <v>118</v>
      </c>
      <c r="AL1681" s="4">
        <v>41417</v>
      </c>
      <c r="AM1681" s="3"/>
      <c r="AN1681" s="3" t="s">
        <v>6478</v>
      </c>
    </row>
    <row r="1682" spans="1:40" x14ac:dyDescent="0.3">
      <c r="A1682" s="3">
        <v>1676</v>
      </c>
      <c r="B1682" s="3" t="str">
        <f>"1110861"</f>
        <v>1110861</v>
      </c>
      <c r="C1682" s="3">
        <v>3539</v>
      </c>
      <c r="D1682" s="3">
        <v>990740</v>
      </c>
      <c r="E1682" s="3">
        <v>10067558737</v>
      </c>
      <c r="F1682" s="3" t="s">
        <v>6479</v>
      </c>
      <c r="G1682" s="3" t="s">
        <v>6480</v>
      </c>
      <c r="H1682" s="3" t="s">
        <v>56</v>
      </c>
      <c r="I1682" s="3" t="s">
        <v>56</v>
      </c>
      <c r="J1682" s="3" t="s">
        <v>56</v>
      </c>
      <c r="K1682" s="3" t="s">
        <v>6481</v>
      </c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 t="s">
        <v>634</v>
      </c>
      <c r="AL1682" s="4">
        <v>35501</v>
      </c>
      <c r="AM1682" s="3"/>
      <c r="AN1682" s="3"/>
    </row>
    <row r="1683" spans="1:40" ht="27.95" x14ac:dyDescent="0.3">
      <c r="A1683" s="3">
        <v>1677</v>
      </c>
      <c r="B1683" s="3" t="str">
        <f>"1367558"</f>
        <v>1367558</v>
      </c>
      <c r="C1683" s="3">
        <v>41832</v>
      </c>
      <c r="D1683" s="3" t="s">
        <v>6482</v>
      </c>
      <c r="E1683" s="3">
        <v>20517249336</v>
      </c>
      <c r="F1683" s="3" t="s">
        <v>836</v>
      </c>
      <c r="G1683" s="3" t="s">
        <v>6457</v>
      </c>
      <c r="H1683" s="3" t="s">
        <v>56</v>
      </c>
      <c r="I1683" s="3" t="s">
        <v>56</v>
      </c>
      <c r="J1683" s="3" t="s">
        <v>838</v>
      </c>
      <c r="K1683" s="3" t="s">
        <v>6483</v>
      </c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 t="s">
        <v>434</v>
      </c>
      <c r="AL1683" s="4">
        <v>40347</v>
      </c>
      <c r="AM1683" s="3"/>
      <c r="AN1683" s="3" t="s">
        <v>6374</v>
      </c>
    </row>
    <row r="1684" spans="1:40" ht="27.95" x14ac:dyDescent="0.3">
      <c r="A1684" s="3">
        <v>1678</v>
      </c>
      <c r="B1684" s="3" t="str">
        <f>"1110864"</f>
        <v>1110864</v>
      </c>
      <c r="C1684" s="3">
        <v>6415</v>
      </c>
      <c r="D1684" s="3">
        <v>990733</v>
      </c>
      <c r="E1684" s="3">
        <v>20210133748</v>
      </c>
      <c r="F1684" s="3" t="s">
        <v>4609</v>
      </c>
      <c r="G1684" s="3" t="s">
        <v>4610</v>
      </c>
      <c r="H1684" s="3" t="s">
        <v>56</v>
      </c>
      <c r="I1684" s="3" t="s">
        <v>56</v>
      </c>
      <c r="J1684" s="3" t="s">
        <v>63</v>
      </c>
      <c r="K1684" s="3" t="s">
        <v>6484</v>
      </c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 t="s">
        <v>634</v>
      </c>
      <c r="AL1684" s="4">
        <v>35501</v>
      </c>
      <c r="AM1684" s="3"/>
      <c r="AN1684" s="3"/>
    </row>
    <row r="1685" spans="1:40" x14ac:dyDescent="0.3">
      <c r="A1685" s="3">
        <v>1679</v>
      </c>
      <c r="B1685" s="3" t="str">
        <f>"1564809"</f>
        <v>1564809</v>
      </c>
      <c r="C1685" s="3">
        <v>41927</v>
      </c>
      <c r="D1685" s="3" t="s">
        <v>6485</v>
      </c>
      <c r="E1685" s="3">
        <v>20100366747</v>
      </c>
      <c r="F1685" s="3" t="s">
        <v>258</v>
      </c>
      <c r="G1685" s="3" t="s">
        <v>1055</v>
      </c>
      <c r="H1685" s="3" t="s">
        <v>216</v>
      </c>
      <c r="I1685" s="3" t="s">
        <v>5569</v>
      </c>
      <c r="J1685" s="3" t="s">
        <v>5569</v>
      </c>
      <c r="K1685" s="3" t="s">
        <v>6486</v>
      </c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 t="s">
        <v>6487</v>
      </c>
      <c r="AL1685" s="4">
        <v>38639</v>
      </c>
      <c r="AM1685" s="3"/>
      <c r="AN1685" s="3"/>
    </row>
    <row r="1686" spans="1:40" ht="27.95" x14ac:dyDescent="0.3">
      <c r="A1686" s="3">
        <v>1680</v>
      </c>
      <c r="B1686" s="3" t="str">
        <f>"1367554"</f>
        <v>1367554</v>
      </c>
      <c r="C1686" s="3">
        <v>44768</v>
      </c>
      <c r="D1686" s="3" t="s">
        <v>6488</v>
      </c>
      <c r="E1686" s="3">
        <v>20517249336</v>
      </c>
      <c r="F1686" s="3" t="s">
        <v>836</v>
      </c>
      <c r="G1686" s="3" t="s">
        <v>6325</v>
      </c>
      <c r="H1686" s="3" t="s">
        <v>56</v>
      </c>
      <c r="I1686" s="3" t="s">
        <v>56</v>
      </c>
      <c r="J1686" s="3" t="s">
        <v>838</v>
      </c>
      <c r="K1686" s="3" t="s">
        <v>6489</v>
      </c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 t="s">
        <v>434</v>
      </c>
      <c r="AL1686" s="4">
        <v>40347</v>
      </c>
      <c r="AM1686" s="3"/>
      <c r="AN1686" s="3" t="s">
        <v>6374</v>
      </c>
    </row>
    <row r="1687" spans="1:40" ht="27.95" x14ac:dyDescent="0.3">
      <c r="A1687" s="3">
        <v>1681</v>
      </c>
      <c r="B1687" s="3" t="str">
        <f>"201300105269"</f>
        <v>201300105269</v>
      </c>
      <c r="C1687" s="3">
        <v>103557</v>
      </c>
      <c r="D1687" s="3" t="s">
        <v>6490</v>
      </c>
      <c r="E1687" s="3">
        <v>20546205275</v>
      </c>
      <c r="F1687" s="3" t="s">
        <v>6491</v>
      </c>
      <c r="G1687" s="3" t="s">
        <v>6492</v>
      </c>
      <c r="H1687" s="3" t="s">
        <v>56</v>
      </c>
      <c r="I1687" s="3" t="s">
        <v>56</v>
      </c>
      <c r="J1687" s="3" t="s">
        <v>715</v>
      </c>
      <c r="K1687" s="3" t="s">
        <v>6493</v>
      </c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 t="s">
        <v>157</v>
      </c>
      <c r="AL1687" s="4">
        <v>41442</v>
      </c>
      <c r="AM1687" s="3"/>
      <c r="AN1687" s="3" t="s">
        <v>2350</v>
      </c>
    </row>
    <row r="1688" spans="1:40" x14ac:dyDescent="0.3">
      <c r="A1688" s="3">
        <v>1682</v>
      </c>
      <c r="B1688" s="3" t="str">
        <f>"1452496"</f>
        <v>1452496</v>
      </c>
      <c r="C1688" s="3">
        <v>89516</v>
      </c>
      <c r="D1688" s="3" t="s">
        <v>6494</v>
      </c>
      <c r="E1688" s="3">
        <v>4626404</v>
      </c>
      <c r="F1688" s="3" t="s">
        <v>5358</v>
      </c>
      <c r="G1688" s="3" t="s">
        <v>6495</v>
      </c>
      <c r="H1688" s="3" t="s">
        <v>97</v>
      </c>
      <c r="I1688" s="3" t="s">
        <v>97</v>
      </c>
      <c r="J1688" s="3" t="s">
        <v>970</v>
      </c>
      <c r="K1688" s="3" t="s">
        <v>6496</v>
      </c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 t="s">
        <v>5914</v>
      </c>
      <c r="AL1688" s="4">
        <v>40519</v>
      </c>
      <c r="AM1688" s="3"/>
      <c r="AN1688" s="3" t="s">
        <v>5358</v>
      </c>
    </row>
    <row r="1689" spans="1:40" ht="27.95" x14ac:dyDescent="0.3">
      <c r="A1689" s="3">
        <v>1683</v>
      </c>
      <c r="B1689" s="3" t="str">
        <f>"201400056136"</f>
        <v>201400056136</v>
      </c>
      <c r="C1689" s="3">
        <v>97183</v>
      </c>
      <c r="D1689" s="3" t="s">
        <v>6497</v>
      </c>
      <c r="E1689" s="3">
        <v>20454521588</v>
      </c>
      <c r="F1689" s="3" t="s">
        <v>5456</v>
      </c>
      <c r="G1689" s="3" t="s">
        <v>6498</v>
      </c>
      <c r="H1689" s="3" t="s">
        <v>97</v>
      </c>
      <c r="I1689" s="3" t="s">
        <v>97</v>
      </c>
      <c r="J1689" s="3" t="s">
        <v>97</v>
      </c>
      <c r="K1689" s="3" t="s">
        <v>6499</v>
      </c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 t="s">
        <v>6500</v>
      </c>
      <c r="AL1689" s="4">
        <v>41767</v>
      </c>
      <c r="AM1689" s="3"/>
      <c r="AN1689" s="3" t="s">
        <v>5461</v>
      </c>
    </row>
    <row r="1690" spans="1:40" x14ac:dyDescent="0.3">
      <c r="A1690" s="3">
        <v>1684</v>
      </c>
      <c r="B1690" s="3" t="str">
        <f>"201800076393"</f>
        <v>201800076393</v>
      </c>
      <c r="C1690" s="3">
        <v>136056</v>
      </c>
      <c r="D1690" s="3" t="s">
        <v>6501</v>
      </c>
      <c r="E1690" s="3">
        <v>10010270362</v>
      </c>
      <c r="F1690" s="3" t="s">
        <v>6502</v>
      </c>
      <c r="G1690" s="3" t="s">
        <v>6503</v>
      </c>
      <c r="H1690" s="3" t="s">
        <v>172</v>
      </c>
      <c r="I1690" s="3" t="s">
        <v>4506</v>
      </c>
      <c r="J1690" s="3" t="s">
        <v>4506</v>
      </c>
      <c r="K1690" s="3" t="s">
        <v>6504</v>
      </c>
      <c r="L1690" s="3" t="s">
        <v>6505</v>
      </c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 t="s">
        <v>602</v>
      </c>
      <c r="AL1690" s="4">
        <v>43291</v>
      </c>
      <c r="AM1690" s="3"/>
      <c r="AN1690" s="3" t="s">
        <v>6502</v>
      </c>
    </row>
    <row r="1691" spans="1:40" x14ac:dyDescent="0.3">
      <c r="A1691" s="3">
        <v>1685</v>
      </c>
      <c r="B1691" s="3" t="str">
        <f>"1158162"</f>
        <v>1158162</v>
      </c>
      <c r="C1691" s="3">
        <v>18192</v>
      </c>
      <c r="D1691" s="3" t="s">
        <v>6506</v>
      </c>
      <c r="E1691" s="3">
        <v>20100176450</v>
      </c>
      <c r="F1691" s="3" t="s">
        <v>651</v>
      </c>
      <c r="G1691" s="3" t="s">
        <v>6507</v>
      </c>
      <c r="H1691" s="3" t="s">
        <v>202</v>
      </c>
      <c r="I1691" s="3" t="s">
        <v>202</v>
      </c>
      <c r="J1691" s="3" t="s">
        <v>202</v>
      </c>
      <c r="K1691" s="3" t="s">
        <v>6508</v>
      </c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 t="s">
        <v>52</v>
      </c>
      <c r="AL1691" s="4">
        <v>35746</v>
      </c>
      <c r="AM1691" s="3"/>
      <c r="AN1691" s="3"/>
    </row>
    <row r="1692" spans="1:40" x14ac:dyDescent="0.3">
      <c r="A1692" s="3">
        <v>1686</v>
      </c>
      <c r="B1692" s="3" t="str">
        <f>"201500159181"</f>
        <v>201500159181</v>
      </c>
      <c r="C1692" s="3">
        <v>118774</v>
      </c>
      <c r="D1692" s="3" t="s">
        <v>6509</v>
      </c>
      <c r="E1692" s="3">
        <v>20455418519</v>
      </c>
      <c r="F1692" s="3" t="s">
        <v>6510</v>
      </c>
      <c r="G1692" s="3" t="s">
        <v>6511</v>
      </c>
      <c r="H1692" s="3" t="s">
        <v>97</v>
      </c>
      <c r="I1692" s="3" t="s">
        <v>97</v>
      </c>
      <c r="J1692" s="3" t="s">
        <v>6512</v>
      </c>
      <c r="K1692" s="3" t="s">
        <v>6513</v>
      </c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 t="s">
        <v>65</v>
      </c>
      <c r="AL1692" s="4">
        <v>42360</v>
      </c>
      <c r="AM1692" s="3"/>
      <c r="AN1692" s="3" t="s">
        <v>6514</v>
      </c>
    </row>
    <row r="1693" spans="1:40" x14ac:dyDescent="0.3">
      <c r="A1693" s="3">
        <v>1687</v>
      </c>
      <c r="B1693" s="3" t="str">
        <f>"1420804"</f>
        <v>1420804</v>
      </c>
      <c r="C1693" s="3">
        <v>33465</v>
      </c>
      <c r="D1693" s="3" t="s">
        <v>6515</v>
      </c>
      <c r="E1693" s="3">
        <v>10065603361</v>
      </c>
      <c r="F1693" s="3" t="s">
        <v>6516</v>
      </c>
      <c r="G1693" s="3" t="s">
        <v>6517</v>
      </c>
      <c r="H1693" s="3" t="s">
        <v>56</v>
      </c>
      <c r="I1693" s="3" t="s">
        <v>56</v>
      </c>
      <c r="J1693" s="3" t="s">
        <v>363</v>
      </c>
      <c r="K1693" s="3" t="s">
        <v>6518</v>
      </c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 t="s">
        <v>2886</v>
      </c>
      <c r="AL1693" s="4">
        <v>37866</v>
      </c>
      <c r="AM1693" s="3"/>
      <c r="AN1693" s="3"/>
    </row>
    <row r="1694" spans="1:40" x14ac:dyDescent="0.3">
      <c r="A1694" s="3">
        <v>1688</v>
      </c>
      <c r="B1694" s="3" t="str">
        <f>"201900087769"</f>
        <v>201900087769</v>
      </c>
      <c r="C1694" s="3">
        <v>144430</v>
      </c>
      <c r="D1694" s="3" t="s">
        <v>6519</v>
      </c>
      <c r="E1694" s="3">
        <v>20510976887</v>
      </c>
      <c r="F1694" s="3" t="s">
        <v>693</v>
      </c>
      <c r="G1694" s="3" t="s">
        <v>3026</v>
      </c>
      <c r="H1694" s="3" t="s">
        <v>56</v>
      </c>
      <c r="I1694" s="3" t="s">
        <v>56</v>
      </c>
      <c r="J1694" s="3" t="s">
        <v>131</v>
      </c>
      <c r="K1694" s="3" t="s">
        <v>6520</v>
      </c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 t="s">
        <v>6521</v>
      </c>
      <c r="AL1694" s="4">
        <v>43623</v>
      </c>
      <c r="AM1694" s="3"/>
      <c r="AN1694" s="3" t="s">
        <v>671</v>
      </c>
    </row>
    <row r="1695" spans="1:40" x14ac:dyDescent="0.3">
      <c r="A1695" s="3">
        <v>1689</v>
      </c>
      <c r="B1695" s="3" t="str">
        <f>"1767093"</f>
        <v>1767093</v>
      </c>
      <c r="C1695" s="3">
        <v>62580</v>
      </c>
      <c r="D1695" s="3" t="s">
        <v>6522</v>
      </c>
      <c r="E1695" s="3">
        <v>10166989278</v>
      </c>
      <c r="F1695" s="3" t="s">
        <v>6523</v>
      </c>
      <c r="G1695" s="3" t="s">
        <v>6524</v>
      </c>
      <c r="H1695" s="3" t="s">
        <v>318</v>
      </c>
      <c r="I1695" s="3" t="s">
        <v>319</v>
      </c>
      <c r="J1695" s="3" t="s">
        <v>319</v>
      </c>
      <c r="K1695" s="3" t="s">
        <v>6525</v>
      </c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 t="s">
        <v>81</v>
      </c>
      <c r="AL1695" s="4">
        <v>39499</v>
      </c>
      <c r="AM1695" s="3"/>
      <c r="AN1695" s="3"/>
    </row>
    <row r="1696" spans="1:40" ht="27.95" x14ac:dyDescent="0.3">
      <c r="A1696" s="3">
        <v>1690</v>
      </c>
      <c r="B1696" s="3" t="str">
        <f>"1392139"</f>
        <v>1392139</v>
      </c>
      <c r="C1696" s="3">
        <v>33527</v>
      </c>
      <c r="D1696" s="3" t="s">
        <v>6526</v>
      </c>
      <c r="E1696" s="3">
        <v>20103521344</v>
      </c>
      <c r="F1696" s="3" t="s">
        <v>1419</v>
      </c>
      <c r="G1696" s="3" t="s">
        <v>6527</v>
      </c>
      <c r="H1696" s="3" t="s">
        <v>56</v>
      </c>
      <c r="I1696" s="3" t="s">
        <v>56</v>
      </c>
      <c r="J1696" s="3" t="s">
        <v>63</v>
      </c>
      <c r="K1696" s="3" t="s">
        <v>6528</v>
      </c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 t="s">
        <v>2508</v>
      </c>
      <c r="AL1696" s="4">
        <v>37705</v>
      </c>
      <c r="AM1696" s="3"/>
      <c r="AN1696" s="3"/>
    </row>
    <row r="1697" spans="1:40" ht="27.95" x14ac:dyDescent="0.3">
      <c r="A1697" s="3">
        <v>1691</v>
      </c>
      <c r="B1697" s="3" t="str">
        <f>"1874060"</f>
        <v>1874060</v>
      </c>
      <c r="C1697" s="3">
        <v>83133</v>
      </c>
      <c r="D1697" s="3" t="s">
        <v>6529</v>
      </c>
      <c r="E1697" s="3">
        <v>10090971650</v>
      </c>
      <c r="F1697" s="3" t="s">
        <v>3735</v>
      </c>
      <c r="G1697" s="3" t="s">
        <v>6530</v>
      </c>
      <c r="H1697" s="3" t="s">
        <v>56</v>
      </c>
      <c r="I1697" s="3" t="s">
        <v>56</v>
      </c>
      <c r="J1697" s="3" t="s">
        <v>277</v>
      </c>
      <c r="K1697" s="3" t="s">
        <v>6531</v>
      </c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 t="s">
        <v>1087</v>
      </c>
      <c r="AL1697" s="4">
        <v>39940</v>
      </c>
      <c r="AM1697" s="3"/>
      <c r="AN1697" s="3"/>
    </row>
    <row r="1698" spans="1:40" x14ac:dyDescent="0.3">
      <c r="A1698" s="3">
        <v>1692</v>
      </c>
      <c r="B1698" s="3" t="str">
        <f>"1452494"</f>
        <v>1452494</v>
      </c>
      <c r="C1698" s="3">
        <v>89568</v>
      </c>
      <c r="D1698" s="3" t="s">
        <v>6532</v>
      </c>
      <c r="E1698" s="3">
        <v>10432793376</v>
      </c>
      <c r="F1698" s="3" t="s">
        <v>6533</v>
      </c>
      <c r="G1698" s="3" t="s">
        <v>6534</v>
      </c>
      <c r="H1698" s="3" t="s">
        <v>97</v>
      </c>
      <c r="I1698" s="3" t="s">
        <v>97</v>
      </c>
      <c r="J1698" s="3" t="s">
        <v>970</v>
      </c>
      <c r="K1698" s="3" t="s">
        <v>6535</v>
      </c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 t="s">
        <v>81</v>
      </c>
      <c r="AL1698" s="4">
        <v>40519</v>
      </c>
      <c r="AM1698" s="3"/>
      <c r="AN1698" s="3" t="s">
        <v>6533</v>
      </c>
    </row>
    <row r="1699" spans="1:40" ht="27.95" x14ac:dyDescent="0.3">
      <c r="A1699" s="3">
        <v>1693</v>
      </c>
      <c r="B1699" s="3" t="str">
        <f>"1392138"</f>
        <v>1392138</v>
      </c>
      <c r="C1699" s="3">
        <v>33480</v>
      </c>
      <c r="D1699" s="3" t="s">
        <v>6536</v>
      </c>
      <c r="E1699" s="3">
        <v>20103521344</v>
      </c>
      <c r="F1699" s="3" t="s">
        <v>1419</v>
      </c>
      <c r="G1699" s="3" t="s">
        <v>6527</v>
      </c>
      <c r="H1699" s="3" t="s">
        <v>56</v>
      </c>
      <c r="I1699" s="3" t="s">
        <v>56</v>
      </c>
      <c r="J1699" s="3" t="s">
        <v>63</v>
      </c>
      <c r="K1699" s="3" t="s">
        <v>6537</v>
      </c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 t="s">
        <v>47</v>
      </c>
      <c r="AL1699" s="4">
        <v>37599</v>
      </c>
      <c r="AM1699" s="3"/>
      <c r="AN1699" s="3"/>
    </row>
    <row r="1700" spans="1:40" x14ac:dyDescent="0.3">
      <c r="A1700" s="3">
        <v>1694</v>
      </c>
      <c r="B1700" s="3" t="str">
        <f>"1452490"</f>
        <v>1452490</v>
      </c>
      <c r="C1700" s="3">
        <v>89570</v>
      </c>
      <c r="D1700" s="3" t="s">
        <v>6538</v>
      </c>
      <c r="E1700" s="3">
        <v>4626404</v>
      </c>
      <c r="F1700" s="3" t="s">
        <v>5358</v>
      </c>
      <c r="G1700" s="3" t="s">
        <v>6495</v>
      </c>
      <c r="H1700" s="3" t="s">
        <v>97</v>
      </c>
      <c r="I1700" s="3" t="s">
        <v>97</v>
      </c>
      <c r="J1700" s="3" t="s">
        <v>970</v>
      </c>
      <c r="K1700" s="3" t="s">
        <v>6539</v>
      </c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 t="s">
        <v>81</v>
      </c>
      <c r="AL1700" s="4">
        <v>40519</v>
      </c>
      <c r="AM1700" s="3"/>
      <c r="AN1700" s="3" t="s">
        <v>5358</v>
      </c>
    </row>
    <row r="1701" spans="1:40" ht="27.95" x14ac:dyDescent="0.3">
      <c r="A1701" s="3">
        <v>1695</v>
      </c>
      <c r="B1701" s="3" t="str">
        <f>"201800008135"</f>
        <v>201800008135</v>
      </c>
      <c r="C1701" s="3">
        <v>134065</v>
      </c>
      <c r="D1701" s="3" t="s">
        <v>6540</v>
      </c>
      <c r="E1701" s="3">
        <v>20559134806</v>
      </c>
      <c r="F1701" s="3" t="s">
        <v>1011</v>
      </c>
      <c r="G1701" s="3" t="s">
        <v>6541</v>
      </c>
      <c r="H1701" s="3" t="s">
        <v>97</v>
      </c>
      <c r="I1701" s="3" t="s">
        <v>97</v>
      </c>
      <c r="J1701" s="3" t="s">
        <v>144</v>
      </c>
      <c r="K1701" s="3" t="s">
        <v>6542</v>
      </c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 t="s">
        <v>5209</v>
      </c>
      <c r="AL1701" s="4">
        <v>43123</v>
      </c>
      <c r="AM1701" s="3"/>
      <c r="AN1701" s="3" t="s">
        <v>1015</v>
      </c>
    </row>
    <row r="1702" spans="1:40" x14ac:dyDescent="0.3">
      <c r="A1702" s="3">
        <v>1696</v>
      </c>
      <c r="B1702" s="3" t="str">
        <f>"1373900"</f>
        <v>1373900</v>
      </c>
      <c r="C1702" s="3">
        <v>87322</v>
      </c>
      <c r="D1702" s="3" t="s">
        <v>6543</v>
      </c>
      <c r="E1702" s="3">
        <v>20527911037</v>
      </c>
      <c r="F1702" s="3" t="s">
        <v>6544</v>
      </c>
      <c r="G1702" s="3" t="s">
        <v>6545</v>
      </c>
      <c r="H1702" s="3" t="s">
        <v>446</v>
      </c>
      <c r="I1702" s="3" t="s">
        <v>446</v>
      </c>
      <c r="J1702" s="3" t="s">
        <v>2611</v>
      </c>
      <c r="K1702" s="3" t="s">
        <v>6546</v>
      </c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 t="s">
        <v>157</v>
      </c>
      <c r="AL1702" s="4">
        <v>40361</v>
      </c>
      <c r="AM1702" s="3"/>
      <c r="AN1702" s="3" t="s">
        <v>1239</v>
      </c>
    </row>
    <row r="1703" spans="1:40" ht="27.95" x14ac:dyDescent="0.3">
      <c r="A1703" s="3">
        <v>1697</v>
      </c>
      <c r="B1703" s="3" t="str">
        <f>"201300105275"</f>
        <v>201300105275</v>
      </c>
      <c r="C1703" s="3">
        <v>103558</v>
      </c>
      <c r="D1703" s="3" t="s">
        <v>6547</v>
      </c>
      <c r="E1703" s="3">
        <v>20546205275</v>
      </c>
      <c r="F1703" s="3" t="s">
        <v>6491</v>
      </c>
      <c r="G1703" s="3" t="s">
        <v>6548</v>
      </c>
      <c r="H1703" s="3" t="s">
        <v>56</v>
      </c>
      <c r="I1703" s="3" t="s">
        <v>56</v>
      </c>
      <c r="J1703" s="3" t="s">
        <v>715</v>
      </c>
      <c r="K1703" s="3" t="s">
        <v>6549</v>
      </c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 t="s">
        <v>717</v>
      </c>
      <c r="AL1703" s="4">
        <v>41465</v>
      </c>
      <c r="AM1703" s="3"/>
      <c r="AN1703" s="3" t="s">
        <v>2350</v>
      </c>
    </row>
    <row r="1704" spans="1:40" x14ac:dyDescent="0.3">
      <c r="A1704" s="3">
        <v>1698</v>
      </c>
      <c r="B1704" s="3" t="str">
        <f>"201700111852"</f>
        <v>201700111852</v>
      </c>
      <c r="C1704" s="3">
        <v>130552</v>
      </c>
      <c r="D1704" s="3" t="s">
        <v>6550</v>
      </c>
      <c r="E1704" s="3">
        <v>20366072030</v>
      </c>
      <c r="F1704" s="3" t="s">
        <v>6551</v>
      </c>
      <c r="G1704" s="3" t="s">
        <v>6552</v>
      </c>
      <c r="H1704" s="3" t="s">
        <v>1208</v>
      </c>
      <c r="I1704" s="3" t="s">
        <v>1209</v>
      </c>
      <c r="J1704" s="3" t="s">
        <v>447</v>
      </c>
      <c r="K1704" s="3" t="s">
        <v>6553</v>
      </c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 t="s">
        <v>157</v>
      </c>
      <c r="AL1704" s="4">
        <v>42949</v>
      </c>
      <c r="AM1704" s="3"/>
      <c r="AN1704" s="3" t="s">
        <v>6554</v>
      </c>
    </row>
    <row r="1705" spans="1:40" ht="27.95" x14ac:dyDescent="0.3">
      <c r="A1705" s="3">
        <v>1699</v>
      </c>
      <c r="B1705" s="3" t="str">
        <f>"201800000130"</f>
        <v>201800000130</v>
      </c>
      <c r="C1705" s="3">
        <v>133830</v>
      </c>
      <c r="D1705" s="3" t="s">
        <v>6555</v>
      </c>
      <c r="E1705" s="3">
        <v>20456139923</v>
      </c>
      <c r="F1705" s="3" t="s">
        <v>6556</v>
      </c>
      <c r="G1705" s="3" t="s">
        <v>6557</v>
      </c>
      <c r="H1705" s="3" t="s">
        <v>97</v>
      </c>
      <c r="I1705" s="3" t="s">
        <v>97</v>
      </c>
      <c r="J1705" s="3" t="s">
        <v>2064</v>
      </c>
      <c r="K1705" s="3" t="s">
        <v>6558</v>
      </c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 t="s">
        <v>65</v>
      </c>
      <c r="AL1705" s="4">
        <v>43104</v>
      </c>
      <c r="AM1705" s="3"/>
      <c r="AN1705" s="3" t="s">
        <v>2067</v>
      </c>
    </row>
    <row r="1706" spans="1:40" x14ac:dyDescent="0.3">
      <c r="A1706" s="3">
        <v>1700</v>
      </c>
      <c r="B1706" s="3" t="str">
        <f>"201900087775"</f>
        <v>201900087775</v>
      </c>
      <c r="C1706" s="3">
        <v>144432</v>
      </c>
      <c r="D1706" s="3" t="s">
        <v>6559</v>
      </c>
      <c r="E1706" s="3">
        <v>20510976887</v>
      </c>
      <c r="F1706" s="3" t="s">
        <v>693</v>
      </c>
      <c r="G1706" s="3" t="s">
        <v>3026</v>
      </c>
      <c r="H1706" s="3" t="s">
        <v>56</v>
      </c>
      <c r="I1706" s="3" t="s">
        <v>56</v>
      </c>
      <c r="J1706" s="3" t="s">
        <v>131</v>
      </c>
      <c r="K1706" s="3" t="s">
        <v>6560</v>
      </c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 t="s">
        <v>6521</v>
      </c>
      <c r="AL1706" s="4">
        <v>43623</v>
      </c>
      <c r="AM1706" s="3"/>
      <c r="AN1706" s="3" t="s">
        <v>671</v>
      </c>
    </row>
    <row r="1707" spans="1:40" x14ac:dyDescent="0.3">
      <c r="A1707" s="3">
        <v>1701</v>
      </c>
      <c r="B1707" s="3" t="str">
        <f>"201700121372"</f>
        <v>201700121372</v>
      </c>
      <c r="C1707" s="3">
        <v>84055</v>
      </c>
      <c r="D1707" s="3" t="s">
        <v>6561</v>
      </c>
      <c r="E1707" s="3">
        <v>20100366747</v>
      </c>
      <c r="F1707" s="3" t="s">
        <v>258</v>
      </c>
      <c r="G1707" s="3" t="s">
        <v>6562</v>
      </c>
      <c r="H1707" s="3" t="s">
        <v>446</v>
      </c>
      <c r="I1707" s="3" t="s">
        <v>446</v>
      </c>
      <c r="J1707" s="3" t="s">
        <v>447</v>
      </c>
      <c r="K1707" s="3" t="s">
        <v>6563</v>
      </c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 t="s">
        <v>6564</v>
      </c>
      <c r="AL1707" s="4">
        <v>42954</v>
      </c>
      <c r="AM1707" s="3"/>
      <c r="AN1707" s="3" t="s">
        <v>1375</v>
      </c>
    </row>
    <row r="1708" spans="1:40" ht="27.95" x14ac:dyDescent="0.3">
      <c r="A1708" s="3">
        <v>1702</v>
      </c>
      <c r="B1708" s="3" t="str">
        <f>"201700097953"</f>
        <v>201700097953</v>
      </c>
      <c r="C1708" s="3">
        <v>128459</v>
      </c>
      <c r="D1708" s="3" t="s">
        <v>6565</v>
      </c>
      <c r="E1708" s="3">
        <v>20389099164</v>
      </c>
      <c r="F1708" s="3" t="s">
        <v>5152</v>
      </c>
      <c r="G1708" s="3" t="s">
        <v>6566</v>
      </c>
      <c r="H1708" s="3" t="s">
        <v>56</v>
      </c>
      <c r="I1708" s="3" t="s">
        <v>56</v>
      </c>
      <c r="J1708" s="3" t="s">
        <v>363</v>
      </c>
      <c r="K1708" s="3" t="s">
        <v>6567</v>
      </c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 t="s">
        <v>1514</v>
      </c>
      <c r="AL1708" s="4">
        <v>42920</v>
      </c>
      <c r="AM1708" s="3"/>
      <c r="AN1708" s="3" t="s">
        <v>1231</v>
      </c>
    </row>
    <row r="1709" spans="1:40" ht="27.95" x14ac:dyDescent="0.3">
      <c r="A1709" s="3">
        <v>1703</v>
      </c>
      <c r="B1709" s="3" t="str">
        <f>"201500052876"</f>
        <v>201500052876</v>
      </c>
      <c r="C1709" s="3">
        <v>115054</v>
      </c>
      <c r="D1709" s="3" t="s">
        <v>6568</v>
      </c>
      <c r="E1709" s="3">
        <v>20508416009</v>
      </c>
      <c r="F1709" s="3" t="s">
        <v>6569</v>
      </c>
      <c r="G1709" s="3" t="s">
        <v>6570</v>
      </c>
      <c r="H1709" s="3" t="s">
        <v>56</v>
      </c>
      <c r="I1709" s="3" t="s">
        <v>56</v>
      </c>
      <c r="J1709" s="3" t="s">
        <v>63</v>
      </c>
      <c r="K1709" s="3" t="s">
        <v>6571</v>
      </c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 t="s">
        <v>546</v>
      </c>
      <c r="AL1709" s="4">
        <v>42146</v>
      </c>
      <c r="AM1709" s="3"/>
      <c r="AN1709" s="3" t="s">
        <v>411</v>
      </c>
    </row>
    <row r="1710" spans="1:40" x14ac:dyDescent="0.3">
      <c r="A1710" s="3">
        <v>1704</v>
      </c>
      <c r="B1710" s="3" t="str">
        <f>"1181202"</f>
        <v>1181202</v>
      </c>
      <c r="C1710" s="3">
        <v>13888</v>
      </c>
      <c r="D1710" s="3">
        <v>1181202</v>
      </c>
      <c r="E1710" s="3">
        <v>10096247244</v>
      </c>
      <c r="F1710" s="3" t="s">
        <v>6572</v>
      </c>
      <c r="G1710" s="3" t="s">
        <v>6573</v>
      </c>
      <c r="H1710" s="3" t="s">
        <v>56</v>
      </c>
      <c r="I1710" s="3" t="s">
        <v>56</v>
      </c>
      <c r="J1710" s="3" t="s">
        <v>57</v>
      </c>
      <c r="K1710" s="3" t="s">
        <v>6574</v>
      </c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 t="s">
        <v>337</v>
      </c>
      <c r="AL1710" s="4">
        <v>35912</v>
      </c>
      <c r="AM1710" s="3"/>
      <c r="AN1710" s="3"/>
    </row>
    <row r="1711" spans="1:40" x14ac:dyDescent="0.3">
      <c r="A1711" s="3">
        <v>1705</v>
      </c>
      <c r="B1711" s="3" t="str">
        <f>"201400082238"</f>
        <v>201400082238</v>
      </c>
      <c r="C1711" s="3">
        <v>109790</v>
      </c>
      <c r="D1711" s="3" t="s">
        <v>6575</v>
      </c>
      <c r="E1711" s="3">
        <v>10106438345</v>
      </c>
      <c r="F1711" s="3" t="s">
        <v>1434</v>
      </c>
      <c r="G1711" s="3" t="s">
        <v>6576</v>
      </c>
      <c r="H1711" s="3" t="s">
        <v>97</v>
      </c>
      <c r="I1711" s="3" t="s">
        <v>1436</v>
      </c>
      <c r="J1711" s="3" t="s">
        <v>1437</v>
      </c>
      <c r="K1711" s="3" t="s">
        <v>6577</v>
      </c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 t="s">
        <v>1668</v>
      </c>
      <c r="AL1711" s="4">
        <v>41831</v>
      </c>
      <c r="AM1711" s="3"/>
      <c r="AN1711" s="3" t="s">
        <v>1434</v>
      </c>
    </row>
    <row r="1712" spans="1:40" x14ac:dyDescent="0.3">
      <c r="A1712" s="3">
        <v>1706</v>
      </c>
      <c r="B1712" s="3" t="str">
        <f>"201500159191"</f>
        <v>201500159191</v>
      </c>
      <c r="C1712" s="3">
        <v>118772</v>
      </c>
      <c r="D1712" s="3" t="s">
        <v>6578</v>
      </c>
      <c r="E1712" s="3">
        <v>20455418519</v>
      </c>
      <c r="F1712" s="3" t="s">
        <v>6510</v>
      </c>
      <c r="G1712" s="3" t="s">
        <v>6579</v>
      </c>
      <c r="H1712" s="3" t="s">
        <v>97</v>
      </c>
      <c r="I1712" s="3" t="s">
        <v>97</v>
      </c>
      <c r="J1712" s="3" t="s">
        <v>6512</v>
      </c>
      <c r="K1712" s="3" t="s">
        <v>6580</v>
      </c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 t="s">
        <v>65</v>
      </c>
      <c r="AL1712" s="4">
        <v>42360</v>
      </c>
      <c r="AM1712" s="3"/>
      <c r="AN1712" s="3" t="s">
        <v>6581</v>
      </c>
    </row>
    <row r="1713" spans="1:40" ht="27.95" x14ac:dyDescent="0.3">
      <c r="A1713" s="3">
        <v>1707</v>
      </c>
      <c r="B1713" s="3" t="str">
        <f>"1537586"</f>
        <v>1537586</v>
      </c>
      <c r="C1713" s="3">
        <v>41132</v>
      </c>
      <c r="D1713" s="3" t="s">
        <v>6582</v>
      </c>
      <c r="E1713" s="3">
        <v>20508069015</v>
      </c>
      <c r="F1713" s="3" t="s">
        <v>6583</v>
      </c>
      <c r="G1713" s="3" t="s">
        <v>6584</v>
      </c>
      <c r="H1713" s="3" t="s">
        <v>56</v>
      </c>
      <c r="I1713" s="3" t="s">
        <v>56</v>
      </c>
      <c r="J1713" s="3" t="s">
        <v>572</v>
      </c>
      <c r="K1713" s="3" t="s">
        <v>6585</v>
      </c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 t="s">
        <v>6170</v>
      </c>
      <c r="AL1713" s="4">
        <v>38517</v>
      </c>
      <c r="AM1713" s="3"/>
      <c r="AN1713" s="3"/>
    </row>
    <row r="1714" spans="1:40" x14ac:dyDescent="0.3">
      <c r="A1714" s="3">
        <v>1708</v>
      </c>
      <c r="B1714" s="3" t="str">
        <f>"201900173351"</f>
        <v>201900173351</v>
      </c>
      <c r="C1714" s="3">
        <v>147326</v>
      </c>
      <c r="D1714" s="3" t="s">
        <v>6586</v>
      </c>
      <c r="E1714" s="3">
        <v>10005150065</v>
      </c>
      <c r="F1714" s="3" t="s">
        <v>6587</v>
      </c>
      <c r="G1714" s="3" t="s">
        <v>6588</v>
      </c>
      <c r="H1714" s="3" t="s">
        <v>202</v>
      </c>
      <c r="I1714" s="3" t="s">
        <v>202</v>
      </c>
      <c r="J1714" s="3" t="s">
        <v>202</v>
      </c>
      <c r="K1714" s="3" t="s">
        <v>6589</v>
      </c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 t="s">
        <v>81</v>
      </c>
      <c r="AL1714" s="4">
        <v>43762</v>
      </c>
      <c r="AM1714" s="3"/>
      <c r="AN1714" s="3" t="s">
        <v>6587</v>
      </c>
    </row>
    <row r="1715" spans="1:40" x14ac:dyDescent="0.3">
      <c r="A1715" s="3">
        <v>1709</v>
      </c>
      <c r="B1715" s="3" t="str">
        <f>"201100161031"</f>
        <v>201100161031</v>
      </c>
      <c r="C1715" s="3">
        <v>95032</v>
      </c>
      <c r="D1715" s="3" t="s">
        <v>6590</v>
      </c>
      <c r="E1715" s="3">
        <v>10296713711</v>
      </c>
      <c r="F1715" s="3" t="s">
        <v>6591</v>
      </c>
      <c r="G1715" s="3" t="s">
        <v>6592</v>
      </c>
      <c r="H1715" s="3" t="s">
        <v>97</v>
      </c>
      <c r="I1715" s="3" t="s">
        <v>97</v>
      </c>
      <c r="J1715" s="3" t="s">
        <v>2039</v>
      </c>
      <c r="K1715" s="3" t="s">
        <v>6593</v>
      </c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 t="s">
        <v>2816</v>
      </c>
      <c r="AL1715" s="4">
        <v>40890</v>
      </c>
      <c r="AM1715" s="3"/>
      <c r="AN1715" s="3" t="s">
        <v>6591</v>
      </c>
    </row>
    <row r="1716" spans="1:40" x14ac:dyDescent="0.3">
      <c r="A1716" s="3">
        <v>1710</v>
      </c>
      <c r="B1716" s="3" t="str">
        <f>"201300073295"</f>
        <v>201300073295</v>
      </c>
      <c r="C1716" s="3">
        <v>102235</v>
      </c>
      <c r="D1716" s="3" t="s">
        <v>6594</v>
      </c>
      <c r="E1716" s="3">
        <v>20295567768</v>
      </c>
      <c r="F1716" s="3" t="s">
        <v>4058</v>
      </c>
      <c r="G1716" s="3" t="s">
        <v>6595</v>
      </c>
      <c r="H1716" s="3" t="s">
        <v>56</v>
      </c>
      <c r="I1716" s="3" t="s">
        <v>56</v>
      </c>
      <c r="J1716" s="3" t="s">
        <v>975</v>
      </c>
      <c r="K1716" s="3" t="s">
        <v>6596</v>
      </c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 t="s">
        <v>6597</v>
      </c>
      <c r="AL1716" s="4">
        <v>41390</v>
      </c>
      <c r="AM1716" s="3"/>
      <c r="AN1716" s="3" t="s">
        <v>6598</v>
      </c>
    </row>
    <row r="1717" spans="1:40" x14ac:dyDescent="0.3">
      <c r="A1717" s="3">
        <v>1711</v>
      </c>
      <c r="B1717" s="3" t="str">
        <f>"1322381"</f>
        <v>1322381</v>
      </c>
      <c r="C1717" s="3">
        <v>2333</v>
      </c>
      <c r="D1717" s="3" t="s">
        <v>6599</v>
      </c>
      <c r="E1717" s="3">
        <v>20262254268</v>
      </c>
      <c r="F1717" s="3" t="s">
        <v>103</v>
      </c>
      <c r="G1717" s="3" t="s">
        <v>104</v>
      </c>
      <c r="H1717" s="3" t="s">
        <v>56</v>
      </c>
      <c r="I1717" s="3" t="s">
        <v>56</v>
      </c>
      <c r="J1717" s="3" t="s">
        <v>105</v>
      </c>
      <c r="K1717" s="3" t="s">
        <v>6600</v>
      </c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 t="s">
        <v>504</v>
      </c>
      <c r="AL1717" s="4">
        <v>37060</v>
      </c>
      <c r="AM1717" s="3"/>
      <c r="AN1717" s="3"/>
    </row>
    <row r="1718" spans="1:40" x14ac:dyDescent="0.3">
      <c r="A1718" s="3">
        <v>1712</v>
      </c>
      <c r="B1718" s="3" t="str">
        <f>"1322378"</f>
        <v>1322378</v>
      </c>
      <c r="C1718" s="3">
        <v>3527</v>
      </c>
      <c r="D1718" s="3" t="s">
        <v>6601</v>
      </c>
      <c r="E1718" s="3">
        <v>20262254268</v>
      </c>
      <c r="F1718" s="3" t="s">
        <v>103</v>
      </c>
      <c r="G1718" s="3" t="s">
        <v>104</v>
      </c>
      <c r="H1718" s="3" t="s">
        <v>56</v>
      </c>
      <c r="I1718" s="3" t="s">
        <v>56</v>
      </c>
      <c r="J1718" s="3" t="s">
        <v>105</v>
      </c>
      <c r="K1718" s="3" t="s">
        <v>6602</v>
      </c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 t="s">
        <v>504</v>
      </c>
      <c r="AL1718" s="4">
        <v>37060</v>
      </c>
      <c r="AM1718" s="3"/>
      <c r="AN1718" s="3"/>
    </row>
    <row r="1719" spans="1:40" x14ac:dyDescent="0.3">
      <c r="A1719" s="3">
        <v>1713</v>
      </c>
      <c r="B1719" s="3" t="str">
        <f>"1573983"</f>
        <v>1573983</v>
      </c>
      <c r="C1719" s="3">
        <v>41794</v>
      </c>
      <c r="D1719" s="3" t="s">
        <v>6603</v>
      </c>
      <c r="E1719" s="3">
        <v>10010580060</v>
      </c>
      <c r="F1719" s="3" t="s">
        <v>6604</v>
      </c>
      <c r="G1719" s="3" t="s">
        <v>6605</v>
      </c>
      <c r="H1719" s="3" t="s">
        <v>318</v>
      </c>
      <c r="I1719" s="3" t="s">
        <v>319</v>
      </c>
      <c r="J1719" s="3" t="s">
        <v>313</v>
      </c>
      <c r="K1719" s="3" t="s">
        <v>6606</v>
      </c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 t="s">
        <v>1812</v>
      </c>
      <c r="AL1719" s="4">
        <v>38617</v>
      </c>
      <c r="AM1719" s="3"/>
      <c r="AN1719" s="3"/>
    </row>
    <row r="1720" spans="1:40" ht="27.95" x14ac:dyDescent="0.3">
      <c r="A1720" s="3">
        <v>1714</v>
      </c>
      <c r="B1720" s="3" t="str">
        <f>"201300105288"</f>
        <v>201300105288</v>
      </c>
      <c r="C1720" s="3">
        <v>103560</v>
      </c>
      <c r="D1720" s="3" t="s">
        <v>6607</v>
      </c>
      <c r="E1720" s="3">
        <v>20546205275</v>
      </c>
      <c r="F1720" s="3" t="s">
        <v>6491</v>
      </c>
      <c r="G1720" s="3" t="s">
        <v>6608</v>
      </c>
      <c r="H1720" s="3" t="s">
        <v>56</v>
      </c>
      <c r="I1720" s="3" t="s">
        <v>56</v>
      </c>
      <c r="J1720" s="3" t="s">
        <v>715</v>
      </c>
      <c r="K1720" s="3" t="s">
        <v>6609</v>
      </c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 t="s">
        <v>92</v>
      </c>
      <c r="AL1720" s="4">
        <v>41442</v>
      </c>
      <c r="AM1720" s="3"/>
      <c r="AN1720" s="3" t="s">
        <v>2350</v>
      </c>
    </row>
    <row r="1721" spans="1:40" ht="27.95" x14ac:dyDescent="0.3">
      <c r="A1721" s="3">
        <v>1715</v>
      </c>
      <c r="B1721" s="3" t="str">
        <f>"201300105289"</f>
        <v>201300105289</v>
      </c>
      <c r="C1721" s="3">
        <v>103559</v>
      </c>
      <c r="D1721" s="3" t="s">
        <v>6610</v>
      </c>
      <c r="E1721" s="3">
        <v>20546205275</v>
      </c>
      <c r="F1721" s="3" t="s">
        <v>2347</v>
      </c>
      <c r="G1721" s="3" t="s">
        <v>6548</v>
      </c>
      <c r="H1721" s="3" t="s">
        <v>56</v>
      </c>
      <c r="I1721" s="3" t="s">
        <v>56</v>
      </c>
      <c r="J1721" s="3" t="s">
        <v>715</v>
      </c>
      <c r="K1721" s="3" t="s">
        <v>6611</v>
      </c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 t="s">
        <v>6612</v>
      </c>
      <c r="AL1721" s="4">
        <v>41465</v>
      </c>
      <c r="AM1721" s="3"/>
      <c r="AN1721" s="3" t="s">
        <v>2350</v>
      </c>
    </row>
    <row r="1722" spans="1:40" x14ac:dyDescent="0.3">
      <c r="A1722" s="3">
        <v>1716</v>
      </c>
      <c r="B1722" s="3" t="str">
        <f>"201900087780"</f>
        <v>201900087780</v>
      </c>
      <c r="C1722" s="3">
        <v>144434</v>
      </c>
      <c r="D1722" s="3" t="s">
        <v>6613</v>
      </c>
      <c r="E1722" s="3">
        <v>20510976887</v>
      </c>
      <c r="F1722" s="3" t="s">
        <v>693</v>
      </c>
      <c r="G1722" s="3" t="s">
        <v>3026</v>
      </c>
      <c r="H1722" s="3" t="s">
        <v>56</v>
      </c>
      <c r="I1722" s="3" t="s">
        <v>56</v>
      </c>
      <c r="J1722" s="3" t="s">
        <v>131</v>
      </c>
      <c r="K1722" s="3" t="s">
        <v>6614</v>
      </c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 t="s">
        <v>6521</v>
      </c>
      <c r="AL1722" s="4">
        <v>43623</v>
      </c>
      <c r="AM1722" s="3"/>
      <c r="AN1722" s="3" t="s">
        <v>671</v>
      </c>
    </row>
    <row r="1723" spans="1:40" ht="27.95" x14ac:dyDescent="0.3">
      <c r="A1723" s="3">
        <v>1717</v>
      </c>
      <c r="B1723" s="3" t="str">
        <f>"1576449"</f>
        <v>1576449</v>
      </c>
      <c r="C1723" s="3">
        <v>42274</v>
      </c>
      <c r="D1723" s="3" t="s">
        <v>6615</v>
      </c>
      <c r="E1723" s="3">
        <v>20404723392</v>
      </c>
      <c r="F1723" s="3" t="s">
        <v>642</v>
      </c>
      <c r="G1723" s="3" t="s">
        <v>6616</v>
      </c>
      <c r="H1723" s="3" t="s">
        <v>89</v>
      </c>
      <c r="I1723" s="3" t="s">
        <v>89</v>
      </c>
      <c r="J1723" s="3" t="s">
        <v>90</v>
      </c>
      <c r="K1723" s="3" t="s">
        <v>6617</v>
      </c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 t="s">
        <v>218</v>
      </c>
      <c r="AL1723" s="4">
        <v>38684</v>
      </c>
      <c r="AM1723" s="3"/>
      <c r="AN1723" s="3"/>
    </row>
    <row r="1724" spans="1:40" x14ac:dyDescent="0.3">
      <c r="A1724" s="3">
        <v>1718</v>
      </c>
      <c r="B1724" s="3" t="str">
        <f>"1884998"</f>
        <v>1884998</v>
      </c>
      <c r="C1724" s="3">
        <v>83268</v>
      </c>
      <c r="D1724" s="3" t="s">
        <v>6618</v>
      </c>
      <c r="E1724" s="3">
        <v>20525521509</v>
      </c>
      <c r="F1724" s="3" t="s">
        <v>189</v>
      </c>
      <c r="G1724" s="3" t="s">
        <v>190</v>
      </c>
      <c r="H1724" s="3" t="s">
        <v>50</v>
      </c>
      <c r="I1724" s="3" t="s">
        <v>50</v>
      </c>
      <c r="J1724" s="3" t="s">
        <v>98</v>
      </c>
      <c r="K1724" s="3" t="s">
        <v>6619</v>
      </c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 t="s">
        <v>1014</v>
      </c>
      <c r="AL1724" s="4">
        <v>39944</v>
      </c>
      <c r="AM1724" s="3"/>
      <c r="AN1724" s="3"/>
    </row>
    <row r="1725" spans="1:40" ht="27.95" x14ac:dyDescent="0.3">
      <c r="A1725" s="3">
        <v>1719</v>
      </c>
      <c r="B1725" s="3" t="str">
        <f>"201400165878"</f>
        <v>201400165878</v>
      </c>
      <c r="C1725" s="3">
        <v>112976</v>
      </c>
      <c r="D1725" s="3" t="s">
        <v>6620</v>
      </c>
      <c r="E1725" s="3">
        <v>20493808525</v>
      </c>
      <c r="F1725" s="3" t="s">
        <v>3982</v>
      </c>
      <c r="G1725" s="3" t="s">
        <v>6621</v>
      </c>
      <c r="H1725" s="3" t="s">
        <v>172</v>
      </c>
      <c r="I1725" s="3" t="s">
        <v>3984</v>
      </c>
      <c r="J1725" s="3" t="s">
        <v>3985</v>
      </c>
      <c r="K1725" s="3" t="s">
        <v>6622</v>
      </c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 t="s">
        <v>6623</v>
      </c>
      <c r="AL1725" s="4">
        <v>42010</v>
      </c>
      <c r="AM1725" s="3"/>
      <c r="AN1725" s="3" t="s">
        <v>3988</v>
      </c>
    </row>
    <row r="1726" spans="1:40" x14ac:dyDescent="0.3">
      <c r="A1726" s="3">
        <v>1720</v>
      </c>
      <c r="B1726" s="3" t="str">
        <f>"201900087786"</f>
        <v>201900087786</v>
      </c>
      <c r="C1726" s="3">
        <v>144436</v>
      </c>
      <c r="D1726" s="3" t="s">
        <v>6624</v>
      </c>
      <c r="E1726" s="3">
        <v>20510976887</v>
      </c>
      <c r="F1726" s="3" t="s">
        <v>693</v>
      </c>
      <c r="G1726" s="3" t="s">
        <v>6625</v>
      </c>
      <c r="H1726" s="3" t="s">
        <v>56</v>
      </c>
      <c r="I1726" s="3" t="s">
        <v>56</v>
      </c>
      <c r="J1726" s="3" t="s">
        <v>131</v>
      </c>
      <c r="K1726" s="3" t="s">
        <v>6626</v>
      </c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 t="s">
        <v>6521</v>
      </c>
      <c r="AL1726" s="4">
        <v>43623</v>
      </c>
      <c r="AM1726" s="3"/>
      <c r="AN1726" s="3" t="s">
        <v>671</v>
      </c>
    </row>
    <row r="1727" spans="1:40" x14ac:dyDescent="0.3">
      <c r="A1727" s="3">
        <v>1721</v>
      </c>
      <c r="B1727" s="3" t="str">
        <f>"201700006071"</f>
        <v>201700006071</v>
      </c>
      <c r="C1727" s="3">
        <v>124991</v>
      </c>
      <c r="D1727" s="3" t="s">
        <v>6627</v>
      </c>
      <c r="E1727" s="3">
        <v>20278540449</v>
      </c>
      <c r="F1727" s="3" t="s">
        <v>939</v>
      </c>
      <c r="G1727" s="3" t="s">
        <v>6628</v>
      </c>
      <c r="H1727" s="3" t="s">
        <v>446</v>
      </c>
      <c r="I1727" s="3" t="s">
        <v>446</v>
      </c>
      <c r="J1727" s="3" t="s">
        <v>830</v>
      </c>
      <c r="K1727" s="3" t="s">
        <v>6629</v>
      </c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 t="s">
        <v>525</v>
      </c>
      <c r="AL1727" s="4">
        <v>42762</v>
      </c>
      <c r="AM1727" s="3"/>
      <c r="AN1727" s="3" t="s">
        <v>6630</v>
      </c>
    </row>
    <row r="1728" spans="1:40" x14ac:dyDescent="0.3">
      <c r="A1728" s="3">
        <v>1722</v>
      </c>
      <c r="B1728" s="3" t="str">
        <f>"202000128929"</f>
        <v>202000128929</v>
      </c>
      <c r="C1728" s="3">
        <v>151414</v>
      </c>
      <c r="D1728" s="3" t="s">
        <v>6631</v>
      </c>
      <c r="E1728" s="3">
        <v>20250459981</v>
      </c>
      <c r="F1728" s="3" t="s">
        <v>1351</v>
      </c>
      <c r="G1728" s="3" t="s">
        <v>1352</v>
      </c>
      <c r="H1728" s="3" t="s">
        <v>56</v>
      </c>
      <c r="I1728" s="3" t="s">
        <v>56</v>
      </c>
      <c r="J1728" s="3" t="s">
        <v>273</v>
      </c>
      <c r="K1728" s="3" t="s">
        <v>6632</v>
      </c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 t="s">
        <v>6633</v>
      </c>
      <c r="AL1728" s="4">
        <v>44105</v>
      </c>
      <c r="AM1728" s="3"/>
      <c r="AN1728" s="3" t="s">
        <v>1355</v>
      </c>
    </row>
    <row r="1729" spans="1:40" x14ac:dyDescent="0.3">
      <c r="A1729" s="3">
        <v>1723</v>
      </c>
      <c r="B1729" s="3" t="str">
        <f>"201500164382"</f>
        <v>201500164382</v>
      </c>
      <c r="C1729" s="3">
        <v>118964</v>
      </c>
      <c r="D1729" s="3" t="s">
        <v>6634</v>
      </c>
      <c r="E1729" s="3">
        <v>20480310307</v>
      </c>
      <c r="F1729" s="3" t="s">
        <v>6635</v>
      </c>
      <c r="G1729" s="3" t="s">
        <v>6636</v>
      </c>
      <c r="H1729" s="3" t="s">
        <v>587</v>
      </c>
      <c r="I1729" s="3" t="s">
        <v>6637</v>
      </c>
      <c r="J1729" s="3" t="s">
        <v>6637</v>
      </c>
      <c r="K1729" s="3" t="s">
        <v>6638</v>
      </c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 t="s">
        <v>399</v>
      </c>
      <c r="AL1729" s="4">
        <v>42361</v>
      </c>
      <c r="AM1729" s="3"/>
      <c r="AN1729" s="3" t="s">
        <v>6639</v>
      </c>
    </row>
    <row r="1730" spans="1:40" x14ac:dyDescent="0.3">
      <c r="A1730" s="3">
        <v>1724</v>
      </c>
      <c r="B1730" s="3" t="str">
        <f>"201400003834"</f>
        <v>201400003834</v>
      </c>
      <c r="C1730" s="3">
        <v>106582</v>
      </c>
      <c r="D1730" s="3" t="s">
        <v>6640</v>
      </c>
      <c r="E1730" s="3">
        <v>10210649412</v>
      </c>
      <c r="F1730" s="3" t="s">
        <v>5893</v>
      </c>
      <c r="G1730" s="3" t="s">
        <v>6641</v>
      </c>
      <c r="H1730" s="3" t="s">
        <v>237</v>
      </c>
      <c r="I1730" s="3" t="s">
        <v>2842</v>
      </c>
      <c r="J1730" s="3" t="s">
        <v>2842</v>
      </c>
      <c r="K1730" s="3" t="s">
        <v>6642</v>
      </c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 t="s">
        <v>1679</v>
      </c>
      <c r="AL1730" s="4">
        <v>41666</v>
      </c>
      <c r="AM1730" s="3"/>
      <c r="AN1730" s="3" t="s">
        <v>5893</v>
      </c>
    </row>
    <row r="1731" spans="1:40" x14ac:dyDescent="0.3">
      <c r="A1731" s="3">
        <v>1725</v>
      </c>
      <c r="B1731" s="3" t="str">
        <f>"201200211255"</f>
        <v>201200211255</v>
      </c>
      <c r="C1731" s="3">
        <v>99562</v>
      </c>
      <c r="D1731" s="3" t="s">
        <v>6643</v>
      </c>
      <c r="E1731" s="3">
        <v>10294364426</v>
      </c>
      <c r="F1731" s="3" t="s">
        <v>6644</v>
      </c>
      <c r="G1731" s="3" t="s">
        <v>6645</v>
      </c>
      <c r="H1731" s="3" t="s">
        <v>97</v>
      </c>
      <c r="I1731" s="3" t="s">
        <v>97</v>
      </c>
      <c r="J1731" s="3" t="s">
        <v>341</v>
      </c>
      <c r="K1731" s="3" t="s">
        <v>6646</v>
      </c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 t="s">
        <v>6647</v>
      </c>
      <c r="AL1731" s="4">
        <v>41246</v>
      </c>
      <c r="AM1731" s="3"/>
      <c r="AN1731" s="3" t="s">
        <v>6644</v>
      </c>
    </row>
    <row r="1732" spans="1:40" x14ac:dyDescent="0.3">
      <c r="A1732" s="3">
        <v>1726</v>
      </c>
      <c r="B1732" s="3" t="str">
        <f>"1322375"</f>
        <v>1322375</v>
      </c>
      <c r="C1732" s="3">
        <v>3449</v>
      </c>
      <c r="D1732" s="3" t="s">
        <v>6648</v>
      </c>
      <c r="E1732" s="3">
        <v>20262254268</v>
      </c>
      <c r="F1732" s="3" t="s">
        <v>103</v>
      </c>
      <c r="G1732" s="3" t="s">
        <v>104</v>
      </c>
      <c r="H1732" s="3" t="s">
        <v>56</v>
      </c>
      <c r="I1732" s="3" t="s">
        <v>56</v>
      </c>
      <c r="J1732" s="3" t="s">
        <v>105</v>
      </c>
      <c r="K1732" s="3" t="s">
        <v>6649</v>
      </c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 t="s">
        <v>546</v>
      </c>
      <c r="AL1732" s="4">
        <v>37060</v>
      </c>
      <c r="AM1732" s="3"/>
      <c r="AN1732" s="3"/>
    </row>
    <row r="1733" spans="1:40" ht="27.95" x14ac:dyDescent="0.3">
      <c r="A1733" s="3">
        <v>1727</v>
      </c>
      <c r="B1733" s="3" t="str">
        <f>"201400132008"</f>
        <v>201400132008</v>
      </c>
      <c r="C1733" s="3">
        <v>107766</v>
      </c>
      <c r="D1733" s="3" t="s">
        <v>6650</v>
      </c>
      <c r="E1733" s="3">
        <v>20516024985</v>
      </c>
      <c r="F1733" s="3" t="s">
        <v>4014</v>
      </c>
      <c r="G1733" s="3" t="s">
        <v>4015</v>
      </c>
      <c r="H1733" s="3" t="s">
        <v>56</v>
      </c>
      <c r="I1733" s="3" t="s">
        <v>56</v>
      </c>
      <c r="J1733" s="3" t="s">
        <v>63</v>
      </c>
      <c r="K1733" s="3" t="s">
        <v>6651</v>
      </c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 t="s">
        <v>6652</v>
      </c>
      <c r="AL1733" s="4">
        <v>41929</v>
      </c>
      <c r="AM1733" s="3"/>
      <c r="AN1733" s="3" t="s">
        <v>4017</v>
      </c>
    </row>
    <row r="1734" spans="1:40" x14ac:dyDescent="0.3">
      <c r="A1734" s="3">
        <v>1728</v>
      </c>
      <c r="B1734" s="3" t="str">
        <f>"1322373"</f>
        <v>1322373</v>
      </c>
      <c r="C1734" s="3">
        <v>2274</v>
      </c>
      <c r="D1734" s="3" t="s">
        <v>6653</v>
      </c>
      <c r="E1734" s="3">
        <v>20262254268</v>
      </c>
      <c r="F1734" s="3" t="s">
        <v>103</v>
      </c>
      <c r="G1734" s="3" t="s">
        <v>104</v>
      </c>
      <c r="H1734" s="3" t="s">
        <v>56</v>
      </c>
      <c r="I1734" s="3" t="s">
        <v>56</v>
      </c>
      <c r="J1734" s="3" t="s">
        <v>105</v>
      </c>
      <c r="K1734" s="3" t="s">
        <v>6654</v>
      </c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 t="s">
        <v>81</v>
      </c>
      <c r="AL1734" s="4">
        <v>37060</v>
      </c>
      <c r="AM1734" s="3"/>
      <c r="AN1734" s="3"/>
    </row>
    <row r="1735" spans="1:40" x14ac:dyDescent="0.3">
      <c r="A1735" s="3">
        <v>1729</v>
      </c>
      <c r="B1735" s="3" t="str">
        <f>"1454157"</f>
        <v>1454157</v>
      </c>
      <c r="C1735" s="3">
        <v>36834</v>
      </c>
      <c r="D1735" s="3" t="s">
        <v>6655</v>
      </c>
      <c r="E1735" s="3">
        <v>10081781767</v>
      </c>
      <c r="F1735" s="3" t="s">
        <v>6656</v>
      </c>
      <c r="G1735" s="3" t="s">
        <v>6657</v>
      </c>
      <c r="H1735" s="3" t="s">
        <v>56</v>
      </c>
      <c r="I1735" s="3" t="s">
        <v>56</v>
      </c>
      <c r="J1735" s="3" t="s">
        <v>2724</v>
      </c>
      <c r="K1735" s="3" t="s">
        <v>6658</v>
      </c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 t="s">
        <v>525</v>
      </c>
      <c r="AL1735" s="4">
        <v>38040</v>
      </c>
      <c r="AM1735" s="3"/>
      <c r="AN1735" s="3"/>
    </row>
    <row r="1736" spans="1:40" x14ac:dyDescent="0.3">
      <c r="A1736" s="3">
        <v>1730</v>
      </c>
      <c r="B1736" s="3" t="str">
        <f>"201600150087"</f>
        <v>201600150087</v>
      </c>
      <c r="C1736" s="3">
        <v>124435</v>
      </c>
      <c r="D1736" s="3" t="s">
        <v>6659</v>
      </c>
      <c r="E1736" s="3">
        <v>20003220</v>
      </c>
      <c r="F1736" s="3" t="s">
        <v>6660</v>
      </c>
      <c r="G1736" s="3" t="s">
        <v>6661</v>
      </c>
      <c r="H1736" s="3" t="s">
        <v>56</v>
      </c>
      <c r="I1736" s="3" t="s">
        <v>56</v>
      </c>
      <c r="J1736" s="3" t="s">
        <v>363</v>
      </c>
      <c r="K1736" s="3" t="s">
        <v>6662</v>
      </c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 t="s">
        <v>157</v>
      </c>
      <c r="AL1736" s="4">
        <v>42661</v>
      </c>
      <c r="AM1736" s="3"/>
      <c r="AN1736" s="3" t="s">
        <v>6660</v>
      </c>
    </row>
    <row r="1737" spans="1:40" ht="27.95" x14ac:dyDescent="0.3">
      <c r="A1737" s="3">
        <v>1731</v>
      </c>
      <c r="B1737" s="3" t="str">
        <f>"201700135959"</f>
        <v>201700135959</v>
      </c>
      <c r="C1737" s="3">
        <v>62681</v>
      </c>
      <c r="D1737" s="3" t="s">
        <v>6663</v>
      </c>
      <c r="E1737" s="3">
        <v>20491005409</v>
      </c>
      <c r="F1737" s="3" t="s">
        <v>6664</v>
      </c>
      <c r="G1737" s="3" t="s">
        <v>6665</v>
      </c>
      <c r="H1737" s="3" t="s">
        <v>446</v>
      </c>
      <c r="I1737" s="3" t="s">
        <v>446</v>
      </c>
      <c r="J1737" s="3" t="s">
        <v>446</v>
      </c>
      <c r="K1737" s="3" t="s">
        <v>6666</v>
      </c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 t="s">
        <v>233</v>
      </c>
      <c r="AL1737" s="4">
        <v>42982</v>
      </c>
      <c r="AM1737" s="3"/>
      <c r="AN1737" s="3" t="s">
        <v>6667</v>
      </c>
    </row>
    <row r="1738" spans="1:40" x14ac:dyDescent="0.3">
      <c r="A1738" s="3">
        <v>1732</v>
      </c>
      <c r="B1738" s="3" t="str">
        <f>"201900087795"</f>
        <v>201900087795</v>
      </c>
      <c r="C1738" s="3">
        <v>144435</v>
      </c>
      <c r="D1738" s="3" t="s">
        <v>6668</v>
      </c>
      <c r="E1738" s="3">
        <v>20510976887</v>
      </c>
      <c r="F1738" s="3" t="s">
        <v>693</v>
      </c>
      <c r="G1738" s="3" t="s">
        <v>6625</v>
      </c>
      <c r="H1738" s="3" t="s">
        <v>56</v>
      </c>
      <c r="I1738" s="3" t="s">
        <v>56</v>
      </c>
      <c r="J1738" s="3" t="s">
        <v>131</v>
      </c>
      <c r="K1738" s="3" t="s">
        <v>6669</v>
      </c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 t="s">
        <v>6521</v>
      </c>
      <c r="AL1738" s="4">
        <v>43623</v>
      </c>
      <c r="AM1738" s="3"/>
      <c r="AN1738" s="3" t="s">
        <v>671</v>
      </c>
    </row>
    <row r="1739" spans="1:40" x14ac:dyDescent="0.3">
      <c r="A1739" s="3">
        <v>1733</v>
      </c>
      <c r="B1739" s="3" t="str">
        <f>"201900087797"</f>
        <v>201900087797</v>
      </c>
      <c r="C1739" s="3">
        <v>144433</v>
      </c>
      <c r="D1739" s="3" t="s">
        <v>6670</v>
      </c>
      <c r="E1739" s="3">
        <v>20510976887</v>
      </c>
      <c r="F1739" s="3" t="s">
        <v>693</v>
      </c>
      <c r="G1739" s="3" t="s">
        <v>6625</v>
      </c>
      <c r="H1739" s="3" t="s">
        <v>56</v>
      </c>
      <c r="I1739" s="3" t="s">
        <v>56</v>
      </c>
      <c r="J1739" s="3" t="s">
        <v>131</v>
      </c>
      <c r="K1739" s="3" t="s">
        <v>6671</v>
      </c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 t="s">
        <v>6521</v>
      </c>
      <c r="AL1739" s="4">
        <v>43623</v>
      </c>
      <c r="AM1739" s="3"/>
      <c r="AN1739" s="3" t="s">
        <v>671</v>
      </c>
    </row>
    <row r="1740" spans="1:40" ht="27.95" x14ac:dyDescent="0.3">
      <c r="A1740" s="3">
        <v>1734</v>
      </c>
      <c r="B1740" s="3" t="str">
        <f>"1576450"</f>
        <v>1576450</v>
      </c>
      <c r="C1740" s="3">
        <v>42269</v>
      </c>
      <c r="D1740" s="3" t="s">
        <v>6672</v>
      </c>
      <c r="E1740" s="3">
        <v>20404723392</v>
      </c>
      <c r="F1740" s="3" t="s">
        <v>642</v>
      </c>
      <c r="G1740" s="3" t="s">
        <v>6673</v>
      </c>
      <c r="H1740" s="3" t="s">
        <v>89</v>
      </c>
      <c r="I1740" s="3" t="s">
        <v>89</v>
      </c>
      <c r="J1740" s="3" t="s">
        <v>90</v>
      </c>
      <c r="K1740" s="3" t="s">
        <v>6674</v>
      </c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 t="s">
        <v>6675</v>
      </c>
      <c r="AL1740" s="4">
        <v>38684</v>
      </c>
      <c r="AM1740" s="3"/>
      <c r="AN1740" s="3"/>
    </row>
    <row r="1741" spans="1:40" ht="27.95" x14ac:dyDescent="0.3">
      <c r="A1741" s="3">
        <v>1735</v>
      </c>
      <c r="B1741" s="3" t="str">
        <f>"1576451"</f>
        <v>1576451</v>
      </c>
      <c r="C1741" s="3">
        <v>42270</v>
      </c>
      <c r="D1741" s="3" t="s">
        <v>6676</v>
      </c>
      <c r="E1741" s="3">
        <v>20404723392</v>
      </c>
      <c r="F1741" s="3" t="s">
        <v>642</v>
      </c>
      <c r="G1741" s="3" t="s">
        <v>6677</v>
      </c>
      <c r="H1741" s="3" t="s">
        <v>89</v>
      </c>
      <c r="I1741" s="3" t="s">
        <v>89</v>
      </c>
      <c r="J1741" s="3" t="s">
        <v>90</v>
      </c>
      <c r="K1741" s="3" t="s">
        <v>6678</v>
      </c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 t="s">
        <v>2479</v>
      </c>
      <c r="AL1741" s="4">
        <v>38684</v>
      </c>
      <c r="AM1741" s="3"/>
      <c r="AN1741" s="3"/>
    </row>
    <row r="1742" spans="1:40" ht="27.95" x14ac:dyDescent="0.3">
      <c r="A1742" s="3">
        <v>1736</v>
      </c>
      <c r="B1742" s="3" t="str">
        <f>"1392140"</f>
        <v>1392140</v>
      </c>
      <c r="C1742" s="3">
        <v>33641</v>
      </c>
      <c r="D1742" s="3" t="s">
        <v>6679</v>
      </c>
      <c r="E1742" s="3">
        <v>20103521344</v>
      </c>
      <c r="F1742" s="3" t="s">
        <v>1419</v>
      </c>
      <c r="G1742" s="3" t="s">
        <v>6527</v>
      </c>
      <c r="H1742" s="3" t="s">
        <v>56</v>
      </c>
      <c r="I1742" s="3" t="s">
        <v>56</v>
      </c>
      <c r="J1742" s="3" t="s">
        <v>63</v>
      </c>
      <c r="K1742" s="3" t="s">
        <v>6680</v>
      </c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 t="s">
        <v>187</v>
      </c>
      <c r="AL1742" s="4">
        <v>37599</v>
      </c>
      <c r="AM1742" s="3"/>
      <c r="AN1742" s="3"/>
    </row>
    <row r="1743" spans="1:40" x14ac:dyDescent="0.3">
      <c r="A1743" s="3">
        <v>1737</v>
      </c>
      <c r="B1743" s="3" t="str">
        <f>"1905747"</f>
        <v>1905747</v>
      </c>
      <c r="C1743" s="3">
        <v>62790</v>
      </c>
      <c r="D1743" s="3" t="s">
        <v>6681</v>
      </c>
      <c r="E1743" s="3">
        <v>10400219341</v>
      </c>
      <c r="F1743" s="3" t="s">
        <v>6682</v>
      </c>
      <c r="G1743" s="3" t="s">
        <v>6683</v>
      </c>
      <c r="H1743" s="3" t="s">
        <v>97</v>
      </c>
      <c r="I1743" s="3" t="s">
        <v>97</v>
      </c>
      <c r="J1743" s="3" t="s">
        <v>105</v>
      </c>
      <c r="K1743" s="3" t="s">
        <v>6684</v>
      </c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 t="s">
        <v>6685</v>
      </c>
      <c r="AL1743" s="4">
        <v>40000</v>
      </c>
      <c r="AM1743" s="3"/>
      <c r="AN1743" s="3"/>
    </row>
    <row r="1744" spans="1:40" x14ac:dyDescent="0.3">
      <c r="A1744" s="3">
        <v>1738</v>
      </c>
      <c r="B1744" s="3" t="str">
        <f>"202000120791"</f>
        <v>202000120791</v>
      </c>
      <c r="C1744" s="3">
        <v>125809</v>
      </c>
      <c r="D1744" s="3" t="s">
        <v>6686</v>
      </c>
      <c r="E1744" s="3">
        <v>20600295978</v>
      </c>
      <c r="F1744" s="3" t="s">
        <v>6687</v>
      </c>
      <c r="G1744" s="3" t="s">
        <v>6688</v>
      </c>
      <c r="H1744" s="3" t="s">
        <v>357</v>
      </c>
      <c r="I1744" s="3" t="s">
        <v>2569</v>
      </c>
      <c r="J1744" s="3" t="s">
        <v>2569</v>
      </c>
      <c r="K1744" s="3" t="s">
        <v>6689</v>
      </c>
      <c r="L1744" s="3" t="s">
        <v>6690</v>
      </c>
      <c r="M1744" s="3" t="s">
        <v>6691</v>
      </c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 t="s">
        <v>6692</v>
      </c>
      <c r="AL1744" s="4">
        <v>44093</v>
      </c>
      <c r="AM1744" s="3"/>
      <c r="AN1744" s="3" t="s">
        <v>6693</v>
      </c>
    </row>
    <row r="1745" spans="1:40" x14ac:dyDescent="0.3">
      <c r="A1745" s="3">
        <v>1739</v>
      </c>
      <c r="B1745" s="3" t="str">
        <f>"201100161018"</f>
        <v>201100161018</v>
      </c>
      <c r="C1745" s="3">
        <v>95031</v>
      </c>
      <c r="D1745" s="3" t="s">
        <v>6694</v>
      </c>
      <c r="E1745" s="3">
        <v>10290713711</v>
      </c>
      <c r="F1745" s="3" t="s">
        <v>6591</v>
      </c>
      <c r="G1745" s="3" t="s">
        <v>6695</v>
      </c>
      <c r="H1745" s="3" t="s">
        <v>97</v>
      </c>
      <c r="I1745" s="3" t="s">
        <v>97</v>
      </c>
      <c r="J1745" s="3" t="s">
        <v>2039</v>
      </c>
      <c r="K1745" s="3" t="s">
        <v>6696</v>
      </c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 t="s">
        <v>2816</v>
      </c>
      <c r="AL1745" s="4">
        <v>40890</v>
      </c>
      <c r="AM1745" s="3"/>
      <c r="AN1745" s="3" t="s">
        <v>6591</v>
      </c>
    </row>
    <row r="1746" spans="1:40" ht="27.95" x14ac:dyDescent="0.3">
      <c r="A1746" s="3">
        <v>1740</v>
      </c>
      <c r="B1746" s="3" t="str">
        <f>"1615762"</f>
        <v>1615762</v>
      </c>
      <c r="C1746" s="3">
        <v>43537</v>
      </c>
      <c r="D1746" s="3" t="s">
        <v>6697</v>
      </c>
      <c r="E1746" s="3">
        <v>20507840613</v>
      </c>
      <c r="F1746" s="3" t="s">
        <v>60</v>
      </c>
      <c r="G1746" s="3" t="s">
        <v>6698</v>
      </c>
      <c r="H1746" s="3" t="s">
        <v>216</v>
      </c>
      <c r="I1746" s="3" t="s">
        <v>216</v>
      </c>
      <c r="J1746" s="3" t="s">
        <v>216</v>
      </c>
      <c r="K1746" s="3" t="s">
        <v>6699</v>
      </c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 t="s">
        <v>6700</v>
      </c>
      <c r="AL1746" s="4">
        <v>38910</v>
      </c>
      <c r="AM1746" s="3"/>
      <c r="AN1746" s="3"/>
    </row>
    <row r="1747" spans="1:40" ht="27.95" x14ac:dyDescent="0.3">
      <c r="A1747" s="3">
        <v>1741</v>
      </c>
      <c r="B1747" s="3" t="str">
        <f>"1553105"</f>
        <v>1553105</v>
      </c>
      <c r="C1747" s="3">
        <v>36860</v>
      </c>
      <c r="D1747" s="3" t="s">
        <v>6701</v>
      </c>
      <c r="E1747" s="3">
        <v>10400978153</v>
      </c>
      <c r="F1747" s="3" t="s">
        <v>2784</v>
      </c>
      <c r="G1747" s="3" t="s">
        <v>6702</v>
      </c>
      <c r="H1747" s="3" t="s">
        <v>56</v>
      </c>
      <c r="I1747" s="3" t="s">
        <v>56</v>
      </c>
      <c r="J1747" s="3" t="s">
        <v>63</v>
      </c>
      <c r="K1747" s="3" t="s">
        <v>6703</v>
      </c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 t="s">
        <v>1341</v>
      </c>
      <c r="AL1747" s="4">
        <v>38580</v>
      </c>
      <c r="AM1747" s="3"/>
      <c r="AN1747" s="3"/>
    </row>
    <row r="1748" spans="1:40" x14ac:dyDescent="0.3">
      <c r="A1748" s="3">
        <v>1742</v>
      </c>
      <c r="B1748" s="3" t="str">
        <f>"1454155"</f>
        <v>1454155</v>
      </c>
      <c r="C1748" s="3">
        <v>36840</v>
      </c>
      <c r="D1748" s="3" t="s">
        <v>6704</v>
      </c>
      <c r="E1748" s="3">
        <v>10081112121</v>
      </c>
      <c r="F1748" s="3" t="s">
        <v>6705</v>
      </c>
      <c r="G1748" s="3" t="s">
        <v>6657</v>
      </c>
      <c r="H1748" s="3" t="s">
        <v>56</v>
      </c>
      <c r="I1748" s="3" t="s">
        <v>56</v>
      </c>
      <c r="J1748" s="3" t="s">
        <v>2724</v>
      </c>
      <c r="K1748" s="3" t="s">
        <v>6706</v>
      </c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 t="s">
        <v>2978</v>
      </c>
      <c r="AL1748" s="4">
        <v>38040</v>
      </c>
      <c r="AM1748" s="3"/>
      <c r="AN1748" s="3"/>
    </row>
    <row r="1749" spans="1:40" x14ac:dyDescent="0.3">
      <c r="A1749" s="3">
        <v>1743</v>
      </c>
      <c r="B1749" s="3" t="str">
        <f>"202000004976"</f>
        <v>202000004976</v>
      </c>
      <c r="C1749" s="3">
        <v>139457</v>
      </c>
      <c r="D1749" s="3" t="s">
        <v>6707</v>
      </c>
      <c r="E1749" s="3">
        <v>20231266993</v>
      </c>
      <c r="F1749" s="3" t="s">
        <v>1503</v>
      </c>
      <c r="G1749" s="3" t="s">
        <v>1504</v>
      </c>
      <c r="H1749" s="3" t="s">
        <v>172</v>
      </c>
      <c r="I1749" s="3" t="s">
        <v>172</v>
      </c>
      <c r="J1749" s="3" t="s">
        <v>1505</v>
      </c>
      <c r="K1749" s="3" t="s">
        <v>6708</v>
      </c>
      <c r="L1749" s="3" t="s">
        <v>6709</v>
      </c>
      <c r="M1749" s="3" t="s">
        <v>6710</v>
      </c>
      <c r="N1749" s="3" t="s">
        <v>6711</v>
      </c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 t="s">
        <v>2281</v>
      </c>
      <c r="AL1749" s="4">
        <v>43846</v>
      </c>
      <c r="AM1749" s="3"/>
      <c r="AN1749" s="3" t="s">
        <v>6712</v>
      </c>
    </row>
    <row r="1750" spans="1:40" ht="27.95" x14ac:dyDescent="0.3">
      <c r="A1750" s="3">
        <v>1744</v>
      </c>
      <c r="B1750" s="3" t="str">
        <f>"201600137855"</f>
        <v>201600137855</v>
      </c>
      <c r="C1750" s="3">
        <v>124030</v>
      </c>
      <c r="D1750" s="3" t="s">
        <v>6713</v>
      </c>
      <c r="E1750" s="3">
        <v>10422584981</v>
      </c>
      <c r="F1750" s="3" t="s">
        <v>6714</v>
      </c>
      <c r="G1750" s="3" t="s">
        <v>6715</v>
      </c>
      <c r="H1750" s="3" t="s">
        <v>44</v>
      </c>
      <c r="I1750" s="3" t="s">
        <v>6716</v>
      </c>
      <c r="J1750" s="3" t="s">
        <v>6716</v>
      </c>
      <c r="K1750" s="3" t="s">
        <v>6717</v>
      </c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 t="s">
        <v>6718</v>
      </c>
      <c r="AL1750" s="4">
        <v>42662</v>
      </c>
      <c r="AM1750" s="3"/>
      <c r="AN1750" s="3" t="s">
        <v>6714</v>
      </c>
    </row>
    <row r="1751" spans="1:40" x14ac:dyDescent="0.3">
      <c r="A1751" s="3">
        <v>1745</v>
      </c>
      <c r="B1751" s="3" t="str">
        <f>"1716423"</f>
        <v>1716423</v>
      </c>
      <c r="C1751" s="3">
        <v>60816</v>
      </c>
      <c r="D1751" s="3" t="s">
        <v>6719</v>
      </c>
      <c r="E1751" s="3">
        <v>20453857876</v>
      </c>
      <c r="F1751" s="3" t="s">
        <v>3208</v>
      </c>
      <c r="G1751" s="3" t="s">
        <v>6720</v>
      </c>
      <c r="H1751" s="3" t="s">
        <v>97</v>
      </c>
      <c r="I1751" s="3" t="s">
        <v>97</v>
      </c>
      <c r="J1751" s="3" t="s">
        <v>97</v>
      </c>
      <c r="K1751" s="3" t="s">
        <v>6721</v>
      </c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 t="s">
        <v>6722</v>
      </c>
      <c r="AL1751" s="4">
        <v>39310</v>
      </c>
      <c r="AM1751" s="3"/>
      <c r="AN1751" s="3"/>
    </row>
    <row r="1752" spans="1:40" x14ac:dyDescent="0.3">
      <c r="A1752" s="3">
        <v>1746</v>
      </c>
      <c r="B1752" s="3" t="str">
        <f>"1903368"</f>
        <v>1903368</v>
      </c>
      <c r="C1752" s="3">
        <v>83570</v>
      </c>
      <c r="D1752" s="3" t="s">
        <v>6723</v>
      </c>
      <c r="E1752" s="3">
        <v>20480861010</v>
      </c>
      <c r="F1752" s="3" t="s">
        <v>4689</v>
      </c>
      <c r="G1752" s="3" t="s">
        <v>4690</v>
      </c>
      <c r="H1752" s="3" t="s">
        <v>44</v>
      </c>
      <c r="I1752" s="3" t="s">
        <v>45</v>
      </c>
      <c r="J1752" s="3" t="s">
        <v>45</v>
      </c>
      <c r="K1752" s="3" t="s">
        <v>6724</v>
      </c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 t="s">
        <v>602</v>
      </c>
      <c r="AL1752" s="4">
        <v>40000</v>
      </c>
      <c r="AM1752" s="3"/>
      <c r="AN1752" s="3"/>
    </row>
    <row r="1753" spans="1:40" ht="27.95" x14ac:dyDescent="0.3">
      <c r="A1753" s="3">
        <v>1747</v>
      </c>
      <c r="B1753" s="3" t="str">
        <f>"201800123442"</f>
        <v>201800123442</v>
      </c>
      <c r="C1753" s="3">
        <v>84999</v>
      </c>
      <c r="D1753" s="3" t="s">
        <v>6725</v>
      </c>
      <c r="E1753" s="3">
        <v>20455751528</v>
      </c>
      <c r="F1753" s="3" t="s">
        <v>142</v>
      </c>
      <c r="G1753" s="3" t="s">
        <v>6726</v>
      </c>
      <c r="H1753" s="3" t="s">
        <v>97</v>
      </c>
      <c r="I1753" s="3" t="s">
        <v>97</v>
      </c>
      <c r="J1753" s="3" t="s">
        <v>144</v>
      </c>
      <c r="K1753" s="3" t="s">
        <v>6727</v>
      </c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 t="s">
        <v>6728</v>
      </c>
      <c r="AL1753" s="4">
        <v>43319</v>
      </c>
      <c r="AM1753" s="3"/>
      <c r="AN1753" s="3" t="s">
        <v>1333</v>
      </c>
    </row>
    <row r="1754" spans="1:40" ht="27.95" x14ac:dyDescent="0.3">
      <c r="A1754" s="3">
        <v>1748</v>
      </c>
      <c r="B1754" s="3" t="str">
        <f>"201800123443"</f>
        <v>201800123443</v>
      </c>
      <c r="C1754" s="3">
        <v>41161</v>
      </c>
      <c r="D1754" s="3" t="s">
        <v>6729</v>
      </c>
      <c r="E1754" s="3">
        <v>20455751528</v>
      </c>
      <c r="F1754" s="3" t="s">
        <v>142</v>
      </c>
      <c r="G1754" s="3" t="s">
        <v>6726</v>
      </c>
      <c r="H1754" s="3" t="s">
        <v>97</v>
      </c>
      <c r="I1754" s="3" t="s">
        <v>97</v>
      </c>
      <c r="J1754" s="3" t="s">
        <v>144</v>
      </c>
      <c r="K1754" s="3" t="s">
        <v>6730</v>
      </c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 t="s">
        <v>6564</v>
      </c>
      <c r="AL1754" s="4">
        <v>43319</v>
      </c>
      <c r="AM1754" s="3"/>
      <c r="AN1754" s="3" t="s">
        <v>1333</v>
      </c>
    </row>
    <row r="1755" spans="1:40" x14ac:dyDescent="0.3">
      <c r="A1755" s="3">
        <v>1749</v>
      </c>
      <c r="B1755" s="3" t="str">
        <f>"201400139827"</f>
        <v>201400139827</v>
      </c>
      <c r="C1755" s="3">
        <v>112197</v>
      </c>
      <c r="D1755" s="3" t="s">
        <v>6731</v>
      </c>
      <c r="E1755" s="3">
        <v>20480162600</v>
      </c>
      <c r="F1755" s="3" t="s">
        <v>6732</v>
      </c>
      <c r="G1755" s="3" t="s">
        <v>2568</v>
      </c>
      <c r="H1755" s="3" t="s">
        <v>357</v>
      </c>
      <c r="I1755" s="3" t="s">
        <v>2569</v>
      </c>
      <c r="J1755" s="3" t="s">
        <v>2569</v>
      </c>
      <c r="K1755" s="3" t="s">
        <v>6733</v>
      </c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 t="s">
        <v>6734</v>
      </c>
      <c r="AL1755" s="4">
        <v>41950</v>
      </c>
      <c r="AM1755" s="3"/>
      <c r="AN1755" s="3" t="s">
        <v>6735</v>
      </c>
    </row>
    <row r="1756" spans="1:40" x14ac:dyDescent="0.3">
      <c r="A1756" s="3">
        <v>1750</v>
      </c>
      <c r="B1756" s="3" t="str">
        <f>"1573272"</f>
        <v>1573272</v>
      </c>
      <c r="C1756" s="3">
        <v>42131</v>
      </c>
      <c r="D1756" s="3" t="s">
        <v>6736</v>
      </c>
      <c r="E1756" s="3">
        <v>20121837634</v>
      </c>
      <c r="F1756" s="3" t="s">
        <v>866</v>
      </c>
      <c r="G1756" s="3" t="s">
        <v>867</v>
      </c>
      <c r="H1756" s="3" t="s">
        <v>237</v>
      </c>
      <c r="I1756" s="3" t="s">
        <v>868</v>
      </c>
      <c r="J1756" s="3" t="s">
        <v>869</v>
      </c>
      <c r="K1756" s="3" t="s">
        <v>6737</v>
      </c>
      <c r="L1756" s="3" t="s">
        <v>6738</v>
      </c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 t="s">
        <v>6739</v>
      </c>
      <c r="AL1756" s="4">
        <v>38665</v>
      </c>
      <c r="AM1756" s="3"/>
      <c r="AN1756" s="3"/>
    </row>
    <row r="1757" spans="1:40" ht="27.95" x14ac:dyDescent="0.3">
      <c r="A1757" s="3">
        <v>1751</v>
      </c>
      <c r="B1757" s="3" t="str">
        <f>"201800027010"</f>
        <v>201800027010</v>
      </c>
      <c r="C1757" s="3">
        <v>134581</v>
      </c>
      <c r="D1757" s="3" t="s">
        <v>6740</v>
      </c>
      <c r="E1757" s="3">
        <v>20455507295</v>
      </c>
      <c r="F1757" s="3" t="s">
        <v>1968</v>
      </c>
      <c r="G1757" s="3" t="s">
        <v>6741</v>
      </c>
      <c r="H1757" s="3" t="s">
        <v>97</v>
      </c>
      <c r="I1757" s="3" t="s">
        <v>97</v>
      </c>
      <c r="J1757" s="3" t="s">
        <v>705</v>
      </c>
      <c r="K1757" s="3" t="s">
        <v>6742</v>
      </c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 t="s">
        <v>187</v>
      </c>
      <c r="AL1757" s="4">
        <v>43529</v>
      </c>
      <c r="AM1757" s="3"/>
      <c r="AN1757" s="3" t="s">
        <v>6743</v>
      </c>
    </row>
    <row r="1758" spans="1:40" ht="27.95" x14ac:dyDescent="0.3">
      <c r="A1758" s="3">
        <v>1752</v>
      </c>
      <c r="B1758" s="3" t="str">
        <f>"201800123445"</f>
        <v>201800123445</v>
      </c>
      <c r="C1758" s="3">
        <v>39967</v>
      </c>
      <c r="D1758" s="3" t="s">
        <v>6744</v>
      </c>
      <c r="E1758" s="3">
        <v>20455751528</v>
      </c>
      <c r="F1758" s="3" t="s">
        <v>142</v>
      </c>
      <c r="G1758" s="3" t="s">
        <v>6726</v>
      </c>
      <c r="H1758" s="3" t="s">
        <v>97</v>
      </c>
      <c r="I1758" s="3" t="s">
        <v>97</v>
      </c>
      <c r="J1758" s="3" t="s">
        <v>144</v>
      </c>
      <c r="K1758" s="3" t="s">
        <v>6745</v>
      </c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 t="s">
        <v>6500</v>
      </c>
      <c r="AL1758" s="4">
        <v>43319</v>
      </c>
      <c r="AM1758" s="3"/>
      <c r="AN1758" s="3" t="s">
        <v>1333</v>
      </c>
    </row>
    <row r="1759" spans="1:40" ht="27.95" x14ac:dyDescent="0.3">
      <c r="A1759" s="3">
        <v>1753</v>
      </c>
      <c r="B1759" s="3" t="str">
        <f>"201800123447"</f>
        <v>201800123447</v>
      </c>
      <c r="C1759" s="3">
        <v>62806</v>
      </c>
      <c r="D1759" s="3" t="s">
        <v>6746</v>
      </c>
      <c r="E1759" s="3">
        <v>20455751528</v>
      </c>
      <c r="F1759" s="3" t="s">
        <v>142</v>
      </c>
      <c r="G1759" s="3" t="s">
        <v>6726</v>
      </c>
      <c r="H1759" s="3" t="s">
        <v>97</v>
      </c>
      <c r="I1759" s="3" t="s">
        <v>97</v>
      </c>
      <c r="J1759" s="3" t="s">
        <v>144</v>
      </c>
      <c r="K1759" s="3" t="s">
        <v>6747</v>
      </c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 t="s">
        <v>6748</v>
      </c>
      <c r="AL1759" s="4">
        <v>43319</v>
      </c>
      <c r="AM1759" s="3"/>
      <c r="AN1759" s="3" t="s">
        <v>1333</v>
      </c>
    </row>
    <row r="1760" spans="1:40" ht="27.95" x14ac:dyDescent="0.3">
      <c r="A1760" s="3">
        <v>1754</v>
      </c>
      <c r="B1760" s="3" t="str">
        <f>"1414715"</f>
        <v>1414715</v>
      </c>
      <c r="C1760" s="3">
        <v>34049</v>
      </c>
      <c r="D1760" s="3" t="s">
        <v>6749</v>
      </c>
      <c r="E1760" s="3">
        <v>10081019610</v>
      </c>
      <c r="F1760" s="3" t="s">
        <v>4729</v>
      </c>
      <c r="G1760" s="3" t="s">
        <v>6750</v>
      </c>
      <c r="H1760" s="3" t="s">
        <v>56</v>
      </c>
      <c r="I1760" s="3" t="s">
        <v>56</v>
      </c>
      <c r="J1760" s="3" t="s">
        <v>4447</v>
      </c>
      <c r="K1760" s="3" t="s">
        <v>6751</v>
      </c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 t="s">
        <v>1461</v>
      </c>
      <c r="AL1760" s="4">
        <v>37782</v>
      </c>
      <c r="AM1760" s="3"/>
      <c r="AN1760" s="3"/>
    </row>
    <row r="1761" spans="1:40" x14ac:dyDescent="0.3">
      <c r="A1761" s="3">
        <v>1755</v>
      </c>
      <c r="B1761" s="3" t="str">
        <f>"201200132226"</f>
        <v>201200132226</v>
      </c>
      <c r="C1761" s="3">
        <v>96663</v>
      </c>
      <c r="D1761" s="3" t="s">
        <v>6752</v>
      </c>
      <c r="E1761" s="3">
        <v>10017760438</v>
      </c>
      <c r="F1761" s="3" t="s">
        <v>6753</v>
      </c>
      <c r="G1761" s="3" t="s">
        <v>6754</v>
      </c>
      <c r="H1761" s="3" t="s">
        <v>97</v>
      </c>
      <c r="I1761" s="3" t="s">
        <v>97</v>
      </c>
      <c r="J1761" s="3" t="s">
        <v>105</v>
      </c>
      <c r="K1761" s="3" t="s">
        <v>6755</v>
      </c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 t="s">
        <v>6756</v>
      </c>
      <c r="AL1761" s="4">
        <v>41099</v>
      </c>
      <c r="AM1761" s="3"/>
      <c r="AN1761" s="3" t="s">
        <v>6753</v>
      </c>
    </row>
    <row r="1762" spans="1:40" x14ac:dyDescent="0.3">
      <c r="A1762" s="3">
        <v>1756</v>
      </c>
      <c r="B1762" s="3" t="str">
        <f>"1643030"</f>
        <v>1643030</v>
      </c>
      <c r="C1762" s="3">
        <v>44030</v>
      </c>
      <c r="D1762" s="3" t="s">
        <v>6757</v>
      </c>
      <c r="E1762" s="3">
        <v>10273667763</v>
      </c>
      <c r="F1762" s="3" t="s">
        <v>2625</v>
      </c>
      <c r="G1762" s="3" t="s">
        <v>6758</v>
      </c>
      <c r="H1762" s="3" t="s">
        <v>318</v>
      </c>
      <c r="I1762" s="3" t="s">
        <v>319</v>
      </c>
      <c r="J1762" s="3" t="s">
        <v>495</v>
      </c>
      <c r="K1762" s="3" t="s">
        <v>6759</v>
      </c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 t="s">
        <v>1127</v>
      </c>
      <c r="AL1762" s="4">
        <v>38989</v>
      </c>
      <c r="AM1762" s="3"/>
      <c r="AN1762" s="3"/>
    </row>
    <row r="1763" spans="1:40" x14ac:dyDescent="0.3">
      <c r="A1763" s="3">
        <v>1757</v>
      </c>
      <c r="B1763" s="3" t="str">
        <f>"201700080410"</f>
        <v>201700080410</v>
      </c>
      <c r="C1763" s="3">
        <v>37397</v>
      </c>
      <c r="D1763" s="3" t="s">
        <v>6760</v>
      </c>
      <c r="E1763" s="3">
        <v>20100366747</v>
      </c>
      <c r="F1763" s="3" t="s">
        <v>258</v>
      </c>
      <c r="G1763" s="3" t="s">
        <v>451</v>
      </c>
      <c r="H1763" s="3" t="s">
        <v>56</v>
      </c>
      <c r="I1763" s="3" t="s">
        <v>56</v>
      </c>
      <c r="J1763" s="3" t="s">
        <v>185</v>
      </c>
      <c r="K1763" s="3" t="s">
        <v>6761</v>
      </c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 t="s">
        <v>157</v>
      </c>
      <c r="AL1763" s="4">
        <v>42887</v>
      </c>
      <c r="AM1763" s="3"/>
      <c r="AN1763" s="3" t="s">
        <v>262</v>
      </c>
    </row>
    <row r="1764" spans="1:40" x14ac:dyDescent="0.3">
      <c r="A1764" s="3">
        <v>1758</v>
      </c>
      <c r="B1764" s="3" t="str">
        <f>"1346364"</f>
        <v>1346364</v>
      </c>
      <c r="C1764" s="3">
        <v>21606</v>
      </c>
      <c r="D1764" s="3" t="s">
        <v>6762</v>
      </c>
      <c r="E1764" s="3">
        <v>10294307392</v>
      </c>
      <c r="F1764" s="3" t="s">
        <v>6763</v>
      </c>
      <c r="G1764" s="3" t="s">
        <v>6764</v>
      </c>
      <c r="H1764" s="3" t="s">
        <v>446</v>
      </c>
      <c r="I1764" s="3" t="s">
        <v>446</v>
      </c>
      <c r="J1764" s="3" t="s">
        <v>1144</v>
      </c>
      <c r="K1764" s="3" t="s">
        <v>6765</v>
      </c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 t="s">
        <v>546</v>
      </c>
      <c r="AL1764" s="4">
        <v>37225</v>
      </c>
      <c r="AM1764" s="3"/>
      <c r="AN1764" s="3"/>
    </row>
    <row r="1765" spans="1:40" x14ac:dyDescent="0.3">
      <c r="A1765" s="3">
        <v>1759</v>
      </c>
      <c r="B1765" s="3" t="str">
        <f>"1838504"</f>
        <v>1838504</v>
      </c>
      <c r="C1765" s="3">
        <v>40118</v>
      </c>
      <c r="D1765" s="3" t="s">
        <v>6766</v>
      </c>
      <c r="E1765" s="3">
        <v>20480296631</v>
      </c>
      <c r="F1765" s="3" t="s">
        <v>6767</v>
      </c>
      <c r="G1765" s="3" t="s">
        <v>6768</v>
      </c>
      <c r="H1765" s="3" t="s">
        <v>318</v>
      </c>
      <c r="I1765" s="3" t="s">
        <v>319</v>
      </c>
      <c r="J1765" s="3" t="s">
        <v>319</v>
      </c>
      <c r="K1765" s="3" t="s">
        <v>6769</v>
      </c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 t="s">
        <v>6770</v>
      </c>
      <c r="AL1765" s="4">
        <v>39758</v>
      </c>
      <c r="AM1765" s="3"/>
      <c r="AN1765" s="3"/>
    </row>
    <row r="1766" spans="1:40" x14ac:dyDescent="0.3">
      <c r="A1766" s="3">
        <v>1760</v>
      </c>
      <c r="B1766" s="3" t="str">
        <f>"1838502"</f>
        <v>1838502</v>
      </c>
      <c r="C1766" s="3">
        <v>45715</v>
      </c>
      <c r="D1766" s="3" t="s">
        <v>6771</v>
      </c>
      <c r="E1766" s="3">
        <v>10277271686</v>
      </c>
      <c r="F1766" s="3" t="s">
        <v>6772</v>
      </c>
      <c r="G1766" s="3" t="s">
        <v>6773</v>
      </c>
      <c r="H1766" s="3" t="s">
        <v>318</v>
      </c>
      <c r="I1766" s="3" t="s">
        <v>319</v>
      </c>
      <c r="J1766" s="3" t="s">
        <v>319</v>
      </c>
      <c r="K1766" s="3" t="s">
        <v>6774</v>
      </c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 t="s">
        <v>6775</v>
      </c>
      <c r="AL1766" s="4">
        <v>39764</v>
      </c>
      <c r="AM1766" s="3"/>
      <c r="AN1766" s="3"/>
    </row>
    <row r="1767" spans="1:40" ht="27.95" x14ac:dyDescent="0.3">
      <c r="A1767" s="3">
        <v>1761</v>
      </c>
      <c r="B1767" s="3" t="str">
        <f>"201800123432"</f>
        <v>201800123432</v>
      </c>
      <c r="C1767" s="3">
        <v>39304</v>
      </c>
      <c r="D1767" s="3" t="s">
        <v>6776</v>
      </c>
      <c r="E1767" s="3">
        <v>20455751528</v>
      </c>
      <c r="F1767" s="3" t="s">
        <v>142</v>
      </c>
      <c r="G1767" s="3" t="s">
        <v>6726</v>
      </c>
      <c r="H1767" s="3" t="s">
        <v>97</v>
      </c>
      <c r="I1767" s="3" t="s">
        <v>97</v>
      </c>
      <c r="J1767" s="3" t="s">
        <v>144</v>
      </c>
      <c r="K1767" s="3" t="s">
        <v>6777</v>
      </c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 t="s">
        <v>2659</v>
      </c>
      <c r="AL1767" s="4">
        <v>43319</v>
      </c>
      <c r="AM1767" s="3"/>
      <c r="AN1767" s="3" t="s">
        <v>1333</v>
      </c>
    </row>
    <row r="1768" spans="1:40" x14ac:dyDescent="0.3">
      <c r="A1768" s="3">
        <v>1762</v>
      </c>
      <c r="B1768" s="3" t="str">
        <f>"201700182339"</f>
        <v>201700182339</v>
      </c>
      <c r="C1768" s="3">
        <v>132628</v>
      </c>
      <c r="D1768" s="3" t="s">
        <v>6778</v>
      </c>
      <c r="E1768" s="3">
        <v>15503293304</v>
      </c>
      <c r="F1768" s="3" t="s">
        <v>6779</v>
      </c>
      <c r="G1768" s="3" t="s">
        <v>6780</v>
      </c>
      <c r="H1768" s="3" t="s">
        <v>56</v>
      </c>
      <c r="I1768" s="3" t="s">
        <v>56</v>
      </c>
      <c r="J1768" s="3" t="s">
        <v>116</v>
      </c>
      <c r="K1768" s="3" t="s">
        <v>6781</v>
      </c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 t="s">
        <v>1994</v>
      </c>
      <c r="AL1768" s="4">
        <v>43045</v>
      </c>
      <c r="AM1768" s="3"/>
      <c r="AN1768" s="3" t="s">
        <v>6779</v>
      </c>
    </row>
    <row r="1769" spans="1:40" ht="41.95" x14ac:dyDescent="0.3">
      <c r="A1769" s="3">
        <v>1763</v>
      </c>
      <c r="B1769" s="3" t="str">
        <f>"202000005274"</f>
        <v>202000005274</v>
      </c>
      <c r="C1769" s="3">
        <v>148523</v>
      </c>
      <c r="D1769" s="3" t="s">
        <v>6782</v>
      </c>
      <c r="E1769" s="3">
        <v>20478005289</v>
      </c>
      <c r="F1769" s="3" t="s">
        <v>6783</v>
      </c>
      <c r="G1769" s="3" t="s">
        <v>6784</v>
      </c>
      <c r="H1769" s="3" t="s">
        <v>56</v>
      </c>
      <c r="I1769" s="3" t="s">
        <v>56</v>
      </c>
      <c r="J1769" s="3" t="s">
        <v>363</v>
      </c>
      <c r="K1769" s="3" t="s">
        <v>6785</v>
      </c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 t="s">
        <v>157</v>
      </c>
      <c r="AL1769" s="4">
        <v>43858</v>
      </c>
      <c r="AM1769" s="3"/>
      <c r="AN1769" s="3" t="s">
        <v>372</v>
      </c>
    </row>
    <row r="1770" spans="1:40" x14ac:dyDescent="0.3">
      <c r="A1770" s="3">
        <v>1764</v>
      </c>
      <c r="B1770" s="3" t="str">
        <f>"1408566"</f>
        <v>1408566</v>
      </c>
      <c r="C1770" s="3">
        <v>42633</v>
      </c>
      <c r="D1770" s="3" t="s">
        <v>6786</v>
      </c>
      <c r="E1770" s="3">
        <v>20467935446</v>
      </c>
      <c r="F1770" s="3" t="s">
        <v>6787</v>
      </c>
      <c r="G1770" s="3" t="s">
        <v>6788</v>
      </c>
      <c r="H1770" s="3" t="s">
        <v>56</v>
      </c>
      <c r="I1770" s="3" t="s">
        <v>56</v>
      </c>
      <c r="J1770" s="3" t="s">
        <v>4447</v>
      </c>
      <c r="K1770" s="3" t="s">
        <v>6789</v>
      </c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 t="s">
        <v>256</v>
      </c>
      <c r="AL1770" s="4">
        <v>37777</v>
      </c>
      <c r="AM1770" s="3"/>
      <c r="AN1770" s="3"/>
    </row>
    <row r="1771" spans="1:40" x14ac:dyDescent="0.3">
      <c r="A1771" s="3">
        <v>1765</v>
      </c>
      <c r="B1771" s="3" t="str">
        <f>"1617078"</f>
        <v>1617078</v>
      </c>
      <c r="C1771" s="3">
        <v>35679</v>
      </c>
      <c r="D1771" s="3" t="s">
        <v>6790</v>
      </c>
      <c r="E1771" s="3">
        <v>10073926225</v>
      </c>
      <c r="F1771" s="3" t="s">
        <v>6791</v>
      </c>
      <c r="G1771" s="3" t="s">
        <v>6792</v>
      </c>
      <c r="H1771" s="3" t="s">
        <v>56</v>
      </c>
      <c r="I1771" s="3" t="s">
        <v>422</v>
      </c>
      <c r="J1771" s="3" t="s">
        <v>6793</v>
      </c>
      <c r="K1771" s="3" t="s">
        <v>6794</v>
      </c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 t="s">
        <v>81</v>
      </c>
      <c r="AL1771" s="4">
        <v>38966</v>
      </c>
      <c r="AM1771" s="3"/>
      <c r="AN1771" s="3"/>
    </row>
    <row r="1772" spans="1:40" x14ac:dyDescent="0.3">
      <c r="A1772" s="3">
        <v>1766</v>
      </c>
      <c r="B1772" s="3" t="str">
        <f>"201400034860"</f>
        <v>201400034860</v>
      </c>
      <c r="C1772" s="3">
        <v>108397</v>
      </c>
      <c r="D1772" s="3" t="s">
        <v>6795</v>
      </c>
      <c r="E1772" s="3">
        <v>10416732146</v>
      </c>
      <c r="F1772" s="3" t="s">
        <v>6796</v>
      </c>
      <c r="G1772" s="3" t="s">
        <v>6797</v>
      </c>
      <c r="H1772" s="3" t="s">
        <v>318</v>
      </c>
      <c r="I1772" s="3" t="s">
        <v>319</v>
      </c>
      <c r="J1772" s="3" t="s">
        <v>6798</v>
      </c>
      <c r="K1772" s="3" t="s">
        <v>6799</v>
      </c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 t="s">
        <v>167</v>
      </c>
      <c r="AL1772" s="4">
        <v>41719</v>
      </c>
      <c r="AM1772" s="3"/>
      <c r="AN1772" s="3" t="s">
        <v>6796</v>
      </c>
    </row>
    <row r="1773" spans="1:40" x14ac:dyDescent="0.3">
      <c r="A1773" s="3">
        <v>1767</v>
      </c>
      <c r="B1773" s="3" t="str">
        <f>"1185584"</f>
        <v>1185584</v>
      </c>
      <c r="C1773" s="3">
        <v>16227</v>
      </c>
      <c r="D1773" s="3">
        <v>1185584</v>
      </c>
      <c r="E1773" s="3">
        <v>10102924857</v>
      </c>
      <c r="F1773" s="3" t="s">
        <v>6800</v>
      </c>
      <c r="G1773" s="3" t="s">
        <v>927</v>
      </c>
      <c r="H1773" s="3" t="s">
        <v>56</v>
      </c>
      <c r="I1773" s="3" t="s">
        <v>56</v>
      </c>
      <c r="J1773" s="3" t="s">
        <v>57</v>
      </c>
      <c r="K1773" s="3" t="s">
        <v>6801</v>
      </c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 t="s">
        <v>65</v>
      </c>
      <c r="AL1773" s="4">
        <v>35949</v>
      </c>
      <c r="AM1773" s="3"/>
      <c r="AN1773" s="3"/>
    </row>
    <row r="1774" spans="1:40" x14ac:dyDescent="0.3">
      <c r="A1774" s="3">
        <v>1768</v>
      </c>
      <c r="B1774" s="3" t="str">
        <f>"201700080440"</f>
        <v>201700080440</v>
      </c>
      <c r="C1774" s="3">
        <v>92275</v>
      </c>
      <c r="D1774" s="3" t="s">
        <v>6802</v>
      </c>
      <c r="E1774" s="3">
        <v>20100366747</v>
      </c>
      <c r="F1774" s="3" t="s">
        <v>334</v>
      </c>
      <c r="G1774" s="3" t="s">
        <v>451</v>
      </c>
      <c r="H1774" s="3" t="s">
        <v>56</v>
      </c>
      <c r="I1774" s="3" t="s">
        <v>56</v>
      </c>
      <c r="J1774" s="3" t="s">
        <v>185</v>
      </c>
      <c r="K1774" s="3" t="s">
        <v>6803</v>
      </c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 t="s">
        <v>1679</v>
      </c>
      <c r="AL1774" s="4">
        <v>42887</v>
      </c>
      <c r="AM1774" s="3"/>
      <c r="AN1774" s="3" t="s">
        <v>262</v>
      </c>
    </row>
    <row r="1775" spans="1:40" x14ac:dyDescent="0.3">
      <c r="A1775" s="3">
        <v>1769</v>
      </c>
      <c r="B1775" s="3" t="str">
        <f>"201300127660"</f>
        <v>201300127660</v>
      </c>
      <c r="C1775" s="3">
        <v>45030</v>
      </c>
      <c r="D1775" s="3" t="s">
        <v>6804</v>
      </c>
      <c r="E1775" s="3">
        <v>10028473988</v>
      </c>
      <c r="F1775" s="3" t="s">
        <v>5856</v>
      </c>
      <c r="G1775" s="3" t="s">
        <v>6805</v>
      </c>
      <c r="H1775" s="3" t="s">
        <v>50</v>
      </c>
      <c r="I1775" s="3" t="s">
        <v>50</v>
      </c>
      <c r="J1775" s="3" t="s">
        <v>50</v>
      </c>
      <c r="K1775" s="3" t="s">
        <v>6806</v>
      </c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 t="s">
        <v>1087</v>
      </c>
      <c r="AL1775" s="4">
        <v>41492</v>
      </c>
      <c r="AM1775" s="3"/>
      <c r="AN1775" s="3" t="s">
        <v>5856</v>
      </c>
    </row>
    <row r="1776" spans="1:40" x14ac:dyDescent="0.3">
      <c r="A1776" s="3">
        <v>1770</v>
      </c>
      <c r="B1776" s="3" t="str">
        <f>"1563764"</f>
        <v>1563764</v>
      </c>
      <c r="C1776" s="3">
        <v>41758</v>
      </c>
      <c r="D1776" s="3" t="s">
        <v>6807</v>
      </c>
      <c r="E1776" s="3">
        <v>20506727783</v>
      </c>
      <c r="F1776" s="3" t="s">
        <v>1440</v>
      </c>
      <c r="G1776" s="3" t="s">
        <v>1441</v>
      </c>
      <c r="H1776" s="3" t="s">
        <v>56</v>
      </c>
      <c r="I1776" s="3" t="s">
        <v>56</v>
      </c>
      <c r="J1776" s="3" t="s">
        <v>131</v>
      </c>
      <c r="K1776" s="3" t="s">
        <v>6808</v>
      </c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 t="s">
        <v>81</v>
      </c>
      <c r="AL1776" s="4">
        <v>38639</v>
      </c>
      <c r="AM1776" s="3"/>
      <c r="AN1776" s="3"/>
    </row>
    <row r="1777" spans="1:40" ht="27.95" x14ac:dyDescent="0.3">
      <c r="A1777" s="3">
        <v>1771</v>
      </c>
      <c r="B1777" s="3" t="str">
        <f>"201900101629"</f>
        <v>201900101629</v>
      </c>
      <c r="C1777" s="3">
        <v>144834</v>
      </c>
      <c r="D1777" s="3" t="s">
        <v>6809</v>
      </c>
      <c r="E1777" s="3">
        <v>20603780362</v>
      </c>
      <c r="F1777" s="3" t="s">
        <v>6810</v>
      </c>
      <c r="G1777" s="3" t="s">
        <v>6811</v>
      </c>
      <c r="H1777" s="3" t="s">
        <v>56</v>
      </c>
      <c r="I1777" s="3" t="s">
        <v>56</v>
      </c>
      <c r="J1777" s="3" t="s">
        <v>331</v>
      </c>
      <c r="K1777" s="3" t="s">
        <v>6812</v>
      </c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 t="s">
        <v>1162</v>
      </c>
      <c r="AL1777" s="4">
        <v>43644</v>
      </c>
      <c r="AM1777" s="3"/>
      <c r="AN1777" s="3" t="s">
        <v>6813</v>
      </c>
    </row>
    <row r="1778" spans="1:40" x14ac:dyDescent="0.3">
      <c r="A1778" s="3">
        <v>1772</v>
      </c>
      <c r="B1778" s="3" t="str">
        <f>"1714158"</f>
        <v>1714158</v>
      </c>
      <c r="C1778" s="3">
        <v>42685</v>
      </c>
      <c r="D1778" s="3" t="s">
        <v>6814</v>
      </c>
      <c r="E1778" s="3">
        <v>10102977284</v>
      </c>
      <c r="F1778" s="3" t="s">
        <v>6815</v>
      </c>
      <c r="G1778" s="3" t="s">
        <v>6816</v>
      </c>
      <c r="H1778" s="3" t="s">
        <v>237</v>
      </c>
      <c r="I1778" s="3" t="s">
        <v>2842</v>
      </c>
      <c r="J1778" s="3" t="s">
        <v>2842</v>
      </c>
      <c r="K1778" s="3" t="s">
        <v>6817</v>
      </c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 t="s">
        <v>162</v>
      </c>
      <c r="AL1778" s="4">
        <v>39300</v>
      </c>
      <c r="AM1778" s="3"/>
      <c r="AN1778" s="3"/>
    </row>
    <row r="1779" spans="1:40" x14ac:dyDescent="0.3">
      <c r="A1779" s="3">
        <v>1773</v>
      </c>
      <c r="B1779" s="3" t="str">
        <f>"1351593"</f>
        <v>1351593</v>
      </c>
      <c r="C1779" s="3">
        <v>86625</v>
      </c>
      <c r="D1779" s="3" t="s">
        <v>6818</v>
      </c>
      <c r="E1779" s="3">
        <v>20102314698</v>
      </c>
      <c r="F1779" s="3" t="s">
        <v>1185</v>
      </c>
      <c r="G1779" s="3" t="s">
        <v>6819</v>
      </c>
      <c r="H1779" s="3" t="s">
        <v>56</v>
      </c>
      <c r="I1779" s="3" t="s">
        <v>56</v>
      </c>
      <c r="J1779" s="3" t="s">
        <v>331</v>
      </c>
      <c r="K1779" s="3" t="s">
        <v>6820</v>
      </c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 t="s">
        <v>6821</v>
      </c>
      <c r="AL1779" s="4">
        <v>40315</v>
      </c>
      <c r="AM1779" s="3"/>
      <c r="AN1779" s="3" t="s">
        <v>1189</v>
      </c>
    </row>
    <row r="1780" spans="1:40" x14ac:dyDescent="0.3">
      <c r="A1780" s="3">
        <v>1774</v>
      </c>
      <c r="B1780" s="3" t="str">
        <f>"201600075890"</f>
        <v>201600075890</v>
      </c>
      <c r="C1780" s="3">
        <v>121621</v>
      </c>
      <c r="D1780" s="3" t="s">
        <v>6822</v>
      </c>
      <c r="E1780" s="3">
        <v>10296425503</v>
      </c>
      <c r="F1780" s="3" t="s">
        <v>5045</v>
      </c>
      <c r="G1780" s="3" t="s">
        <v>6823</v>
      </c>
      <c r="H1780" s="3" t="s">
        <v>97</v>
      </c>
      <c r="I1780" s="3" t="s">
        <v>97</v>
      </c>
      <c r="J1780" s="3" t="s">
        <v>2039</v>
      </c>
      <c r="K1780" s="3" t="s">
        <v>6824</v>
      </c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 t="s">
        <v>65</v>
      </c>
      <c r="AL1780" s="4">
        <v>42523</v>
      </c>
      <c r="AM1780" s="3"/>
      <c r="AN1780" s="3" t="s">
        <v>5045</v>
      </c>
    </row>
    <row r="1781" spans="1:40" ht="27.95" x14ac:dyDescent="0.3">
      <c r="A1781" s="3">
        <v>1775</v>
      </c>
      <c r="B1781" s="3" t="str">
        <f>"201800168864"</f>
        <v>201800168864</v>
      </c>
      <c r="C1781" s="3">
        <v>3644</v>
      </c>
      <c r="D1781" s="3" t="s">
        <v>6825</v>
      </c>
      <c r="E1781" s="3">
        <v>20262254268</v>
      </c>
      <c r="F1781" s="3" t="s">
        <v>103</v>
      </c>
      <c r="G1781" s="3" t="s">
        <v>3306</v>
      </c>
      <c r="H1781" s="3" t="s">
        <v>75</v>
      </c>
      <c r="I1781" s="3" t="s">
        <v>75</v>
      </c>
      <c r="J1781" s="3" t="s">
        <v>1358</v>
      </c>
      <c r="K1781" s="3" t="s">
        <v>6826</v>
      </c>
      <c r="L1781" s="3" t="s">
        <v>107</v>
      </c>
      <c r="M1781" s="3" t="s">
        <v>861</v>
      </c>
      <c r="N1781" s="3" t="s">
        <v>6827</v>
      </c>
      <c r="O1781" s="3" t="s">
        <v>863</v>
      </c>
      <c r="P1781" s="3" t="s">
        <v>1074</v>
      </c>
      <c r="Q1781" s="3" t="s">
        <v>1076</v>
      </c>
      <c r="R1781" s="3" t="s">
        <v>1072</v>
      </c>
      <c r="S1781" s="3" t="s">
        <v>1078</v>
      </c>
      <c r="T1781" s="3" t="s">
        <v>1073</v>
      </c>
      <c r="U1781" s="3" t="s">
        <v>3901</v>
      </c>
      <c r="V1781" s="3" t="s">
        <v>6275</v>
      </c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 t="s">
        <v>3174</v>
      </c>
      <c r="AL1781" s="4">
        <v>43388</v>
      </c>
      <c r="AM1781" s="3"/>
      <c r="AN1781" s="3" t="s">
        <v>113</v>
      </c>
    </row>
    <row r="1782" spans="1:40" ht="27.95" x14ac:dyDescent="0.3">
      <c r="A1782" s="3">
        <v>1776</v>
      </c>
      <c r="B1782" s="3" t="str">
        <f>"1404437"</f>
        <v>1404437</v>
      </c>
      <c r="C1782" s="3">
        <v>34371</v>
      </c>
      <c r="D1782" s="3" t="s">
        <v>6828</v>
      </c>
      <c r="E1782" s="3">
        <v>10072526932</v>
      </c>
      <c r="F1782" s="3" t="s">
        <v>6829</v>
      </c>
      <c r="G1782" s="3" t="s">
        <v>6830</v>
      </c>
      <c r="H1782" s="3" t="s">
        <v>56</v>
      </c>
      <c r="I1782" s="3" t="s">
        <v>56</v>
      </c>
      <c r="J1782" s="3" t="s">
        <v>1604</v>
      </c>
      <c r="K1782" s="3" t="s">
        <v>6831</v>
      </c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 t="s">
        <v>81</v>
      </c>
      <c r="AL1782" s="4">
        <v>37699</v>
      </c>
      <c r="AM1782" s="3"/>
      <c r="AN1782" s="3"/>
    </row>
    <row r="1783" spans="1:40" x14ac:dyDescent="0.3">
      <c r="A1783" s="3">
        <v>1777</v>
      </c>
      <c r="B1783" s="3" t="str">
        <f>"1162670"</f>
        <v>1162670</v>
      </c>
      <c r="C1783" s="3">
        <v>6166</v>
      </c>
      <c r="D1783" s="3">
        <v>1162670</v>
      </c>
      <c r="E1783" s="3">
        <v>10089639501</v>
      </c>
      <c r="F1783" s="3" t="s">
        <v>6832</v>
      </c>
      <c r="G1783" s="3" t="s">
        <v>6833</v>
      </c>
      <c r="H1783" s="3" t="s">
        <v>56</v>
      </c>
      <c r="I1783" s="3" t="s">
        <v>56</v>
      </c>
      <c r="J1783" s="3" t="s">
        <v>1043</v>
      </c>
      <c r="K1783" s="3" t="s">
        <v>6834</v>
      </c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 t="s">
        <v>118</v>
      </c>
      <c r="AL1783" s="4">
        <v>35761</v>
      </c>
      <c r="AM1783" s="3"/>
      <c r="AN1783" s="3"/>
    </row>
    <row r="1784" spans="1:40" ht="27.95" x14ac:dyDescent="0.3">
      <c r="A1784" s="3">
        <v>1778</v>
      </c>
      <c r="B1784" s="3" t="str">
        <f>"201600004653"</f>
        <v>201600004653</v>
      </c>
      <c r="C1784" s="3">
        <v>20832</v>
      </c>
      <c r="D1784" s="3" t="s">
        <v>6835</v>
      </c>
      <c r="E1784" s="3">
        <v>20539956591</v>
      </c>
      <c r="F1784" s="3" t="s">
        <v>6836</v>
      </c>
      <c r="G1784" s="3" t="s">
        <v>6837</v>
      </c>
      <c r="H1784" s="3" t="s">
        <v>44</v>
      </c>
      <c r="I1784" s="3" t="s">
        <v>45</v>
      </c>
      <c r="J1784" s="3" t="s">
        <v>6245</v>
      </c>
      <c r="K1784" s="3" t="s">
        <v>6838</v>
      </c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 t="s">
        <v>614</v>
      </c>
      <c r="AL1784" s="4">
        <v>42398</v>
      </c>
      <c r="AM1784" s="3"/>
      <c r="AN1784" s="3" t="s">
        <v>6211</v>
      </c>
    </row>
    <row r="1785" spans="1:40" x14ac:dyDescent="0.3">
      <c r="A1785" s="3">
        <v>1779</v>
      </c>
      <c r="B1785" s="3" t="str">
        <f>"1663768"</f>
        <v>1663768</v>
      </c>
      <c r="C1785" s="3">
        <v>36185</v>
      </c>
      <c r="D1785" s="3" t="s">
        <v>6839</v>
      </c>
      <c r="E1785" s="3">
        <v>10060441630</v>
      </c>
      <c r="F1785" s="3" t="s">
        <v>6840</v>
      </c>
      <c r="G1785" s="3" t="s">
        <v>6841</v>
      </c>
      <c r="H1785" s="3" t="s">
        <v>56</v>
      </c>
      <c r="I1785" s="3" t="s">
        <v>56</v>
      </c>
      <c r="J1785" s="3" t="s">
        <v>313</v>
      </c>
      <c r="K1785" s="3" t="s">
        <v>6842</v>
      </c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 t="s">
        <v>81</v>
      </c>
      <c r="AL1785" s="4">
        <v>39119</v>
      </c>
      <c r="AM1785" s="3"/>
      <c r="AN1785" s="3"/>
    </row>
    <row r="1786" spans="1:40" x14ac:dyDescent="0.3">
      <c r="A1786" s="3">
        <v>1780</v>
      </c>
      <c r="B1786" s="3" t="str">
        <f>"1912160"</f>
        <v>1912160</v>
      </c>
      <c r="C1786" s="3">
        <v>45031</v>
      </c>
      <c r="D1786" s="3" t="s">
        <v>6843</v>
      </c>
      <c r="E1786" s="3">
        <v>10026894099</v>
      </c>
      <c r="F1786" s="3" t="s">
        <v>532</v>
      </c>
      <c r="G1786" s="3" t="s">
        <v>6844</v>
      </c>
      <c r="H1786" s="3" t="s">
        <v>50</v>
      </c>
      <c r="I1786" s="3" t="s">
        <v>50</v>
      </c>
      <c r="J1786" s="3" t="s">
        <v>98</v>
      </c>
      <c r="K1786" s="3" t="s">
        <v>6845</v>
      </c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 t="s">
        <v>1812</v>
      </c>
      <c r="AL1786" s="4">
        <v>40024</v>
      </c>
      <c r="AM1786" s="3"/>
      <c r="AN1786" s="3"/>
    </row>
    <row r="1787" spans="1:40" ht="27.95" x14ac:dyDescent="0.3">
      <c r="A1787" s="3">
        <v>1781</v>
      </c>
      <c r="B1787" s="3" t="str">
        <f>"1392112"</f>
        <v>1392112</v>
      </c>
      <c r="C1787" s="3">
        <v>34051</v>
      </c>
      <c r="D1787" s="3" t="s">
        <v>6846</v>
      </c>
      <c r="E1787" s="3">
        <v>20137926742</v>
      </c>
      <c r="F1787" s="3" t="s">
        <v>6847</v>
      </c>
      <c r="G1787" s="3" t="s">
        <v>6848</v>
      </c>
      <c r="H1787" s="3" t="s">
        <v>56</v>
      </c>
      <c r="I1787" s="3" t="s">
        <v>56</v>
      </c>
      <c r="J1787" s="3" t="s">
        <v>185</v>
      </c>
      <c r="K1787" s="3" t="s">
        <v>6849</v>
      </c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 t="s">
        <v>81</v>
      </c>
      <c r="AL1787" s="4">
        <v>37725</v>
      </c>
      <c r="AM1787" s="3"/>
      <c r="AN1787" s="3"/>
    </row>
    <row r="1788" spans="1:40" x14ac:dyDescent="0.3">
      <c r="A1788" s="3">
        <v>1782</v>
      </c>
      <c r="B1788" s="3" t="str">
        <f>"201700080445"</f>
        <v>201700080445</v>
      </c>
      <c r="C1788" s="3">
        <v>3401</v>
      </c>
      <c r="D1788" s="3" t="s">
        <v>6850</v>
      </c>
      <c r="E1788" s="3">
        <v>20100366747</v>
      </c>
      <c r="F1788" s="3" t="s">
        <v>258</v>
      </c>
      <c r="G1788" s="3" t="s">
        <v>451</v>
      </c>
      <c r="H1788" s="3" t="s">
        <v>56</v>
      </c>
      <c r="I1788" s="3" t="s">
        <v>56</v>
      </c>
      <c r="J1788" s="3" t="s">
        <v>185</v>
      </c>
      <c r="K1788" s="3" t="s">
        <v>6851</v>
      </c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 t="s">
        <v>6852</v>
      </c>
      <c r="AL1788" s="4">
        <v>42887</v>
      </c>
      <c r="AM1788" s="3"/>
      <c r="AN1788" s="3" t="s">
        <v>262</v>
      </c>
    </row>
    <row r="1789" spans="1:40" x14ac:dyDescent="0.3">
      <c r="A1789" s="3">
        <v>1783</v>
      </c>
      <c r="B1789" s="3" t="str">
        <f>"1912163"</f>
        <v>1912163</v>
      </c>
      <c r="C1789" s="3">
        <v>62396</v>
      </c>
      <c r="D1789" s="3" t="s">
        <v>6853</v>
      </c>
      <c r="E1789" s="3">
        <v>10026894099</v>
      </c>
      <c r="F1789" s="3" t="s">
        <v>532</v>
      </c>
      <c r="G1789" s="3" t="s">
        <v>6854</v>
      </c>
      <c r="H1789" s="3" t="s">
        <v>50</v>
      </c>
      <c r="I1789" s="3" t="s">
        <v>50</v>
      </c>
      <c r="J1789" s="3" t="s">
        <v>98</v>
      </c>
      <c r="K1789" s="3" t="s">
        <v>6855</v>
      </c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 t="s">
        <v>306</v>
      </c>
      <c r="AL1789" s="4">
        <v>40024</v>
      </c>
      <c r="AM1789" s="3"/>
      <c r="AN1789" s="3"/>
    </row>
    <row r="1790" spans="1:40" x14ac:dyDescent="0.3">
      <c r="A1790" s="3">
        <v>1784</v>
      </c>
      <c r="B1790" s="3" t="str">
        <f>"201500003524"</f>
        <v>201500003524</v>
      </c>
      <c r="C1790" s="3">
        <v>113314</v>
      </c>
      <c r="D1790" s="3" t="s">
        <v>6856</v>
      </c>
      <c r="E1790" s="3">
        <v>10292381072</v>
      </c>
      <c r="F1790" s="3" t="s">
        <v>6857</v>
      </c>
      <c r="G1790" s="3" t="s">
        <v>6858</v>
      </c>
      <c r="H1790" s="3" t="s">
        <v>97</v>
      </c>
      <c r="I1790" s="3" t="s">
        <v>97</v>
      </c>
      <c r="J1790" s="3" t="s">
        <v>97</v>
      </c>
      <c r="K1790" s="3" t="s">
        <v>6859</v>
      </c>
      <c r="L1790" s="3" t="s">
        <v>6860</v>
      </c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 t="s">
        <v>6861</v>
      </c>
      <c r="AL1790" s="4">
        <v>42053</v>
      </c>
      <c r="AM1790" s="3"/>
      <c r="AN1790" s="3" t="s">
        <v>6857</v>
      </c>
    </row>
    <row r="1791" spans="1:40" x14ac:dyDescent="0.3">
      <c r="A1791" s="3">
        <v>1785</v>
      </c>
      <c r="B1791" s="3" t="str">
        <f>"1474208"</f>
        <v>1474208</v>
      </c>
      <c r="C1791" s="3">
        <v>91431</v>
      </c>
      <c r="D1791" s="3" t="s">
        <v>6862</v>
      </c>
      <c r="E1791" s="3">
        <v>10198058535</v>
      </c>
      <c r="F1791" s="3" t="s">
        <v>6863</v>
      </c>
      <c r="G1791" s="3" t="s">
        <v>6864</v>
      </c>
      <c r="H1791" s="3" t="s">
        <v>237</v>
      </c>
      <c r="I1791" s="3" t="s">
        <v>868</v>
      </c>
      <c r="J1791" s="3" t="s">
        <v>868</v>
      </c>
      <c r="K1791" s="3" t="s">
        <v>6865</v>
      </c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 t="s">
        <v>187</v>
      </c>
      <c r="AL1791" s="4">
        <v>40618</v>
      </c>
      <c r="AM1791" s="3"/>
      <c r="AN1791" s="3" t="s">
        <v>6863</v>
      </c>
    </row>
    <row r="1792" spans="1:40" x14ac:dyDescent="0.3">
      <c r="A1792" s="3">
        <v>1786</v>
      </c>
      <c r="B1792" s="3" t="str">
        <f>"1663770"</f>
        <v>1663770</v>
      </c>
      <c r="C1792" s="3">
        <v>36262</v>
      </c>
      <c r="D1792" s="3" t="s">
        <v>6866</v>
      </c>
      <c r="E1792" s="3">
        <v>10060441630</v>
      </c>
      <c r="F1792" s="3" t="s">
        <v>6840</v>
      </c>
      <c r="G1792" s="3" t="s">
        <v>6867</v>
      </c>
      <c r="H1792" s="3" t="s">
        <v>56</v>
      </c>
      <c r="I1792" s="3" t="s">
        <v>56</v>
      </c>
      <c r="J1792" s="3" t="s">
        <v>313</v>
      </c>
      <c r="K1792" s="3" t="s">
        <v>6868</v>
      </c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 t="s">
        <v>226</v>
      </c>
      <c r="AL1792" s="4">
        <v>39115</v>
      </c>
      <c r="AM1792" s="3"/>
      <c r="AN1792" s="3"/>
    </row>
    <row r="1793" spans="1:40" x14ac:dyDescent="0.3">
      <c r="A1793" s="3">
        <v>1787</v>
      </c>
      <c r="B1793" s="3" t="str">
        <f>"201900087758"</f>
        <v>201900087758</v>
      </c>
      <c r="C1793" s="3">
        <v>144427</v>
      </c>
      <c r="D1793" s="3" t="s">
        <v>6869</v>
      </c>
      <c r="E1793" s="3">
        <v>20510976887</v>
      </c>
      <c r="F1793" s="3" t="s">
        <v>693</v>
      </c>
      <c r="G1793" s="3" t="s">
        <v>3026</v>
      </c>
      <c r="H1793" s="3" t="s">
        <v>56</v>
      </c>
      <c r="I1793" s="3" t="s">
        <v>56</v>
      </c>
      <c r="J1793" s="3" t="s">
        <v>131</v>
      </c>
      <c r="K1793" s="3" t="s">
        <v>6870</v>
      </c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 t="s">
        <v>6521</v>
      </c>
      <c r="AL1793" s="4">
        <v>43623</v>
      </c>
      <c r="AM1793" s="3"/>
      <c r="AN1793" s="3" t="s">
        <v>671</v>
      </c>
    </row>
    <row r="1794" spans="1:40" x14ac:dyDescent="0.3">
      <c r="A1794" s="3">
        <v>1788</v>
      </c>
      <c r="B1794" s="3" t="str">
        <f>"1445145"</f>
        <v>1445145</v>
      </c>
      <c r="C1794" s="3">
        <v>39406</v>
      </c>
      <c r="D1794" s="3" t="s">
        <v>6871</v>
      </c>
      <c r="E1794" s="3">
        <v>20512439196</v>
      </c>
      <c r="F1794" s="3" t="s">
        <v>6872</v>
      </c>
      <c r="G1794" s="3" t="s">
        <v>6873</v>
      </c>
      <c r="H1794" s="3" t="s">
        <v>56</v>
      </c>
      <c r="I1794" s="3" t="s">
        <v>56</v>
      </c>
      <c r="J1794" s="3" t="s">
        <v>56</v>
      </c>
      <c r="K1794" s="3" t="s">
        <v>6874</v>
      </c>
      <c r="L1794" s="3" t="s">
        <v>439</v>
      </c>
      <c r="M1794" s="3" t="s">
        <v>6875</v>
      </c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 t="s">
        <v>1003</v>
      </c>
      <c r="AL1794" s="4">
        <v>40500</v>
      </c>
      <c r="AM1794" s="3"/>
      <c r="AN1794" s="3" t="s">
        <v>6876</v>
      </c>
    </row>
    <row r="1795" spans="1:40" x14ac:dyDescent="0.3">
      <c r="A1795" s="3">
        <v>1789</v>
      </c>
      <c r="B1795" s="3" t="str">
        <f>"1876202"</f>
        <v>1876202</v>
      </c>
      <c r="C1795" s="3">
        <v>83079</v>
      </c>
      <c r="D1795" s="3" t="s">
        <v>6877</v>
      </c>
      <c r="E1795" s="3">
        <v>20480861010</v>
      </c>
      <c r="F1795" s="3" t="s">
        <v>42</v>
      </c>
      <c r="G1795" s="3" t="s">
        <v>6878</v>
      </c>
      <c r="H1795" s="3" t="s">
        <v>44</v>
      </c>
      <c r="I1795" s="3" t="s">
        <v>45</v>
      </c>
      <c r="J1795" s="3" t="s">
        <v>45</v>
      </c>
      <c r="K1795" s="3" t="s">
        <v>6879</v>
      </c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 t="s">
        <v>6394</v>
      </c>
      <c r="AL1795" s="4">
        <v>39905</v>
      </c>
      <c r="AM1795" s="3"/>
      <c r="AN1795" s="3"/>
    </row>
    <row r="1796" spans="1:40" x14ac:dyDescent="0.3">
      <c r="A1796" s="3">
        <v>1790</v>
      </c>
      <c r="B1796" s="3" t="str">
        <f>"1392101"</f>
        <v>1392101</v>
      </c>
      <c r="C1796" s="3">
        <v>34019</v>
      </c>
      <c r="D1796" s="3" t="s">
        <v>6880</v>
      </c>
      <c r="E1796" s="3">
        <v>20100366747</v>
      </c>
      <c r="F1796" s="3" t="s">
        <v>258</v>
      </c>
      <c r="G1796" s="3" t="s">
        <v>1055</v>
      </c>
      <c r="H1796" s="3" t="s">
        <v>56</v>
      </c>
      <c r="I1796" s="3" t="s">
        <v>56</v>
      </c>
      <c r="J1796" s="3" t="s">
        <v>185</v>
      </c>
      <c r="K1796" s="3" t="s">
        <v>6881</v>
      </c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 t="s">
        <v>546</v>
      </c>
      <c r="AL1796" s="4">
        <v>37596</v>
      </c>
      <c r="AM1796" s="3"/>
      <c r="AN1796" s="3"/>
    </row>
    <row r="1797" spans="1:40" x14ac:dyDescent="0.3">
      <c r="A1797" s="3">
        <v>1791</v>
      </c>
      <c r="B1797" s="3" t="str">
        <f>"201500151792"</f>
        <v>201500151792</v>
      </c>
      <c r="C1797" s="3">
        <v>20626</v>
      </c>
      <c r="D1797" s="3" t="s">
        <v>6882</v>
      </c>
      <c r="E1797" s="3">
        <v>20153236551</v>
      </c>
      <c r="F1797" s="3" t="s">
        <v>1179</v>
      </c>
      <c r="G1797" s="3" t="s">
        <v>6883</v>
      </c>
      <c r="H1797" s="3" t="s">
        <v>56</v>
      </c>
      <c r="I1797" s="3" t="s">
        <v>422</v>
      </c>
      <c r="J1797" s="3" t="s">
        <v>869</v>
      </c>
      <c r="K1797" s="3" t="s">
        <v>6884</v>
      </c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 t="s">
        <v>1127</v>
      </c>
      <c r="AL1797" s="4">
        <v>42339</v>
      </c>
      <c r="AM1797" s="3"/>
      <c r="AN1797" s="3" t="s">
        <v>1183</v>
      </c>
    </row>
    <row r="1798" spans="1:40" ht="27.95" x14ac:dyDescent="0.3">
      <c r="A1798" s="3">
        <v>1792</v>
      </c>
      <c r="B1798" s="3" t="str">
        <f>"1570519"</f>
        <v>1570519</v>
      </c>
      <c r="C1798" s="3">
        <v>2436</v>
      </c>
      <c r="D1798" s="3" t="s">
        <v>6885</v>
      </c>
      <c r="E1798" s="3">
        <v>20174640514</v>
      </c>
      <c r="F1798" s="3" t="s">
        <v>6886</v>
      </c>
      <c r="G1798" s="3" t="s">
        <v>6887</v>
      </c>
      <c r="H1798" s="3" t="s">
        <v>56</v>
      </c>
      <c r="I1798" s="3" t="s">
        <v>56</v>
      </c>
      <c r="J1798" s="3" t="s">
        <v>572</v>
      </c>
      <c r="K1798" s="3" t="s">
        <v>6888</v>
      </c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 t="s">
        <v>321</v>
      </c>
      <c r="AL1798" s="4">
        <v>38667</v>
      </c>
      <c r="AM1798" s="3"/>
      <c r="AN1798" s="3"/>
    </row>
    <row r="1799" spans="1:40" x14ac:dyDescent="0.3">
      <c r="A1799" s="3">
        <v>1793</v>
      </c>
      <c r="B1799" s="3" t="str">
        <f>"1117174"</f>
        <v>1117174</v>
      </c>
      <c r="C1799" s="3">
        <v>2569</v>
      </c>
      <c r="D1799" s="3">
        <v>1050611</v>
      </c>
      <c r="E1799" s="3">
        <v>10092754826</v>
      </c>
      <c r="F1799" s="3" t="s">
        <v>6889</v>
      </c>
      <c r="G1799" s="3" t="s">
        <v>6890</v>
      </c>
      <c r="H1799" s="3" t="s">
        <v>56</v>
      </c>
      <c r="I1799" s="3" t="s">
        <v>56</v>
      </c>
      <c r="J1799" s="3" t="s">
        <v>380</v>
      </c>
      <c r="K1799" s="3" t="s">
        <v>6891</v>
      </c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 t="s">
        <v>6500</v>
      </c>
      <c r="AL1799" s="4">
        <v>35549</v>
      </c>
      <c r="AM1799" s="3"/>
      <c r="AN1799" s="3"/>
    </row>
    <row r="1800" spans="1:40" x14ac:dyDescent="0.3">
      <c r="A1800" s="3">
        <v>1794</v>
      </c>
      <c r="B1800" s="3" t="str">
        <f>"1665848"</f>
        <v>1665848</v>
      </c>
      <c r="C1800" s="3">
        <v>42053</v>
      </c>
      <c r="D1800" s="3" t="s">
        <v>6892</v>
      </c>
      <c r="E1800" s="3">
        <v>20506727783</v>
      </c>
      <c r="F1800" s="3" t="s">
        <v>4300</v>
      </c>
      <c r="G1800" s="3" t="s">
        <v>4301</v>
      </c>
      <c r="H1800" s="3" t="s">
        <v>56</v>
      </c>
      <c r="I1800" s="3" t="s">
        <v>56</v>
      </c>
      <c r="J1800" s="3" t="s">
        <v>131</v>
      </c>
      <c r="K1800" s="3" t="s">
        <v>6893</v>
      </c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 t="s">
        <v>81</v>
      </c>
      <c r="AL1800" s="4">
        <v>39139</v>
      </c>
      <c r="AM1800" s="3"/>
      <c r="AN1800" s="3"/>
    </row>
    <row r="1801" spans="1:40" x14ac:dyDescent="0.3">
      <c r="A1801" s="3">
        <v>1795</v>
      </c>
      <c r="B1801" s="3" t="str">
        <f>"1117175"</f>
        <v>1117175</v>
      </c>
      <c r="C1801" s="3">
        <v>3565</v>
      </c>
      <c r="D1801" s="3">
        <v>953227</v>
      </c>
      <c r="E1801" s="3">
        <v>10078390943</v>
      </c>
      <c r="F1801" s="3" t="s">
        <v>3952</v>
      </c>
      <c r="G1801" s="3" t="s">
        <v>3953</v>
      </c>
      <c r="H1801" s="3" t="s">
        <v>56</v>
      </c>
      <c r="I1801" s="3" t="s">
        <v>56</v>
      </c>
      <c r="J1801" s="3" t="s">
        <v>309</v>
      </c>
      <c r="K1801" s="3" t="s">
        <v>6894</v>
      </c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 t="s">
        <v>2587</v>
      </c>
      <c r="AL1801" s="4">
        <v>35545</v>
      </c>
      <c r="AM1801" s="3"/>
      <c r="AN1801" s="3"/>
    </row>
    <row r="1802" spans="1:40" ht="27.95" x14ac:dyDescent="0.3">
      <c r="A1802" s="3">
        <v>1796</v>
      </c>
      <c r="B1802" s="3" t="str">
        <f>"1665844"</f>
        <v>1665844</v>
      </c>
      <c r="C1802" s="3">
        <v>44913</v>
      </c>
      <c r="D1802" s="3" t="s">
        <v>6895</v>
      </c>
      <c r="E1802" s="3">
        <v>10198417781</v>
      </c>
      <c r="F1802" s="3" t="s">
        <v>2634</v>
      </c>
      <c r="G1802" s="3" t="s">
        <v>6896</v>
      </c>
      <c r="H1802" s="3" t="s">
        <v>56</v>
      </c>
      <c r="I1802" s="3" t="s">
        <v>56</v>
      </c>
      <c r="J1802" s="3" t="s">
        <v>131</v>
      </c>
      <c r="K1802" s="3" t="s">
        <v>6897</v>
      </c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 t="s">
        <v>6898</v>
      </c>
      <c r="AL1802" s="4">
        <v>39139</v>
      </c>
      <c r="AM1802" s="3"/>
      <c r="AN1802" s="3"/>
    </row>
    <row r="1803" spans="1:40" x14ac:dyDescent="0.3">
      <c r="A1803" s="3">
        <v>1797</v>
      </c>
      <c r="B1803" s="3" t="str">
        <f>"1117171"</f>
        <v>1117171</v>
      </c>
      <c r="C1803" s="3">
        <v>2330</v>
      </c>
      <c r="D1803" s="3">
        <v>957245</v>
      </c>
      <c r="E1803" s="3">
        <v>10086214241</v>
      </c>
      <c r="F1803" s="3" t="s">
        <v>6899</v>
      </c>
      <c r="G1803" s="3" t="s">
        <v>6900</v>
      </c>
      <c r="H1803" s="3" t="s">
        <v>56</v>
      </c>
      <c r="I1803" s="3" t="s">
        <v>56</v>
      </c>
      <c r="J1803" s="3" t="s">
        <v>63</v>
      </c>
      <c r="K1803" s="3" t="s">
        <v>6901</v>
      </c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 t="s">
        <v>192</v>
      </c>
      <c r="AL1803" s="4">
        <v>35549</v>
      </c>
      <c r="AM1803" s="3"/>
      <c r="AN1803" s="3"/>
    </row>
    <row r="1804" spans="1:40" x14ac:dyDescent="0.3">
      <c r="A1804" s="3">
        <v>1798</v>
      </c>
      <c r="B1804" s="3" t="str">
        <f>"201400025267"</f>
        <v>201400025267</v>
      </c>
      <c r="C1804" s="3">
        <v>107848</v>
      </c>
      <c r="D1804" s="3" t="s">
        <v>6902</v>
      </c>
      <c r="E1804" s="3">
        <v>20510976887</v>
      </c>
      <c r="F1804" s="3" t="s">
        <v>693</v>
      </c>
      <c r="G1804" s="3" t="s">
        <v>694</v>
      </c>
      <c r="H1804" s="3" t="s">
        <v>56</v>
      </c>
      <c r="I1804" s="3" t="s">
        <v>56</v>
      </c>
      <c r="J1804" s="3" t="s">
        <v>131</v>
      </c>
      <c r="K1804" s="3" t="s">
        <v>6903</v>
      </c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 t="s">
        <v>3369</v>
      </c>
      <c r="AL1804" s="4">
        <v>41709</v>
      </c>
      <c r="AM1804" s="3"/>
      <c r="AN1804" s="3" t="s">
        <v>671</v>
      </c>
    </row>
    <row r="1805" spans="1:40" x14ac:dyDescent="0.3">
      <c r="A1805" s="3">
        <v>1799</v>
      </c>
      <c r="B1805" s="3" t="str">
        <f>"201200182523"</f>
        <v>201200182523</v>
      </c>
      <c r="C1805" s="3">
        <v>98657</v>
      </c>
      <c r="D1805" s="3" t="s">
        <v>6904</v>
      </c>
      <c r="E1805" s="3">
        <v>20525521509</v>
      </c>
      <c r="F1805" s="3" t="s">
        <v>189</v>
      </c>
      <c r="G1805" s="3" t="s">
        <v>190</v>
      </c>
      <c r="H1805" s="3" t="s">
        <v>50</v>
      </c>
      <c r="I1805" s="3" t="s">
        <v>50</v>
      </c>
      <c r="J1805" s="3" t="s">
        <v>98</v>
      </c>
      <c r="K1805" s="3" t="s">
        <v>6905</v>
      </c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 t="s">
        <v>3522</v>
      </c>
      <c r="AL1805" s="4">
        <v>41186</v>
      </c>
      <c r="AM1805" s="3"/>
      <c r="AN1805" s="3" t="s">
        <v>6906</v>
      </c>
    </row>
    <row r="1806" spans="1:40" ht="27.95" x14ac:dyDescent="0.3">
      <c r="A1806" s="3">
        <v>1800</v>
      </c>
      <c r="B1806" s="3" t="str">
        <f>"201300134330"</f>
        <v>201300134330</v>
      </c>
      <c r="C1806" s="3">
        <v>62566</v>
      </c>
      <c r="D1806" s="3" t="s">
        <v>6907</v>
      </c>
      <c r="E1806" s="3">
        <v>20543992942</v>
      </c>
      <c r="F1806" s="3" t="s">
        <v>540</v>
      </c>
      <c r="G1806" s="3" t="s">
        <v>2772</v>
      </c>
      <c r="H1806" s="3" t="s">
        <v>56</v>
      </c>
      <c r="I1806" s="3" t="s">
        <v>56</v>
      </c>
      <c r="J1806" s="3" t="s">
        <v>57</v>
      </c>
      <c r="K1806" s="3" t="s">
        <v>6908</v>
      </c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 t="s">
        <v>218</v>
      </c>
      <c r="AL1806" s="3" t="s">
        <v>290</v>
      </c>
      <c r="AM1806" s="3"/>
      <c r="AN1806" s="3" t="s">
        <v>543</v>
      </c>
    </row>
    <row r="1807" spans="1:40" ht="27.95" x14ac:dyDescent="0.3">
      <c r="A1807" s="3">
        <v>1801</v>
      </c>
      <c r="B1807" s="3" t="str">
        <f>"1570520"</f>
        <v>1570520</v>
      </c>
      <c r="C1807" s="3">
        <v>6602</v>
      </c>
      <c r="D1807" s="3" t="s">
        <v>6909</v>
      </c>
      <c r="E1807" s="3">
        <v>20174640514</v>
      </c>
      <c r="F1807" s="3" t="s">
        <v>6886</v>
      </c>
      <c r="G1807" s="3" t="s">
        <v>6887</v>
      </c>
      <c r="H1807" s="3" t="s">
        <v>56</v>
      </c>
      <c r="I1807" s="3" t="s">
        <v>56</v>
      </c>
      <c r="J1807" s="3" t="s">
        <v>572</v>
      </c>
      <c r="K1807" s="3" t="s">
        <v>6910</v>
      </c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 t="s">
        <v>187</v>
      </c>
      <c r="AL1807" s="4">
        <v>38667</v>
      </c>
      <c r="AM1807" s="3"/>
      <c r="AN1807" s="3"/>
    </row>
    <row r="1808" spans="1:40" x14ac:dyDescent="0.3">
      <c r="A1808" s="3">
        <v>1802</v>
      </c>
      <c r="B1808" s="3" t="str">
        <f>"201800207865"</f>
        <v>201800207865</v>
      </c>
      <c r="C1808" s="3">
        <v>117971</v>
      </c>
      <c r="D1808" s="3" t="s">
        <v>6911</v>
      </c>
      <c r="E1808" s="3">
        <v>20600945484</v>
      </c>
      <c r="F1808" s="3" t="s">
        <v>6912</v>
      </c>
      <c r="G1808" s="3" t="s">
        <v>6913</v>
      </c>
      <c r="H1808" s="3" t="s">
        <v>75</v>
      </c>
      <c r="I1808" s="3" t="s">
        <v>75</v>
      </c>
      <c r="J1808" s="3" t="s">
        <v>76</v>
      </c>
      <c r="K1808" s="3" t="s">
        <v>6914</v>
      </c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 t="s">
        <v>546</v>
      </c>
      <c r="AL1808" s="4">
        <v>43461</v>
      </c>
      <c r="AM1808" s="3"/>
      <c r="AN1808" s="3" t="s">
        <v>6915</v>
      </c>
    </row>
    <row r="1809" spans="1:40" ht="27.95" x14ac:dyDescent="0.3">
      <c r="A1809" s="3">
        <v>1803</v>
      </c>
      <c r="B1809" s="3" t="str">
        <f>"201300172161"</f>
        <v>201300172161</v>
      </c>
      <c r="C1809" s="3">
        <v>106250</v>
      </c>
      <c r="D1809" s="3" t="s">
        <v>6916</v>
      </c>
      <c r="E1809" s="3">
        <v>20525924026</v>
      </c>
      <c r="F1809" s="3" t="s">
        <v>6917</v>
      </c>
      <c r="G1809" s="3" t="s">
        <v>6918</v>
      </c>
      <c r="H1809" s="3" t="s">
        <v>50</v>
      </c>
      <c r="I1809" s="3" t="s">
        <v>50</v>
      </c>
      <c r="J1809" s="3" t="s">
        <v>50</v>
      </c>
      <c r="K1809" s="3" t="s">
        <v>6919</v>
      </c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 t="s">
        <v>1626</v>
      </c>
      <c r="AL1809" s="4">
        <v>41589</v>
      </c>
      <c r="AM1809" s="3"/>
      <c r="AN1809" s="3" t="s">
        <v>2792</v>
      </c>
    </row>
    <row r="1810" spans="1:40" ht="27.95" x14ac:dyDescent="0.3">
      <c r="A1810" s="3">
        <v>1804</v>
      </c>
      <c r="B1810" s="3" t="str">
        <f>"1570522"</f>
        <v>1570522</v>
      </c>
      <c r="C1810" s="3">
        <v>6613</v>
      </c>
      <c r="D1810" s="3" t="s">
        <v>6920</v>
      </c>
      <c r="E1810" s="3">
        <v>20174640514</v>
      </c>
      <c r="F1810" s="3" t="s">
        <v>6886</v>
      </c>
      <c r="G1810" s="3" t="s">
        <v>6887</v>
      </c>
      <c r="H1810" s="3" t="s">
        <v>56</v>
      </c>
      <c r="I1810" s="3" t="s">
        <v>56</v>
      </c>
      <c r="J1810" s="3" t="s">
        <v>572</v>
      </c>
      <c r="K1810" s="3" t="s">
        <v>6921</v>
      </c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 t="s">
        <v>157</v>
      </c>
      <c r="AL1810" s="4">
        <v>38667</v>
      </c>
      <c r="AM1810" s="3"/>
      <c r="AN1810" s="3"/>
    </row>
    <row r="1811" spans="1:40" ht="27.95" x14ac:dyDescent="0.3">
      <c r="A1811" s="3">
        <v>1805</v>
      </c>
      <c r="B1811" s="3" t="str">
        <f>"1308348"</f>
        <v>1308348</v>
      </c>
      <c r="C1811" s="3">
        <v>2789</v>
      </c>
      <c r="D1811" s="3" t="s">
        <v>6922</v>
      </c>
      <c r="E1811" s="3">
        <v>10084104456</v>
      </c>
      <c r="F1811" s="3" t="s">
        <v>6923</v>
      </c>
      <c r="G1811" s="3" t="s">
        <v>6924</v>
      </c>
      <c r="H1811" s="3" t="s">
        <v>56</v>
      </c>
      <c r="I1811" s="3" t="s">
        <v>56</v>
      </c>
      <c r="J1811" s="3" t="s">
        <v>155</v>
      </c>
      <c r="K1811" s="3" t="s">
        <v>6925</v>
      </c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 t="s">
        <v>634</v>
      </c>
      <c r="AL1811" s="4">
        <v>36916</v>
      </c>
      <c r="AM1811" s="3"/>
      <c r="AN1811" s="3"/>
    </row>
    <row r="1812" spans="1:40" x14ac:dyDescent="0.3">
      <c r="A1812" s="3">
        <v>1806</v>
      </c>
      <c r="B1812" s="3" t="str">
        <f>"201900045355"</f>
        <v>201900045355</v>
      </c>
      <c r="C1812" s="3">
        <v>142064</v>
      </c>
      <c r="D1812" s="3" t="s">
        <v>6926</v>
      </c>
      <c r="E1812" s="3">
        <v>10234712174</v>
      </c>
      <c r="F1812" s="3" t="s">
        <v>6927</v>
      </c>
      <c r="G1812" s="3" t="s">
        <v>6928</v>
      </c>
      <c r="H1812" s="3" t="s">
        <v>56</v>
      </c>
      <c r="I1812" s="3" t="s">
        <v>56</v>
      </c>
      <c r="J1812" s="3" t="s">
        <v>185</v>
      </c>
      <c r="K1812" s="3" t="s">
        <v>6929</v>
      </c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 t="s">
        <v>47</v>
      </c>
      <c r="AL1812" s="4">
        <v>43551</v>
      </c>
      <c r="AM1812" s="3"/>
      <c r="AN1812" s="3" t="s">
        <v>6927</v>
      </c>
    </row>
    <row r="1813" spans="1:40" x14ac:dyDescent="0.3">
      <c r="A1813" s="3">
        <v>1807</v>
      </c>
      <c r="B1813" s="3" t="str">
        <f>"201900087801"</f>
        <v>201900087801</v>
      </c>
      <c r="C1813" s="3">
        <v>144429</v>
      </c>
      <c r="D1813" s="3" t="s">
        <v>6930</v>
      </c>
      <c r="E1813" s="3">
        <v>20510976887</v>
      </c>
      <c r="F1813" s="3" t="s">
        <v>693</v>
      </c>
      <c r="G1813" s="3" t="s">
        <v>6625</v>
      </c>
      <c r="H1813" s="3" t="s">
        <v>56</v>
      </c>
      <c r="I1813" s="3" t="s">
        <v>56</v>
      </c>
      <c r="J1813" s="3" t="s">
        <v>131</v>
      </c>
      <c r="K1813" s="3" t="s">
        <v>6931</v>
      </c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 t="s">
        <v>6521</v>
      </c>
      <c r="AL1813" s="4">
        <v>43623</v>
      </c>
      <c r="AM1813" s="3"/>
      <c r="AN1813" s="3" t="s">
        <v>671</v>
      </c>
    </row>
    <row r="1814" spans="1:40" x14ac:dyDescent="0.3">
      <c r="A1814" s="3">
        <v>1808</v>
      </c>
      <c r="B1814" s="3" t="str">
        <f>"1138198"</f>
        <v>1138198</v>
      </c>
      <c r="C1814" s="3">
        <v>3403</v>
      </c>
      <c r="D1814" s="3">
        <v>992122</v>
      </c>
      <c r="E1814" s="3">
        <v>20110338903</v>
      </c>
      <c r="F1814" s="3" t="s">
        <v>183</v>
      </c>
      <c r="G1814" s="3" t="s">
        <v>6932</v>
      </c>
      <c r="H1814" s="3" t="s">
        <v>56</v>
      </c>
      <c r="I1814" s="3" t="s">
        <v>56</v>
      </c>
      <c r="J1814" s="3" t="s">
        <v>185</v>
      </c>
      <c r="K1814" s="3" t="s">
        <v>6933</v>
      </c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 t="s">
        <v>602</v>
      </c>
      <c r="AL1814" s="4">
        <v>35620</v>
      </c>
      <c r="AM1814" s="3"/>
      <c r="AN1814" s="3"/>
    </row>
    <row r="1815" spans="1:40" ht="27.95" x14ac:dyDescent="0.3">
      <c r="A1815" s="3">
        <v>1809</v>
      </c>
      <c r="B1815" s="3" t="str">
        <f>"1402107"</f>
        <v>1402107</v>
      </c>
      <c r="C1815" s="3">
        <v>85607</v>
      </c>
      <c r="D1815" s="3" t="s">
        <v>6934</v>
      </c>
      <c r="E1815" s="3">
        <v>43935502</v>
      </c>
      <c r="F1815" s="3" t="s">
        <v>6935</v>
      </c>
      <c r="G1815" s="3" t="s">
        <v>6936</v>
      </c>
      <c r="H1815" s="3" t="s">
        <v>97</v>
      </c>
      <c r="I1815" s="3" t="s">
        <v>97</v>
      </c>
      <c r="J1815" s="3" t="s">
        <v>417</v>
      </c>
      <c r="K1815" s="3" t="s">
        <v>6937</v>
      </c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 t="s">
        <v>226</v>
      </c>
      <c r="AL1815" s="4">
        <v>40417</v>
      </c>
      <c r="AM1815" s="3"/>
      <c r="AN1815" s="3" t="s">
        <v>6935</v>
      </c>
    </row>
    <row r="1816" spans="1:40" x14ac:dyDescent="0.3">
      <c r="A1816" s="3">
        <v>1810</v>
      </c>
      <c r="B1816" s="3" t="str">
        <f>"201900087804"</f>
        <v>201900087804</v>
      </c>
      <c r="C1816" s="3">
        <v>144431</v>
      </c>
      <c r="D1816" s="3" t="s">
        <v>6938</v>
      </c>
      <c r="E1816" s="3">
        <v>20510976887</v>
      </c>
      <c r="F1816" s="3" t="s">
        <v>693</v>
      </c>
      <c r="G1816" s="3" t="s">
        <v>6939</v>
      </c>
      <c r="H1816" s="3" t="s">
        <v>56</v>
      </c>
      <c r="I1816" s="3" t="s">
        <v>56</v>
      </c>
      <c r="J1816" s="3" t="s">
        <v>131</v>
      </c>
      <c r="K1816" s="3" t="s">
        <v>6940</v>
      </c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 t="s">
        <v>6521</v>
      </c>
      <c r="AL1816" s="4">
        <v>43623</v>
      </c>
      <c r="AM1816" s="3"/>
      <c r="AN1816" s="3" t="s">
        <v>671</v>
      </c>
    </row>
    <row r="1817" spans="1:40" ht="27.95" x14ac:dyDescent="0.3">
      <c r="A1817" s="3">
        <v>1811</v>
      </c>
      <c r="B1817" s="3" t="str">
        <f>"201200135388"</f>
        <v>201200135388</v>
      </c>
      <c r="C1817" s="3">
        <v>97494</v>
      </c>
      <c r="D1817" s="3" t="s">
        <v>6941</v>
      </c>
      <c r="E1817" s="3">
        <v>10423775594</v>
      </c>
      <c r="F1817" s="3" t="s">
        <v>6942</v>
      </c>
      <c r="G1817" s="3" t="s">
        <v>6943</v>
      </c>
      <c r="H1817" s="3" t="s">
        <v>97</v>
      </c>
      <c r="I1817" s="3" t="s">
        <v>97</v>
      </c>
      <c r="J1817" s="3" t="s">
        <v>144</v>
      </c>
      <c r="K1817" s="3" t="s">
        <v>6944</v>
      </c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 t="s">
        <v>47</v>
      </c>
      <c r="AL1817" s="4">
        <v>41110</v>
      </c>
      <c r="AM1817" s="3"/>
      <c r="AN1817" s="3" t="s">
        <v>6942</v>
      </c>
    </row>
    <row r="1818" spans="1:40" x14ac:dyDescent="0.3">
      <c r="A1818" s="3">
        <v>1812</v>
      </c>
      <c r="B1818" s="3" t="str">
        <f>"201600181200"</f>
        <v>201600181200</v>
      </c>
      <c r="C1818" s="3">
        <v>124103</v>
      </c>
      <c r="D1818" s="3" t="s">
        <v>6945</v>
      </c>
      <c r="E1818" s="3">
        <v>20278540449</v>
      </c>
      <c r="F1818" s="3" t="s">
        <v>939</v>
      </c>
      <c r="G1818" s="3" t="s">
        <v>4754</v>
      </c>
      <c r="H1818" s="3" t="s">
        <v>446</v>
      </c>
      <c r="I1818" s="3" t="s">
        <v>446</v>
      </c>
      <c r="J1818" s="3" t="s">
        <v>830</v>
      </c>
      <c r="K1818" s="3" t="s">
        <v>6946</v>
      </c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 t="s">
        <v>6947</v>
      </c>
      <c r="AL1818" s="4">
        <v>42730</v>
      </c>
      <c r="AM1818" s="3"/>
      <c r="AN1818" s="3" t="s">
        <v>2838</v>
      </c>
    </row>
    <row r="1819" spans="1:40" x14ac:dyDescent="0.3">
      <c r="A1819" s="3">
        <v>1813</v>
      </c>
      <c r="B1819" s="3" t="str">
        <f>"1392099"</f>
        <v>1392099</v>
      </c>
      <c r="C1819" s="3">
        <v>33881</v>
      </c>
      <c r="D1819" s="3" t="s">
        <v>6948</v>
      </c>
      <c r="E1819" s="3">
        <v>20100366747</v>
      </c>
      <c r="F1819" s="3" t="s">
        <v>258</v>
      </c>
      <c r="G1819" s="3" t="s">
        <v>1055</v>
      </c>
      <c r="H1819" s="3" t="s">
        <v>56</v>
      </c>
      <c r="I1819" s="3" t="s">
        <v>56</v>
      </c>
      <c r="J1819" s="3" t="s">
        <v>185</v>
      </c>
      <c r="K1819" s="3" t="s">
        <v>6949</v>
      </c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 t="s">
        <v>546</v>
      </c>
      <c r="AL1819" s="4">
        <v>37596</v>
      </c>
      <c r="AM1819" s="3"/>
      <c r="AN1819" s="3"/>
    </row>
    <row r="1820" spans="1:40" x14ac:dyDescent="0.3">
      <c r="A1820" s="3">
        <v>1814</v>
      </c>
      <c r="B1820" s="3" t="str">
        <f>"201900087806"</f>
        <v>201900087806</v>
      </c>
      <c r="C1820" s="3">
        <v>144428</v>
      </c>
      <c r="D1820" s="3" t="s">
        <v>6950</v>
      </c>
      <c r="E1820" s="3">
        <v>20510976887</v>
      </c>
      <c r="F1820" s="3" t="s">
        <v>693</v>
      </c>
      <c r="G1820" s="3" t="s">
        <v>6625</v>
      </c>
      <c r="H1820" s="3" t="s">
        <v>56</v>
      </c>
      <c r="I1820" s="3" t="s">
        <v>56</v>
      </c>
      <c r="J1820" s="3" t="s">
        <v>131</v>
      </c>
      <c r="K1820" s="3" t="s">
        <v>6951</v>
      </c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 t="s">
        <v>6521</v>
      </c>
      <c r="AL1820" s="4">
        <v>43623</v>
      </c>
      <c r="AM1820" s="3"/>
      <c r="AN1820" s="3" t="s">
        <v>671</v>
      </c>
    </row>
    <row r="1821" spans="1:40" x14ac:dyDescent="0.3">
      <c r="A1821" s="3">
        <v>1815</v>
      </c>
      <c r="B1821" s="3" t="str">
        <f>"201400025277"</f>
        <v>201400025277</v>
      </c>
      <c r="C1821" s="3">
        <v>107846</v>
      </c>
      <c r="D1821" s="3" t="s">
        <v>6952</v>
      </c>
      <c r="E1821" s="3">
        <v>20510976887</v>
      </c>
      <c r="F1821" s="3" t="s">
        <v>667</v>
      </c>
      <c r="G1821" s="3" t="s">
        <v>668</v>
      </c>
      <c r="H1821" s="3" t="s">
        <v>56</v>
      </c>
      <c r="I1821" s="3" t="s">
        <v>56</v>
      </c>
      <c r="J1821" s="3" t="s">
        <v>131</v>
      </c>
      <c r="K1821" s="3" t="s">
        <v>6953</v>
      </c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 t="s">
        <v>6954</v>
      </c>
      <c r="AL1821" s="4">
        <v>41709</v>
      </c>
      <c r="AM1821" s="3"/>
      <c r="AN1821" s="3" t="s">
        <v>671</v>
      </c>
    </row>
    <row r="1822" spans="1:40" x14ac:dyDescent="0.3">
      <c r="A1822" s="3">
        <v>1816</v>
      </c>
      <c r="B1822" s="3" t="str">
        <f>"1430119"</f>
        <v>1430119</v>
      </c>
      <c r="C1822" s="3">
        <v>89319</v>
      </c>
      <c r="D1822" s="3" t="s">
        <v>6955</v>
      </c>
      <c r="E1822" s="3">
        <v>20349264413</v>
      </c>
      <c r="F1822" s="3" t="s">
        <v>287</v>
      </c>
      <c r="G1822" s="3" t="s">
        <v>6956</v>
      </c>
      <c r="H1822" s="3" t="s">
        <v>56</v>
      </c>
      <c r="I1822" s="3" t="s">
        <v>56</v>
      </c>
      <c r="J1822" s="3" t="s">
        <v>105</v>
      </c>
      <c r="K1822" s="3" t="s">
        <v>6957</v>
      </c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 t="s">
        <v>419</v>
      </c>
      <c r="AL1822" s="4">
        <v>40472</v>
      </c>
      <c r="AM1822" s="3"/>
      <c r="AN1822" s="3" t="s">
        <v>291</v>
      </c>
    </row>
    <row r="1823" spans="1:40" x14ac:dyDescent="0.3">
      <c r="A1823" s="3">
        <v>1817</v>
      </c>
      <c r="B1823" s="3" t="str">
        <f>"201400025286"</f>
        <v>201400025286</v>
      </c>
      <c r="C1823" s="3">
        <v>107844</v>
      </c>
      <c r="D1823" s="3" t="s">
        <v>6958</v>
      </c>
      <c r="E1823" s="3">
        <v>20510976887</v>
      </c>
      <c r="F1823" s="3" t="s">
        <v>667</v>
      </c>
      <c r="G1823" s="3" t="s">
        <v>694</v>
      </c>
      <c r="H1823" s="3" t="s">
        <v>56</v>
      </c>
      <c r="I1823" s="3" t="s">
        <v>56</v>
      </c>
      <c r="J1823" s="3" t="s">
        <v>131</v>
      </c>
      <c r="K1823" s="3" t="s">
        <v>6959</v>
      </c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 t="s">
        <v>3369</v>
      </c>
      <c r="AL1823" s="4">
        <v>41713</v>
      </c>
      <c r="AM1823" s="3"/>
      <c r="AN1823" s="3" t="s">
        <v>671</v>
      </c>
    </row>
    <row r="1824" spans="1:40" x14ac:dyDescent="0.3">
      <c r="A1824" s="3">
        <v>1818</v>
      </c>
      <c r="B1824" s="3" t="str">
        <f>"201400025287"</f>
        <v>201400025287</v>
      </c>
      <c r="C1824" s="3">
        <v>107845</v>
      </c>
      <c r="D1824" s="3" t="s">
        <v>6960</v>
      </c>
      <c r="E1824" s="3">
        <v>20510976887</v>
      </c>
      <c r="F1824" s="3" t="s">
        <v>667</v>
      </c>
      <c r="G1824" s="3" t="s">
        <v>668</v>
      </c>
      <c r="H1824" s="3" t="s">
        <v>56</v>
      </c>
      <c r="I1824" s="3" t="s">
        <v>56</v>
      </c>
      <c r="J1824" s="3" t="s">
        <v>131</v>
      </c>
      <c r="K1824" s="3" t="s">
        <v>6961</v>
      </c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 t="s">
        <v>6954</v>
      </c>
      <c r="AL1824" s="4">
        <v>41713</v>
      </c>
      <c r="AM1824" s="3"/>
      <c r="AN1824" s="3" t="s">
        <v>671</v>
      </c>
    </row>
    <row r="1825" spans="1:40" x14ac:dyDescent="0.3">
      <c r="A1825" s="3">
        <v>1819</v>
      </c>
      <c r="B1825" s="3" t="str">
        <f>"1375647"</f>
        <v>1375647</v>
      </c>
      <c r="C1825" s="3">
        <v>84914</v>
      </c>
      <c r="D1825" s="3" t="s">
        <v>6962</v>
      </c>
      <c r="E1825" s="3">
        <v>10099073093</v>
      </c>
      <c r="F1825" s="3" t="s">
        <v>6963</v>
      </c>
      <c r="G1825" s="3" t="s">
        <v>6964</v>
      </c>
      <c r="H1825" s="3" t="s">
        <v>75</v>
      </c>
      <c r="I1825" s="3" t="s">
        <v>75</v>
      </c>
      <c r="J1825" s="3" t="s">
        <v>76</v>
      </c>
      <c r="K1825" s="3" t="s">
        <v>6965</v>
      </c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 t="s">
        <v>6966</v>
      </c>
      <c r="AL1825" s="4">
        <v>40366</v>
      </c>
      <c r="AM1825" s="3"/>
      <c r="AN1825" s="3" t="s">
        <v>6963</v>
      </c>
    </row>
    <row r="1826" spans="1:40" x14ac:dyDescent="0.3">
      <c r="A1826" s="3">
        <v>1820</v>
      </c>
      <c r="B1826" s="3" t="str">
        <f>"201900109697"</f>
        <v>201900109697</v>
      </c>
      <c r="C1826" s="3">
        <v>120423</v>
      </c>
      <c r="D1826" s="3" t="s">
        <v>6967</v>
      </c>
      <c r="E1826" s="3">
        <v>20100366747</v>
      </c>
      <c r="F1826" s="3" t="s">
        <v>258</v>
      </c>
      <c r="G1826" s="3" t="s">
        <v>451</v>
      </c>
      <c r="H1826" s="3" t="s">
        <v>56</v>
      </c>
      <c r="I1826" s="3" t="s">
        <v>56</v>
      </c>
      <c r="J1826" s="3" t="s">
        <v>185</v>
      </c>
      <c r="K1826" s="3" t="s">
        <v>6968</v>
      </c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 t="s">
        <v>2394</v>
      </c>
      <c r="AL1826" s="4">
        <v>43662</v>
      </c>
      <c r="AM1826" s="3"/>
      <c r="AN1826" s="3" t="s">
        <v>2728</v>
      </c>
    </row>
    <row r="1827" spans="1:40" x14ac:dyDescent="0.3">
      <c r="A1827" s="3">
        <v>1821</v>
      </c>
      <c r="B1827" s="3" t="str">
        <f>"1430113"</f>
        <v>1430113</v>
      </c>
      <c r="C1827" s="3">
        <v>89307</v>
      </c>
      <c r="D1827" s="3" t="s">
        <v>6969</v>
      </c>
      <c r="E1827" s="3">
        <v>20349264413</v>
      </c>
      <c r="F1827" s="3" t="s">
        <v>287</v>
      </c>
      <c r="G1827" s="3" t="s">
        <v>6970</v>
      </c>
      <c r="H1827" s="3" t="s">
        <v>56</v>
      </c>
      <c r="I1827" s="3" t="s">
        <v>56</v>
      </c>
      <c r="J1827" s="3" t="s">
        <v>105</v>
      </c>
      <c r="K1827" s="3" t="s">
        <v>6971</v>
      </c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 t="s">
        <v>419</v>
      </c>
      <c r="AL1827" s="4">
        <v>40472</v>
      </c>
      <c r="AM1827" s="3"/>
      <c r="AN1827" s="3" t="s">
        <v>6972</v>
      </c>
    </row>
    <row r="1828" spans="1:40" x14ac:dyDescent="0.3">
      <c r="A1828" s="3">
        <v>1822</v>
      </c>
      <c r="B1828" s="3" t="str">
        <f>"1430112"</f>
        <v>1430112</v>
      </c>
      <c r="C1828" s="3">
        <v>89289</v>
      </c>
      <c r="D1828" s="3" t="s">
        <v>6973</v>
      </c>
      <c r="E1828" s="3">
        <v>20349264413</v>
      </c>
      <c r="F1828" s="3" t="s">
        <v>1535</v>
      </c>
      <c r="G1828" s="3" t="s">
        <v>6974</v>
      </c>
      <c r="H1828" s="3" t="s">
        <v>56</v>
      </c>
      <c r="I1828" s="3" t="s">
        <v>56</v>
      </c>
      <c r="J1828" s="3" t="s">
        <v>105</v>
      </c>
      <c r="K1828" s="3" t="s">
        <v>6975</v>
      </c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 t="s">
        <v>419</v>
      </c>
      <c r="AL1828" s="4">
        <v>40472</v>
      </c>
      <c r="AM1828" s="3"/>
      <c r="AN1828" s="3" t="s">
        <v>291</v>
      </c>
    </row>
    <row r="1829" spans="1:40" x14ac:dyDescent="0.3">
      <c r="A1829" s="3">
        <v>1823</v>
      </c>
      <c r="B1829" s="3" t="str">
        <f>"1559772"</f>
        <v>1559772</v>
      </c>
      <c r="C1829" s="3">
        <v>41802</v>
      </c>
      <c r="D1829" s="3" t="s">
        <v>6976</v>
      </c>
      <c r="E1829" s="3">
        <v>20510976887</v>
      </c>
      <c r="F1829" s="3" t="s">
        <v>693</v>
      </c>
      <c r="G1829" s="3" t="s">
        <v>694</v>
      </c>
      <c r="H1829" s="3" t="s">
        <v>56</v>
      </c>
      <c r="I1829" s="3" t="s">
        <v>56</v>
      </c>
      <c r="J1829" s="3" t="s">
        <v>131</v>
      </c>
      <c r="K1829" s="3" t="s">
        <v>6977</v>
      </c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 t="s">
        <v>6978</v>
      </c>
      <c r="AL1829" s="4">
        <v>38616</v>
      </c>
      <c r="AM1829" s="3"/>
      <c r="AN1829" s="3"/>
    </row>
    <row r="1830" spans="1:40" x14ac:dyDescent="0.3">
      <c r="A1830" s="3">
        <v>1824</v>
      </c>
      <c r="B1830" s="3" t="str">
        <f>"1430111"</f>
        <v>1430111</v>
      </c>
      <c r="C1830" s="3">
        <v>89334</v>
      </c>
      <c r="D1830" s="3" t="s">
        <v>6979</v>
      </c>
      <c r="E1830" s="3">
        <v>20349264413</v>
      </c>
      <c r="F1830" s="3" t="s">
        <v>287</v>
      </c>
      <c r="G1830" s="3" t="s">
        <v>6980</v>
      </c>
      <c r="H1830" s="3" t="s">
        <v>56</v>
      </c>
      <c r="I1830" s="3" t="s">
        <v>56</v>
      </c>
      <c r="J1830" s="3" t="s">
        <v>105</v>
      </c>
      <c r="K1830" s="3" t="s">
        <v>6981</v>
      </c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 t="s">
        <v>419</v>
      </c>
      <c r="AL1830" s="4">
        <v>40472</v>
      </c>
      <c r="AM1830" s="3"/>
      <c r="AN1830" s="3" t="s">
        <v>291</v>
      </c>
    </row>
    <row r="1831" spans="1:40" x14ac:dyDescent="0.3">
      <c r="A1831" s="3">
        <v>1825</v>
      </c>
      <c r="B1831" s="3" t="str">
        <f>"1430115"</f>
        <v>1430115</v>
      </c>
      <c r="C1831" s="3">
        <v>89290</v>
      </c>
      <c r="D1831" s="3" t="s">
        <v>6982</v>
      </c>
      <c r="E1831" s="3">
        <v>20349264413</v>
      </c>
      <c r="F1831" s="3" t="s">
        <v>1535</v>
      </c>
      <c r="G1831" s="3" t="s">
        <v>6970</v>
      </c>
      <c r="H1831" s="3" t="s">
        <v>56</v>
      </c>
      <c r="I1831" s="3" t="s">
        <v>56</v>
      </c>
      <c r="J1831" s="3" t="s">
        <v>105</v>
      </c>
      <c r="K1831" s="3" t="s">
        <v>6983</v>
      </c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 t="s">
        <v>419</v>
      </c>
      <c r="AL1831" s="4">
        <v>40472</v>
      </c>
      <c r="AM1831" s="3"/>
      <c r="AN1831" s="3" t="s">
        <v>6972</v>
      </c>
    </row>
    <row r="1832" spans="1:40" x14ac:dyDescent="0.3">
      <c r="A1832" s="3">
        <v>1826</v>
      </c>
      <c r="B1832" s="3" t="str">
        <f>"201300096196"</f>
        <v>201300096196</v>
      </c>
      <c r="C1832" s="3">
        <v>44813</v>
      </c>
      <c r="D1832" s="3" t="s">
        <v>6984</v>
      </c>
      <c r="E1832" s="3">
        <v>20543992942</v>
      </c>
      <c r="F1832" s="3" t="s">
        <v>540</v>
      </c>
      <c r="G1832" s="3" t="s">
        <v>541</v>
      </c>
      <c r="H1832" s="3" t="s">
        <v>56</v>
      </c>
      <c r="I1832" s="3" t="s">
        <v>56</v>
      </c>
      <c r="J1832" s="3" t="s">
        <v>380</v>
      </c>
      <c r="K1832" s="3" t="s">
        <v>6985</v>
      </c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 t="s">
        <v>1514</v>
      </c>
      <c r="AL1832" s="3" t="s">
        <v>290</v>
      </c>
      <c r="AM1832" s="3"/>
      <c r="AN1832" s="3" t="s">
        <v>543</v>
      </c>
    </row>
    <row r="1833" spans="1:40" x14ac:dyDescent="0.3">
      <c r="A1833" s="3">
        <v>1827</v>
      </c>
      <c r="B1833" s="3" t="str">
        <f>"1154667"</f>
        <v>1154667</v>
      </c>
      <c r="C1833" s="3">
        <v>3664</v>
      </c>
      <c r="D1833" s="3">
        <v>1154667</v>
      </c>
      <c r="E1833" s="3">
        <v>20292553855</v>
      </c>
      <c r="F1833" s="3" t="s">
        <v>6986</v>
      </c>
      <c r="G1833" s="3" t="s">
        <v>6987</v>
      </c>
      <c r="H1833" s="3" t="s">
        <v>56</v>
      </c>
      <c r="I1833" s="3" t="s">
        <v>56</v>
      </c>
      <c r="J1833" s="3" t="s">
        <v>653</v>
      </c>
      <c r="K1833" s="3" t="s">
        <v>6988</v>
      </c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 t="s">
        <v>1341</v>
      </c>
      <c r="AL1833" s="4">
        <v>35718</v>
      </c>
      <c r="AM1833" s="3"/>
      <c r="AN1833" s="3"/>
    </row>
    <row r="1834" spans="1:40" x14ac:dyDescent="0.3">
      <c r="A1834" s="3">
        <v>1828</v>
      </c>
      <c r="B1834" s="3" t="str">
        <f>"201500049082"</f>
        <v>201500049082</v>
      </c>
      <c r="C1834" s="3">
        <v>114925</v>
      </c>
      <c r="D1834" s="3" t="s">
        <v>6989</v>
      </c>
      <c r="E1834" s="3">
        <v>10408269666</v>
      </c>
      <c r="F1834" s="3" t="s">
        <v>6990</v>
      </c>
      <c r="G1834" s="3" t="s">
        <v>6991</v>
      </c>
      <c r="H1834" s="3" t="s">
        <v>222</v>
      </c>
      <c r="I1834" s="3" t="s">
        <v>6992</v>
      </c>
      <c r="J1834" s="3" t="s">
        <v>6992</v>
      </c>
      <c r="K1834" s="3" t="s">
        <v>6993</v>
      </c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 t="s">
        <v>404</v>
      </c>
      <c r="AL1834" s="4">
        <v>42130</v>
      </c>
      <c r="AM1834" s="3"/>
      <c r="AN1834" s="3" t="s">
        <v>6990</v>
      </c>
    </row>
    <row r="1835" spans="1:40" ht="27.95" x14ac:dyDescent="0.3">
      <c r="A1835" s="3">
        <v>1829</v>
      </c>
      <c r="B1835" s="3" t="str">
        <f>"1558271"</f>
        <v>1558271</v>
      </c>
      <c r="C1835" s="3">
        <v>41407</v>
      </c>
      <c r="D1835" s="3" t="s">
        <v>6994</v>
      </c>
      <c r="E1835" s="3">
        <v>20467282388</v>
      </c>
      <c r="F1835" s="3" t="s">
        <v>1324</v>
      </c>
      <c r="G1835" s="3" t="s">
        <v>6995</v>
      </c>
      <c r="H1835" s="3" t="s">
        <v>75</v>
      </c>
      <c r="I1835" s="3" t="s">
        <v>75</v>
      </c>
      <c r="J1835" s="3" t="s">
        <v>76</v>
      </c>
      <c r="K1835" s="3" t="s">
        <v>6996</v>
      </c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 t="s">
        <v>546</v>
      </c>
      <c r="AL1835" s="4">
        <v>38610</v>
      </c>
      <c r="AM1835" s="3"/>
      <c r="AN1835" s="3"/>
    </row>
    <row r="1836" spans="1:40" x14ac:dyDescent="0.3">
      <c r="A1836" s="3">
        <v>1830</v>
      </c>
      <c r="B1836" s="3" t="str">
        <f>"201400025294"</f>
        <v>201400025294</v>
      </c>
      <c r="C1836" s="3">
        <v>107849</v>
      </c>
      <c r="D1836" s="3" t="s">
        <v>6997</v>
      </c>
      <c r="E1836" s="3">
        <v>20510976887</v>
      </c>
      <c r="F1836" s="3" t="s">
        <v>667</v>
      </c>
      <c r="G1836" s="3" t="s">
        <v>694</v>
      </c>
      <c r="H1836" s="3" t="s">
        <v>56</v>
      </c>
      <c r="I1836" s="3" t="s">
        <v>56</v>
      </c>
      <c r="J1836" s="3" t="s">
        <v>131</v>
      </c>
      <c r="K1836" s="3" t="s">
        <v>6998</v>
      </c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 t="s">
        <v>6954</v>
      </c>
      <c r="AL1836" s="4">
        <v>41709</v>
      </c>
      <c r="AM1836" s="3"/>
      <c r="AN1836" s="3" t="s">
        <v>671</v>
      </c>
    </row>
    <row r="1837" spans="1:40" x14ac:dyDescent="0.3">
      <c r="A1837" s="3">
        <v>1831</v>
      </c>
      <c r="B1837" s="3" t="str">
        <f>"1836300"</f>
        <v>1836300</v>
      </c>
      <c r="C1837" s="3">
        <v>62706</v>
      </c>
      <c r="D1837" s="3" t="s">
        <v>6999</v>
      </c>
      <c r="E1837" s="3">
        <v>20393354683</v>
      </c>
      <c r="F1837" s="3" t="s">
        <v>7000</v>
      </c>
      <c r="G1837" s="3" t="s">
        <v>7001</v>
      </c>
      <c r="H1837" s="3" t="s">
        <v>395</v>
      </c>
      <c r="I1837" s="3" t="s">
        <v>396</v>
      </c>
      <c r="J1837" s="3" t="s">
        <v>397</v>
      </c>
      <c r="K1837" s="3" t="s">
        <v>7002</v>
      </c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 t="s">
        <v>5597</v>
      </c>
      <c r="AL1837" s="4">
        <v>39755</v>
      </c>
      <c r="AM1837" s="3"/>
      <c r="AN1837" s="3"/>
    </row>
    <row r="1838" spans="1:40" x14ac:dyDescent="0.3">
      <c r="A1838" s="3">
        <v>1832</v>
      </c>
      <c r="B1838" s="3" t="str">
        <f>"201400025292"</f>
        <v>201400025292</v>
      </c>
      <c r="C1838" s="3">
        <v>107841</v>
      </c>
      <c r="D1838" s="3" t="s">
        <v>7003</v>
      </c>
      <c r="E1838" s="3">
        <v>20510976887</v>
      </c>
      <c r="F1838" s="3" t="s">
        <v>693</v>
      </c>
      <c r="G1838" s="3" t="s">
        <v>668</v>
      </c>
      <c r="H1838" s="3" t="s">
        <v>56</v>
      </c>
      <c r="I1838" s="3" t="s">
        <v>56</v>
      </c>
      <c r="J1838" s="3" t="s">
        <v>131</v>
      </c>
      <c r="K1838" s="3" t="s">
        <v>7004</v>
      </c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 t="s">
        <v>3369</v>
      </c>
      <c r="AL1838" s="4">
        <v>41704</v>
      </c>
      <c r="AM1838" s="3"/>
      <c r="AN1838" s="3" t="s">
        <v>671</v>
      </c>
    </row>
    <row r="1839" spans="1:40" x14ac:dyDescent="0.3">
      <c r="A1839" s="3">
        <v>1833</v>
      </c>
      <c r="B1839" s="3" t="str">
        <f>"201400025298"</f>
        <v>201400025298</v>
      </c>
      <c r="C1839" s="3">
        <v>107840</v>
      </c>
      <c r="D1839" s="3" t="s">
        <v>7005</v>
      </c>
      <c r="E1839" s="3">
        <v>20510976887</v>
      </c>
      <c r="F1839" s="3" t="s">
        <v>693</v>
      </c>
      <c r="G1839" s="3" t="s">
        <v>694</v>
      </c>
      <c r="H1839" s="3" t="s">
        <v>56</v>
      </c>
      <c r="I1839" s="3" t="s">
        <v>56</v>
      </c>
      <c r="J1839" s="3" t="s">
        <v>131</v>
      </c>
      <c r="K1839" s="3" t="s">
        <v>7006</v>
      </c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 t="s">
        <v>3369</v>
      </c>
      <c r="AL1839" s="4">
        <v>41704</v>
      </c>
      <c r="AM1839" s="3"/>
      <c r="AN1839" s="3" t="s">
        <v>671</v>
      </c>
    </row>
    <row r="1840" spans="1:40" x14ac:dyDescent="0.3">
      <c r="A1840" s="3">
        <v>1834</v>
      </c>
      <c r="B1840" s="3" t="str">
        <f>"1430109"</f>
        <v>1430109</v>
      </c>
      <c r="C1840" s="3">
        <v>89318</v>
      </c>
      <c r="D1840" s="3" t="s">
        <v>7007</v>
      </c>
      <c r="E1840" s="3">
        <v>20349264413</v>
      </c>
      <c r="F1840" s="3" t="s">
        <v>287</v>
      </c>
      <c r="G1840" s="3" t="s">
        <v>6974</v>
      </c>
      <c r="H1840" s="3" t="s">
        <v>56</v>
      </c>
      <c r="I1840" s="3" t="s">
        <v>56</v>
      </c>
      <c r="J1840" s="3" t="s">
        <v>105</v>
      </c>
      <c r="K1840" s="3" t="s">
        <v>7008</v>
      </c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 t="s">
        <v>419</v>
      </c>
      <c r="AL1840" s="4">
        <v>40472</v>
      </c>
      <c r="AM1840" s="3"/>
      <c r="AN1840" s="3" t="s">
        <v>291</v>
      </c>
    </row>
    <row r="1841" spans="1:40" x14ac:dyDescent="0.3">
      <c r="A1841" s="3">
        <v>1835</v>
      </c>
      <c r="B1841" s="3" t="str">
        <f>"201900171192"</f>
        <v>201900171192</v>
      </c>
      <c r="C1841" s="3">
        <v>120899</v>
      </c>
      <c r="D1841" s="3" t="s">
        <v>7009</v>
      </c>
      <c r="E1841" s="3">
        <v>20538166732</v>
      </c>
      <c r="F1841" s="3" t="s">
        <v>7010</v>
      </c>
      <c r="G1841" s="3" t="s">
        <v>7011</v>
      </c>
      <c r="H1841" s="3" t="s">
        <v>56</v>
      </c>
      <c r="I1841" s="3" t="s">
        <v>56</v>
      </c>
      <c r="J1841" s="3" t="s">
        <v>63</v>
      </c>
      <c r="K1841" s="3" t="s">
        <v>7012</v>
      </c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 t="s">
        <v>538</v>
      </c>
      <c r="AL1841" s="4">
        <v>43763</v>
      </c>
      <c r="AM1841" s="3"/>
      <c r="AN1841" s="3" t="s">
        <v>7013</v>
      </c>
    </row>
    <row r="1842" spans="1:40" x14ac:dyDescent="0.3">
      <c r="A1842" s="3">
        <v>1836</v>
      </c>
      <c r="B1842" s="3" t="str">
        <f>"1563794"</f>
        <v>1563794</v>
      </c>
      <c r="C1842" s="3">
        <v>41036</v>
      </c>
      <c r="D1842" s="3" t="s">
        <v>7014</v>
      </c>
      <c r="E1842" s="3">
        <v>10273667763</v>
      </c>
      <c r="F1842" s="3" t="s">
        <v>2625</v>
      </c>
      <c r="G1842" s="3" t="s">
        <v>7015</v>
      </c>
      <c r="H1842" s="3" t="s">
        <v>318</v>
      </c>
      <c r="I1842" s="3" t="s">
        <v>319</v>
      </c>
      <c r="J1842" s="3" t="s">
        <v>495</v>
      </c>
      <c r="K1842" s="3" t="s">
        <v>7016</v>
      </c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 t="s">
        <v>1514</v>
      </c>
      <c r="AL1842" s="4">
        <v>38600</v>
      </c>
      <c r="AM1842" s="3"/>
      <c r="AN1842" s="3"/>
    </row>
    <row r="1843" spans="1:40" x14ac:dyDescent="0.3">
      <c r="A1843" s="3">
        <v>1837</v>
      </c>
      <c r="B1843" s="3" t="str">
        <f>"201400025290"</f>
        <v>201400025290</v>
      </c>
      <c r="C1843" s="3">
        <v>107847</v>
      </c>
      <c r="D1843" s="3" t="s">
        <v>7017</v>
      </c>
      <c r="E1843" s="3">
        <v>20510976887</v>
      </c>
      <c r="F1843" s="3" t="s">
        <v>693</v>
      </c>
      <c r="G1843" s="3" t="s">
        <v>7018</v>
      </c>
      <c r="H1843" s="3" t="s">
        <v>56</v>
      </c>
      <c r="I1843" s="3" t="s">
        <v>56</v>
      </c>
      <c r="J1843" s="3" t="s">
        <v>131</v>
      </c>
      <c r="K1843" s="3" t="s">
        <v>7019</v>
      </c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 t="s">
        <v>6954</v>
      </c>
      <c r="AL1843" s="4">
        <v>41709</v>
      </c>
      <c r="AM1843" s="3"/>
      <c r="AN1843" s="3" t="s">
        <v>671</v>
      </c>
    </row>
    <row r="1844" spans="1:40" x14ac:dyDescent="0.3">
      <c r="A1844" s="3">
        <v>1838</v>
      </c>
      <c r="B1844" s="3" t="str">
        <f>"201800163906"</f>
        <v>201800163906</v>
      </c>
      <c r="C1844" s="3">
        <v>34405</v>
      </c>
      <c r="D1844" s="3" t="s">
        <v>7020</v>
      </c>
      <c r="E1844" s="3">
        <v>10457199797</v>
      </c>
      <c r="F1844" s="3" t="s">
        <v>7021</v>
      </c>
      <c r="G1844" s="3" t="s">
        <v>7022</v>
      </c>
      <c r="H1844" s="3" t="s">
        <v>56</v>
      </c>
      <c r="I1844" s="3" t="s">
        <v>56</v>
      </c>
      <c r="J1844" s="3" t="s">
        <v>331</v>
      </c>
      <c r="K1844" s="3" t="s">
        <v>7023</v>
      </c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 t="s">
        <v>1297</v>
      </c>
      <c r="AL1844" s="4">
        <v>43378</v>
      </c>
      <c r="AM1844" s="3"/>
      <c r="AN1844" s="3" t="s">
        <v>7021</v>
      </c>
    </row>
    <row r="1845" spans="1:40" ht="27.95" x14ac:dyDescent="0.3">
      <c r="A1845" s="3">
        <v>1839</v>
      </c>
      <c r="B1845" s="3" t="str">
        <f>"201900191249"</f>
        <v>201900191249</v>
      </c>
      <c r="C1845" s="3">
        <v>147880</v>
      </c>
      <c r="D1845" s="3" t="s">
        <v>7024</v>
      </c>
      <c r="E1845" s="3">
        <v>20491188309</v>
      </c>
      <c r="F1845" s="3" t="s">
        <v>7025</v>
      </c>
      <c r="G1845" s="3" t="s">
        <v>7026</v>
      </c>
      <c r="H1845" s="3" t="s">
        <v>3837</v>
      </c>
      <c r="I1845" s="3" t="s">
        <v>3838</v>
      </c>
      <c r="J1845" s="3" t="s">
        <v>3837</v>
      </c>
      <c r="K1845" s="3" t="s">
        <v>7027</v>
      </c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 t="s">
        <v>707</v>
      </c>
      <c r="AL1845" s="4">
        <v>43797</v>
      </c>
      <c r="AM1845" s="3"/>
      <c r="AN1845" s="3" t="s">
        <v>3840</v>
      </c>
    </row>
    <row r="1846" spans="1:40" x14ac:dyDescent="0.3">
      <c r="A1846" s="3">
        <v>1840</v>
      </c>
      <c r="B1846" s="3" t="str">
        <f>"1724317"</f>
        <v>1724317</v>
      </c>
      <c r="C1846" s="3">
        <v>61092</v>
      </c>
      <c r="D1846" s="3" t="s">
        <v>7028</v>
      </c>
      <c r="E1846" s="3">
        <v>20351516560</v>
      </c>
      <c r="F1846" s="3" t="s">
        <v>5567</v>
      </c>
      <c r="G1846" s="3" t="s">
        <v>7029</v>
      </c>
      <c r="H1846" s="3" t="s">
        <v>395</v>
      </c>
      <c r="I1846" s="3" t="s">
        <v>396</v>
      </c>
      <c r="J1846" s="3" t="s">
        <v>397</v>
      </c>
      <c r="K1846" s="3" t="s">
        <v>7030</v>
      </c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 t="s">
        <v>157</v>
      </c>
      <c r="AL1846" s="4">
        <v>39352</v>
      </c>
      <c r="AM1846" s="3"/>
      <c r="AN1846" s="3"/>
    </row>
    <row r="1847" spans="1:40" x14ac:dyDescent="0.3">
      <c r="A1847" s="3">
        <v>1841</v>
      </c>
      <c r="B1847" s="3" t="str">
        <f>"1678909"</f>
        <v>1678909</v>
      </c>
      <c r="C1847" s="3">
        <v>36637</v>
      </c>
      <c r="D1847" s="3" t="s">
        <v>7031</v>
      </c>
      <c r="E1847" s="3">
        <v>20121837634</v>
      </c>
      <c r="F1847" s="3" t="s">
        <v>866</v>
      </c>
      <c r="G1847" s="3" t="s">
        <v>867</v>
      </c>
      <c r="H1847" s="3" t="s">
        <v>237</v>
      </c>
      <c r="I1847" s="3" t="s">
        <v>868</v>
      </c>
      <c r="J1847" s="3" t="s">
        <v>869</v>
      </c>
      <c r="K1847" s="3" t="s">
        <v>7032</v>
      </c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 t="s">
        <v>7033</v>
      </c>
      <c r="AL1847" s="4">
        <v>39154</v>
      </c>
      <c r="AM1847" s="3"/>
      <c r="AN1847" s="3"/>
    </row>
    <row r="1848" spans="1:40" x14ac:dyDescent="0.3">
      <c r="A1848" s="3">
        <v>1842</v>
      </c>
      <c r="B1848" s="3" t="str">
        <f>"201400025299"</f>
        <v>201400025299</v>
      </c>
      <c r="C1848" s="3">
        <v>107842</v>
      </c>
      <c r="D1848" s="3" t="s">
        <v>7034</v>
      </c>
      <c r="E1848" s="3">
        <v>20510976887</v>
      </c>
      <c r="F1848" s="3" t="s">
        <v>693</v>
      </c>
      <c r="G1848" s="3" t="s">
        <v>694</v>
      </c>
      <c r="H1848" s="3" t="s">
        <v>56</v>
      </c>
      <c r="I1848" s="3" t="s">
        <v>56</v>
      </c>
      <c r="J1848" s="3" t="s">
        <v>131</v>
      </c>
      <c r="K1848" s="3" t="s">
        <v>7035</v>
      </c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 t="s">
        <v>6954</v>
      </c>
      <c r="AL1848" s="4">
        <v>41704</v>
      </c>
      <c r="AM1848" s="3"/>
      <c r="AN1848" s="3" t="s">
        <v>671</v>
      </c>
    </row>
    <row r="1849" spans="1:40" x14ac:dyDescent="0.3">
      <c r="A1849" s="3">
        <v>1843</v>
      </c>
      <c r="B1849" s="3" t="str">
        <f>"1764696"</f>
        <v>1764696</v>
      </c>
      <c r="C1849" s="3">
        <v>62492</v>
      </c>
      <c r="D1849" s="3" t="s">
        <v>7036</v>
      </c>
      <c r="E1849" s="3">
        <v>10412677744</v>
      </c>
      <c r="F1849" s="3" t="s">
        <v>2688</v>
      </c>
      <c r="G1849" s="3" t="s">
        <v>7037</v>
      </c>
      <c r="H1849" s="3" t="s">
        <v>237</v>
      </c>
      <c r="I1849" s="3" t="s">
        <v>868</v>
      </c>
      <c r="J1849" s="3" t="s">
        <v>2537</v>
      </c>
      <c r="K1849" s="3" t="s">
        <v>7038</v>
      </c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 t="s">
        <v>2691</v>
      </c>
      <c r="AL1849" s="4">
        <v>39479</v>
      </c>
      <c r="AM1849" s="3"/>
      <c r="AN1849" s="3"/>
    </row>
    <row r="1850" spans="1:40" x14ac:dyDescent="0.3">
      <c r="A1850" s="3">
        <v>1844</v>
      </c>
      <c r="B1850" s="3" t="str">
        <f>"1560472"</f>
        <v>1560472</v>
      </c>
      <c r="C1850" s="3">
        <v>39109</v>
      </c>
      <c r="D1850" s="3" t="s">
        <v>7039</v>
      </c>
      <c r="E1850" s="3">
        <v>10076248112</v>
      </c>
      <c r="F1850" s="3" t="s">
        <v>7040</v>
      </c>
      <c r="G1850" s="3" t="s">
        <v>7041</v>
      </c>
      <c r="H1850" s="3" t="s">
        <v>56</v>
      </c>
      <c r="I1850" s="3" t="s">
        <v>56</v>
      </c>
      <c r="J1850" s="3" t="s">
        <v>2724</v>
      </c>
      <c r="K1850" s="3" t="s">
        <v>7042</v>
      </c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 t="s">
        <v>477</v>
      </c>
      <c r="AL1850" s="4">
        <v>38618</v>
      </c>
      <c r="AM1850" s="3"/>
      <c r="AN1850" s="3"/>
    </row>
    <row r="1851" spans="1:40" x14ac:dyDescent="0.3">
      <c r="A1851" s="3">
        <v>1845</v>
      </c>
      <c r="B1851" s="3" t="str">
        <f>"201800023168"</f>
        <v>201800023168</v>
      </c>
      <c r="C1851" s="3">
        <v>16252</v>
      </c>
      <c r="D1851" s="3" t="s">
        <v>7043</v>
      </c>
      <c r="E1851" s="3">
        <v>10422862191</v>
      </c>
      <c r="F1851" s="3" t="s">
        <v>7044</v>
      </c>
      <c r="G1851" s="3" t="s">
        <v>7045</v>
      </c>
      <c r="H1851" s="3" t="s">
        <v>216</v>
      </c>
      <c r="I1851" s="3" t="s">
        <v>216</v>
      </c>
      <c r="J1851" s="3" t="s">
        <v>216</v>
      </c>
      <c r="K1851" s="3" t="s">
        <v>7046</v>
      </c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 t="s">
        <v>65</v>
      </c>
      <c r="AL1851" s="4">
        <v>43256</v>
      </c>
      <c r="AM1851" s="3"/>
      <c r="AN1851" s="3" t="s">
        <v>7044</v>
      </c>
    </row>
    <row r="1852" spans="1:40" x14ac:dyDescent="0.3">
      <c r="A1852" s="3">
        <v>1846</v>
      </c>
      <c r="B1852" s="3" t="str">
        <f>"1399970"</f>
        <v>1399970</v>
      </c>
      <c r="C1852" s="3">
        <v>33473</v>
      </c>
      <c r="D1852" s="3" t="s">
        <v>7047</v>
      </c>
      <c r="E1852" s="3">
        <v>10065433163</v>
      </c>
      <c r="F1852" s="3" t="s">
        <v>7048</v>
      </c>
      <c r="G1852" s="3" t="s">
        <v>7049</v>
      </c>
      <c r="H1852" s="3" t="s">
        <v>56</v>
      </c>
      <c r="I1852" s="3" t="s">
        <v>56</v>
      </c>
      <c r="J1852" s="3" t="s">
        <v>2995</v>
      </c>
      <c r="K1852" s="3" t="s">
        <v>7050</v>
      </c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 t="s">
        <v>81</v>
      </c>
      <c r="AL1852" s="4">
        <v>37664</v>
      </c>
      <c r="AM1852" s="3"/>
      <c r="AN1852" s="3"/>
    </row>
    <row r="1853" spans="1:40" x14ac:dyDescent="0.3">
      <c r="A1853" s="3">
        <v>1847</v>
      </c>
      <c r="B1853" s="3" t="str">
        <f>"1724314"</f>
        <v>1724314</v>
      </c>
      <c r="C1853" s="3">
        <v>61094</v>
      </c>
      <c r="D1853" s="3" t="s">
        <v>7051</v>
      </c>
      <c r="E1853" s="3">
        <v>20351516560</v>
      </c>
      <c r="F1853" s="3" t="s">
        <v>5567</v>
      </c>
      <c r="G1853" s="3" t="s">
        <v>7029</v>
      </c>
      <c r="H1853" s="3" t="s">
        <v>395</v>
      </c>
      <c r="I1853" s="3" t="s">
        <v>396</v>
      </c>
      <c r="J1853" s="3" t="s">
        <v>397</v>
      </c>
      <c r="K1853" s="3" t="s">
        <v>7052</v>
      </c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 t="s">
        <v>157</v>
      </c>
      <c r="AL1853" s="4">
        <v>39352</v>
      </c>
      <c r="AM1853" s="3"/>
      <c r="AN1853" s="3"/>
    </row>
    <row r="1854" spans="1:40" x14ac:dyDescent="0.3">
      <c r="A1854" s="3">
        <v>1848</v>
      </c>
      <c r="B1854" s="3" t="str">
        <f>"1487346"</f>
        <v>1487346</v>
      </c>
      <c r="C1854" s="3">
        <v>39082</v>
      </c>
      <c r="D1854" s="3" t="s">
        <v>7053</v>
      </c>
      <c r="E1854" s="3">
        <v>10076949820</v>
      </c>
      <c r="F1854" s="3" t="s">
        <v>7054</v>
      </c>
      <c r="G1854" s="3" t="s">
        <v>7055</v>
      </c>
      <c r="H1854" s="3" t="s">
        <v>56</v>
      </c>
      <c r="I1854" s="3" t="s">
        <v>56</v>
      </c>
      <c r="J1854" s="3" t="s">
        <v>1043</v>
      </c>
      <c r="K1854" s="3" t="s">
        <v>7056</v>
      </c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 t="s">
        <v>614</v>
      </c>
      <c r="AL1854" s="4">
        <v>38233</v>
      </c>
      <c r="AM1854" s="3"/>
      <c r="AN1854" s="3"/>
    </row>
    <row r="1855" spans="1:40" ht="27.95" x14ac:dyDescent="0.3">
      <c r="A1855" s="3">
        <v>1849</v>
      </c>
      <c r="B1855" s="3" t="str">
        <f>"201200214447"</f>
        <v>201200214447</v>
      </c>
      <c r="C1855" s="3">
        <v>99612</v>
      </c>
      <c r="D1855" s="3" t="s">
        <v>7057</v>
      </c>
      <c r="E1855" s="3">
        <v>20455665796</v>
      </c>
      <c r="F1855" s="3" t="s">
        <v>3929</v>
      </c>
      <c r="G1855" s="3" t="s">
        <v>7058</v>
      </c>
      <c r="H1855" s="3" t="s">
        <v>97</v>
      </c>
      <c r="I1855" s="3" t="s">
        <v>208</v>
      </c>
      <c r="J1855" s="3" t="s">
        <v>779</v>
      </c>
      <c r="K1855" s="3" t="s">
        <v>7059</v>
      </c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 t="s">
        <v>851</v>
      </c>
      <c r="AL1855" s="4">
        <v>41261</v>
      </c>
      <c r="AM1855" s="3"/>
      <c r="AN1855" s="3" t="s">
        <v>3932</v>
      </c>
    </row>
    <row r="1856" spans="1:40" x14ac:dyDescent="0.3">
      <c r="A1856" s="3">
        <v>1850</v>
      </c>
      <c r="B1856" s="3" t="str">
        <f>"1417067"</f>
        <v>1417067</v>
      </c>
      <c r="C1856" s="3">
        <v>82713</v>
      </c>
      <c r="D1856" s="3" t="s">
        <v>7060</v>
      </c>
      <c r="E1856" s="3">
        <v>20506727783</v>
      </c>
      <c r="F1856" s="3" t="s">
        <v>1440</v>
      </c>
      <c r="G1856" s="3" t="s">
        <v>7061</v>
      </c>
      <c r="H1856" s="3" t="s">
        <v>44</v>
      </c>
      <c r="I1856" s="3" t="s">
        <v>45</v>
      </c>
      <c r="J1856" s="3" t="s">
        <v>45</v>
      </c>
      <c r="K1856" s="3" t="s">
        <v>7062</v>
      </c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 t="s">
        <v>1573</v>
      </c>
      <c r="AL1856" s="4">
        <v>40448</v>
      </c>
      <c r="AM1856" s="3"/>
      <c r="AN1856" s="3" t="s">
        <v>2634</v>
      </c>
    </row>
    <row r="1857" spans="1:40" x14ac:dyDescent="0.3">
      <c r="A1857" s="3">
        <v>1851</v>
      </c>
      <c r="B1857" s="3" t="str">
        <f>"201600192565"</f>
        <v>201600192565</v>
      </c>
      <c r="C1857" s="3">
        <v>125805</v>
      </c>
      <c r="D1857" s="3" t="s">
        <v>7063</v>
      </c>
      <c r="E1857" s="3">
        <v>20600295978</v>
      </c>
      <c r="F1857" s="3" t="s">
        <v>6687</v>
      </c>
      <c r="G1857" s="3" t="s">
        <v>7064</v>
      </c>
      <c r="H1857" s="3" t="s">
        <v>357</v>
      </c>
      <c r="I1857" s="3" t="s">
        <v>2569</v>
      </c>
      <c r="J1857" s="3" t="s">
        <v>2569</v>
      </c>
      <c r="K1857" s="3" t="s">
        <v>7065</v>
      </c>
      <c r="L1857" s="3" t="s">
        <v>7066</v>
      </c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 t="s">
        <v>6692</v>
      </c>
      <c r="AL1857" s="4">
        <v>42739</v>
      </c>
      <c r="AM1857" s="3"/>
      <c r="AN1857" s="3" t="s">
        <v>6693</v>
      </c>
    </row>
    <row r="1858" spans="1:40" x14ac:dyDescent="0.3">
      <c r="A1858" s="3">
        <v>1852</v>
      </c>
      <c r="B1858" s="3" t="str">
        <f>"201200013620"</f>
        <v>201200013620</v>
      </c>
      <c r="C1858" s="3">
        <v>95705</v>
      </c>
      <c r="D1858" s="3" t="s">
        <v>7067</v>
      </c>
      <c r="E1858" s="3">
        <v>20113539594</v>
      </c>
      <c r="F1858" s="3" t="s">
        <v>164</v>
      </c>
      <c r="G1858" s="3" t="s">
        <v>7068</v>
      </c>
      <c r="H1858" s="3" t="s">
        <v>50</v>
      </c>
      <c r="I1858" s="3" t="s">
        <v>50</v>
      </c>
      <c r="J1858" s="3" t="s">
        <v>50</v>
      </c>
      <c r="K1858" s="3" t="s">
        <v>7069</v>
      </c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 t="s">
        <v>7070</v>
      </c>
      <c r="AL1858" s="4">
        <v>40939</v>
      </c>
      <c r="AM1858" s="3"/>
      <c r="AN1858" s="3" t="s">
        <v>2509</v>
      </c>
    </row>
    <row r="1859" spans="1:40" ht="27.95" x14ac:dyDescent="0.3">
      <c r="A1859" s="3">
        <v>1853</v>
      </c>
      <c r="B1859" s="3" t="str">
        <f>"201900042487"</f>
        <v>201900042487</v>
      </c>
      <c r="C1859" s="3">
        <v>134418</v>
      </c>
      <c r="D1859" s="3" t="s">
        <v>7071</v>
      </c>
      <c r="E1859" s="3">
        <v>10028958612</v>
      </c>
      <c r="F1859" s="3" t="s">
        <v>7072</v>
      </c>
      <c r="G1859" s="3" t="s">
        <v>7073</v>
      </c>
      <c r="H1859" s="3" t="s">
        <v>50</v>
      </c>
      <c r="I1859" s="3" t="s">
        <v>50</v>
      </c>
      <c r="J1859" s="3" t="s">
        <v>2274</v>
      </c>
      <c r="K1859" s="3" t="s">
        <v>7074</v>
      </c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 t="s">
        <v>7075</v>
      </c>
      <c r="AL1859" s="4">
        <v>43544</v>
      </c>
      <c r="AM1859" s="3"/>
      <c r="AN1859" s="3" t="s">
        <v>7072</v>
      </c>
    </row>
    <row r="1860" spans="1:40" x14ac:dyDescent="0.3">
      <c r="A1860" s="3">
        <v>1854</v>
      </c>
      <c r="B1860" s="3" t="str">
        <f>"201300096175"</f>
        <v>201300096175</v>
      </c>
      <c r="C1860" s="3">
        <v>86455</v>
      </c>
      <c r="D1860" s="3" t="s">
        <v>7076</v>
      </c>
      <c r="E1860" s="3">
        <v>20543992942</v>
      </c>
      <c r="F1860" s="3" t="s">
        <v>540</v>
      </c>
      <c r="G1860" s="3" t="s">
        <v>541</v>
      </c>
      <c r="H1860" s="3" t="s">
        <v>56</v>
      </c>
      <c r="I1860" s="3" t="s">
        <v>56</v>
      </c>
      <c r="J1860" s="3" t="s">
        <v>380</v>
      </c>
      <c r="K1860" s="3" t="s">
        <v>7077</v>
      </c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 t="s">
        <v>157</v>
      </c>
      <c r="AL1860" s="3" t="s">
        <v>290</v>
      </c>
      <c r="AM1860" s="3"/>
      <c r="AN1860" s="3" t="s">
        <v>543</v>
      </c>
    </row>
    <row r="1861" spans="1:40" x14ac:dyDescent="0.3">
      <c r="A1861" s="3">
        <v>1855</v>
      </c>
      <c r="B1861" s="3" t="str">
        <f>"201600186302"</f>
        <v>201600186302</v>
      </c>
      <c r="C1861" s="3">
        <v>125567</v>
      </c>
      <c r="D1861" s="3" t="s">
        <v>7078</v>
      </c>
      <c r="E1861" s="3">
        <v>20449403453</v>
      </c>
      <c r="F1861" s="3" t="s">
        <v>1007</v>
      </c>
      <c r="G1861" s="3" t="s">
        <v>7079</v>
      </c>
      <c r="H1861" s="3" t="s">
        <v>202</v>
      </c>
      <c r="I1861" s="3" t="s">
        <v>202</v>
      </c>
      <c r="J1861" s="3" t="s">
        <v>612</v>
      </c>
      <c r="K1861" s="3" t="s">
        <v>7080</v>
      </c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 t="s">
        <v>226</v>
      </c>
      <c r="AL1861" s="4">
        <v>42761</v>
      </c>
      <c r="AM1861" s="3"/>
      <c r="AN1861" s="3" t="s">
        <v>615</v>
      </c>
    </row>
    <row r="1862" spans="1:40" ht="27.95" x14ac:dyDescent="0.3">
      <c r="A1862" s="3">
        <v>1856</v>
      </c>
      <c r="B1862" s="3" t="str">
        <f>"201600131461"</f>
        <v>201600131461</v>
      </c>
      <c r="C1862" s="3">
        <v>123780</v>
      </c>
      <c r="D1862" s="3" t="s">
        <v>7081</v>
      </c>
      <c r="E1862" s="3">
        <v>20601450314</v>
      </c>
      <c r="F1862" s="3" t="s">
        <v>7082</v>
      </c>
      <c r="G1862" s="3" t="s">
        <v>7083</v>
      </c>
      <c r="H1862" s="3" t="s">
        <v>97</v>
      </c>
      <c r="I1862" s="3" t="s">
        <v>97</v>
      </c>
      <c r="J1862" s="3" t="s">
        <v>326</v>
      </c>
      <c r="K1862" s="3" t="s">
        <v>7084</v>
      </c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 t="s">
        <v>614</v>
      </c>
      <c r="AL1862" s="4">
        <v>42639</v>
      </c>
      <c r="AM1862" s="3"/>
      <c r="AN1862" s="3" t="s">
        <v>7085</v>
      </c>
    </row>
    <row r="1863" spans="1:40" x14ac:dyDescent="0.3">
      <c r="A1863" s="3">
        <v>1857</v>
      </c>
      <c r="B1863" s="3" t="str">
        <f>"201600086504"</f>
        <v>201600086504</v>
      </c>
      <c r="C1863" s="3">
        <v>104706</v>
      </c>
      <c r="D1863" s="3" t="s">
        <v>7086</v>
      </c>
      <c r="E1863" s="3">
        <v>20100366747</v>
      </c>
      <c r="F1863" s="3" t="s">
        <v>258</v>
      </c>
      <c r="G1863" s="3" t="s">
        <v>259</v>
      </c>
      <c r="H1863" s="3" t="s">
        <v>56</v>
      </c>
      <c r="I1863" s="3" t="s">
        <v>56</v>
      </c>
      <c r="J1863" s="3" t="s">
        <v>185</v>
      </c>
      <c r="K1863" s="3" t="s">
        <v>7087</v>
      </c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 t="s">
        <v>118</v>
      </c>
      <c r="AL1863" s="4">
        <v>42536</v>
      </c>
      <c r="AM1863" s="3"/>
      <c r="AN1863" s="3" t="s">
        <v>262</v>
      </c>
    </row>
    <row r="1864" spans="1:40" x14ac:dyDescent="0.3">
      <c r="A1864" s="3">
        <v>1858</v>
      </c>
      <c r="B1864" s="3" t="str">
        <f>"201800000219"</f>
        <v>201800000219</v>
      </c>
      <c r="C1864" s="3">
        <v>109645</v>
      </c>
      <c r="D1864" s="3" t="s">
        <v>7088</v>
      </c>
      <c r="E1864" s="3">
        <v>20490221663</v>
      </c>
      <c r="F1864" s="3" t="s">
        <v>7089</v>
      </c>
      <c r="G1864" s="3" t="s">
        <v>7090</v>
      </c>
      <c r="H1864" s="3" t="s">
        <v>3837</v>
      </c>
      <c r="I1864" s="3" t="s">
        <v>4994</v>
      </c>
      <c r="J1864" s="3" t="s">
        <v>4994</v>
      </c>
      <c r="K1864" s="3" t="s">
        <v>7091</v>
      </c>
      <c r="L1864" s="3" t="s">
        <v>7092</v>
      </c>
      <c r="M1864" s="3" t="s">
        <v>7093</v>
      </c>
      <c r="N1864" s="3" t="s">
        <v>7094</v>
      </c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 t="s">
        <v>7095</v>
      </c>
      <c r="AL1864" s="4">
        <v>43151</v>
      </c>
      <c r="AM1864" s="3"/>
      <c r="AN1864" s="3" t="s">
        <v>7096</v>
      </c>
    </row>
    <row r="1865" spans="1:40" ht="27.95" x14ac:dyDescent="0.3">
      <c r="A1865" s="3">
        <v>1859</v>
      </c>
      <c r="B1865" s="3" t="str">
        <f>"201800134865"</f>
        <v>201800134865</v>
      </c>
      <c r="C1865" s="3">
        <v>138035</v>
      </c>
      <c r="D1865" s="3" t="s">
        <v>7097</v>
      </c>
      <c r="E1865" s="3">
        <v>20525521509</v>
      </c>
      <c r="F1865" s="3" t="s">
        <v>189</v>
      </c>
      <c r="G1865" s="3" t="s">
        <v>815</v>
      </c>
      <c r="H1865" s="3" t="s">
        <v>50</v>
      </c>
      <c r="I1865" s="3" t="s">
        <v>50</v>
      </c>
      <c r="J1865" s="3" t="s">
        <v>50</v>
      </c>
      <c r="K1865" s="3" t="s">
        <v>7098</v>
      </c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 t="s">
        <v>1014</v>
      </c>
      <c r="AL1865" s="4">
        <v>43327</v>
      </c>
      <c r="AM1865" s="3"/>
      <c r="AN1865" s="3" t="s">
        <v>817</v>
      </c>
    </row>
    <row r="1866" spans="1:40" ht="27.95" x14ac:dyDescent="0.3">
      <c r="A1866" s="3">
        <v>1860</v>
      </c>
      <c r="B1866" s="3" t="str">
        <f>"201800001620"</f>
        <v>201800001620</v>
      </c>
      <c r="C1866" s="3">
        <v>102509</v>
      </c>
      <c r="D1866" s="3" t="s">
        <v>7099</v>
      </c>
      <c r="E1866" s="3">
        <v>10194072860</v>
      </c>
      <c r="F1866" s="3" t="s">
        <v>7100</v>
      </c>
      <c r="G1866" s="3" t="s">
        <v>7101</v>
      </c>
      <c r="H1866" s="3" t="s">
        <v>44</v>
      </c>
      <c r="I1866" s="3" t="s">
        <v>45</v>
      </c>
      <c r="J1866" s="3" t="s">
        <v>45</v>
      </c>
      <c r="K1866" s="3" t="s">
        <v>7102</v>
      </c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 t="s">
        <v>1618</v>
      </c>
      <c r="AL1866" s="4">
        <v>43122</v>
      </c>
      <c r="AM1866" s="3"/>
      <c r="AN1866" s="3" t="s">
        <v>7100</v>
      </c>
    </row>
    <row r="1867" spans="1:40" x14ac:dyDescent="0.3">
      <c r="A1867" s="3">
        <v>1861</v>
      </c>
      <c r="B1867" s="3" t="str">
        <f>"201600121950"</f>
        <v>201600121950</v>
      </c>
      <c r="C1867" s="3">
        <v>122745</v>
      </c>
      <c r="D1867" s="3" t="s">
        <v>7103</v>
      </c>
      <c r="E1867" s="3">
        <v>20601009189</v>
      </c>
      <c r="F1867" s="3" t="s">
        <v>2431</v>
      </c>
      <c r="G1867" s="3" t="s">
        <v>7104</v>
      </c>
      <c r="H1867" s="3" t="s">
        <v>446</v>
      </c>
      <c r="I1867" s="3" t="s">
        <v>446</v>
      </c>
      <c r="J1867" s="3" t="s">
        <v>447</v>
      </c>
      <c r="K1867" s="3" t="s">
        <v>7105</v>
      </c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 t="s">
        <v>7106</v>
      </c>
      <c r="AL1867" s="4">
        <v>42607</v>
      </c>
      <c r="AM1867" s="3"/>
      <c r="AN1867" s="3" t="s">
        <v>2436</v>
      </c>
    </row>
    <row r="1868" spans="1:40" x14ac:dyDescent="0.3">
      <c r="A1868" s="3">
        <v>1862</v>
      </c>
      <c r="B1868" s="3" t="str">
        <f>"201500131116"</f>
        <v>201500131116</v>
      </c>
      <c r="C1868" s="3">
        <v>117315</v>
      </c>
      <c r="D1868" s="3" t="s">
        <v>7107</v>
      </c>
      <c r="E1868" s="3">
        <v>10211388973</v>
      </c>
      <c r="F1868" s="3" t="s">
        <v>7108</v>
      </c>
      <c r="G1868" s="3" t="s">
        <v>7109</v>
      </c>
      <c r="H1868" s="3" t="s">
        <v>237</v>
      </c>
      <c r="I1868" s="3" t="s">
        <v>2842</v>
      </c>
      <c r="J1868" s="3" t="s">
        <v>2842</v>
      </c>
      <c r="K1868" s="3" t="s">
        <v>7110</v>
      </c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 t="s">
        <v>399</v>
      </c>
      <c r="AL1868" s="4">
        <v>42297</v>
      </c>
      <c r="AM1868" s="3"/>
      <c r="AN1868" s="3" t="s">
        <v>7108</v>
      </c>
    </row>
    <row r="1869" spans="1:40" ht="27.95" x14ac:dyDescent="0.3">
      <c r="A1869" s="3">
        <v>1863</v>
      </c>
      <c r="B1869" s="3" t="str">
        <f>"1493953"</f>
        <v>1493953</v>
      </c>
      <c r="C1869" s="3">
        <v>93304</v>
      </c>
      <c r="D1869" s="3" t="s">
        <v>7111</v>
      </c>
      <c r="E1869" s="3">
        <v>20462279991</v>
      </c>
      <c r="F1869" s="3" t="s">
        <v>3543</v>
      </c>
      <c r="G1869" s="3" t="s">
        <v>7112</v>
      </c>
      <c r="H1869" s="3" t="s">
        <v>56</v>
      </c>
      <c r="I1869" s="3" t="s">
        <v>56</v>
      </c>
      <c r="J1869" s="3" t="s">
        <v>432</v>
      </c>
      <c r="K1869" s="3" t="s">
        <v>7113</v>
      </c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 t="s">
        <v>7114</v>
      </c>
      <c r="AL1869" s="4">
        <v>40758</v>
      </c>
      <c r="AM1869" s="3"/>
      <c r="AN1869" s="3" t="s">
        <v>3547</v>
      </c>
    </row>
    <row r="1870" spans="1:40" ht="27.95" x14ac:dyDescent="0.3">
      <c r="A1870" s="3">
        <v>1864</v>
      </c>
      <c r="B1870" s="3" t="str">
        <f>"1452467"</f>
        <v>1452467</v>
      </c>
      <c r="C1870" s="3">
        <v>37174</v>
      </c>
      <c r="D1870" s="3" t="s">
        <v>7115</v>
      </c>
      <c r="E1870" s="3">
        <v>10071673249</v>
      </c>
      <c r="F1870" s="3" t="s">
        <v>7116</v>
      </c>
      <c r="G1870" s="3" t="s">
        <v>7117</v>
      </c>
      <c r="H1870" s="3" t="s">
        <v>56</v>
      </c>
      <c r="I1870" s="3" t="s">
        <v>56</v>
      </c>
      <c r="J1870" s="3" t="s">
        <v>57</v>
      </c>
      <c r="K1870" s="3" t="s">
        <v>7118</v>
      </c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 t="s">
        <v>525</v>
      </c>
      <c r="AL1870" s="4">
        <v>38142</v>
      </c>
      <c r="AM1870" s="3"/>
      <c r="AN1870" s="3"/>
    </row>
    <row r="1871" spans="1:40" x14ac:dyDescent="0.3">
      <c r="A1871" s="3">
        <v>1865</v>
      </c>
      <c r="B1871" s="3" t="str">
        <f>"1850073"</f>
        <v>1850073</v>
      </c>
      <c r="C1871" s="3">
        <v>60999</v>
      </c>
      <c r="D1871" s="3" t="s">
        <v>7119</v>
      </c>
      <c r="E1871" s="3">
        <v>20121837634</v>
      </c>
      <c r="F1871" s="3" t="s">
        <v>866</v>
      </c>
      <c r="G1871" s="3" t="s">
        <v>7120</v>
      </c>
      <c r="H1871" s="3" t="s">
        <v>237</v>
      </c>
      <c r="I1871" s="3" t="s">
        <v>868</v>
      </c>
      <c r="J1871" s="3" t="s">
        <v>869</v>
      </c>
      <c r="K1871" s="3" t="s">
        <v>7121</v>
      </c>
      <c r="L1871" s="3" t="s">
        <v>7122</v>
      </c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 t="s">
        <v>3382</v>
      </c>
      <c r="AL1871" s="4">
        <v>39818</v>
      </c>
      <c r="AM1871" s="3"/>
      <c r="AN1871" s="3"/>
    </row>
    <row r="1872" spans="1:40" ht="27.95" x14ac:dyDescent="0.3">
      <c r="A1872" s="3">
        <v>1866</v>
      </c>
      <c r="B1872" s="3" t="str">
        <f>"1803701"</f>
        <v>1803701</v>
      </c>
      <c r="C1872" s="3">
        <v>63253</v>
      </c>
      <c r="D1872" s="3" t="s">
        <v>7123</v>
      </c>
      <c r="E1872" s="3">
        <v>10446174628</v>
      </c>
      <c r="F1872" s="3" t="s">
        <v>7124</v>
      </c>
      <c r="G1872" s="3" t="s">
        <v>7125</v>
      </c>
      <c r="H1872" s="3" t="s">
        <v>56</v>
      </c>
      <c r="I1872" s="3" t="s">
        <v>56</v>
      </c>
      <c r="J1872" s="3" t="s">
        <v>309</v>
      </c>
      <c r="K1872" s="3" t="s">
        <v>7126</v>
      </c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 t="s">
        <v>81</v>
      </c>
      <c r="AL1872" s="4">
        <v>39651</v>
      </c>
      <c r="AM1872" s="3"/>
      <c r="AN1872" s="3"/>
    </row>
    <row r="1873" spans="1:40" x14ac:dyDescent="0.3">
      <c r="A1873" s="3">
        <v>1867</v>
      </c>
      <c r="B1873" s="3" t="str">
        <f>"1678929"</f>
        <v>1678929</v>
      </c>
      <c r="C1873" s="3">
        <v>45315</v>
      </c>
      <c r="D1873" s="3" t="s">
        <v>7127</v>
      </c>
      <c r="E1873" s="3">
        <v>20121837634</v>
      </c>
      <c r="F1873" s="3" t="s">
        <v>7128</v>
      </c>
      <c r="G1873" s="3" t="s">
        <v>7129</v>
      </c>
      <c r="H1873" s="3" t="s">
        <v>237</v>
      </c>
      <c r="I1873" s="3" t="s">
        <v>868</v>
      </c>
      <c r="J1873" s="3" t="s">
        <v>869</v>
      </c>
      <c r="K1873" s="3" t="s">
        <v>7130</v>
      </c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 t="s">
        <v>306</v>
      </c>
      <c r="AL1873" s="4">
        <v>39162</v>
      </c>
      <c r="AM1873" s="3"/>
      <c r="AN1873" s="3"/>
    </row>
    <row r="1874" spans="1:40" x14ac:dyDescent="0.3">
      <c r="A1874" s="3">
        <v>1868</v>
      </c>
      <c r="B1874" s="3" t="str">
        <f>"1413304"</f>
        <v>1413304</v>
      </c>
      <c r="C1874" s="3">
        <v>34601</v>
      </c>
      <c r="D1874" s="3" t="s">
        <v>7131</v>
      </c>
      <c r="E1874" s="3">
        <v>10068734768</v>
      </c>
      <c r="F1874" s="3" t="s">
        <v>5772</v>
      </c>
      <c r="G1874" s="3" t="s">
        <v>5773</v>
      </c>
      <c r="H1874" s="3" t="s">
        <v>75</v>
      </c>
      <c r="I1874" s="3" t="s">
        <v>75</v>
      </c>
      <c r="J1874" s="3" t="s">
        <v>76</v>
      </c>
      <c r="K1874" s="3" t="s">
        <v>7132</v>
      </c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 t="s">
        <v>546</v>
      </c>
      <c r="AL1874" s="4">
        <v>37775</v>
      </c>
      <c r="AM1874" s="3"/>
      <c r="AN1874" s="3"/>
    </row>
    <row r="1875" spans="1:40" x14ac:dyDescent="0.3">
      <c r="A1875" s="3">
        <v>1869</v>
      </c>
      <c r="B1875" s="3" t="str">
        <f>"201600186312"</f>
        <v>201600186312</v>
      </c>
      <c r="C1875" s="3">
        <v>125566</v>
      </c>
      <c r="D1875" s="3" t="s">
        <v>7133</v>
      </c>
      <c r="E1875" s="3">
        <v>20449403453</v>
      </c>
      <c r="F1875" s="3" t="s">
        <v>1007</v>
      </c>
      <c r="G1875" s="3" t="s">
        <v>7079</v>
      </c>
      <c r="H1875" s="3" t="s">
        <v>202</v>
      </c>
      <c r="I1875" s="3" t="s">
        <v>202</v>
      </c>
      <c r="J1875" s="3" t="s">
        <v>612</v>
      </c>
      <c r="K1875" s="3" t="s">
        <v>7134</v>
      </c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 t="s">
        <v>226</v>
      </c>
      <c r="AL1875" s="4">
        <v>42761</v>
      </c>
      <c r="AM1875" s="3"/>
      <c r="AN1875" s="3" t="s">
        <v>615</v>
      </c>
    </row>
    <row r="1876" spans="1:40" x14ac:dyDescent="0.3">
      <c r="A1876" s="3">
        <v>1870</v>
      </c>
      <c r="B1876" s="3" t="str">
        <f>"1315564"</f>
        <v>1315564</v>
      </c>
      <c r="C1876" s="3">
        <v>3284</v>
      </c>
      <c r="D1876" s="3" t="s">
        <v>7135</v>
      </c>
      <c r="E1876" s="3">
        <v>10090213003</v>
      </c>
      <c r="F1876" s="3" t="s">
        <v>7136</v>
      </c>
      <c r="G1876" s="3" t="s">
        <v>7137</v>
      </c>
      <c r="H1876" s="3" t="s">
        <v>56</v>
      </c>
      <c r="I1876" s="3" t="s">
        <v>56</v>
      </c>
      <c r="J1876" s="3" t="s">
        <v>481</v>
      </c>
      <c r="K1876" s="3" t="s">
        <v>7138</v>
      </c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 t="s">
        <v>4786</v>
      </c>
      <c r="AL1876" s="4">
        <v>36985</v>
      </c>
      <c r="AM1876" s="3"/>
      <c r="AN1876" s="3"/>
    </row>
    <row r="1877" spans="1:40" x14ac:dyDescent="0.3">
      <c r="A1877" s="3">
        <v>1871</v>
      </c>
      <c r="B1877" s="3" t="str">
        <f>"1401168"</f>
        <v>1401168</v>
      </c>
      <c r="C1877" s="3">
        <v>34026</v>
      </c>
      <c r="D1877" s="3" t="s">
        <v>7139</v>
      </c>
      <c r="E1877" s="3">
        <v>20362013802</v>
      </c>
      <c r="F1877" s="3" t="s">
        <v>3635</v>
      </c>
      <c r="G1877" s="3" t="s">
        <v>7140</v>
      </c>
      <c r="H1877" s="3" t="s">
        <v>172</v>
      </c>
      <c r="I1877" s="3" t="s">
        <v>172</v>
      </c>
      <c r="J1877" s="3" t="s">
        <v>1719</v>
      </c>
      <c r="K1877" s="3" t="s">
        <v>7141</v>
      </c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 t="s">
        <v>6652</v>
      </c>
      <c r="AL1877" s="4">
        <v>37644</v>
      </c>
      <c r="AM1877" s="3"/>
      <c r="AN1877" s="3"/>
    </row>
    <row r="1878" spans="1:40" x14ac:dyDescent="0.3">
      <c r="A1878" s="3">
        <v>1872</v>
      </c>
      <c r="B1878" s="3" t="str">
        <f>"1278311"</f>
        <v>1278311</v>
      </c>
      <c r="C1878" s="3">
        <v>19589</v>
      </c>
      <c r="D1878" s="3">
        <v>1278311</v>
      </c>
      <c r="E1878" s="3">
        <v>10067543861</v>
      </c>
      <c r="F1878" s="3" t="s">
        <v>7142</v>
      </c>
      <c r="G1878" s="3" t="s">
        <v>7143</v>
      </c>
      <c r="H1878" s="3" t="s">
        <v>56</v>
      </c>
      <c r="I1878" s="3" t="s">
        <v>56</v>
      </c>
      <c r="J1878" s="3" t="s">
        <v>57</v>
      </c>
      <c r="K1878" s="3" t="s">
        <v>7144</v>
      </c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 t="s">
        <v>65</v>
      </c>
      <c r="AL1878" s="4">
        <v>36654</v>
      </c>
      <c r="AM1878" s="3"/>
      <c r="AN1878" s="3"/>
    </row>
    <row r="1879" spans="1:40" x14ac:dyDescent="0.3">
      <c r="A1879" s="3">
        <v>1873</v>
      </c>
      <c r="B1879" s="3" t="str">
        <f>"1799625"</f>
        <v>1799625</v>
      </c>
      <c r="C1879" s="3">
        <v>101304</v>
      </c>
      <c r="D1879" s="3" t="s">
        <v>7145</v>
      </c>
      <c r="E1879" s="3">
        <v>20509916102</v>
      </c>
      <c r="F1879" s="3" t="s">
        <v>7146</v>
      </c>
      <c r="G1879" s="3" t="s">
        <v>3715</v>
      </c>
      <c r="H1879" s="3" t="s">
        <v>97</v>
      </c>
      <c r="I1879" s="3" t="s">
        <v>97</v>
      </c>
      <c r="J1879" s="3" t="s">
        <v>417</v>
      </c>
      <c r="K1879" s="3" t="s">
        <v>7147</v>
      </c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 t="s">
        <v>81</v>
      </c>
      <c r="AL1879" s="4">
        <v>39619</v>
      </c>
      <c r="AM1879" s="3"/>
      <c r="AN1879" s="3"/>
    </row>
    <row r="1880" spans="1:40" x14ac:dyDescent="0.3">
      <c r="A1880" s="3">
        <v>1874</v>
      </c>
      <c r="B1880" s="3" t="str">
        <f>"201500100389"</f>
        <v>201500100389</v>
      </c>
      <c r="C1880" s="3">
        <v>116681</v>
      </c>
      <c r="D1880" s="3" t="s">
        <v>7148</v>
      </c>
      <c r="E1880" s="3">
        <v>10013177495</v>
      </c>
      <c r="F1880" s="3" t="s">
        <v>7149</v>
      </c>
      <c r="G1880" s="3" t="s">
        <v>7150</v>
      </c>
      <c r="H1880" s="3" t="s">
        <v>222</v>
      </c>
      <c r="I1880" s="3" t="s">
        <v>222</v>
      </c>
      <c r="J1880" s="3" t="s">
        <v>222</v>
      </c>
      <c r="K1880" s="3" t="s">
        <v>7151</v>
      </c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 t="s">
        <v>7152</v>
      </c>
      <c r="AL1880" s="4">
        <v>42236</v>
      </c>
      <c r="AM1880" s="3"/>
      <c r="AN1880" s="3" t="s">
        <v>7149</v>
      </c>
    </row>
    <row r="1881" spans="1:40" x14ac:dyDescent="0.3">
      <c r="A1881" s="3">
        <v>1875</v>
      </c>
      <c r="B1881" s="3" t="str">
        <f>"1799623"</f>
        <v>1799623</v>
      </c>
      <c r="C1881" s="3">
        <v>62256</v>
      </c>
      <c r="D1881" s="3" t="s">
        <v>7153</v>
      </c>
      <c r="E1881" s="3">
        <v>20453957153</v>
      </c>
      <c r="F1881" s="3" t="s">
        <v>7154</v>
      </c>
      <c r="G1881" s="3" t="s">
        <v>7155</v>
      </c>
      <c r="H1881" s="3" t="s">
        <v>97</v>
      </c>
      <c r="I1881" s="3" t="s">
        <v>97</v>
      </c>
      <c r="J1881" s="3" t="s">
        <v>144</v>
      </c>
      <c r="K1881" s="3" t="s">
        <v>7156</v>
      </c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 t="s">
        <v>7157</v>
      </c>
      <c r="AL1881" s="4">
        <v>39617</v>
      </c>
      <c r="AM1881" s="3"/>
      <c r="AN1881" s="3"/>
    </row>
    <row r="1882" spans="1:40" x14ac:dyDescent="0.3">
      <c r="A1882" s="3">
        <v>1876</v>
      </c>
      <c r="B1882" s="3" t="str">
        <f>"1399918"</f>
        <v>1399918</v>
      </c>
      <c r="C1882" s="3">
        <v>34413</v>
      </c>
      <c r="D1882" s="3" t="s">
        <v>7158</v>
      </c>
      <c r="E1882" s="3">
        <v>20100366747</v>
      </c>
      <c r="F1882" s="3" t="s">
        <v>258</v>
      </c>
      <c r="G1882" s="3" t="s">
        <v>1055</v>
      </c>
      <c r="H1882" s="3" t="s">
        <v>56</v>
      </c>
      <c r="I1882" s="3" t="s">
        <v>56</v>
      </c>
      <c r="J1882" s="3" t="s">
        <v>185</v>
      </c>
      <c r="K1882" s="3" t="s">
        <v>7159</v>
      </c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 t="s">
        <v>546</v>
      </c>
      <c r="AL1882" s="4">
        <v>37665</v>
      </c>
      <c r="AM1882" s="3"/>
      <c r="AN1882" s="3"/>
    </row>
    <row r="1883" spans="1:40" x14ac:dyDescent="0.3">
      <c r="A1883" s="3">
        <v>1877</v>
      </c>
      <c r="B1883" s="3" t="str">
        <f>"201900084376"</f>
        <v>201900084376</v>
      </c>
      <c r="C1883" s="3">
        <v>111768</v>
      </c>
      <c r="D1883" s="3" t="s">
        <v>7160</v>
      </c>
      <c r="E1883" s="3">
        <v>10106438345</v>
      </c>
      <c r="F1883" s="3" t="s">
        <v>1434</v>
      </c>
      <c r="G1883" s="3" t="s">
        <v>1435</v>
      </c>
      <c r="H1883" s="3" t="s">
        <v>97</v>
      </c>
      <c r="I1883" s="3" t="s">
        <v>1436</v>
      </c>
      <c r="J1883" s="3" t="s">
        <v>1437</v>
      </c>
      <c r="K1883" s="3" t="s">
        <v>7161</v>
      </c>
      <c r="L1883" s="3" t="s">
        <v>5884</v>
      </c>
      <c r="M1883" s="3" t="s">
        <v>7162</v>
      </c>
      <c r="N1883" s="3" t="s">
        <v>7163</v>
      </c>
      <c r="O1883" s="3" t="s">
        <v>7164</v>
      </c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 t="s">
        <v>7165</v>
      </c>
      <c r="AL1883" s="4">
        <v>43615</v>
      </c>
      <c r="AM1883" s="3"/>
      <c r="AN1883" s="3" t="s">
        <v>1434</v>
      </c>
    </row>
    <row r="1884" spans="1:40" x14ac:dyDescent="0.3">
      <c r="A1884" s="3">
        <v>1878</v>
      </c>
      <c r="B1884" s="3" t="str">
        <f>"201800037016"</f>
        <v>201800037016</v>
      </c>
      <c r="C1884" s="3">
        <v>134852</v>
      </c>
      <c r="D1884" s="3" t="s">
        <v>7166</v>
      </c>
      <c r="E1884" s="3">
        <v>10428616516</v>
      </c>
      <c r="F1884" s="3" t="s">
        <v>791</v>
      </c>
      <c r="G1884" s="3" t="s">
        <v>7167</v>
      </c>
      <c r="H1884" s="3" t="s">
        <v>44</v>
      </c>
      <c r="I1884" s="3" t="s">
        <v>45</v>
      </c>
      <c r="J1884" s="3" t="s">
        <v>45</v>
      </c>
      <c r="K1884" s="3" t="s">
        <v>7168</v>
      </c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 t="s">
        <v>1273</v>
      </c>
      <c r="AL1884" s="4">
        <v>43171</v>
      </c>
      <c r="AM1884" s="3"/>
      <c r="AN1884" s="3" t="s">
        <v>791</v>
      </c>
    </row>
    <row r="1885" spans="1:40" x14ac:dyDescent="0.3">
      <c r="A1885" s="3">
        <v>1879</v>
      </c>
      <c r="B1885" s="3" t="str">
        <f>"201800037017"</f>
        <v>201800037017</v>
      </c>
      <c r="C1885" s="3">
        <v>134853</v>
      </c>
      <c r="D1885" s="3" t="s">
        <v>7169</v>
      </c>
      <c r="E1885" s="3">
        <v>10428616516</v>
      </c>
      <c r="F1885" s="3" t="s">
        <v>791</v>
      </c>
      <c r="G1885" s="3" t="s">
        <v>7167</v>
      </c>
      <c r="H1885" s="3" t="s">
        <v>44</v>
      </c>
      <c r="I1885" s="3" t="s">
        <v>45</v>
      </c>
      <c r="J1885" s="3" t="s">
        <v>45</v>
      </c>
      <c r="K1885" s="3" t="s">
        <v>7170</v>
      </c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 t="s">
        <v>946</v>
      </c>
      <c r="AL1885" s="4">
        <v>43171</v>
      </c>
      <c r="AM1885" s="3"/>
      <c r="AN1885" s="3" t="s">
        <v>791</v>
      </c>
    </row>
    <row r="1886" spans="1:40" x14ac:dyDescent="0.3">
      <c r="A1886" s="3">
        <v>1880</v>
      </c>
      <c r="B1886" s="3" t="str">
        <f>"1472845"</f>
        <v>1472845</v>
      </c>
      <c r="C1886" s="3">
        <v>37887</v>
      </c>
      <c r="D1886" s="3" t="s">
        <v>7171</v>
      </c>
      <c r="E1886" s="3">
        <v>10297229007</v>
      </c>
      <c r="F1886" s="3" t="s">
        <v>7172</v>
      </c>
      <c r="G1886" s="3" t="s">
        <v>7173</v>
      </c>
      <c r="H1886" s="3" t="s">
        <v>97</v>
      </c>
      <c r="I1886" s="3" t="s">
        <v>97</v>
      </c>
      <c r="J1886" s="3" t="s">
        <v>341</v>
      </c>
      <c r="K1886" s="3" t="s">
        <v>7174</v>
      </c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 t="s">
        <v>157</v>
      </c>
      <c r="AL1886" s="4">
        <v>38133</v>
      </c>
      <c r="AM1886" s="3"/>
      <c r="AN1886" s="3"/>
    </row>
    <row r="1887" spans="1:40" x14ac:dyDescent="0.3">
      <c r="A1887" s="3">
        <v>1881</v>
      </c>
      <c r="B1887" s="3" t="str">
        <f>"201500146532"</f>
        <v>201500146532</v>
      </c>
      <c r="C1887" s="3">
        <v>118304</v>
      </c>
      <c r="D1887" s="3" t="s">
        <v>7175</v>
      </c>
      <c r="E1887" s="3">
        <v>20480162600</v>
      </c>
      <c r="F1887" s="3" t="s">
        <v>2567</v>
      </c>
      <c r="G1887" s="3" t="s">
        <v>7176</v>
      </c>
      <c r="H1887" s="3" t="s">
        <v>357</v>
      </c>
      <c r="I1887" s="3" t="s">
        <v>2569</v>
      </c>
      <c r="J1887" s="3" t="s">
        <v>2569</v>
      </c>
      <c r="K1887" s="3" t="s">
        <v>7177</v>
      </c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 t="s">
        <v>7178</v>
      </c>
      <c r="AL1887" s="4">
        <v>42331</v>
      </c>
      <c r="AM1887" s="3"/>
      <c r="AN1887" s="3" t="s">
        <v>2572</v>
      </c>
    </row>
    <row r="1888" spans="1:40" x14ac:dyDescent="0.3">
      <c r="A1888" s="3">
        <v>1882</v>
      </c>
      <c r="B1888" s="3" t="str">
        <f>"201700137369"</f>
        <v>201700137369</v>
      </c>
      <c r="C1888" s="3">
        <v>131468</v>
      </c>
      <c r="D1888" s="3" t="s">
        <v>7179</v>
      </c>
      <c r="E1888" s="3">
        <v>20404723392</v>
      </c>
      <c r="F1888" s="3" t="s">
        <v>87</v>
      </c>
      <c r="G1888" s="3" t="s">
        <v>7180</v>
      </c>
      <c r="H1888" s="3" t="s">
        <v>89</v>
      </c>
      <c r="I1888" s="3" t="s">
        <v>89</v>
      </c>
      <c r="J1888" s="3" t="s">
        <v>89</v>
      </c>
      <c r="K1888" s="3" t="s">
        <v>7181</v>
      </c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 t="s">
        <v>2198</v>
      </c>
      <c r="AL1888" s="4">
        <v>42976</v>
      </c>
      <c r="AM1888" s="3"/>
      <c r="AN1888" s="3" t="s">
        <v>93</v>
      </c>
    </row>
    <row r="1889" spans="1:40" x14ac:dyDescent="0.3">
      <c r="A1889" s="3">
        <v>1883</v>
      </c>
      <c r="B1889" s="3" t="str">
        <f>"1139659"</f>
        <v>1139659</v>
      </c>
      <c r="C1889" s="3">
        <v>3396</v>
      </c>
      <c r="D1889" s="3">
        <v>1139659</v>
      </c>
      <c r="E1889" s="3">
        <v>10026797107</v>
      </c>
      <c r="F1889" s="3" t="s">
        <v>7182</v>
      </c>
      <c r="G1889" s="3" t="s">
        <v>7183</v>
      </c>
      <c r="H1889" s="3" t="s">
        <v>50</v>
      </c>
      <c r="I1889" s="3" t="s">
        <v>50</v>
      </c>
      <c r="J1889" s="3" t="s">
        <v>98</v>
      </c>
      <c r="K1889" s="3" t="s">
        <v>7184</v>
      </c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 t="s">
        <v>842</v>
      </c>
      <c r="AL1889" s="4">
        <v>35629</v>
      </c>
      <c r="AM1889" s="3"/>
      <c r="AN1889" s="3"/>
    </row>
    <row r="1890" spans="1:40" ht="27.95" x14ac:dyDescent="0.3">
      <c r="A1890" s="3">
        <v>1884</v>
      </c>
      <c r="B1890" s="3" t="str">
        <f>"201300150107"</f>
        <v>201300150107</v>
      </c>
      <c r="C1890" s="3">
        <v>105343</v>
      </c>
      <c r="D1890" s="3" t="s">
        <v>7185</v>
      </c>
      <c r="E1890" s="3">
        <v>10480516660</v>
      </c>
      <c r="F1890" s="3" t="s">
        <v>7186</v>
      </c>
      <c r="G1890" s="3" t="s">
        <v>7187</v>
      </c>
      <c r="H1890" s="3" t="s">
        <v>222</v>
      </c>
      <c r="I1890" s="3" t="s">
        <v>223</v>
      </c>
      <c r="J1890" s="3" t="s">
        <v>224</v>
      </c>
      <c r="K1890" s="3" t="s">
        <v>7188</v>
      </c>
      <c r="L1890" s="3" t="s">
        <v>7189</v>
      </c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 t="s">
        <v>150</v>
      </c>
      <c r="AL1890" s="3" t="s">
        <v>290</v>
      </c>
      <c r="AM1890" s="3"/>
      <c r="AN1890" s="3" t="s">
        <v>6213</v>
      </c>
    </row>
    <row r="1891" spans="1:40" x14ac:dyDescent="0.3">
      <c r="A1891" s="3">
        <v>1885</v>
      </c>
      <c r="B1891" s="3" t="str">
        <f>"1350129"</f>
        <v>1350129</v>
      </c>
      <c r="C1891" s="3">
        <v>2542</v>
      </c>
      <c r="D1891" s="3" t="s">
        <v>7190</v>
      </c>
      <c r="E1891" s="3">
        <v>20104399496</v>
      </c>
      <c r="F1891" s="3" t="s">
        <v>7191</v>
      </c>
      <c r="G1891" s="3" t="s">
        <v>7192</v>
      </c>
      <c r="H1891" s="3" t="s">
        <v>56</v>
      </c>
      <c r="I1891" s="3" t="s">
        <v>56</v>
      </c>
      <c r="J1891" s="3" t="s">
        <v>1604</v>
      </c>
      <c r="K1891" s="3" t="s">
        <v>7193</v>
      </c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 t="s">
        <v>233</v>
      </c>
      <c r="AL1891" s="4">
        <v>40311</v>
      </c>
      <c r="AM1891" s="3"/>
      <c r="AN1891" s="3" t="s">
        <v>7194</v>
      </c>
    </row>
    <row r="1892" spans="1:40" x14ac:dyDescent="0.3">
      <c r="A1892" s="3">
        <v>1886</v>
      </c>
      <c r="B1892" s="3" t="str">
        <f>"1492401"</f>
        <v>1492401</v>
      </c>
      <c r="C1892" s="3">
        <v>85749</v>
      </c>
      <c r="D1892" s="3" t="s">
        <v>7195</v>
      </c>
      <c r="E1892" s="3">
        <v>10444892604</v>
      </c>
      <c r="F1892" s="3" t="s">
        <v>7196</v>
      </c>
      <c r="G1892" s="3" t="s">
        <v>7197</v>
      </c>
      <c r="H1892" s="3" t="s">
        <v>97</v>
      </c>
      <c r="I1892" s="3" t="s">
        <v>97</v>
      </c>
      <c r="J1892" s="3" t="s">
        <v>144</v>
      </c>
      <c r="K1892" s="3" t="s">
        <v>7198</v>
      </c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 t="s">
        <v>5590</v>
      </c>
      <c r="AL1892" s="4">
        <v>40737</v>
      </c>
      <c r="AM1892" s="3"/>
      <c r="AN1892" s="3" t="s">
        <v>7196</v>
      </c>
    </row>
    <row r="1893" spans="1:40" x14ac:dyDescent="0.3">
      <c r="A1893" s="3">
        <v>1887</v>
      </c>
      <c r="B1893" s="3" t="str">
        <f>"1894183"</f>
        <v>1894183</v>
      </c>
      <c r="C1893" s="3">
        <v>83294</v>
      </c>
      <c r="D1893" s="3" t="s">
        <v>7199</v>
      </c>
      <c r="E1893" s="3">
        <v>10075654249</v>
      </c>
      <c r="F1893" s="3" t="s">
        <v>7200</v>
      </c>
      <c r="G1893" s="3" t="s">
        <v>7201</v>
      </c>
      <c r="H1893" s="3" t="s">
        <v>89</v>
      </c>
      <c r="I1893" s="3" t="s">
        <v>2601</v>
      </c>
      <c r="J1893" s="3" t="s">
        <v>2602</v>
      </c>
      <c r="K1893" s="3" t="s">
        <v>7202</v>
      </c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 t="s">
        <v>614</v>
      </c>
      <c r="AL1893" s="4">
        <v>39944</v>
      </c>
      <c r="AM1893" s="3"/>
      <c r="AN1893" s="3"/>
    </row>
    <row r="1894" spans="1:40" ht="27.95" x14ac:dyDescent="0.3">
      <c r="A1894" s="3">
        <v>1888</v>
      </c>
      <c r="B1894" s="3" t="str">
        <f>"1918318"</f>
        <v>1918318</v>
      </c>
      <c r="C1894" s="3">
        <v>83996</v>
      </c>
      <c r="D1894" s="3" t="s">
        <v>7203</v>
      </c>
      <c r="E1894" s="3">
        <v>20516667126</v>
      </c>
      <c r="F1894" s="3" t="s">
        <v>479</v>
      </c>
      <c r="G1894" s="3" t="s">
        <v>7204</v>
      </c>
      <c r="H1894" s="3" t="s">
        <v>56</v>
      </c>
      <c r="I1894" s="3" t="s">
        <v>56</v>
      </c>
      <c r="J1894" s="3" t="s">
        <v>481</v>
      </c>
      <c r="K1894" s="3" t="s">
        <v>7205</v>
      </c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 t="s">
        <v>7206</v>
      </c>
      <c r="AL1894" s="4">
        <v>40063</v>
      </c>
      <c r="AM1894" s="3"/>
      <c r="AN1894" s="3"/>
    </row>
    <row r="1895" spans="1:40" x14ac:dyDescent="0.3">
      <c r="A1895" s="3">
        <v>1889</v>
      </c>
      <c r="B1895" s="3" t="str">
        <f>"1139662"</f>
        <v>1139662</v>
      </c>
      <c r="C1895" s="3">
        <v>3398</v>
      </c>
      <c r="D1895" s="3" t="s">
        <v>7207</v>
      </c>
      <c r="E1895" s="3">
        <v>20105568488</v>
      </c>
      <c r="F1895" s="3" t="s">
        <v>2361</v>
      </c>
      <c r="G1895" s="3" t="s">
        <v>2362</v>
      </c>
      <c r="H1895" s="3" t="s">
        <v>50</v>
      </c>
      <c r="I1895" s="3" t="s">
        <v>50</v>
      </c>
      <c r="J1895" s="3" t="s">
        <v>50</v>
      </c>
      <c r="K1895" s="3" t="s">
        <v>7208</v>
      </c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 t="s">
        <v>65</v>
      </c>
      <c r="AL1895" s="4">
        <v>36795</v>
      </c>
      <c r="AM1895" s="3"/>
      <c r="AN1895" s="3"/>
    </row>
    <row r="1896" spans="1:40" x14ac:dyDescent="0.3">
      <c r="A1896" s="3">
        <v>1890</v>
      </c>
      <c r="B1896" s="3" t="str">
        <f>"201300096166"</f>
        <v>201300096166</v>
      </c>
      <c r="C1896" s="3">
        <v>86458</v>
      </c>
      <c r="D1896" s="3" t="s">
        <v>7209</v>
      </c>
      <c r="E1896" s="3">
        <v>20543992942</v>
      </c>
      <c r="F1896" s="3" t="s">
        <v>540</v>
      </c>
      <c r="G1896" s="3" t="s">
        <v>541</v>
      </c>
      <c r="H1896" s="3" t="s">
        <v>56</v>
      </c>
      <c r="I1896" s="3" t="s">
        <v>56</v>
      </c>
      <c r="J1896" s="3" t="s">
        <v>380</v>
      </c>
      <c r="K1896" s="3" t="s">
        <v>7210</v>
      </c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 t="s">
        <v>47</v>
      </c>
      <c r="AL1896" s="3" t="s">
        <v>290</v>
      </c>
      <c r="AM1896" s="3"/>
      <c r="AN1896" s="3" t="s">
        <v>543</v>
      </c>
    </row>
    <row r="1897" spans="1:40" x14ac:dyDescent="0.3">
      <c r="A1897" s="3">
        <v>1891</v>
      </c>
      <c r="B1897" s="3" t="str">
        <f>"1559758"</f>
        <v>1559758</v>
      </c>
      <c r="C1897" s="3">
        <v>3572</v>
      </c>
      <c r="D1897" s="3" t="s">
        <v>7211</v>
      </c>
      <c r="E1897" s="3">
        <v>20100366747</v>
      </c>
      <c r="F1897" s="3" t="s">
        <v>258</v>
      </c>
      <c r="G1897" s="3" t="s">
        <v>1055</v>
      </c>
      <c r="H1897" s="3" t="s">
        <v>56</v>
      </c>
      <c r="I1897" s="3" t="s">
        <v>56</v>
      </c>
      <c r="J1897" s="3" t="s">
        <v>273</v>
      </c>
      <c r="K1897" s="3" t="s">
        <v>7212</v>
      </c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 t="s">
        <v>802</v>
      </c>
      <c r="AL1897" s="4">
        <v>38615</v>
      </c>
      <c r="AM1897" s="3"/>
      <c r="AN1897" s="3"/>
    </row>
    <row r="1898" spans="1:40" ht="27.95" x14ac:dyDescent="0.3">
      <c r="A1898" s="3">
        <v>1892</v>
      </c>
      <c r="B1898" s="3" t="str">
        <f>"201800163947"</f>
        <v>201800163947</v>
      </c>
      <c r="C1898" s="3">
        <v>138654</v>
      </c>
      <c r="D1898" s="3" t="s">
        <v>7213</v>
      </c>
      <c r="E1898" s="3">
        <v>20558005026</v>
      </c>
      <c r="F1898" s="3" t="s">
        <v>7214</v>
      </c>
      <c r="G1898" s="3" t="s">
        <v>7215</v>
      </c>
      <c r="H1898" s="3" t="s">
        <v>97</v>
      </c>
      <c r="I1898" s="3" t="s">
        <v>97</v>
      </c>
      <c r="J1898" s="3" t="s">
        <v>144</v>
      </c>
      <c r="K1898" s="3" t="s">
        <v>7216</v>
      </c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 t="s">
        <v>4326</v>
      </c>
      <c r="AL1898" s="4">
        <v>43384</v>
      </c>
      <c r="AM1898" s="3"/>
      <c r="AN1898" s="3" t="s">
        <v>6136</v>
      </c>
    </row>
    <row r="1899" spans="1:40" x14ac:dyDescent="0.3">
      <c r="A1899" s="3">
        <v>1893</v>
      </c>
      <c r="B1899" s="3" t="str">
        <f>"201200182553"</f>
        <v>201200182553</v>
      </c>
      <c r="C1899" s="3">
        <v>88802</v>
      </c>
      <c r="D1899" s="3" t="s">
        <v>7217</v>
      </c>
      <c r="E1899" s="3">
        <v>20525521509</v>
      </c>
      <c r="F1899" s="3" t="s">
        <v>189</v>
      </c>
      <c r="G1899" s="3" t="s">
        <v>190</v>
      </c>
      <c r="H1899" s="3" t="s">
        <v>50</v>
      </c>
      <c r="I1899" s="3" t="s">
        <v>50</v>
      </c>
      <c r="J1899" s="3" t="s">
        <v>98</v>
      </c>
      <c r="K1899" s="3" t="s">
        <v>7218</v>
      </c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 t="s">
        <v>986</v>
      </c>
      <c r="AL1899" s="4">
        <v>41186</v>
      </c>
      <c r="AM1899" s="3"/>
      <c r="AN1899" s="3" t="s">
        <v>885</v>
      </c>
    </row>
    <row r="1900" spans="1:40" ht="27.95" x14ac:dyDescent="0.3">
      <c r="A1900" s="3">
        <v>1894</v>
      </c>
      <c r="B1900" s="3" t="str">
        <f>"201500149015"</f>
        <v>201500149015</v>
      </c>
      <c r="C1900" s="3">
        <v>118395</v>
      </c>
      <c r="D1900" s="3" t="s">
        <v>7219</v>
      </c>
      <c r="E1900" s="3">
        <v>20490221663</v>
      </c>
      <c r="F1900" s="3" t="s">
        <v>7220</v>
      </c>
      <c r="G1900" s="3" t="s">
        <v>7221</v>
      </c>
      <c r="H1900" s="3" t="s">
        <v>3837</v>
      </c>
      <c r="I1900" s="3" t="s">
        <v>4994</v>
      </c>
      <c r="J1900" s="3" t="s">
        <v>4994</v>
      </c>
      <c r="K1900" s="3" t="s">
        <v>7222</v>
      </c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 t="s">
        <v>7223</v>
      </c>
      <c r="AL1900" s="4">
        <v>42326</v>
      </c>
      <c r="AM1900" s="3"/>
      <c r="AN1900" s="3" t="s">
        <v>7096</v>
      </c>
    </row>
    <row r="1901" spans="1:40" x14ac:dyDescent="0.3">
      <c r="A1901" s="3">
        <v>1895</v>
      </c>
      <c r="B1901" s="3" t="str">
        <f>"201200182559"</f>
        <v>201200182559</v>
      </c>
      <c r="C1901" s="3">
        <v>88808</v>
      </c>
      <c r="D1901" s="3" t="s">
        <v>7224</v>
      </c>
      <c r="E1901" s="3">
        <v>20525521509</v>
      </c>
      <c r="F1901" s="3" t="s">
        <v>189</v>
      </c>
      <c r="G1901" s="3" t="s">
        <v>190</v>
      </c>
      <c r="H1901" s="3" t="s">
        <v>50</v>
      </c>
      <c r="I1901" s="3" t="s">
        <v>50</v>
      </c>
      <c r="J1901" s="3" t="s">
        <v>98</v>
      </c>
      <c r="K1901" s="3" t="s">
        <v>7225</v>
      </c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 t="s">
        <v>986</v>
      </c>
      <c r="AL1901" s="4">
        <v>41186</v>
      </c>
      <c r="AM1901" s="3"/>
      <c r="AN1901" s="3" t="s">
        <v>885</v>
      </c>
    </row>
    <row r="1902" spans="1:40" x14ac:dyDescent="0.3">
      <c r="A1902" s="3">
        <v>1896</v>
      </c>
      <c r="B1902" s="3" t="str">
        <f>"201400058224"</f>
        <v>201400058224</v>
      </c>
      <c r="C1902" s="3">
        <v>16401</v>
      </c>
      <c r="D1902" s="3" t="s">
        <v>7226</v>
      </c>
      <c r="E1902" s="3">
        <v>20262254268</v>
      </c>
      <c r="F1902" s="3" t="s">
        <v>103</v>
      </c>
      <c r="G1902" s="3" t="s">
        <v>104</v>
      </c>
      <c r="H1902" s="3" t="s">
        <v>56</v>
      </c>
      <c r="I1902" s="3" t="s">
        <v>56</v>
      </c>
      <c r="J1902" s="3" t="s">
        <v>105</v>
      </c>
      <c r="K1902" s="3" t="s">
        <v>7227</v>
      </c>
      <c r="L1902" s="3" t="s">
        <v>7228</v>
      </c>
      <c r="M1902" s="3" t="s">
        <v>1077</v>
      </c>
      <c r="N1902" s="3" t="s">
        <v>107</v>
      </c>
      <c r="O1902" s="3" t="s">
        <v>1073</v>
      </c>
      <c r="P1902" s="3" t="s">
        <v>1072</v>
      </c>
      <c r="Q1902" s="3" t="s">
        <v>7229</v>
      </c>
      <c r="R1902" s="3" t="s">
        <v>111</v>
      </c>
      <c r="S1902" s="3" t="s">
        <v>3900</v>
      </c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 t="s">
        <v>150</v>
      </c>
      <c r="AL1902" s="4">
        <v>41774</v>
      </c>
      <c r="AM1902" s="3"/>
      <c r="AN1902" s="3" t="s">
        <v>113</v>
      </c>
    </row>
    <row r="1903" spans="1:40" ht="27.95" x14ac:dyDescent="0.3">
      <c r="A1903" s="3">
        <v>1897</v>
      </c>
      <c r="B1903" s="3" t="str">
        <f>"1466234"</f>
        <v>1466234</v>
      </c>
      <c r="C1903" s="3">
        <v>38177</v>
      </c>
      <c r="D1903" s="3" t="s">
        <v>7230</v>
      </c>
      <c r="E1903" s="3">
        <v>20166717389</v>
      </c>
      <c r="F1903" s="3" t="s">
        <v>2137</v>
      </c>
      <c r="G1903" s="3" t="s">
        <v>7231</v>
      </c>
      <c r="H1903" s="3" t="s">
        <v>357</v>
      </c>
      <c r="I1903" s="3" t="s">
        <v>357</v>
      </c>
      <c r="J1903" s="3" t="s">
        <v>357</v>
      </c>
      <c r="K1903" s="3" t="s">
        <v>7232</v>
      </c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 t="s">
        <v>1134</v>
      </c>
      <c r="AL1903" s="4">
        <v>38084</v>
      </c>
      <c r="AM1903" s="3"/>
      <c r="AN1903" s="3"/>
    </row>
    <row r="1904" spans="1:40" ht="27.95" x14ac:dyDescent="0.3">
      <c r="A1904" s="3">
        <v>1898</v>
      </c>
      <c r="B1904" s="3" t="str">
        <f>"201500149006"</f>
        <v>201500149006</v>
      </c>
      <c r="C1904" s="3">
        <v>118394</v>
      </c>
      <c r="D1904" s="3" t="s">
        <v>7233</v>
      </c>
      <c r="E1904" s="3">
        <v>20490221663</v>
      </c>
      <c r="F1904" s="3" t="s">
        <v>7234</v>
      </c>
      <c r="G1904" s="3" t="s">
        <v>7221</v>
      </c>
      <c r="H1904" s="3" t="s">
        <v>3837</v>
      </c>
      <c r="I1904" s="3" t="s">
        <v>4994</v>
      </c>
      <c r="J1904" s="3" t="s">
        <v>4994</v>
      </c>
      <c r="K1904" s="3" t="s">
        <v>7235</v>
      </c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 t="s">
        <v>7223</v>
      </c>
      <c r="AL1904" s="4">
        <v>42325</v>
      </c>
      <c r="AM1904" s="3"/>
      <c r="AN1904" s="3" t="s">
        <v>7096</v>
      </c>
    </row>
    <row r="1905" spans="1:40" x14ac:dyDescent="0.3">
      <c r="A1905" s="3">
        <v>1899</v>
      </c>
      <c r="B1905" s="3" t="str">
        <f>"201600086544"</f>
        <v>201600086544</v>
      </c>
      <c r="C1905" s="3">
        <v>104709</v>
      </c>
      <c r="D1905" s="3" t="s">
        <v>7236</v>
      </c>
      <c r="E1905" s="3">
        <v>20100366747</v>
      </c>
      <c r="F1905" s="3" t="s">
        <v>258</v>
      </c>
      <c r="G1905" s="3" t="s">
        <v>451</v>
      </c>
      <c r="H1905" s="3" t="s">
        <v>56</v>
      </c>
      <c r="I1905" s="3" t="s">
        <v>56</v>
      </c>
      <c r="J1905" s="3" t="s">
        <v>185</v>
      </c>
      <c r="K1905" s="3" t="s">
        <v>7237</v>
      </c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 t="s">
        <v>118</v>
      </c>
      <c r="AL1905" s="4">
        <v>42543</v>
      </c>
      <c r="AM1905" s="3"/>
      <c r="AN1905" s="3" t="s">
        <v>262</v>
      </c>
    </row>
    <row r="1906" spans="1:40" x14ac:dyDescent="0.3">
      <c r="A1906" s="3">
        <v>1900</v>
      </c>
      <c r="B1906" s="3" t="str">
        <f>"1110921"</f>
        <v>1110921</v>
      </c>
      <c r="C1906" s="3">
        <v>6521</v>
      </c>
      <c r="D1906" s="3">
        <v>990436</v>
      </c>
      <c r="E1906" s="3">
        <v>10254254563</v>
      </c>
      <c r="F1906" s="3" t="s">
        <v>7238</v>
      </c>
      <c r="G1906" s="3" t="s">
        <v>7239</v>
      </c>
      <c r="H1906" s="3" t="s">
        <v>75</v>
      </c>
      <c r="I1906" s="3" t="s">
        <v>75</v>
      </c>
      <c r="J1906" s="3" t="s">
        <v>76</v>
      </c>
      <c r="K1906" s="3" t="s">
        <v>7240</v>
      </c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 t="s">
        <v>65</v>
      </c>
      <c r="AL1906" s="4">
        <v>35520</v>
      </c>
      <c r="AM1906" s="3"/>
      <c r="AN1906" s="3"/>
    </row>
    <row r="1907" spans="1:40" x14ac:dyDescent="0.3">
      <c r="A1907" s="3">
        <v>1901</v>
      </c>
      <c r="B1907" s="3" t="str">
        <f>"1110920"</f>
        <v>1110920</v>
      </c>
      <c r="C1907" s="3">
        <v>6524</v>
      </c>
      <c r="D1907" s="3">
        <v>984249</v>
      </c>
      <c r="E1907" s="3">
        <v>10060712218</v>
      </c>
      <c r="F1907" s="3" t="s">
        <v>7241</v>
      </c>
      <c r="G1907" s="3" t="s">
        <v>7242</v>
      </c>
      <c r="H1907" s="3" t="s">
        <v>56</v>
      </c>
      <c r="I1907" s="3" t="s">
        <v>56</v>
      </c>
      <c r="J1907" s="3" t="s">
        <v>56</v>
      </c>
      <c r="K1907" s="3" t="s">
        <v>7243</v>
      </c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 t="s">
        <v>924</v>
      </c>
      <c r="AL1907" s="4">
        <v>35495</v>
      </c>
      <c r="AM1907" s="3"/>
      <c r="AN1907" s="3"/>
    </row>
    <row r="1908" spans="1:40" ht="27.95" x14ac:dyDescent="0.3">
      <c r="A1908" s="3">
        <v>1902</v>
      </c>
      <c r="B1908" s="3" t="str">
        <f>"201500149012"</f>
        <v>201500149012</v>
      </c>
      <c r="C1908" s="3">
        <v>118396</v>
      </c>
      <c r="D1908" s="3" t="s">
        <v>7244</v>
      </c>
      <c r="E1908" s="3">
        <v>20490221663</v>
      </c>
      <c r="F1908" s="3" t="s">
        <v>7220</v>
      </c>
      <c r="G1908" s="3" t="s">
        <v>7221</v>
      </c>
      <c r="H1908" s="3" t="s">
        <v>3837</v>
      </c>
      <c r="I1908" s="3" t="s">
        <v>4994</v>
      </c>
      <c r="J1908" s="3" t="s">
        <v>4994</v>
      </c>
      <c r="K1908" s="3" t="s">
        <v>7245</v>
      </c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 t="s">
        <v>7246</v>
      </c>
      <c r="AL1908" s="4">
        <v>42326</v>
      </c>
      <c r="AM1908" s="3"/>
      <c r="AN1908" s="3" t="s">
        <v>7096</v>
      </c>
    </row>
    <row r="1909" spans="1:40" x14ac:dyDescent="0.3">
      <c r="A1909" s="3">
        <v>1903</v>
      </c>
      <c r="B1909" s="3" t="str">
        <f>"201300156054"</f>
        <v>201300156054</v>
      </c>
      <c r="C1909" s="3">
        <v>105603</v>
      </c>
      <c r="D1909" s="3" t="s">
        <v>7247</v>
      </c>
      <c r="E1909" s="3">
        <v>10480516660</v>
      </c>
      <c r="F1909" s="3" t="s">
        <v>7186</v>
      </c>
      <c r="G1909" s="3" t="s">
        <v>7248</v>
      </c>
      <c r="H1909" s="3" t="s">
        <v>97</v>
      </c>
      <c r="I1909" s="3" t="s">
        <v>97</v>
      </c>
      <c r="J1909" s="3" t="s">
        <v>970</v>
      </c>
      <c r="K1909" s="3" t="s">
        <v>7249</v>
      </c>
      <c r="L1909" s="3" t="s">
        <v>7250</v>
      </c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 t="s">
        <v>621</v>
      </c>
      <c r="AL1909" s="4">
        <v>41558</v>
      </c>
      <c r="AM1909" s="3"/>
      <c r="AN1909" s="3" t="s">
        <v>7186</v>
      </c>
    </row>
    <row r="1910" spans="1:40" x14ac:dyDescent="0.3">
      <c r="A1910" s="3">
        <v>1904</v>
      </c>
      <c r="B1910" s="3" t="str">
        <f>"201800031119"</f>
        <v>201800031119</v>
      </c>
      <c r="C1910" s="3">
        <v>134679</v>
      </c>
      <c r="D1910" s="3" t="s">
        <v>7251</v>
      </c>
      <c r="E1910" s="3">
        <v>20567293301</v>
      </c>
      <c r="F1910" s="3" t="s">
        <v>7252</v>
      </c>
      <c r="G1910" s="3" t="s">
        <v>7253</v>
      </c>
      <c r="H1910" s="3" t="s">
        <v>245</v>
      </c>
      <c r="I1910" s="3" t="s">
        <v>246</v>
      </c>
      <c r="J1910" s="3" t="s">
        <v>2499</v>
      </c>
      <c r="K1910" s="3" t="s">
        <v>7254</v>
      </c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 t="s">
        <v>157</v>
      </c>
      <c r="AL1910" s="4">
        <v>43161</v>
      </c>
      <c r="AM1910" s="3"/>
      <c r="AN1910" s="3" t="s">
        <v>7255</v>
      </c>
    </row>
    <row r="1911" spans="1:40" x14ac:dyDescent="0.3">
      <c r="A1911" s="3">
        <v>1905</v>
      </c>
      <c r="B1911" s="3" t="str">
        <f>"1961565"</f>
        <v>1961565</v>
      </c>
      <c r="C1911" s="3">
        <v>84474</v>
      </c>
      <c r="D1911" s="3" t="s">
        <v>7256</v>
      </c>
      <c r="E1911" s="3">
        <v>10406333120</v>
      </c>
      <c r="F1911" s="3" t="s">
        <v>7257</v>
      </c>
      <c r="G1911" s="3" t="s">
        <v>7258</v>
      </c>
      <c r="H1911" s="3" t="s">
        <v>56</v>
      </c>
      <c r="I1911" s="3" t="s">
        <v>56</v>
      </c>
      <c r="J1911" s="3" t="s">
        <v>185</v>
      </c>
      <c r="K1911" s="3" t="s">
        <v>7259</v>
      </c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 t="s">
        <v>7260</v>
      </c>
      <c r="AL1911" s="4">
        <v>40220</v>
      </c>
      <c r="AM1911" s="3"/>
      <c r="AN1911" s="3"/>
    </row>
    <row r="1912" spans="1:40" x14ac:dyDescent="0.3">
      <c r="A1912" s="3">
        <v>1906</v>
      </c>
      <c r="B1912" s="3" t="str">
        <f>"1464964"</f>
        <v>1464964</v>
      </c>
      <c r="C1912" s="3">
        <v>35981</v>
      </c>
      <c r="D1912" s="3" t="s">
        <v>7261</v>
      </c>
      <c r="E1912" s="3">
        <v>10292070964</v>
      </c>
      <c r="F1912" s="3" t="s">
        <v>7262</v>
      </c>
      <c r="G1912" s="3" t="s">
        <v>7263</v>
      </c>
      <c r="H1912" s="3" t="s">
        <v>97</v>
      </c>
      <c r="I1912" s="3" t="s">
        <v>97</v>
      </c>
      <c r="J1912" s="3" t="s">
        <v>97</v>
      </c>
      <c r="K1912" s="3" t="s">
        <v>7264</v>
      </c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 t="s">
        <v>1014</v>
      </c>
      <c r="AL1912" s="4">
        <v>38090</v>
      </c>
      <c r="AM1912" s="3"/>
      <c r="AN1912" s="3"/>
    </row>
    <row r="1913" spans="1:40" x14ac:dyDescent="0.3">
      <c r="A1913" s="3">
        <v>1907</v>
      </c>
      <c r="B1913" s="3" t="str">
        <f>"1440398"</f>
        <v>1440398</v>
      </c>
      <c r="C1913" s="3">
        <v>35606</v>
      </c>
      <c r="D1913" s="3" t="s">
        <v>7265</v>
      </c>
      <c r="E1913" s="3">
        <v>20295567768</v>
      </c>
      <c r="F1913" s="3" t="s">
        <v>4058</v>
      </c>
      <c r="G1913" s="3" t="s">
        <v>7266</v>
      </c>
      <c r="H1913" s="3" t="s">
        <v>56</v>
      </c>
      <c r="I1913" s="3" t="s">
        <v>56</v>
      </c>
      <c r="J1913" s="3" t="s">
        <v>975</v>
      </c>
      <c r="K1913" s="3" t="s">
        <v>7267</v>
      </c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 t="s">
        <v>187</v>
      </c>
      <c r="AL1913" s="4">
        <v>37944</v>
      </c>
      <c r="AM1913" s="3"/>
      <c r="AN1913" s="3"/>
    </row>
    <row r="1914" spans="1:40" x14ac:dyDescent="0.3">
      <c r="A1914" s="3">
        <v>1908</v>
      </c>
      <c r="B1914" s="3" t="str">
        <f>"1440395"</f>
        <v>1440395</v>
      </c>
      <c r="C1914" s="3">
        <v>35540</v>
      </c>
      <c r="D1914" s="3" t="s">
        <v>7268</v>
      </c>
      <c r="E1914" s="3">
        <v>20295567768</v>
      </c>
      <c r="F1914" s="3" t="s">
        <v>4058</v>
      </c>
      <c r="G1914" s="3" t="s">
        <v>7266</v>
      </c>
      <c r="H1914" s="3" t="s">
        <v>56</v>
      </c>
      <c r="I1914" s="3" t="s">
        <v>56</v>
      </c>
      <c r="J1914" s="3" t="s">
        <v>975</v>
      </c>
      <c r="K1914" s="3" t="s">
        <v>7269</v>
      </c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 t="s">
        <v>162</v>
      </c>
      <c r="AL1914" s="4">
        <v>37944</v>
      </c>
      <c r="AM1914" s="3"/>
      <c r="AN1914" s="3"/>
    </row>
    <row r="1915" spans="1:40" x14ac:dyDescent="0.3">
      <c r="A1915" s="3">
        <v>1909</v>
      </c>
      <c r="B1915" s="3" t="str">
        <f>"1464962"</f>
        <v>1464962</v>
      </c>
      <c r="C1915" s="3">
        <v>37903</v>
      </c>
      <c r="D1915" s="3" t="s">
        <v>7270</v>
      </c>
      <c r="E1915" s="3">
        <v>10247855918</v>
      </c>
      <c r="F1915" s="3" t="s">
        <v>7271</v>
      </c>
      <c r="G1915" s="3" t="s">
        <v>7272</v>
      </c>
      <c r="H1915" s="3" t="s">
        <v>97</v>
      </c>
      <c r="I1915" s="3" t="s">
        <v>97</v>
      </c>
      <c r="J1915" s="3" t="s">
        <v>341</v>
      </c>
      <c r="K1915" s="3" t="s">
        <v>7273</v>
      </c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 t="s">
        <v>7274</v>
      </c>
      <c r="AL1915" s="4">
        <v>38090</v>
      </c>
      <c r="AM1915" s="3"/>
      <c r="AN1915" s="3"/>
    </row>
    <row r="1916" spans="1:40" x14ac:dyDescent="0.3">
      <c r="A1916" s="3">
        <v>1910</v>
      </c>
      <c r="B1916" s="3" t="str">
        <f>"1397156"</f>
        <v>1397156</v>
      </c>
      <c r="C1916" s="3">
        <v>21745</v>
      </c>
      <c r="D1916" s="3" t="s">
        <v>7275</v>
      </c>
      <c r="E1916" s="3">
        <v>20262254268</v>
      </c>
      <c r="F1916" s="3" t="s">
        <v>103</v>
      </c>
      <c r="G1916" s="3" t="s">
        <v>104</v>
      </c>
      <c r="H1916" s="3" t="s">
        <v>56</v>
      </c>
      <c r="I1916" s="3" t="s">
        <v>56</v>
      </c>
      <c r="J1916" s="3" t="s">
        <v>105</v>
      </c>
      <c r="K1916" s="3" t="s">
        <v>7276</v>
      </c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 t="s">
        <v>1586</v>
      </c>
      <c r="AL1916" s="4">
        <v>37692</v>
      </c>
      <c r="AM1916" s="3"/>
      <c r="AN1916" s="3"/>
    </row>
    <row r="1917" spans="1:40" x14ac:dyDescent="0.3">
      <c r="A1917" s="3">
        <v>1911</v>
      </c>
      <c r="B1917" s="3" t="str">
        <f>"1397154"</f>
        <v>1397154</v>
      </c>
      <c r="C1917" s="3">
        <v>21758</v>
      </c>
      <c r="D1917" s="3" t="s">
        <v>7277</v>
      </c>
      <c r="E1917" s="3">
        <v>20262254268</v>
      </c>
      <c r="F1917" s="3" t="s">
        <v>103</v>
      </c>
      <c r="G1917" s="3" t="s">
        <v>104</v>
      </c>
      <c r="H1917" s="3" t="s">
        <v>56</v>
      </c>
      <c r="I1917" s="3" t="s">
        <v>56</v>
      </c>
      <c r="J1917" s="3" t="s">
        <v>105</v>
      </c>
      <c r="K1917" s="3" t="s">
        <v>7278</v>
      </c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 t="s">
        <v>1586</v>
      </c>
      <c r="AL1917" s="4">
        <v>37692</v>
      </c>
      <c r="AM1917" s="3"/>
      <c r="AN1917" s="3"/>
    </row>
    <row r="1918" spans="1:40" x14ac:dyDescent="0.3">
      <c r="A1918" s="3">
        <v>1912</v>
      </c>
      <c r="B1918" s="3" t="str">
        <f>"201600086537"</f>
        <v>201600086537</v>
      </c>
      <c r="C1918" s="3">
        <v>86597</v>
      </c>
      <c r="D1918" s="3" t="s">
        <v>7279</v>
      </c>
      <c r="E1918" s="3">
        <v>20100366747</v>
      </c>
      <c r="F1918" s="3" t="s">
        <v>258</v>
      </c>
      <c r="G1918" s="3" t="s">
        <v>335</v>
      </c>
      <c r="H1918" s="3" t="s">
        <v>56</v>
      </c>
      <c r="I1918" s="3" t="s">
        <v>56</v>
      </c>
      <c r="J1918" s="3" t="s">
        <v>185</v>
      </c>
      <c r="K1918" s="3" t="s">
        <v>7280</v>
      </c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 t="s">
        <v>118</v>
      </c>
      <c r="AL1918" s="4">
        <v>42543</v>
      </c>
      <c r="AM1918" s="3"/>
      <c r="AN1918" s="3" t="s">
        <v>262</v>
      </c>
    </row>
    <row r="1919" spans="1:40" x14ac:dyDescent="0.3">
      <c r="A1919" s="3">
        <v>1913</v>
      </c>
      <c r="B1919" s="3" t="str">
        <f>"1351614"</f>
        <v>1351614</v>
      </c>
      <c r="C1919" s="3">
        <v>86603</v>
      </c>
      <c r="D1919" s="3" t="s">
        <v>7281</v>
      </c>
      <c r="E1919" s="3">
        <v>20102314698</v>
      </c>
      <c r="F1919" s="3" t="s">
        <v>1185</v>
      </c>
      <c r="G1919" s="3" t="s">
        <v>6819</v>
      </c>
      <c r="H1919" s="3" t="s">
        <v>56</v>
      </c>
      <c r="I1919" s="3" t="s">
        <v>56</v>
      </c>
      <c r="J1919" s="3" t="s">
        <v>331</v>
      </c>
      <c r="K1919" s="3" t="s">
        <v>7282</v>
      </c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 t="s">
        <v>546</v>
      </c>
      <c r="AL1919" s="4">
        <v>40315</v>
      </c>
      <c r="AM1919" s="3"/>
      <c r="AN1919" s="3" t="s">
        <v>1189</v>
      </c>
    </row>
    <row r="1920" spans="1:40" x14ac:dyDescent="0.3">
      <c r="A1920" s="3">
        <v>1914</v>
      </c>
      <c r="B1920" s="3" t="str">
        <f>"201500132696"</f>
        <v>201500132696</v>
      </c>
      <c r="C1920" s="3">
        <v>117780</v>
      </c>
      <c r="D1920" s="3" t="s">
        <v>7283</v>
      </c>
      <c r="E1920" s="3">
        <v>20536058932</v>
      </c>
      <c r="F1920" s="3" t="s">
        <v>7284</v>
      </c>
      <c r="G1920" s="3" t="s">
        <v>7285</v>
      </c>
      <c r="H1920" s="3" t="s">
        <v>75</v>
      </c>
      <c r="I1920" s="3" t="s">
        <v>75</v>
      </c>
      <c r="J1920" s="3" t="s">
        <v>76</v>
      </c>
      <c r="K1920" s="3" t="s">
        <v>7286</v>
      </c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 t="s">
        <v>851</v>
      </c>
      <c r="AL1920" s="4">
        <v>42307</v>
      </c>
      <c r="AM1920" s="3"/>
      <c r="AN1920" s="3" t="s">
        <v>7287</v>
      </c>
    </row>
    <row r="1921" spans="1:40" x14ac:dyDescent="0.3">
      <c r="A1921" s="3">
        <v>1915</v>
      </c>
      <c r="B1921" s="3" t="str">
        <f>"1310703"</f>
        <v>1310703</v>
      </c>
      <c r="C1921" s="3">
        <v>20629</v>
      </c>
      <c r="D1921" s="3" t="s">
        <v>7288</v>
      </c>
      <c r="E1921" s="3">
        <v>10087730382</v>
      </c>
      <c r="F1921" s="3" t="s">
        <v>7289</v>
      </c>
      <c r="G1921" s="3" t="s">
        <v>7290</v>
      </c>
      <c r="H1921" s="3" t="s">
        <v>56</v>
      </c>
      <c r="I1921" s="3" t="s">
        <v>56</v>
      </c>
      <c r="J1921" s="3" t="s">
        <v>185</v>
      </c>
      <c r="K1921" s="3" t="s">
        <v>7291</v>
      </c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 t="s">
        <v>162</v>
      </c>
      <c r="AL1921" s="4">
        <v>36941</v>
      </c>
      <c r="AM1921" s="3"/>
      <c r="AN1921" s="3"/>
    </row>
    <row r="1922" spans="1:40" x14ac:dyDescent="0.3">
      <c r="A1922" s="3">
        <v>1916</v>
      </c>
      <c r="B1922" s="3" t="str">
        <f>"201400120492"</f>
        <v>201400120492</v>
      </c>
      <c r="C1922" s="3">
        <v>35674</v>
      </c>
      <c r="D1922" s="3" t="s">
        <v>7292</v>
      </c>
      <c r="E1922" s="3">
        <v>20515858360</v>
      </c>
      <c r="F1922" s="3" t="s">
        <v>2968</v>
      </c>
      <c r="G1922" s="3" t="s">
        <v>2969</v>
      </c>
      <c r="H1922" s="3" t="s">
        <v>56</v>
      </c>
      <c r="I1922" s="3" t="s">
        <v>56</v>
      </c>
      <c r="J1922" s="3" t="s">
        <v>529</v>
      </c>
      <c r="K1922" s="3" t="s">
        <v>7293</v>
      </c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 t="s">
        <v>802</v>
      </c>
      <c r="AL1922" s="4">
        <v>41905</v>
      </c>
      <c r="AM1922" s="3"/>
      <c r="AN1922" s="3" t="s">
        <v>1346</v>
      </c>
    </row>
    <row r="1923" spans="1:40" x14ac:dyDescent="0.3">
      <c r="A1923" s="3">
        <v>1917</v>
      </c>
      <c r="B1923" s="3" t="str">
        <f>"1464966"</f>
        <v>1464966</v>
      </c>
      <c r="C1923" s="3">
        <v>6506</v>
      </c>
      <c r="D1923" s="3" t="s">
        <v>7294</v>
      </c>
      <c r="E1923" s="3">
        <v>10424032749</v>
      </c>
      <c r="F1923" s="3" t="s">
        <v>7295</v>
      </c>
      <c r="G1923" s="3" t="s">
        <v>7296</v>
      </c>
      <c r="H1923" s="3" t="s">
        <v>97</v>
      </c>
      <c r="I1923" s="3" t="s">
        <v>97</v>
      </c>
      <c r="J1923" s="3" t="s">
        <v>2039</v>
      </c>
      <c r="K1923" s="3" t="s">
        <v>7297</v>
      </c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 t="s">
        <v>353</v>
      </c>
      <c r="AL1923" s="4">
        <v>38082</v>
      </c>
      <c r="AM1923" s="3"/>
      <c r="AN1923" s="3"/>
    </row>
    <row r="1924" spans="1:40" x14ac:dyDescent="0.3">
      <c r="A1924" s="3">
        <v>1918</v>
      </c>
      <c r="B1924" s="3" t="str">
        <f>"201700198687"</f>
        <v>201700198687</v>
      </c>
      <c r="C1924" s="3">
        <v>133060</v>
      </c>
      <c r="D1924" s="3" t="s">
        <v>7298</v>
      </c>
      <c r="E1924" s="3">
        <v>20601304334</v>
      </c>
      <c r="F1924" s="3" t="s">
        <v>7299</v>
      </c>
      <c r="G1924" s="3" t="s">
        <v>7300</v>
      </c>
      <c r="H1924" s="3" t="s">
        <v>56</v>
      </c>
      <c r="I1924" s="3" t="s">
        <v>56</v>
      </c>
      <c r="J1924" s="3" t="s">
        <v>432</v>
      </c>
      <c r="K1924" s="3" t="s">
        <v>7301</v>
      </c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 t="s">
        <v>546</v>
      </c>
      <c r="AL1924" s="4">
        <v>43066</v>
      </c>
      <c r="AM1924" s="3"/>
      <c r="AN1924" s="3" t="s">
        <v>7302</v>
      </c>
    </row>
    <row r="1925" spans="1:40" ht="27.95" x14ac:dyDescent="0.3">
      <c r="A1925" s="3">
        <v>1919</v>
      </c>
      <c r="B1925" s="3" t="str">
        <f>"1529581"</f>
        <v>1529581</v>
      </c>
      <c r="C1925" s="3">
        <v>36691</v>
      </c>
      <c r="D1925" s="3" t="s">
        <v>7303</v>
      </c>
      <c r="E1925" s="3">
        <v>20100076749</v>
      </c>
      <c r="F1925" s="3" t="s">
        <v>159</v>
      </c>
      <c r="G1925" s="3" t="s">
        <v>160</v>
      </c>
      <c r="H1925" s="3" t="s">
        <v>56</v>
      </c>
      <c r="I1925" s="3" t="s">
        <v>56</v>
      </c>
      <c r="J1925" s="3" t="s">
        <v>121</v>
      </c>
      <c r="K1925" s="3" t="s">
        <v>7304</v>
      </c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 t="s">
        <v>504</v>
      </c>
      <c r="AL1925" s="4">
        <v>38477</v>
      </c>
      <c r="AM1925" s="3"/>
      <c r="AN1925" s="3"/>
    </row>
    <row r="1926" spans="1:40" x14ac:dyDescent="0.3">
      <c r="A1926" s="3">
        <v>1920</v>
      </c>
      <c r="B1926" s="3" t="str">
        <f>"1440392"</f>
        <v>1440392</v>
      </c>
      <c r="C1926" s="3">
        <v>35614</v>
      </c>
      <c r="D1926" s="3" t="s">
        <v>7305</v>
      </c>
      <c r="E1926" s="3">
        <v>20295567768</v>
      </c>
      <c r="F1926" s="3" t="s">
        <v>4058</v>
      </c>
      <c r="G1926" s="3" t="s">
        <v>7266</v>
      </c>
      <c r="H1926" s="3" t="s">
        <v>56</v>
      </c>
      <c r="I1926" s="3" t="s">
        <v>56</v>
      </c>
      <c r="J1926" s="3" t="s">
        <v>975</v>
      </c>
      <c r="K1926" s="3" t="s">
        <v>7306</v>
      </c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 t="s">
        <v>546</v>
      </c>
      <c r="AL1926" s="4">
        <v>37944</v>
      </c>
      <c r="AM1926" s="3"/>
      <c r="AN1926" s="3"/>
    </row>
    <row r="1927" spans="1:40" x14ac:dyDescent="0.3">
      <c r="A1927" s="3">
        <v>1921</v>
      </c>
      <c r="B1927" s="3" t="str">
        <f>"1440388"</f>
        <v>1440388</v>
      </c>
      <c r="C1927" s="3">
        <v>35422</v>
      </c>
      <c r="D1927" s="3" t="s">
        <v>7307</v>
      </c>
      <c r="E1927" s="3">
        <v>20295567768</v>
      </c>
      <c r="F1927" s="3" t="s">
        <v>4058</v>
      </c>
      <c r="G1927" s="3" t="s">
        <v>7266</v>
      </c>
      <c r="H1927" s="3" t="s">
        <v>56</v>
      </c>
      <c r="I1927" s="3" t="s">
        <v>56</v>
      </c>
      <c r="J1927" s="3" t="s">
        <v>975</v>
      </c>
      <c r="K1927" s="3" t="s">
        <v>7308</v>
      </c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 t="s">
        <v>802</v>
      </c>
      <c r="AL1927" s="4">
        <v>37945</v>
      </c>
      <c r="AM1927" s="3"/>
      <c r="AN1927" s="3"/>
    </row>
    <row r="1928" spans="1:40" x14ac:dyDescent="0.3">
      <c r="A1928" s="3">
        <v>1922</v>
      </c>
      <c r="B1928" s="3" t="str">
        <f>"1159703"</f>
        <v>1159703</v>
      </c>
      <c r="C1928" s="3">
        <v>6137</v>
      </c>
      <c r="D1928" s="3">
        <v>1159703</v>
      </c>
      <c r="E1928" s="3">
        <v>10153786424</v>
      </c>
      <c r="F1928" s="3" t="s">
        <v>7309</v>
      </c>
      <c r="G1928" s="3" t="s">
        <v>7310</v>
      </c>
      <c r="H1928" s="3" t="s">
        <v>56</v>
      </c>
      <c r="I1928" s="3" t="s">
        <v>422</v>
      </c>
      <c r="J1928" s="3" t="s">
        <v>7311</v>
      </c>
      <c r="K1928" s="3" t="s">
        <v>7312</v>
      </c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 t="s">
        <v>52</v>
      </c>
      <c r="AL1928" s="4">
        <v>35751</v>
      </c>
      <c r="AM1928" s="3"/>
      <c r="AN1928" s="3"/>
    </row>
    <row r="1929" spans="1:40" x14ac:dyDescent="0.3">
      <c r="A1929" s="3">
        <v>1923</v>
      </c>
      <c r="B1929" s="3" t="str">
        <f>"1440389"</f>
        <v>1440389</v>
      </c>
      <c r="C1929" s="3">
        <v>35607</v>
      </c>
      <c r="D1929" s="3" t="s">
        <v>7313</v>
      </c>
      <c r="E1929" s="3">
        <v>20295567768</v>
      </c>
      <c r="F1929" s="3" t="s">
        <v>4058</v>
      </c>
      <c r="G1929" s="3" t="s">
        <v>7266</v>
      </c>
      <c r="H1929" s="3" t="s">
        <v>56</v>
      </c>
      <c r="I1929" s="3" t="s">
        <v>56</v>
      </c>
      <c r="J1929" s="3" t="s">
        <v>975</v>
      </c>
      <c r="K1929" s="3" t="s">
        <v>7314</v>
      </c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 t="s">
        <v>546</v>
      </c>
      <c r="AL1929" s="4">
        <v>37944</v>
      </c>
      <c r="AM1929" s="3"/>
      <c r="AN1929" s="3"/>
    </row>
    <row r="1930" spans="1:40" ht="27.95" x14ac:dyDescent="0.3">
      <c r="A1930" s="3">
        <v>1924</v>
      </c>
      <c r="B1930" s="3" t="str">
        <f>"201800001600"</f>
        <v>201800001600</v>
      </c>
      <c r="C1930" s="3">
        <v>133903</v>
      </c>
      <c r="D1930" s="3" t="s">
        <v>7315</v>
      </c>
      <c r="E1930" s="3">
        <v>20478005289</v>
      </c>
      <c r="F1930" s="3" t="s">
        <v>7316</v>
      </c>
      <c r="G1930" s="3" t="s">
        <v>7317</v>
      </c>
      <c r="H1930" s="3" t="s">
        <v>56</v>
      </c>
      <c r="I1930" s="3" t="s">
        <v>56</v>
      </c>
      <c r="J1930" s="3" t="s">
        <v>363</v>
      </c>
      <c r="K1930" s="3" t="s">
        <v>7318</v>
      </c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 t="s">
        <v>218</v>
      </c>
      <c r="AL1930" s="4">
        <v>43111</v>
      </c>
      <c r="AM1930" s="3"/>
      <c r="AN1930" s="3" t="s">
        <v>372</v>
      </c>
    </row>
    <row r="1931" spans="1:40" x14ac:dyDescent="0.3">
      <c r="A1931" s="3">
        <v>1925</v>
      </c>
      <c r="B1931" s="3" t="str">
        <f>"1397149"</f>
        <v>1397149</v>
      </c>
      <c r="C1931" s="3">
        <v>31621</v>
      </c>
      <c r="D1931" s="3" t="s">
        <v>7319</v>
      </c>
      <c r="E1931" s="3">
        <v>20262254268</v>
      </c>
      <c r="F1931" s="3" t="s">
        <v>103</v>
      </c>
      <c r="G1931" s="3" t="s">
        <v>104</v>
      </c>
      <c r="H1931" s="3" t="s">
        <v>56</v>
      </c>
      <c r="I1931" s="3" t="s">
        <v>56</v>
      </c>
      <c r="J1931" s="3" t="s">
        <v>105</v>
      </c>
      <c r="K1931" s="3" t="s">
        <v>7320</v>
      </c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 t="s">
        <v>1586</v>
      </c>
      <c r="AL1931" s="4">
        <v>37692</v>
      </c>
      <c r="AM1931" s="3"/>
      <c r="AN1931" s="3"/>
    </row>
    <row r="1932" spans="1:40" x14ac:dyDescent="0.3">
      <c r="A1932" s="3">
        <v>1926</v>
      </c>
      <c r="B1932" s="3" t="str">
        <f>"201300040430"</f>
        <v>201300040430</v>
      </c>
      <c r="C1932" s="3">
        <v>95944</v>
      </c>
      <c r="D1932" s="3" t="s">
        <v>7321</v>
      </c>
      <c r="E1932" s="3">
        <v>20467282388</v>
      </c>
      <c r="F1932" s="3" t="s">
        <v>1324</v>
      </c>
      <c r="G1932" s="3" t="s">
        <v>7322</v>
      </c>
      <c r="H1932" s="3" t="s">
        <v>97</v>
      </c>
      <c r="I1932" s="3" t="s">
        <v>97</v>
      </c>
      <c r="J1932" s="3" t="s">
        <v>1459</v>
      </c>
      <c r="K1932" s="3" t="s">
        <v>7323</v>
      </c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 t="s">
        <v>7324</v>
      </c>
      <c r="AL1932" s="4">
        <v>41333</v>
      </c>
      <c r="AM1932" s="3"/>
      <c r="AN1932" s="3" t="s">
        <v>4362</v>
      </c>
    </row>
    <row r="1933" spans="1:40" x14ac:dyDescent="0.3">
      <c r="A1933" s="3">
        <v>1927</v>
      </c>
      <c r="B1933" s="3" t="str">
        <f>"201400070042"</f>
        <v>201400070042</v>
      </c>
      <c r="C1933" s="3">
        <v>108630</v>
      </c>
      <c r="D1933" s="3" t="s">
        <v>7325</v>
      </c>
      <c r="E1933" s="3">
        <v>10297362921</v>
      </c>
      <c r="F1933" s="3" t="s">
        <v>7326</v>
      </c>
      <c r="G1933" s="3" t="s">
        <v>7327</v>
      </c>
      <c r="H1933" s="3" t="s">
        <v>97</v>
      </c>
      <c r="I1933" s="3" t="s">
        <v>97</v>
      </c>
      <c r="J1933" s="3" t="s">
        <v>417</v>
      </c>
      <c r="K1933" s="3" t="s">
        <v>7328</v>
      </c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 t="s">
        <v>3589</v>
      </c>
      <c r="AL1933" s="4">
        <v>41803</v>
      </c>
      <c r="AM1933" s="3"/>
      <c r="AN1933" s="3" t="s">
        <v>7326</v>
      </c>
    </row>
    <row r="1934" spans="1:40" ht="27.95" x14ac:dyDescent="0.3">
      <c r="A1934" s="3">
        <v>1928</v>
      </c>
      <c r="B1934" s="3" t="str">
        <f>"201800139217"</f>
        <v>201800139217</v>
      </c>
      <c r="C1934" s="3">
        <v>138174</v>
      </c>
      <c r="D1934" s="3" t="s">
        <v>7329</v>
      </c>
      <c r="E1934" s="3">
        <v>20525521509</v>
      </c>
      <c r="F1934" s="3" t="s">
        <v>189</v>
      </c>
      <c r="G1934" s="3" t="s">
        <v>815</v>
      </c>
      <c r="H1934" s="3" t="s">
        <v>50</v>
      </c>
      <c r="I1934" s="3" t="s">
        <v>50</v>
      </c>
      <c r="J1934" s="3" t="s">
        <v>50</v>
      </c>
      <c r="K1934" s="3" t="s">
        <v>7330</v>
      </c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 t="s">
        <v>1014</v>
      </c>
      <c r="AL1934" s="4">
        <v>43339</v>
      </c>
      <c r="AM1934" s="3"/>
      <c r="AN1934" s="3" t="s">
        <v>817</v>
      </c>
    </row>
    <row r="1935" spans="1:40" ht="27.95" x14ac:dyDescent="0.3">
      <c r="A1935" s="3">
        <v>1929</v>
      </c>
      <c r="B1935" s="3" t="str">
        <f>"201900068605"</f>
        <v>201900068605</v>
      </c>
      <c r="C1935" s="3">
        <v>142870</v>
      </c>
      <c r="D1935" s="3" t="s">
        <v>7331</v>
      </c>
      <c r="E1935" s="3">
        <v>20603939027</v>
      </c>
      <c r="F1935" s="3" t="s">
        <v>7332</v>
      </c>
      <c r="G1935" s="3" t="s">
        <v>7333</v>
      </c>
      <c r="H1935" s="3" t="s">
        <v>271</v>
      </c>
      <c r="I1935" s="3" t="s">
        <v>552</v>
      </c>
      <c r="J1935" s="3" t="s">
        <v>4652</v>
      </c>
      <c r="K1935" s="3" t="s">
        <v>7334</v>
      </c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 t="s">
        <v>7335</v>
      </c>
      <c r="AL1935" s="4">
        <v>43599</v>
      </c>
      <c r="AM1935" s="3"/>
      <c r="AN1935" s="3" t="s">
        <v>7336</v>
      </c>
    </row>
    <row r="1936" spans="1:40" x14ac:dyDescent="0.3">
      <c r="A1936" s="3">
        <v>1930</v>
      </c>
      <c r="B1936" s="3" t="str">
        <f>"1911458"</f>
        <v>1911458</v>
      </c>
      <c r="C1936" s="3">
        <v>83578</v>
      </c>
      <c r="D1936" s="3" t="s">
        <v>7337</v>
      </c>
      <c r="E1936" s="3">
        <v>10021455356</v>
      </c>
      <c r="F1936" s="3" t="s">
        <v>7338</v>
      </c>
      <c r="G1936" s="3" t="s">
        <v>7339</v>
      </c>
      <c r="H1936" s="3" t="s">
        <v>97</v>
      </c>
      <c r="I1936" s="3" t="s">
        <v>97</v>
      </c>
      <c r="J1936" s="3" t="s">
        <v>144</v>
      </c>
      <c r="K1936" s="3" t="s">
        <v>7340</v>
      </c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 t="s">
        <v>1273</v>
      </c>
      <c r="AL1936" s="4">
        <v>40025</v>
      </c>
      <c r="AM1936" s="3"/>
      <c r="AN1936" s="3"/>
    </row>
    <row r="1937" spans="1:40" x14ac:dyDescent="0.3">
      <c r="A1937" s="3">
        <v>1931</v>
      </c>
      <c r="B1937" s="3" t="str">
        <f>"1440382"</f>
        <v>1440382</v>
      </c>
      <c r="C1937" s="3">
        <v>35613</v>
      </c>
      <c r="D1937" s="3" t="s">
        <v>7341</v>
      </c>
      <c r="E1937" s="3">
        <v>20295567768</v>
      </c>
      <c r="F1937" s="3" t="s">
        <v>4058</v>
      </c>
      <c r="G1937" s="3" t="s">
        <v>7342</v>
      </c>
      <c r="H1937" s="3" t="s">
        <v>56</v>
      </c>
      <c r="I1937" s="3" t="s">
        <v>56</v>
      </c>
      <c r="J1937" s="3" t="s">
        <v>975</v>
      </c>
      <c r="K1937" s="3" t="s">
        <v>7343</v>
      </c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 t="s">
        <v>546</v>
      </c>
      <c r="AL1937" s="4">
        <v>37945</v>
      </c>
      <c r="AM1937" s="3"/>
      <c r="AN1937" s="3"/>
    </row>
    <row r="1938" spans="1:40" x14ac:dyDescent="0.3">
      <c r="A1938" s="3">
        <v>1932</v>
      </c>
      <c r="B1938" s="3" t="str">
        <f>"1397140"</f>
        <v>1397140</v>
      </c>
      <c r="C1938" s="3">
        <v>31610</v>
      </c>
      <c r="D1938" s="3" t="s">
        <v>7344</v>
      </c>
      <c r="E1938" s="3">
        <v>20262254268</v>
      </c>
      <c r="F1938" s="3" t="s">
        <v>103</v>
      </c>
      <c r="G1938" s="3" t="s">
        <v>104</v>
      </c>
      <c r="H1938" s="3" t="s">
        <v>56</v>
      </c>
      <c r="I1938" s="3" t="s">
        <v>56</v>
      </c>
      <c r="J1938" s="3" t="s">
        <v>105</v>
      </c>
      <c r="K1938" s="3" t="s">
        <v>7345</v>
      </c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 t="s">
        <v>1586</v>
      </c>
      <c r="AL1938" s="4">
        <v>37692</v>
      </c>
      <c r="AM1938" s="3"/>
      <c r="AN1938" s="3"/>
    </row>
    <row r="1939" spans="1:40" x14ac:dyDescent="0.3">
      <c r="A1939" s="3">
        <v>1933</v>
      </c>
      <c r="B1939" s="3" t="str">
        <f>"201500161454"</f>
        <v>201500161454</v>
      </c>
      <c r="C1939" s="3">
        <v>118839</v>
      </c>
      <c r="D1939" s="3" t="s">
        <v>7346</v>
      </c>
      <c r="E1939" s="3">
        <v>20558039605</v>
      </c>
      <c r="F1939" s="3" t="s">
        <v>4907</v>
      </c>
      <c r="G1939" s="3" t="s">
        <v>7347</v>
      </c>
      <c r="H1939" s="3" t="s">
        <v>97</v>
      </c>
      <c r="I1939" s="3" t="s">
        <v>97</v>
      </c>
      <c r="J1939" s="3" t="s">
        <v>144</v>
      </c>
      <c r="K1939" s="3" t="s">
        <v>7348</v>
      </c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 t="s">
        <v>7349</v>
      </c>
      <c r="AL1939" s="4">
        <v>42368</v>
      </c>
      <c r="AM1939" s="3"/>
      <c r="AN1939" s="3" t="s">
        <v>4910</v>
      </c>
    </row>
    <row r="1940" spans="1:40" ht="27.95" x14ac:dyDescent="0.3">
      <c r="A1940" s="3">
        <v>1934</v>
      </c>
      <c r="B1940" s="3" t="str">
        <f>"202000021630"</f>
        <v>202000021630</v>
      </c>
      <c r="C1940" s="3">
        <v>149140</v>
      </c>
      <c r="D1940" s="3" t="s">
        <v>7350</v>
      </c>
      <c r="E1940" s="3">
        <v>10297360545</v>
      </c>
      <c r="F1940" s="3" t="s">
        <v>7351</v>
      </c>
      <c r="G1940" s="3" t="s">
        <v>7352</v>
      </c>
      <c r="H1940" s="3" t="s">
        <v>97</v>
      </c>
      <c r="I1940" s="3" t="s">
        <v>97</v>
      </c>
      <c r="J1940" s="3" t="s">
        <v>144</v>
      </c>
      <c r="K1940" s="3" t="s">
        <v>7353</v>
      </c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 t="s">
        <v>7354</v>
      </c>
      <c r="AL1940" s="4">
        <v>44006</v>
      </c>
      <c r="AM1940" s="3"/>
      <c r="AN1940" s="3" t="s">
        <v>7351</v>
      </c>
    </row>
    <row r="1941" spans="1:40" x14ac:dyDescent="0.3">
      <c r="A1941" s="3">
        <v>1935</v>
      </c>
      <c r="B1941" s="3" t="str">
        <f>"1367523"</f>
        <v>1367523</v>
      </c>
      <c r="C1941" s="3">
        <v>43274</v>
      </c>
      <c r="D1941" s="3" t="s">
        <v>7355</v>
      </c>
      <c r="E1941" s="3">
        <v>20516934698</v>
      </c>
      <c r="F1941" s="3" t="s">
        <v>6324</v>
      </c>
      <c r="G1941" s="3" t="s">
        <v>6325</v>
      </c>
      <c r="H1941" s="3" t="s">
        <v>56</v>
      </c>
      <c r="I1941" s="3" t="s">
        <v>56</v>
      </c>
      <c r="J1941" s="3" t="s">
        <v>838</v>
      </c>
      <c r="K1941" s="3" t="s">
        <v>7356</v>
      </c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 t="s">
        <v>65</v>
      </c>
      <c r="AL1941" s="4">
        <v>40347</v>
      </c>
      <c r="AM1941" s="3"/>
      <c r="AN1941" s="3" t="s">
        <v>6386</v>
      </c>
    </row>
    <row r="1942" spans="1:40" x14ac:dyDescent="0.3">
      <c r="A1942" s="3">
        <v>1936</v>
      </c>
      <c r="B1942" s="3" t="str">
        <f>"1397132"</f>
        <v>1397132</v>
      </c>
      <c r="C1942" s="3">
        <v>21750</v>
      </c>
      <c r="D1942" s="3" t="s">
        <v>7357</v>
      </c>
      <c r="E1942" s="3">
        <v>20262254268</v>
      </c>
      <c r="F1942" s="3" t="s">
        <v>103</v>
      </c>
      <c r="G1942" s="3" t="s">
        <v>104</v>
      </c>
      <c r="H1942" s="3" t="s">
        <v>56</v>
      </c>
      <c r="I1942" s="3" t="s">
        <v>56</v>
      </c>
      <c r="J1942" s="3" t="s">
        <v>105</v>
      </c>
      <c r="K1942" s="3" t="s">
        <v>7358</v>
      </c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 t="s">
        <v>1586</v>
      </c>
      <c r="AL1942" s="4">
        <v>37692</v>
      </c>
      <c r="AM1942" s="3"/>
      <c r="AN1942" s="3"/>
    </row>
    <row r="1943" spans="1:40" ht="27.95" x14ac:dyDescent="0.3">
      <c r="A1943" s="3">
        <v>1937</v>
      </c>
      <c r="B1943" s="3" t="str">
        <f>"201500104528"</f>
        <v>201500104528</v>
      </c>
      <c r="C1943" s="3">
        <v>116839</v>
      </c>
      <c r="D1943" s="3" t="s">
        <v>7359</v>
      </c>
      <c r="E1943" s="3">
        <v>20449403453</v>
      </c>
      <c r="F1943" s="3" t="s">
        <v>7360</v>
      </c>
      <c r="G1943" s="3" t="s">
        <v>7361</v>
      </c>
      <c r="H1943" s="3" t="s">
        <v>202</v>
      </c>
      <c r="I1943" s="3" t="s">
        <v>202</v>
      </c>
      <c r="J1943" s="3" t="s">
        <v>7362</v>
      </c>
      <c r="K1943" s="3" t="s">
        <v>7363</v>
      </c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 t="s">
        <v>607</v>
      </c>
      <c r="AL1943" s="4">
        <v>42269</v>
      </c>
      <c r="AM1943" s="3"/>
      <c r="AN1943" s="3" t="s">
        <v>615</v>
      </c>
    </row>
    <row r="1944" spans="1:40" x14ac:dyDescent="0.3">
      <c r="A1944" s="3">
        <v>1938</v>
      </c>
      <c r="B1944" s="3" t="str">
        <f>"1595249"</f>
        <v>1595249</v>
      </c>
      <c r="C1944" s="3">
        <v>42880</v>
      </c>
      <c r="D1944" s="3" t="s">
        <v>7364</v>
      </c>
      <c r="E1944" s="3">
        <v>20121837634</v>
      </c>
      <c r="F1944" s="3" t="s">
        <v>866</v>
      </c>
      <c r="G1944" s="3" t="s">
        <v>3759</v>
      </c>
      <c r="H1944" s="3" t="s">
        <v>237</v>
      </c>
      <c r="I1944" s="3" t="s">
        <v>868</v>
      </c>
      <c r="J1944" s="3" t="s">
        <v>869</v>
      </c>
      <c r="K1944" s="3" t="s">
        <v>7365</v>
      </c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 t="s">
        <v>7366</v>
      </c>
      <c r="AL1944" s="4">
        <v>38771</v>
      </c>
      <c r="AM1944" s="3"/>
      <c r="AN1944" s="3"/>
    </row>
    <row r="1945" spans="1:40" x14ac:dyDescent="0.3">
      <c r="A1945" s="3">
        <v>1939</v>
      </c>
      <c r="B1945" s="3" t="str">
        <f>"1235852"</f>
        <v>1235852</v>
      </c>
      <c r="C1945" s="3">
        <v>16335</v>
      </c>
      <c r="D1945" s="3">
        <v>1235852</v>
      </c>
      <c r="E1945" s="3">
        <v>10294021359</v>
      </c>
      <c r="F1945" s="3" t="s">
        <v>7367</v>
      </c>
      <c r="G1945" s="3" t="s">
        <v>4824</v>
      </c>
      <c r="H1945" s="3" t="s">
        <v>97</v>
      </c>
      <c r="I1945" s="3" t="s">
        <v>97</v>
      </c>
      <c r="J1945" s="3" t="s">
        <v>105</v>
      </c>
      <c r="K1945" s="3" t="s">
        <v>7368</v>
      </c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 t="s">
        <v>226</v>
      </c>
      <c r="AL1945" s="4">
        <v>36326</v>
      </c>
      <c r="AM1945" s="3"/>
      <c r="AN1945" s="3"/>
    </row>
    <row r="1946" spans="1:40" x14ac:dyDescent="0.3">
      <c r="A1946" s="3">
        <v>1940</v>
      </c>
      <c r="B1946" s="3" t="str">
        <f>"201400161964"</f>
        <v>201400161964</v>
      </c>
      <c r="C1946" s="3">
        <v>112818</v>
      </c>
      <c r="D1946" s="3" t="s">
        <v>7369</v>
      </c>
      <c r="E1946" s="3">
        <v>10004892106</v>
      </c>
      <c r="F1946" s="3" t="s">
        <v>615</v>
      </c>
      <c r="G1946" s="3" t="s">
        <v>7079</v>
      </c>
      <c r="H1946" s="3" t="s">
        <v>202</v>
      </c>
      <c r="I1946" s="3" t="s">
        <v>202</v>
      </c>
      <c r="J1946" s="3" t="s">
        <v>202</v>
      </c>
      <c r="K1946" s="3" t="s">
        <v>7370</v>
      </c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 t="s">
        <v>7371</v>
      </c>
      <c r="AL1946" s="4">
        <v>42025</v>
      </c>
      <c r="AM1946" s="3"/>
      <c r="AN1946" s="3" t="s">
        <v>615</v>
      </c>
    </row>
    <row r="1947" spans="1:40" ht="27.95" x14ac:dyDescent="0.3">
      <c r="A1947" s="3">
        <v>1941</v>
      </c>
      <c r="B1947" s="3" t="str">
        <f>"201200018572"</f>
        <v>201200018572</v>
      </c>
      <c r="C1947" s="3">
        <v>95804</v>
      </c>
      <c r="D1947" s="3" t="s">
        <v>7372</v>
      </c>
      <c r="E1947" s="3">
        <v>20516822202</v>
      </c>
      <c r="F1947" s="3" t="s">
        <v>7373</v>
      </c>
      <c r="G1947" s="3" t="s">
        <v>7374</v>
      </c>
      <c r="H1947" s="3" t="s">
        <v>56</v>
      </c>
      <c r="I1947" s="3" t="s">
        <v>56</v>
      </c>
      <c r="J1947" s="3" t="s">
        <v>185</v>
      </c>
      <c r="K1947" s="3" t="s">
        <v>7375</v>
      </c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 t="s">
        <v>7376</v>
      </c>
      <c r="AL1947" s="4">
        <v>40959</v>
      </c>
      <c r="AM1947" s="3"/>
      <c r="AN1947" s="3" t="s">
        <v>1853</v>
      </c>
    </row>
    <row r="1948" spans="1:40" x14ac:dyDescent="0.3">
      <c r="A1948" s="3">
        <v>1942</v>
      </c>
      <c r="B1948" s="3" t="str">
        <f>"201700094214"</f>
        <v>201700094214</v>
      </c>
      <c r="C1948" s="3">
        <v>128491</v>
      </c>
      <c r="D1948" s="3" t="s">
        <v>7377</v>
      </c>
      <c r="E1948" s="3">
        <v>10105859851</v>
      </c>
      <c r="F1948" s="3" t="s">
        <v>7378</v>
      </c>
      <c r="G1948" s="3" t="s">
        <v>7379</v>
      </c>
      <c r="H1948" s="3" t="s">
        <v>56</v>
      </c>
      <c r="I1948" s="3" t="s">
        <v>56</v>
      </c>
      <c r="J1948" s="3" t="s">
        <v>1604</v>
      </c>
      <c r="K1948" s="3" t="s">
        <v>7380</v>
      </c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 t="s">
        <v>81</v>
      </c>
      <c r="AL1948" s="4">
        <v>42920</v>
      </c>
      <c r="AM1948" s="3"/>
      <c r="AN1948" s="3" t="s">
        <v>7378</v>
      </c>
    </row>
    <row r="1949" spans="1:40" x14ac:dyDescent="0.3">
      <c r="A1949" s="3">
        <v>1943</v>
      </c>
      <c r="B1949" s="3" t="str">
        <f>"201600086519"</f>
        <v>201600086519</v>
      </c>
      <c r="C1949" s="3">
        <v>86634</v>
      </c>
      <c r="D1949" s="3" t="s">
        <v>7381</v>
      </c>
      <c r="E1949" s="3">
        <v>20100366747</v>
      </c>
      <c r="F1949" s="3" t="s">
        <v>258</v>
      </c>
      <c r="G1949" s="3" t="s">
        <v>451</v>
      </c>
      <c r="H1949" s="3" t="s">
        <v>56</v>
      </c>
      <c r="I1949" s="3" t="s">
        <v>56</v>
      </c>
      <c r="J1949" s="3" t="s">
        <v>185</v>
      </c>
      <c r="K1949" s="3" t="s">
        <v>7382</v>
      </c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 t="s">
        <v>118</v>
      </c>
      <c r="AL1949" s="4">
        <v>42543</v>
      </c>
      <c r="AM1949" s="3"/>
      <c r="AN1949" s="3" t="s">
        <v>262</v>
      </c>
    </row>
    <row r="1950" spans="1:40" ht="27.95" x14ac:dyDescent="0.3">
      <c r="A1950" s="3">
        <v>1944</v>
      </c>
      <c r="B1950" s="3" t="str">
        <f>"201600013545"</f>
        <v>201600013545</v>
      </c>
      <c r="C1950" s="3">
        <v>119701</v>
      </c>
      <c r="D1950" s="3" t="s">
        <v>7383</v>
      </c>
      <c r="E1950" s="3">
        <v>20492687694</v>
      </c>
      <c r="F1950" s="3" t="s">
        <v>7384</v>
      </c>
      <c r="G1950" s="3" t="s">
        <v>7385</v>
      </c>
      <c r="H1950" s="3" t="s">
        <v>56</v>
      </c>
      <c r="I1950" s="3" t="s">
        <v>56</v>
      </c>
      <c r="J1950" s="3" t="s">
        <v>63</v>
      </c>
      <c r="K1950" s="3" t="s">
        <v>7386</v>
      </c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 t="s">
        <v>2633</v>
      </c>
      <c r="AL1950" s="4">
        <v>42416</v>
      </c>
      <c r="AM1950" s="3"/>
      <c r="AN1950" s="3" t="s">
        <v>7387</v>
      </c>
    </row>
    <row r="1951" spans="1:40" x14ac:dyDescent="0.3">
      <c r="A1951" s="3">
        <v>1945</v>
      </c>
      <c r="B1951" s="3" t="str">
        <f>"201800177716"</f>
        <v>201800177716</v>
      </c>
      <c r="C1951" s="3">
        <v>139301</v>
      </c>
      <c r="D1951" s="3" t="s">
        <v>7388</v>
      </c>
      <c r="E1951" s="3">
        <v>20456570357</v>
      </c>
      <c r="F1951" s="3" t="s">
        <v>7389</v>
      </c>
      <c r="G1951" s="3" t="s">
        <v>7390</v>
      </c>
      <c r="H1951" s="3" t="s">
        <v>56</v>
      </c>
      <c r="I1951" s="3" t="s">
        <v>56</v>
      </c>
      <c r="J1951" s="3" t="s">
        <v>331</v>
      </c>
      <c r="K1951" s="3" t="s">
        <v>7391</v>
      </c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 t="s">
        <v>2508</v>
      </c>
      <c r="AL1951" s="4">
        <v>43409</v>
      </c>
      <c r="AM1951" s="3"/>
      <c r="AN1951" s="3" t="s">
        <v>7392</v>
      </c>
    </row>
    <row r="1952" spans="1:40" ht="27.95" x14ac:dyDescent="0.3">
      <c r="A1952" s="3">
        <v>1946</v>
      </c>
      <c r="B1952" s="3" t="str">
        <f>"201900211773"</f>
        <v>201900211773</v>
      </c>
      <c r="C1952" s="3">
        <v>118149</v>
      </c>
      <c r="D1952" s="3" t="s">
        <v>7393</v>
      </c>
      <c r="E1952" s="3">
        <v>20455751528</v>
      </c>
      <c r="F1952" s="3" t="s">
        <v>142</v>
      </c>
      <c r="G1952" s="3" t="s">
        <v>7394</v>
      </c>
      <c r="H1952" s="3" t="s">
        <v>97</v>
      </c>
      <c r="I1952" s="3" t="s">
        <v>97</v>
      </c>
      <c r="J1952" s="3" t="s">
        <v>144</v>
      </c>
      <c r="K1952" s="3" t="s">
        <v>7395</v>
      </c>
      <c r="L1952" s="3" t="s">
        <v>7396</v>
      </c>
      <c r="M1952" s="3" t="s">
        <v>7397</v>
      </c>
      <c r="N1952" s="3" t="s">
        <v>7398</v>
      </c>
      <c r="O1952" s="3" t="s">
        <v>1332</v>
      </c>
      <c r="P1952" s="3" t="s">
        <v>7399</v>
      </c>
      <c r="Q1952" s="3" t="s">
        <v>7400</v>
      </c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 t="s">
        <v>150</v>
      </c>
      <c r="AL1952" s="4">
        <v>43833</v>
      </c>
      <c r="AM1952" s="3"/>
      <c r="AN1952" s="3" t="s">
        <v>1333</v>
      </c>
    </row>
    <row r="1953" spans="1:40" x14ac:dyDescent="0.3">
      <c r="A1953" s="3">
        <v>1947</v>
      </c>
      <c r="B1953" s="3" t="str">
        <f>"1750818"</f>
        <v>1750818</v>
      </c>
      <c r="C1953" s="3">
        <v>61874</v>
      </c>
      <c r="D1953" s="3" t="s">
        <v>7401</v>
      </c>
      <c r="E1953" s="3">
        <v>20453864228</v>
      </c>
      <c r="F1953" s="3" t="s">
        <v>7402</v>
      </c>
      <c r="G1953" s="3" t="s">
        <v>7403</v>
      </c>
      <c r="H1953" s="3" t="s">
        <v>97</v>
      </c>
      <c r="I1953" s="3" t="s">
        <v>97</v>
      </c>
      <c r="J1953" s="3" t="s">
        <v>3210</v>
      </c>
      <c r="K1953" s="3" t="s">
        <v>7404</v>
      </c>
      <c r="L1953" s="3" t="s">
        <v>7405</v>
      </c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 t="s">
        <v>592</v>
      </c>
      <c r="AL1953" s="4">
        <v>39449</v>
      </c>
      <c r="AM1953" s="3"/>
      <c r="AN1953" s="3"/>
    </row>
    <row r="1954" spans="1:40" x14ac:dyDescent="0.3">
      <c r="A1954" s="3">
        <v>1948</v>
      </c>
      <c r="B1954" s="3" t="str">
        <f>"201400142082"</f>
        <v>201400142082</v>
      </c>
      <c r="C1954" s="3">
        <v>62685</v>
      </c>
      <c r="D1954" s="3" t="s">
        <v>7406</v>
      </c>
      <c r="E1954" s="3">
        <v>10292917177</v>
      </c>
      <c r="F1954" s="3" t="s">
        <v>444</v>
      </c>
      <c r="G1954" s="3" t="s">
        <v>2718</v>
      </c>
      <c r="H1954" s="3" t="s">
        <v>446</v>
      </c>
      <c r="I1954" s="3" t="s">
        <v>446</v>
      </c>
      <c r="J1954" s="3" t="s">
        <v>447</v>
      </c>
      <c r="K1954" s="3" t="s">
        <v>7407</v>
      </c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 t="s">
        <v>7408</v>
      </c>
      <c r="AL1954" s="4">
        <v>41942</v>
      </c>
      <c r="AM1954" s="3"/>
      <c r="AN1954" s="3" t="s">
        <v>444</v>
      </c>
    </row>
    <row r="1955" spans="1:40" x14ac:dyDescent="0.3">
      <c r="A1955" s="3">
        <v>1949</v>
      </c>
      <c r="B1955" s="3" t="str">
        <f>"201600040583"</f>
        <v>201600040583</v>
      </c>
      <c r="C1955" s="3">
        <v>120488</v>
      </c>
      <c r="D1955" s="3" t="s">
        <v>7409</v>
      </c>
      <c r="E1955" s="3">
        <v>20533067219</v>
      </c>
      <c r="F1955" s="3" t="s">
        <v>7410</v>
      </c>
      <c r="G1955" s="3" t="s">
        <v>7411</v>
      </c>
      <c r="H1955" s="3" t="s">
        <v>318</v>
      </c>
      <c r="I1955" s="3" t="s">
        <v>319</v>
      </c>
      <c r="J1955" s="3" t="s">
        <v>319</v>
      </c>
      <c r="K1955" s="3" t="s">
        <v>7412</v>
      </c>
      <c r="L1955" s="3" t="s">
        <v>7413</v>
      </c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 t="s">
        <v>150</v>
      </c>
      <c r="AL1955" s="4">
        <v>42457</v>
      </c>
      <c r="AM1955" s="3"/>
      <c r="AN1955" s="3" t="s">
        <v>4063</v>
      </c>
    </row>
    <row r="1956" spans="1:40" ht="27.95" x14ac:dyDescent="0.3">
      <c r="A1956" s="3">
        <v>1950</v>
      </c>
      <c r="B1956" s="3" t="str">
        <f>"201900020915"</f>
        <v>201900020915</v>
      </c>
      <c r="C1956" s="3">
        <v>140751</v>
      </c>
      <c r="D1956" s="3" t="s">
        <v>7414</v>
      </c>
      <c r="E1956" s="3">
        <v>20481245932</v>
      </c>
      <c r="F1956" s="3" t="s">
        <v>7415</v>
      </c>
      <c r="G1956" s="3" t="s">
        <v>7416</v>
      </c>
      <c r="H1956" s="3" t="s">
        <v>44</v>
      </c>
      <c r="I1956" s="3" t="s">
        <v>45</v>
      </c>
      <c r="J1956" s="3" t="s">
        <v>45</v>
      </c>
      <c r="K1956" s="3" t="s">
        <v>7417</v>
      </c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 t="s">
        <v>256</v>
      </c>
      <c r="AL1956" s="4">
        <v>43517</v>
      </c>
      <c r="AM1956" s="3"/>
      <c r="AN1956" s="3" t="s">
        <v>7418</v>
      </c>
    </row>
    <row r="1957" spans="1:40" x14ac:dyDescent="0.3">
      <c r="A1957" s="3">
        <v>1951</v>
      </c>
      <c r="B1957" s="3" t="str">
        <f>"1332250"</f>
        <v>1332250</v>
      </c>
      <c r="C1957" s="3">
        <v>2315</v>
      </c>
      <c r="D1957" s="3" t="s">
        <v>7419</v>
      </c>
      <c r="E1957" s="3">
        <v>10067238031</v>
      </c>
      <c r="F1957" s="3" t="s">
        <v>7420</v>
      </c>
      <c r="G1957" s="3" t="s">
        <v>7421</v>
      </c>
      <c r="H1957" s="3" t="s">
        <v>56</v>
      </c>
      <c r="I1957" s="3" t="s">
        <v>56</v>
      </c>
      <c r="J1957" s="3" t="s">
        <v>56</v>
      </c>
      <c r="K1957" s="3" t="s">
        <v>7422</v>
      </c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 t="s">
        <v>562</v>
      </c>
      <c r="AL1957" s="4">
        <v>37123</v>
      </c>
      <c r="AM1957" s="3"/>
      <c r="AN1957" s="3"/>
    </row>
    <row r="1958" spans="1:40" x14ac:dyDescent="0.3">
      <c r="A1958" s="3">
        <v>1952</v>
      </c>
      <c r="B1958" s="3" t="str">
        <f>"201700152491"</f>
        <v>201700152491</v>
      </c>
      <c r="C1958" s="3">
        <v>93309</v>
      </c>
      <c r="D1958" s="3" t="s">
        <v>7423</v>
      </c>
      <c r="E1958" s="3">
        <v>20349366330</v>
      </c>
      <c r="F1958" s="3" t="s">
        <v>7424</v>
      </c>
      <c r="G1958" s="3" t="s">
        <v>7425</v>
      </c>
      <c r="H1958" s="3" t="s">
        <v>56</v>
      </c>
      <c r="I1958" s="3" t="s">
        <v>56</v>
      </c>
      <c r="J1958" s="3" t="s">
        <v>331</v>
      </c>
      <c r="K1958" s="3" t="s">
        <v>7426</v>
      </c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 t="s">
        <v>7427</v>
      </c>
      <c r="AL1958" s="4">
        <v>43005</v>
      </c>
      <c r="AM1958" s="3"/>
      <c r="AN1958" s="3" t="s">
        <v>3980</v>
      </c>
    </row>
    <row r="1959" spans="1:40" x14ac:dyDescent="0.3">
      <c r="A1959" s="3">
        <v>1953</v>
      </c>
      <c r="B1959" s="3" t="str">
        <f>"201600073757"</f>
        <v>201600073757</v>
      </c>
      <c r="C1959" s="3">
        <v>121540</v>
      </c>
      <c r="D1959" s="3" t="s">
        <v>7428</v>
      </c>
      <c r="E1959" s="3">
        <v>20480024711</v>
      </c>
      <c r="F1959" s="3" t="s">
        <v>7429</v>
      </c>
      <c r="G1959" s="3" t="s">
        <v>7430</v>
      </c>
      <c r="H1959" s="3" t="s">
        <v>587</v>
      </c>
      <c r="I1959" s="3" t="s">
        <v>588</v>
      </c>
      <c r="J1959" s="3" t="s">
        <v>588</v>
      </c>
      <c r="K1959" s="3" t="s">
        <v>7431</v>
      </c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 t="s">
        <v>192</v>
      </c>
      <c r="AL1959" s="4">
        <v>42524</v>
      </c>
      <c r="AM1959" s="3"/>
      <c r="AN1959" s="3" t="s">
        <v>1759</v>
      </c>
    </row>
    <row r="1960" spans="1:40" x14ac:dyDescent="0.3">
      <c r="A1960" s="3">
        <v>1954</v>
      </c>
      <c r="B1960" s="3" t="str">
        <f>"1483273"</f>
        <v>1483273</v>
      </c>
      <c r="C1960" s="3">
        <v>92407</v>
      </c>
      <c r="D1960" s="3" t="s">
        <v>7432</v>
      </c>
      <c r="E1960" s="3">
        <v>20455855145</v>
      </c>
      <c r="F1960" s="3" t="s">
        <v>7433</v>
      </c>
      <c r="G1960" s="3" t="s">
        <v>7434</v>
      </c>
      <c r="H1960" s="3" t="s">
        <v>97</v>
      </c>
      <c r="I1960" s="3" t="s">
        <v>97</v>
      </c>
      <c r="J1960" s="3" t="s">
        <v>970</v>
      </c>
      <c r="K1960" s="3" t="s">
        <v>7435</v>
      </c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 t="s">
        <v>4435</v>
      </c>
      <c r="AL1960" s="4">
        <v>40690</v>
      </c>
      <c r="AM1960" s="3"/>
      <c r="AN1960" s="3" t="s">
        <v>7436</v>
      </c>
    </row>
    <row r="1961" spans="1:40" x14ac:dyDescent="0.3">
      <c r="A1961" s="3">
        <v>1955</v>
      </c>
      <c r="B1961" s="3" t="str">
        <f>"1174237"</f>
        <v>1174237</v>
      </c>
      <c r="C1961" s="3">
        <v>6503</v>
      </c>
      <c r="D1961" s="3">
        <v>1174237</v>
      </c>
      <c r="E1961" s="3">
        <v>20100007348</v>
      </c>
      <c r="F1961" s="3" t="s">
        <v>929</v>
      </c>
      <c r="G1961" s="3" t="s">
        <v>930</v>
      </c>
      <c r="H1961" s="3" t="s">
        <v>75</v>
      </c>
      <c r="I1961" s="3" t="s">
        <v>75</v>
      </c>
      <c r="J1961" s="3" t="s">
        <v>76</v>
      </c>
      <c r="K1961" s="3" t="s">
        <v>7437</v>
      </c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 t="s">
        <v>65</v>
      </c>
      <c r="AL1961" s="4">
        <v>35864</v>
      </c>
      <c r="AM1961" s="3"/>
      <c r="AN1961" s="3"/>
    </row>
    <row r="1962" spans="1:40" x14ac:dyDescent="0.3">
      <c r="A1962" s="3">
        <v>1956</v>
      </c>
      <c r="B1962" s="3" t="str">
        <f>"201400142079"</f>
        <v>201400142079</v>
      </c>
      <c r="C1962" s="3">
        <v>62682</v>
      </c>
      <c r="D1962" s="3" t="s">
        <v>7438</v>
      </c>
      <c r="E1962" s="3">
        <v>10292917177</v>
      </c>
      <c r="F1962" s="3" t="s">
        <v>444</v>
      </c>
      <c r="G1962" s="3" t="s">
        <v>7439</v>
      </c>
      <c r="H1962" s="3" t="s">
        <v>446</v>
      </c>
      <c r="I1962" s="3" t="s">
        <v>446</v>
      </c>
      <c r="J1962" s="3" t="s">
        <v>447</v>
      </c>
      <c r="K1962" s="3" t="s">
        <v>7440</v>
      </c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 t="s">
        <v>6652</v>
      </c>
      <c r="AL1962" s="4">
        <v>41942</v>
      </c>
      <c r="AM1962" s="3"/>
      <c r="AN1962" s="3" t="s">
        <v>444</v>
      </c>
    </row>
    <row r="1963" spans="1:40" x14ac:dyDescent="0.3">
      <c r="A1963" s="3">
        <v>1957</v>
      </c>
      <c r="B1963" s="3" t="str">
        <f>"1694767"</f>
        <v>1694767</v>
      </c>
      <c r="C1963" s="3">
        <v>51345</v>
      </c>
      <c r="D1963" s="3" t="s">
        <v>7441</v>
      </c>
      <c r="E1963" s="3">
        <v>20121837634</v>
      </c>
      <c r="F1963" s="3" t="s">
        <v>7128</v>
      </c>
      <c r="G1963" s="3" t="s">
        <v>7129</v>
      </c>
      <c r="H1963" s="3" t="s">
        <v>237</v>
      </c>
      <c r="I1963" s="3" t="s">
        <v>868</v>
      </c>
      <c r="J1963" s="3" t="s">
        <v>869</v>
      </c>
      <c r="K1963" s="3" t="s">
        <v>7442</v>
      </c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 t="s">
        <v>485</v>
      </c>
      <c r="AL1963" s="4">
        <v>39234</v>
      </c>
      <c r="AM1963" s="3"/>
      <c r="AN1963" s="3"/>
    </row>
    <row r="1964" spans="1:40" ht="27.95" x14ac:dyDescent="0.3">
      <c r="A1964" s="3">
        <v>1958</v>
      </c>
      <c r="B1964" s="3" t="str">
        <f>"201900211762"</f>
        <v>201900211762</v>
      </c>
      <c r="C1964" s="3">
        <v>112432</v>
      </c>
      <c r="D1964" s="3" t="s">
        <v>7443</v>
      </c>
      <c r="E1964" s="3">
        <v>20455751528</v>
      </c>
      <c r="F1964" s="3" t="s">
        <v>142</v>
      </c>
      <c r="G1964" s="3" t="s">
        <v>7394</v>
      </c>
      <c r="H1964" s="3" t="s">
        <v>97</v>
      </c>
      <c r="I1964" s="3" t="s">
        <v>97</v>
      </c>
      <c r="J1964" s="3" t="s">
        <v>144</v>
      </c>
      <c r="K1964" s="3" t="s">
        <v>7444</v>
      </c>
      <c r="L1964" s="3" t="s">
        <v>7445</v>
      </c>
      <c r="M1964" s="3" t="s">
        <v>7446</v>
      </c>
      <c r="N1964" s="3" t="s">
        <v>149</v>
      </c>
      <c r="O1964" s="3" t="s">
        <v>7447</v>
      </c>
      <c r="P1964" s="3" t="s">
        <v>7448</v>
      </c>
      <c r="Q1964" s="3" t="s">
        <v>7449</v>
      </c>
      <c r="R1964" s="3" t="s">
        <v>7396</v>
      </c>
      <c r="S1964" s="3" t="s">
        <v>7450</v>
      </c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 t="s">
        <v>150</v>
      </c>
      <c r="AL1964" s="4">
        <v>43833</v>
      </c>
      <c r="AM1964" s="3"/>
      <c r="AN1964" s="3" t="s">
        <v>1333</v>
      </c>
    </row>
    <row r="1965" spans="1:40" x14ac:dyDescent="0.3">
      <c r="A1965" s="3">
        <v>1959</v>
      </c>
      <c r="B1965" s="3" t="str">
        <f>"1872399"</f>
        <v>1872399</v>
      </c>
      <c r="C1965" s="3">
        <v>83043</v>
      </c>
      <c r="D1965" s="3" t="s">
        <v>7451</v>
      </c>
      <c r="E1965" s="3">
        <v>20263992629</v>
      </c>
      <c r="F1965" s="3" t="s">
        <v>4427</v>
      </c>
      <c r="G1965" s="3" t="s">
        <v>7452</v>
      </c>
      <c r="H1965" s="3" t="s">
        <v>56</v>
      </c>
      <c r="I1965" s="3" t="s">
        <v>56</v>
      </c>
      <c r="J1965" s="3" t="s">
        <v>56</v>
      </c>
      <c r="K1965" s="3" t="s">
        <v>7453</v>
      </c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 t="s">
        <v>7454</v>
      </c>
      <c r="AL1965" s="4">
        <v>39909</v>
      </c>
      <c r="AM1965" s="3"/>
      <c r="AN1965" s="3"/>
    </row>
    <row r="1966" spans="1:40" ht="27.95" x14ac:dyDescent="0.3">
      <c r="A1966" s="3">
        <v>1960</v>
      </c>
      <c r="B1966" s="3" t="str">
        <f>"201900211768"</f>
        <v>201900211768</v>
      </c>
      <c r="C1966" s="3">
        <v>83974</v>
      </c>
      <c r="D1966" s="3" t="s">
        <v>7455</v>
      </c>
      <c r="E1966" s="3">
        <v>20455751528</v>
      </c>
      <c r="F1966" s="3" t="s">
        <v>142</v>
      </c>
      <c r="G1966" s="3" t="s">
        <v>7394</v>
      </c>
      <c r="H1966" s="3" t="s">
        <v>97</v>
      </c>
      <c r="I1966" s="3" t="s">
        <v>97</v>
      </c>
      <c r="J1966" s="3" t="s">
        <v>144</v>
      </c>
      <c r="K1966" s="3" t="s">
        <v>7456</v>
      </c>
      <c r="L1966" s="3" t="s">
        <v>7449</v>
      </c>
      <c r="M1966" s="3" t="s">
        <v>7457</v>
      </c>
      <c r="N1966" s="3" t="s">
        <v>7458</v>
      </c>
      <c r="O1966" s="3" t="s">
        <v>7459</v>
      </c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 t="s">
        <v>150</v>
      </c>
      <c r="AL1966" s="4">
        <v>43833</v>
      </c>
      <c r="AM1966" s="3"/>
      <c r="AN1966" s="3" t="s">
        <v>1333</v>
      </c>
    </row>
    <row r="1967" spans="1:40" x14ac:dyDescent="0.3">
      <c r="A1967" s="3">
        <v>1961</v>
      </c>
      <c r="B1967" s="3" t="str">
        <f>"201600088178"</f>
        <v>201600088178</v>
      </c>
      <c r="C1967" s="3">
        <v>122061</v>
      </c>
      <c r="D1967" s="3" t="s">
        <v>7460</v>
      </c>
      <c r="E1967" s="3">
        <v>20454626258</v>
      </c>
      <c r="F1967" s="3" t="s">
        <v>7461</v>
      </c>
      <c r="G1967" s="3" t="s">
        <v>7462</v>
      </c>
      <c r="H1967" s="3" t="s">
        <v>97</v>
      </c>
      <c r="I1967" s="3" t="s">
        <v>97</v>
      </c>
      <c r="J1967" s="3" t="s">
        <v>144</v>
      </c>
      <c r="K1967" s="3" t="s">
        <v>7463</v>
      </c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 t="s">
        <v>256</v>
      </c>
      <c r="AL1967" s="4">
        <v>42556</v>
      </c>
      <c r="AM1967" s="3"/>
      <c r="AN1967" s="3" t="s">
        <v>7464</v>
      </c>
    </row>
    <row r="1968" spans="1:40" x14ac:dyDescent="0.3">
      <c r="A1968" s="3">
        <v>1962</v>
      </c>
      <c r="B1968" s="3" t="str">
        <f>"1499414"</f>
        <v>1499414</v>
      </c>
      <c r="C1968" s="3">
        <v>39243</v>
      </c>
      <c r="D1968" s="3" t="s">
        <v>7465</v>
      </c>
      <c r="E1968" s="3">
        <v>10293769627</v>
      </c>
      <c r="F1968" s="3" t="s">
        <v>4959</v>
      </c>
      <c r="G1968" s="3" t="s">
        <v>7466</v>
      </c>
      <c r="H1968" s="3" t="s">
        <v>97</v>
      </c>
      <c r="I1968" s="3" t="s">
        <v>97</v>
      </c>
      <c r="J1968" s="3" t="s">
        <v>417</v>
      </c>
      <c r="K1968" s="3" t="s">
        <v>7467</v>
      </c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 t="s">
        <v>52</v>
      </c>
      <c r="AL1968" s="4">
        <v>38272</v>
      </c>
      <c r="AM1968" s="3"/>
      <c r="AN1968" s="3"/>
    </row>
    <row r="1969" spans="1:40" x14ac:dyDescent="0.3">
      <c r="A1969" s="3">
        <v>1963</v>
      </c>
      <c r="B1969" s="3" t="str">
        <f>"201600061191"</f>
        <v>201600061191</v>
      </c>
      <c r="C1969" s="3">
        <v>96334</v>
      </c>
      <c r="D1969" s="3" t="s">
        <v>7468</v>
      </c>
      <c r="E1969" s="3">
        <v>20100366747</v>
      </c>
      <c r="F1969" s="3" t="s">
        <v>334</v>
      </c>
      <c r="G1969" s="3" t="s">
        <v>451</v>
      </c>
      <c r="H1969" s="3" t="s">
        <v>56</v>
      </c>
      <c r="I1969" s="3" t="s">
        <v>56</v>
      </c>
      <c r="J1969" s="3" t="s">
        <v>185</v>
      </c>
      <c r="K1969" s="3" t="s">
        <v>7469</v>
      </c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 t="s">
        <v>3331</v>
      </c>
      <c r="AL1969" s="4">
        <v>42510</v>
      </c>
      <c r="AM1969" s="3"/>
      <c r="AN1969" s="3" t="s">
        <v>262</v>
      </c>
    </row>
    <row r="1970" spans="1:40" x14ac:dyDescent="0.3">
      <c r="A1970" s="3">
        <v>1964</v>
      </c>
      <c r="B1970" s="3" t="str">
        <f>"201400108982"</f>
        <v>201400108982</v>
      </c>
      <c r="C1970" s="3">
        <v>41294</v>
      </c>
      <c r="D1970" s="3" t="s">
        <v>7470</v>
      </c>
      <c r="E1970" s="3">
        <v>20515858360</v>
      </c>
      <c r="F1970" s="3" t="s">
        <v>2968</v>
      </c>
      <c r="G1970" s="3" t="s">
        <v>2969</v>
      </c>
      <c r="H1970" s="3" t="s">
        <v>56</v>
      </c>
      <c r="I1970" s="3" t="s">
        <v>56</v>
      </c>
      <c r="J1970" s="3" t="s">
        <v>529</v>
      </c>
      <c r="K1970" s="3" t="s">
        <v>7471</v>
      </c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 t="s">
        <v>7472</v>
      </c>
      <c r="AL1970" s="4">
        <v>41878</v>
      </c>
      <c r="AM1970" s="3"/>
      <c r="AN1970" s="3" t="s">
        <v>1346</v>
      </c>
    </row>
    <row r="1971" spans="1:40" x14ac:dyDescent="0.3">
      <c r="A1971" s="3">
        <v>1965</v>
      </c>
      <c r="B1971" s="3" t="str">
        <f>"1467695"</f>
        <v>1467695</v>
      </c>
      <c r="C1971" s="3">
        <v>85186</v>
      </c>
      <c r="D1971" s="3" t="s">
        <v>7473</v>
      </c>
      <c r="E1971" s="3">
        <v>10292381072</v>
      </c>
      <c r="F1971" s="3" t="s">
        <v>6857</v>
      </c>
      <c r="G1971" s="3" t="s">
        <v>7474</v>
      </c>
      <c r="H1971" s="3" t="s">
        <v>97</v>
      </c>
      <c r="I1971" s="3" t="s">
        <v>97</v>
      </c>
      <c r="J1971" s="3" t="s">
        <v>97</v>
      </c>
      <c r="K1971" s="3" t="s">
        <v>7475</v>
      </c>
      <c r="L1971" s="3" t="s">
        <v>7476</v>
      </c>
      <c r="M1971" s="3" t="s">
        <v>7477</v>
      </c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 t="s">
        <v>150</v>
      </c>
      <c r="AL1971" s="4">
        <v>40585</v>
      </c>
      <c r="AM1971" s="3"/>
      <c r="AN1971" s="3" t="s">
        <v>6857</v>
      </c>
    </row>
    <row r="1972" spans="1:40" x14ac:dyDescent="0.3">
      <c r="A1972" s="3">
        <v>1966</v>
      </c>
      <c r="B1972" s="3" t="str">
        <f>"201600088181"</f>
        <v>201600088181</v>
      </c>
      <c r="C1972" s="3">
        <v>122060</v>
      </c>
      <c r="D1972" s="3" t="s">
        <v>7478</v>
      </c>
      <c r="E1972" s="3">
        <v>20454626258</v>
      </c>
      <c r="F1972" s="3" t="s">
        <v>7461</v>
      </c>
      <c r="G1972" s="3" t="s">
        <v>7462</v>
      </c>
      <c r="H1972" s="3" t="s">
        <v>97</v>
      </c>
      <c r="I1972" s="3" t="s">
        <v>97</v>
      </c>
      <c r="J1972" s="3" t="s">
        <v>144</v>
      </c>
      <c r="K1972" s="3" t="s">
        <v>7479</v>
      </c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 t="s">
        <v>256</v>
      </c>
      <c r="AL1972" s="4">
        <v>42556</v>
      </c>
      <c r="AM1972" s="3"/>
      <c r="AN1972" s="3" t="s">
        <v>7464</v>
      </c>
    </row>
    <row r="1973" spans="1:40" x14ac:dyDescent="0.3">
      <c r="A1973" s="3">
        <v>1967</v>
      </c>
      <c r="B1973" s="3" t="str">
        <f>"201400142067"</f>
        <v>201400142067</v>
      </c>
      <c r="C1973" s="3">
        <v>20576</v>
      </c>
      <c r="D1973" s="3" t="s">
        <v>7480</v>
      </c>
      <c r="E1973" s="3">
        <v>10292917177</v>
      </c>
      <c r="F1973" s="3" t="s">
        <v>444</v>
      </c>
      <c r="G1973" s="3" t="s">
        <v>7439</v>
      </c>
      <c r="H1973" s="3" t="s">
        <v>446</v>
      </c>
      <c r="I1973" s="3" t="s">
        <v>446</v>
      </c>
      <c r="J1973" s="3" t="s">
        <v>447</v>
      </c>
      <c r="K1973" s="3" t="s">
        <v>7481</v>
      </c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 t="s">
        <v>7354</v>
      </c>
      <c r="AL1973" s="4">
        <v>41948</v>
      </c>
      <c r="AM1973" s="3"/>
      <c r="AN1973" s="3" t="s">
        <v>444</v>
      </c>
    </row>
    <row r="1974" spans="1:40" x14ac:dyDescent="0.3">
      <c r="A1974" s="3">
        <v>1968</v>
      </c>
      <c r="B1974" s="3" t="str">
        <f>"1226004"</f>
        <v>1226004</v>
      </c>
      <c r="C1974" s="3">
        <v>15973</v>
      </c>
      <c r="D1974" s="3">
        <v>1226004</v>
      </c>
      <c r="E1974" s="3">
        <v>10294428955</v>
      </c>
      <c r="F1974" s="3" t="s">
        <v>7482</v>
      </c>
      <c r="G1974" s="3" t="s">
        <v>7483</v>
      </c>
      <c r="H1974" s="3" t="s">
        <v>97</v>
      </c>
      <c r="I1974" s="3" t="s">
        <v>97</v>
      </c>
      <c r="J1974" s="3" t="s">
        <v>254</v>
      </c>
      <c r="K1974" s="3" t="s">
        <v>7484</v>
      </c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 t="s">
        <v>52</v>
      </c>
      <c r="AL1974" s="4">
        <v>36245</v>
      </c>
      <c r="AM1974" s="3"/>
      <c r="AN1974" s="3"/>
    </row>
    <row r="1975" spans="1:40" x14ac:dyDescent="0.3">
      <c r="A1975" s="3">
        <v>1969</v>
      </c>
      <c r="B1975" s="3" t="str">
        <f>"1110900"</f>
        <v>1110900</v>
      </c>
      <c r="C1975" s="3">
        <v>3530</v>
      </c>
      <c r="D1975" s="3">
        <v>988740</v>
      </c>
      <c r="E1975" s="3">
        <v>20100371236</v>
      </c>
      <c r="F1975" s="3" t="s">
        <v>6226</v>
      </c>
      <c r="G1975" s="3" t="s">
        <v>6227</v>
      </c>
      <c r="H1975" s="3" t="s">
        <v>56</v>
      </c>
      <c r="I1975" s="3" t="s">
        <v>56</v>
      </c>
      <c r="J1975" s="3" t="s">
        <v>1677</v>
      </c>
      <c r="K1975" s="3" t="s">
        <v>7485</v>
      </c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 t="s">
        <v>233</v>
      </c>
      <c r="AL1975" s="4">
        <v>35501</v>
      </c>
      <c r="AM1975" s="3"/>
      <c r="AN1975" s="3"/>
    </row>
    <row r="1976" spans="1:40" x14ac:dyDescent="0.3">
      <c r="A1976" s="3">
        <v>1970</v>
      </c>
      <c r="B1976" s="3" t="str">
        <f>"1116936"</f>
        <v>1116936</v>
      </c>
      <c r="C1976" s="3">
        <v>6656</v>
      </c>
      <c r="D1976" s="3" t="s">
        <v>7486</v>
      </c>
      <c r="E1976" s="3">
        <v>20100366747</v>
      </c>
      <c r="F1976" s="3" t="s">
        <v>258</v>
      </c>
      <c r="G1976" s="3" t="s">
        <v>1055</v>
      </c>
      <c r="H1976" s="3" t="s">
        <v>56</v>
      </c>
      <c r="I1976" s="3" t="s">
        <v>56</v>
      </c>
      <c r="J1976" s="3" t="s">
        <v>273</v>
      </c>
      <c r="K1976" s="3" t="s">
        <v>7487</v>
      </c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 t="s">
        <v>118</v>
      </c>
      <c r="AL1976" s="4">
        <v>36875</v>
      </c>
      <c r="AM1976" s="3"/>
      <c r="AN1976" s="3"/>
    </row>
    <row r="1977" spans="1:40" x14ac:dyDescent="0.3">
      <c r="A1977" s="3">
        <v>1971</v>
      </c>
      <c r="B1977" s="3" t="str">
        <f>"1634607"</f>
        <v>1634607</v>
      </c>
      <c r="C1977" s="3">
        <v>42496</v>
      </c>
      <c r="D1977" s="3" t="s">
        <v>7488</v>
      </c>
      <c r="E1977" s="3">
        <v>10411475242</v>
      </c>
      <c r="F1977" s="3" t="s">
        <v>7489</v>
      </c>
      <c r="G1977" s="3" t="s">
        <v>7490</v>
      </c>
      <c r="H1977" s="3" t="s">
        <v>1946</v>
      </c>
      <c r="I1977" s="3" t="s">
        <v>1946</v>
      </c>
      <c r="J1977" s="3" t="s">
        <v>2957</v>
      </c>
      <c r="K1977" s="3" t="s">
        <v>7491</v>
      </c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 t="s">
        <v>1014</v>
      </c>
      <c r="AL1977" s="4">
        <v>38952</v>
      </c>
      <c r="AM1977" s="3"/>
      <c r="AN1977" s="3"/>
    </row>
    <row r="1978" spans="1:40" ht="27.95" x14ac:dyDescent="0.3">
      <c r="A1978" s="3">
        <v>1972</v>
      </c>
      <c r="B1978" s="3" t="str">
        <f>"1572175"</f>
        <v>1572175</v>
      </c>
      <c r="C1978" s="3">
        <v>6627</v>
      </c>
      <c r="D1978" s="3" t="s">
        <v>7492</v>
      </c>
      <c r="E1978" s="3">
        <v>10088920223</v>
      </c>
      <c r="F1978" s="3" t="s">
        <v>7493</v>
      </c>
      <c r="G1978" s="3" t="s">
        <v>7494</v>
      </c>
      <c r="H1978" s="3" t="s">
        <v>56</v>
      </c>
      <c r="I1978" s="3" t="s">
        <v>56</v>
      </c>
      <c r="J1978" s="3" t="s">
        <v>331</v>
      </c>
      <c r="K1978" s="3" t="s">
        <v>7495</v>
      </c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 t="s">
        <v>634</v>
      </c>
      <c r="AL1978" s="4">
        <v>38678</v>
      </c>
      <c r="AM1978" s="3"/>
      <c r="AN1978" s="3"/>
    </row>
    <row r="1979" spans="1:40" x14ac:dyDescent="0.3">
      <c r="A1979" s="3">
        <v>1973</v>
      </c>
      <c r="B1979" s="3" t="str">
        <f>"201400108990"</f>
        <v>201400108990</v>
      </c>
      <c r="C1979" s="3">
        <v>41338</v>
      </c>
      <c r="D1979" s="3" t="s">
        <v>7496</v>
      </c>
      <c r="E1979" s="3">
        <v>20515858360</v>
      </c>
      <c r="F1979" s="3" t="s">
        <v>7497</v>
      </c>
      <c r="G1979" s="3" t="s">
        <v>7498</v>
      </c>
      <c r="H1979" s="3" t="s">
        <v>56</v>
      </c>
      <c r="I1979" s="3" t="s">
        <v>56</v>
      </c>
      <c r="J1979" s="3" t="s">
        <v>529</v>
      </c>
      <c r="K1979" s="3" t="s">
        <v>7499</v>
      </c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 t="s">
        <v>7500</v>
      </c>
      <c r="AL1979" s="4">
        <v>41878</v>
      </c>
      <c r="AM1979" s="3"/>
      <c r="AN1979" s="3" t="s">
        <v>1346</v>
      </c>
    </row>
    <row r="1980" spans="1:40" x14ac:dyDescent="0.3">
      <c r="A1980" s="3">
        <v>1974</v>
      </c>
      <c r="B1980" s="3" t="str">
        <f>"1907852"</f>
        <v>1907852</v>
      </c>
      <c r="C1980" s="3">
        <v>83589</v>
      </c>
      <c r="D1980" s="3" t="s">
        <v>7501</v>
      </c>
      <c r="E1980" s="3">
        <v>10042098120</v>
      </c>
      <c r="F1980" s="3" t="s">
        <v>7502</v>
      </c>
      <c r="G1980" s="3" t="s">
        <v>7503</v>
      </c>
      <c r="H1980" s="3" t="s">
        <v>1946</v>
      </c>
      <c r="I1980" s="3" t="s">
        <v>1946</v>
      </c>
      <c r="J1980" s="3" t="s">
        <v>2957</v>
      </c>
      <c r="K1980" s="3" t="s">
        <v>7504</v>
      </c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 t="s">
        <v>2587</v>
      </c>
      <c r="AL1980" s="4">
        <v>40007</v>
      </c>
      <c r="AM1980" s="3"/>
      <c r="AN1980" s="3"/>
    </row>
    <row r="1981" spans="1:40" ht="27.95" x14ac:dyDescent="0.3">
      <c r="A1981" s="3">
        <v>1975</v>
      </c>
      <c r="B1981" s="3" t="str">
        <f>"1420898"</f>
        <v>1420898</v>
      </c>
      <c r="C1981" s="3">
        <v>34778</v>
      </c>
      <c r="D1981" s="3" t="s">
        <v>7505</v>
      </c>
      <c r="E1981" s="3">
        <v>10102977284</v>
      </c>
      <c r="F1981" s="3" t="s">
        <v>6815</v>
      </c>
      <c r="G1981" s="3" t="s">
        <v>7506</v>
      </c>
      <c r="H1981" s="3" t="s">
        <v>237</v>
      </c>
      <c r="I1981" s="3" t="s">
        <v>2842</v>
      </c>
      <c r="J1981" s="3" t="s">
        <v>2842</v>
      </c>
      <c r="K1981" s="3" t="s">
        <v>7507</v>
      </c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 t="s">
        <v>946</v>
      </c>
      <c r="AL1981" s="4">
        <v>37816</v>
      </c>
      <c r="AM1981" s="3"/>
      <c r="AN1981" s="3"/>
    </row>
    <row r="1982" spans="1:40" x14ac:dyDescent="0.3">
      <c r="A1982" s="3">
        <v>1976</v>
      </c>
      <c r="B1982" s="3" t="str">
        <f>"1420896"</f>
        <v>1420896</v>
      </c>
      <c r="C1982" s="3">
        <v>34682</v>
      </c>
      <c r="D1982" s="3" t="s">
        <v>7508</v>
      </c>
      <c r="E1982" s="3">
        <v>10102977284</v>
      </c>
      <c r="F1982" s="3" t="s">
        <v>6815</v>
      </c>
      <c r="G1982" s="3" t="s">
        <v>7509</v>
      </c>
      <c r="H1982" s="3" t="s">
        <v>237</v>
      </c>
      <c r="I1982" s="3" t="s">
        <v>2842</v>
      </c>
      <c r="J1982" s="3" t="s">
        <v>2842</v>
      </c>
      <c r="K1982" s="3" t="s">
        <v>7510</v>
      </c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 t="s">
        <v>3174</v>
      </c>
      <c r="AL1982" s="4">
        <v>37816</v>
      </c>
      <c r="AM1982" s="3"/>
      <c r="AN1982" s="3"/>
    </row>
    <row r="1983" spans="1:40" ht="27.95" x14ac:dyDescent="0.3">
      <c r="A1983" s="3">
        <v>1977</v>
      </c>
      <c r="B1983" s="3" t="str">
        <f>"1509272"</f>
        <v>1509272</v>
      </c>
      <c r="C1983" s="3">
        <v>37542</v>
      </c>
      <c r="D1983" s="3" t="s">
        <v>7511</v>
      </c>
      <c r="E1983" s="3">
        <v>20100076749</v>
      </c>
      <c r="F1983" s="3" t="s">
        <v>159</v>
      </c>
      <c r="G1983" s="3" t="s">
        <v>2636</v>
      </c>
      <c r="H1983" s="3" t="s">
        <v>56</v>
      </c>
      <c r="I1983" s="3" t="s">
        <v>56</v>
      </c>
      <c r="J1983" s="3" t="s">
        <v>121</v>
      </c>
      <c r="K1983" s="3" t="s">
        <v>7512</v>
      </c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 t="s">
        <v>321</v>
      </c>
      <c r="AL1983" s="4">
        <v>38363</v>
      </c>
      <c r="AM1983" s="3"/>
      <c r="AN1983" s="3"/>
    </row>
    <row r="1984" spans="1:40" x14ac:dyDescent="0.3">
      <c r="A1984" s="3">
        <v>1978</v>
      </c>
      <c r="B1984" s="3" t="str">
        <f>"1420897"</f>
        <v>1420897</v>
      </c>
      <c r="C1984" s="3">
        <v>34683</v>
      </c>
      <c r="D1984" s="3" t="s">
        <v>7513</v>
      </c>
      <c r="E1984" s="3">
        <v>10102977284</v>
      </c>
      <c r="F1984" s="3" t="s">
        <v>6815</v>
      </c>
      <c r="G1984" s="3" t="s">
        <v>7509</v>
      </c>
      <c r="H1984" s="3" t="s">
        <v>237</v>
      </c>
      <c r="I1984" s="3" t="s">
        <v>2842</v>
      </c>
      <c r="J1984" s="3" t="s">
        <v>2842</v>
      </c>
      <c r="K1984" s="3" t="s">
        <v>7514</v>
      </c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 t="s">
        <v>1188</v>
      </c>
      <c r="AL1984" s="4">
        <v>37816</v>
      </c>
      <c r="AM1984" s="3"/>
      <c r="AN1984" s="3"/>
    </row>
    <row r="1985" spans="1:40" x14ac:dyDescent="0.3">
      <c r="A1985" s="3">
        <v>1979</v>
      </c>
      <c r="B1985" s="3" t="str">
        <f>"1399491"</f>
        <v>1399491</v>
      </c>
      <c r="C1985" s="3">
        <v>33478</v>
      </c>
      <c r="D1985" s="3" t="s">
        <v>7515</v>
      </c>
      <c r="E1985" s="3">
        <v>10105338754</v>
      </c>
      <c r="F1985" s="3" t="s">
        <v>7516</v>
      </c>
      <c r="G1985" s="3" t="s">
        <v>7517</v>
      </c>
      <c r="H1985" s="3" t="s">
        <v>56</v>
      </c>
      <c r="I1985" s="3" t="s">
        <v>56</v>
      </c>
      <c r="J1985" s="3" t="s">
        <v>57</v>
      </c>
      <c r="K1985" s="3" t="s">
        <v>7518</v>
      </c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 t="s">
        <v>81</v>
      </c>
      <c r="AL1985" s="4">
        <v>37662</v>
      </c>
      <c r="AM1985" s="3"/>
      <c r="AN1985" s="3"/>
    </row>
    <row r="1986" spans="1:40" x14ac:dyDescent="0.3">
      <c r="A1986" s="3">
        <v>1980</v>
      </c>
      <c r="B1986" s="3" t="str">
        <f>"202000104708"</f>
        <v>202000104708</v>
      </c>
      <c r="C1986" s="3">
        <v>150576</v>
      </c>
      <c r="D1986" s="3" t="s">
        <v>7519</v>
      </c>
      <c r="E1986" s="3">
        <v>20604802602</v>
      </c>
      <c r="F1986" s="3" t="s">
        <v>7520</v>
      </c>
      <c r="G1986" s="3" t="s">
        <v>7521</v>
      </c>
      <c r="H1986" s="3" t="s">
        <v>245</v>
      </c>
      <c r="I1986" s="3" t="s">
        <v>1819</v>
      </c>
      <c r="J1986" s="3" t="s">
        <v>1820</v>
      </c>
      <c r="K1986" s="3" t="s">
        <v>7522</v>
      </c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 t="s">
        <v>187</v>
      </c>
      <c r="AL1986" s="4">
        <v>44064</v>
      </c>
      <c r="AM1986" s="3"/>
      <c r="AN1986" s="3" t="s">
        <v>7523</v>
      </c>
    </row>
    <row r="1987" spans="1:40" x14ac:dyDescent="0.3">
      <c r="A1987" s="3">
        <v>1981</v>
      </c>
      <c r="B1987" s="3" t="str">
        <f>"1399490"</f>
        <v>1399490</v>
      </c>
      <c r="C1987" s="3">
        <v>33637</v>
      </c>
      <c r="D1987" s="3" t="s">
        <v>7524</v>
      </c>
      <c r="E1987" s="3">
        <v>10105338754</v>
      </c>
      <c r="F1987" s="3" t="s">
        <v>7516</v>
      </c>
      <c r="G1987" s="3" t="s">
        <v>7517</v>
      </c>
      <c r="H1987" s="3" t="s">
        <v>56</v>
      </c>
      <c r="I1987" s="3" t="s">
        <v>56</v>
      </c>
      <c r="J1987" s="3" t="s">
        <v>57</v>
      </c>
      <c r="K1987" s="3" t="s">
        <v>7525</v>
      </c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 t="s">
        <v>81</v>
      </c>
      <c r="AL1987" s="4">
        <v>37662</v>
      </c>
      <c r="AM1987" s="3"/>
      <c r="AN1987" s="3"/>
    </row>
    <row r="1988" spans="1:40" x14ac:dyDescent="0.3">
      <c r="A1988" s="3">
        <v>1982</v>
      </c>
      <c r="B1988" s="3" t="str">
        <f>"1127152"</f>
        <v>1127152</v>
      </c>
      <c r="C1988" s="3">
        <v>3286</v>
      </c>
      <c r="D1988" s="3">
        <v>1127152</v>
      </c>
      <c r="E1988" s="3">
        <v>20510740760</v>
      </c>
      <c r="F1988" s="3" t="s">
        <v>3495</v>
      </c>
      <c r="G1988" s="3" t="s">
        <v>3496</v>
      </c>
      <c r="H1988" s="3" t="s">
        <v>56</v>
      </c>
      <c r="I1988" s="3" t="s">
        <v>56</v>
      </c>
      <c r="J1988" s="3" t="s">
        <v>432</v>
      </c>
      <c r="K1988" s="3" t="s">
        <v>7526</v>
      </c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 t="s">
        <v>52</v>
      </c>
      <c r="AL1988" s="4">
        <v>35578</v>
      </c>
      <c r="AM1988" s="3"/>
      <c r="AN1988" s="3"/>
    </row>
    <row r="1989" spans="1:40" x14ac:dyDescent="0.3">
      <c r="A1989" s="3">
        <v>1983</v>
      </c>
      <c r="B1989" s="3" t="str">
        <f>"201500152099"</f>
        <v>201500152099</v>
      </c>
      <c r="C1989" s="3">
        <v>118089</v>
      </c>
      <c r="D1989" s="3" t="s">
        <v>7527</v>
      </c>
      <c r="E1989" s="3">
        <v>20526423535</v>
      </c>
      <c r="F1989" s="3" t="s">
        <v>189</v>
      </c>
      <c r="G1989" s="3" t="s">
        <v>874</v>
      </c>
      <c r="H1989" s="3" t="s">
        <v>50</v>
      </c>
      <c r="I1989" s="3" t="s">
        <v>50</v>
      </c>
      <c r="J1989" s="3" t="s">
        <v>50</v>
      </c>
      <c r="K1989" s="3" t="s">
        <v>7528</v>
      </c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 t="s">
        <v>1014</v>
      </c>
      <c r="AL1989" s="4">
        <v>42328</v>
      </c>
      <c r="AM1989" s="3"/>
      <c r="AN1989" s="3" t="s">
        <v>817</v>
      </c>
    </row>
    <row r="1990" spans="1:40" ht="27.95" x14ac:dyDescent="0.3">
      <c r="A1990" s="3">
        <v>1984</v>
      </c>
      <c r="B1990" s="3" t="str">
        <f>"201800092381"</f>
        <v>201800092381</v>
      </c>
      <c r="C1990" s="3">
        <v>136743</v>
      </c>
      <c r="D1990" s="3" t="s">
        <v>7529</v>
      </c>
      <c r="E1990" s="3">
        <v>20490932501</v>
      </c>
      <c r="F1990" s="3" t="s">
        <v>7530</v>
      </c>
      <c r="G1990" s="3" t="s">
        <v>7531</v>
      </c>
      <c r="H1990" s="3" t="s">
        <v>97</v>
      </c>
      <c r="I1990" s="3" t="s">
        <v>97</v>
      </c>
      <c r="J1990" s="3" t="s">
        <v>105</v>
      </c>
      <c r="K1990" s="3" t="s">
        <v>7532</v>
      </c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 t="s">
        <v>7533</v>
      </c>
      <c r="AL1990" s="4">
        <v>43266</v>
      </c>
      <c r="AM1990" s="3"/>
      <c r="AN1990" s="3" t="s">
        <v>7534</v>
      </c>
    </row>
    <row r="1991" spans="1:40" x14ac:dyDescent="0.3">
      <c r="A1991" s="3">
        <v>1985</v>
      </c>
      <c r="B1991" s="3" t="str">
        <f>"201800169511"</f>
        <v>201800169511</v>
      </c>
      <c r="C1991" s="3">
        <v>139099</v>
      </c>
      <c r="D1991" s="3" t="s">
        <v>7535</v>
      </c>
      <c r="E1991" s="3">
        <v>20543367720</v>
      </c>
      <c r="F1991" s="3" t="s">
        <v>576</v>
      </c>
      <c r="G1991" s="3" t="s">
        <v>7536</v>
      </c>
      <c r="H1991" s="3" t="s">
        <v>56</v>
      </c>
      <c r="I1991" s="3" t="s">
        <v>56</v>
      </c>
      <c r="J1991" s="3" t="s">
        <v>380</v>
      </c>
      <c r="K1991" s="3" t="s">
        <v>7537</v>
      </c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 t="s">
        <v>4148</v>
      </c>
      <c r="AL1991" s="4">
        <v>43388</v>
      </c>
      <c r="AM1991" s="3"/>
      <c r="AN1991" s="3" t="s">
        <v>382</v>
      </c>
    </row>
    <row r="1992" spans="1:40" x14ac:dyDescent="0.3">
      <c r="A1992" s="3">
        <v>1986</v>
      </c>
      <c r="B1992" s="3" t="str">
        <f>"1415782"</f>
        <v>1415782</v>
      </c>
      <c r="C1992" s="3">
        <v>34882</v>
      </c>
      <c r="D1992" s="3" t="s">
        <v>7538</v>
      </c>
      <c r="E1992" s="3">
        <v>10100118888</v>
      </c>
      <c r="F1992" s="3" t="s">
        <v>7539</v>
      </c>
      <c r="G1992" s="3" t="s">
        <v>7540</v>
      </c>
      <c r="H1992" s="3" t="s">
        <v>56</v>
      </c>
      <c r="I1992" s="3" t="s">
        <v>56</v>
      </c>
      <c r="J1992" s="3" t="s">
        <v>1043</v>
      </c>
      <c r="K1992" s="3" t="s">
        <v>7541</v>
      </c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 t="s">
        <v>226</v>
      </c>
      <c r="AL1992" s="4">
        <v>37797</v>
      </c>
      <c r="AM1992" s="3"/>
      <c r="AN1992" s="3"/>
    </row>
    <row r="1993" spans="1:40" x14ac:dyDescent="0.3">
      <c r="A1993" s="3">
        <v>1987</v>
      </c>
      <c r="B1993" s="3" t="str">
        <f>"1116923"</f>
        <v>1116923</v>
      </c>
      <c r="C1993" s="3">
        <v>2605</v>
      </c>
      <c r="D1993" s="3" t="s">
        <v>7542</v>
      </c>
      <c r="E1993" s="3">
        <v>20100366747</v>
      </c>
      <c r="F1993" s="3" t="s">
        <v>258</v>
      </c>
      <c r="G1993" s="3" t="s">
        <v>1055</v>
      </c>
      <c r="H1993" s="3" t="s">
        <v>56</v>
      </c>
      <c r="I1993" s="3" t="s">
        <v>56</v>
      </c>
      <c r="J1993" s="3" t="s">
        <v>185</v>
      </c>
      <c r="K1993" s="3" t="s">
        <v>7543</v>
      </c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 t="s">
        <v>81</v>
      </c>
      <c r="AL1993" s="4">
        <v>36875</v>
      </c>
      <c r="AM1993" s="3"/>
      <c r="AN1993" s="3"/>
    </row>
    <row r="1994" spans="1:40" x14ac:dyDescent="0.3">
      <c r="A1994" s="3">
        <v>1988</v>
      </c>
      <c r="B1994" s="3" t="str">
        <f>"201600183649"</f>
        <v>201600183649</v>
      </c>
      <c r="C1994" s="3">
        <v>125481</v>
      </c>
      <c r="D1994" s="3" t="s">
        <v>7544</v>
      </c>
      <c r="E1994" s="3">
        <v>20537424673</v>
      </c>
      <c r="F1994" s="3" t="s">
        <v>7545</v>
      </c>
      <c r="G1994" s="3" t="s">
        <v>7546</v>
      </c>
      <c r="H1994" s="3" t="s">
        <v>56</v>
      </c>
      <c r="I1994" s="3" t="s">
        <v>56</v>
      </c>
      <c r="J1994" s="3" t="s">
        <v>363</v>
      </c>
      <c r="K1994" s="3" t="s">
        <v>7547</v>
      </c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 t="s">
        <v>1014</v>
      </c>
      <c r="AL1994" s="4">
        <v>42727</v>
      </c>
      <c r="AM1994" s="3"/>
      <c r="AN1994" s="3" t="s">
        <v>7548</v>
      </c>
    </row>
    <row r="1995" spans="1:40" x14ac:dyDescent="0.3">
      <c r="A1995" s="3">
        <v>1989</v>
      </c>
      <c r="B1995" s="3" t="str">
        <f>"1116928"</f>
        <v>1116928</v>
      </c>
      <c r="C1995" s="3">
        <v>6606</v>
      </c>
      <c r="D1995" s="3">
        <v>991403</v>
      </c>
      <c r="E1995" s="3">
        <v>20100366747</v>
      </c>
      <c r="F1995" s="3" t="s">
        <v>258</v>
      </c>
      <c r="G1995" s="3" t="s">
        <v>1055</v>
      </c>
      <c r="H1995" s="3" t="s">
        <v>56</v>
      </c>
      <c r="I1995" s="3" t="s">
        <v>56</v>
      </c>
      <c r="J1995" s="3" t="s">
        <v>185</v>
      </c>
      <c r="K1995" s="3" t="s">
        <v>7549</v>
      </c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 t="s">
        <v>65</v>
      </c>
      <c r="AL1995" s="4">
        <v>35537</v>
      </c>
      <c r="AM1995" s="3"/>
      <c r="AN1995" s="3"/>
    </row>
    <row r="1996" spans="1:40" ht="27.95" x14ac:dyDescent="0.3">
      <c r="A1996" s="3">
        <v>1990</v>
      </c>
      <c r="B1996" s="3" t="str">
        <f>"201400025264"</f>
        <v>201400025264</v>
      </c>
      <c r="C1996" s="3">
        <v>108209</v>
      </c>
      <c r="D1996" s="3" t="s">
        <v>7550</v>
      </c>
      <c r="E1996" s="3">
        <v>20454521588</v>
      </c>
      <c r="F1996" s="3" t="s">
        <v>5456</v>
      </c>
      <c r="G1996" s="3" t="s">
        <v>7551</v>
      </c>
      <c r="H1996" s="3" t="s">
        <v>97</v>
      </c>
      <c r="I1996" s="3" t="s">
        <v>97</v>
      </c>
      <c r="J1996" s="3" t="s">
        <v>97</v>
      </c>
      <c r="K1996" s="3" t="s">
        <v>7552</v>
      </c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 t="s">
        <v>192</v>
      </c>
      <c r="AL1996" s="4">
        <v>41705</v>
      </c>
      <c r="AM1996" s="3"/>
      <c r="AN1996" s="3" t="s">
        <v>5461</v>
      </c>
    </row>
    <row r="1997" spans="1:40" x14ac:dyDescent="0.3">
      <c r="A1997" s="3">
        <v>1991</v>
      </c>
      <c r="B1997" s="3" t="str">
        <f>"201600040592"</f>
        <v>201600040592</v>
      </c>
      <c r="C1997" s="3">
        <v>120489</v>
      </c>
      <c r="D1997" s="3" t="s">
        <v>7553</v>
      </c>
      <c r="E1997" s="3">
        <v>20533067213</v>
      </c>
      <c r="F1997" s="3" t="s">
        <v>7554</v>
      </c>
      <c r="G1997" s="3" t="s">
        <v>7555</v>
      </c>
      <c r="H1997" s="3" t="s">
        <v>318</v>
      </c>
      <c r="I1997" s="3" t="s">
        <v>319</v>
      </c>
      <c r="J1997" s="3" t="s">
        <v>319</v>
      </c>
      <c r="K1997" s="3" t="s">
        <v>7556</v>
      </c>
      <c r="L1997" s="3" t="s">
        <v>7557</v>
      </c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 t="s">
        <v>470</v>
      </c>
      <c r="AL1997" s="4">
        <v>42465</v>
      </c>
      <c r="AM1997" s="3"/>
      <c r="AN1997" s="3" t="s">
        <v>7558</v>
      </c>
    </row>
    <row r="1998" spans="1:40" ht="27.95" x14ac:dyDescent="0.3">
      <c r="A1998" s="3">
        <v>1992</v>
      </c>
      <c r="B1998" s="3" t="str">
        <f>"201800174147"</f>
        <v>201800174147</v>
      </c>
      <c r="C1998" s="3">
        <v>139201</v>
      </c>
      <c r="D1998" s="3" t="s">
        <v>7559</v>
      </c>
      <c r="E1998" s="3">
        <v>20478005289</v>
      </c>
      <c r="F1998" s="3" t="s">
        <v>366</v>
      </c>
      <c r="G1998" s="3" t="s">
        <v>7560</v>
      </c>
      <c r="H1998" s="3" t="s">
        <v>56</v>
      </c>
      <c r="I1998" s="3" t="s">
        <v>56</v>
      </c>
      <c r="J1998" s="3" t="s">
        <v>363</v>
      </c>
      <c r="K1998" s="3" t="s">
        <v>7561</v>
      </c>
      <c r="L1998" s="3" t="s">
        <v>7562</v>
      </c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 t="s">
        <v>1935</v>
      </c>
      <c r="AL1998" s="4">
        <v>43395</v>
      </c>
      <c r="AM1998" s="3"/>
      <c r="AN1998" s="3" t="s">
        <v>372</v>
      </c>
    </row>
    <row r="1999" spans="1:40" ht="27.95" x14ac:dyDescent="0.3">
      <c r="A1999" s="3">
        <v>1993</v>
      </c>
      <c r="B1999" s="3" t="str">
        <f>"201300134314"</f>
        <v>201300134314</v>
      </c>
      <c r="C1999" s="3">
        <v>34998</v>
      </c>
      <c r="D1999" s="3" t="s">
        <v>7563</v>
      </c>
      <c r="E1999" s="3">
        <v>20543992942</v>
      </c>
      <c r="F1999" s="3" t="s">
        <v>2298</v>
      </c>
      <c r="G1999" s="3" t="s">
        <v>7564</v>
      </c>
      <c r="H1999" s="3" t="s">
        <v>56</v>
      </c>
      <c r="I1999" s="3" t="s">
        <v>56</v>
      </c>
      <c r="J1999" s="3" t="s">
        <v>57</v>
      </c>
      <c r="K1999" s="3" t="s">
        <v>7565</v>
      </c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 t="s">
        <v>802</v>
      </c>
      <c r="AL1999" s="3" t="s">
        <v>290</v>
      </c>
      <c r="AM1999" s="3"/>
      <c r="AN1999" s="3" t="s">
        <v>543</v>
      </c>
    </row>
    <row r="2000" spans="1:40" ht="27.95" x14ac:dyDescent="0.3">
      <c r="A2000" s="3">
        <v>1994</v>
      </c>
      <c r="B2000" s="3" t="str">
        <f>"201800216892"</f>
        <v>201800216892</v>
      </c>
      <c r="C2000" s="3">
        <v>140599</v>
      </c>
      <c r="D2000" s="3" t="s">
        <v>7566</v>
      </c>
      <c r="E2000" s="3">
        <v>20455751528</v>
      </c>
      <c r="F2000" s="3" t="s">
        <v>142</v>
      </c>
      <c r="G2000" s="3" t="s">
        <v>7567</v>
      </c>
      <c r="H2000" s="3" t="s">
        <v>97</v>
      </c>
      <c r="I2000" s="3" t="s">
        <v>97</v>
      </c>
      <c r="J2000" s="3" t="s">
        <v>144</v>
      </c>
      <c r="K2000" s="3" t="s">
        <v>1348</v>
      </c>
      <c r="L2000" s="3" t="s">
        <v>7450</v>
      </c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 t="s">
        <v>150</v>
      </c>
      <c r="AL2000" s="4">
        <v>43486</v>
      </c>
      <c r="AM2000" s="3"/>
      <c r="AN2000" s="3" t="s">
        <v>1333</v>
      </c>
    </row>
    <row r="2001" spans="1:40" x14ac:dyDescent="0.3">
      <c r="A2001" s="3">
        <v>1995</v>
      </c>
      <c r="B2001" s="3" t="str">
        <f>"1149652"</f>
        <v>1149652</v>
      </c>
      <c r="C2001" s="3">
        <v>3315</v>
      </c>
      <c r="D2001" s="3">
        <v>1149652</v>
      </c>
      <c r="E2001" s="3">
        <v>10180330670</v>
      </c>
      <c r="F2001" s="3" t="s">
        <v>7568</v>
      </c>
      <c r="G2001" s="3" t="s">
        <v>7569</v>
      </c>
      <c r="H2001" s="3" t="s">
        <v>44</v>
      </c>
      <c r="I2001" s="3" t="s">
        <v>45</v>
      </c>
      <c r="J2001" s="3" t="s">
        <v>45</v>
      </c>
      <c r="K2001" s="3" t="s">
        <v>7570</v>
      </c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 t="s">
        <v>1087</v>
      </c>
      <c r="AL2001" s="4">
        <v>35681</v>
      </c>
      <c r="AM2001" s="3"/>
      <c r="AN2001" s="3"/>
    </row>
    <row r="2002" spans="1:40" x14ac:dyDescent="0.3">
      <c r="A2002" s="3">
        <v>1996</v>
      </c>
      <c r="B2002" s="3" t="str">
        <f>"1412745"</f>
        <v>1412745</v>
      </c>
      <c r="C2002" s="3">
        <v>40890</v>
      </c>
      <c r="D2002" s="3" t="s">
        <v>7571</v>
      </c>
      <c r="E2002" s="3">
        <v>10102133353</v>
      </c>
      <c r="F2002" s="3" t="s">
        <v>7572</v>
      </c>
      <c r="G2002" s="3" t="s">
        <v>7573</v>
      </c>
      <c r="H2002" s="3" t="s">
        <v>75</v>
      </c>
      <c r="I2002" s="3" t="s">
        <v>75</v>
      </c>
      <c r="J2002" s="3" t="s">
        <v>1358</v>
      </c>
      <c r="K2002" s="3" t="s">
        <v>7574</v>
      </c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 t="s">
        <v>2978</v>
      </c>
      <c r="AL2002" s="4">
        <v>40441</v>
      </c>
      <c r="AM2002" s="3"/>
      <c r="AN2002" s="3" t="s">
        <v>7572</v>
      </c>
    </row>
    <row r="2003" spans="1:40" ht="27.95" x14ac:dyDescent="0.3">
      <c r="A2003" s="3">
        <v>1997</v>
      </c>
      <c r="B2003" s="3" t="str">
        <f>"201700150122"</f>
        <v>201700150122</v>
      </c>
      <c r="C2003" s="3">
        <v>63033</v>
      </c>
      <c r="D2003" s="3" t="s">
        <v>7575</v>
      </c>
      <c r="E2003" s="3">
        <v>20100005485</v>
      </c>
      <c r="F2003" s="3" t="s">
        <v>7576</v>
      </c>
      <c r="G2003" s="3" t="s">
        <v>7577</v>
      </c>
      <c r="H2003" s="3" t="s">
        <v>56</v>
      </c>
      <c r="I2003" s="3" t="s">
        <v>56</v>
      </c>
      <c r="J2003" s="3" t="s">
        <v>363</v>
      </c>
      <c r="K2003" s="3" t="s">
        <v>7578</v>
      </c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 t="s">
        <v>518</v>
      </c>
      <c r="AL2003" s="4">
        <v>43000</v>
      </c>
      <c r="AM2003" s="3"/>
      <c r="AN2003" s="3" t="s">
        <v>7579</v>
      </c>
    </row>
    <row r="2004" spans="1:40" x14ac:dyDescent="0.3">
      <c r="A2004" s="3">
        <v>1998</v>
      </c>
      <c r="B2004" s="3" t="str">
        <f>"1488044"</f>
        <v>1488044</v>
      </c>
      <c r="C2004" s="3">
        <v>89366</v>
      </c>
      <c r="D2004" s="3" t="s">
        <v>7580</v>
      </c>
      <c r="E2004" s="3">
        <v>20113539594</v>
      </c>
      <c r="F2004" s="3" t="s">
        <v>164</v>
      </c>
      <c r="G2004" s="3" t="s">
        <v>7581</v>
      </c>
      <c r="H2004" s="3" t="s">
        <v>50</v>
      </c>
      <c r="I2004" s="3" t="s">
        <v>50</v>
      </c>
      <c r="J2004" s="3" t="s">
        <v>50</v>
      </c>
      <c r="K2004" s="3" t="s">
        <v>7582</v>
      </c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 t="s">
        <v>655</v>
      </c>
      <c r="AL2004" s="4">
        <v>40714</v>
      </c>
      <c r="AM2004" s="3"/>
      <c r="AN2004" s="3" t="s">
        <v>2509</v>
      </c>
    </row>
    <row r="2005" spans="1:40" x14ac:dyDescent="0.3">
      <c r="A2005" s="3">
        <v>1999</v>
      </c>
      <c r="B2005" s="3" t="str">
        <f>"1155494"</f>
        <v>1155494</v>
      </c>
      <c r="C2005" s="3">
        <v>6123</v>
      </c>
      <c r="D2005" s="3">
        <v>1155494</v>
      </c>
      <c r="E2005" s="3">
        <v>20115691962</v>
      </c>
      <c r="F2005" s="3" t="s">
        <v>3661</v>
      </c>
      <c r="G2005" s="3" t="s">
        <v>3662</v>
      </c>
      <c r="H2005" s="3" t="s">
        <v>743</v>
      </c>
      <c r="I2005" s="3" t="s">
        <v>1031</v>
      </c>
      <c r="J2005" s="3" t="s">
        <v>1031</v>
      </c>
      <c r="K2005" s="3" t="s">
        <v>7583</v>
      </c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 t="s">
        <v>256</v>
      </c>
      <c r="AL2005" s="4">
        <v>35746</v>
      </c>
      <c r="AM2005" s="3"/>
      <c r="AN2005" s="3"/>
    </row>
    <row r="2006" spans="1:40" x14ac:dyDescent="0.3">
      <c r="A2006" s="3">
        <v>2000</v>
      </c>
      <c r="B2006" s="3" t="str">
        <f>"201600086599"</f>
        <v>201600086599</v>
      </c>
      <c r="C2006" s="3">
        <v>122022</v>
      </c>
      <c r="D2006" s="3" t="s">
        <v>7584</v>
      </c>
      <c r="E2006" s="3">
        <v>20510976887</v>
      </c>
      <c r="F2006" s="3" t="s">
        <v>2352</v>
      </c>
      <c r="G2006" s="3" t="s">
        <v>7585</v>
      </c>
      <c r="H2006" s="3" t="s">
        <v>56</v>
      </c>
      <c r="I2006" s="3" t="s">
        <v>56</v>
      </c>
      <c r="J2006" s="3" t="s">
        <v>131</v>
      </c>
      <c r="K2006" s="3" t="s">
        <v>7586</v>
      </c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 t="s">
        <v>670</v>
      </c>
      <c r="AL2006" s="4">
        <v>42540</v>
      </c>
      <c r="AM2006" s="3"/>
      <c r="AN2006" s="3" t="s">
        <v>671</v>
      </c>
    </row>
    <row r="2007" spans="1:40" x14ac:dyDescent="0.3">
      <c r="A2007" s="3">
        <v>2001</v>
      </c>
      <c r="B2007" s="3" t="str">
        <f>"202000005901"</f>
        <v>202000005901</v>
      </c>
      <c r="C2007" s="3">
        <v>148716</v>
      </c>
      <c r="D2007" s="3" t="s">
        <v>7587</v>
      </c>
      <c r="E2007" s="3">
        <v>20102314698</v>
      </c>
      <c r="F2007" s="3" t="s">
        <v>1185</v>
      </c>
      <c r="G2007" s="3" t="s">
        <v>7588</v>
      </c>
      <c r="H2007" s="3" t="s">
        <v>50</v>
      </c>
      <c r="I2007" s="3" t="s">
        <v>50</v>
      </c>
      <c r="J2007" s="3" t="s">
        <v>2274</v>
      </c>
      <c r="K2007" s="3" t="s">
        <v>7589</v>
      </c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 t="s">
        <v>167</v>
      </c>
      <c r="AL2007" s="4">
        <v>43847</v>
      </c>
      <c r="AM2007" s="3"/>
      <c r="AN2007" s="3" t="s">
        <v>7590</v>
      </c>
    </row>
    <row r="2008" spans="1:40" x14ac:dyDescent="0.3">
      <c r="A2008" s="3">
        <v>2002</v>
      </c>
      <c r="B2008" s="3" t="str">
        <f>"1431933"</f>
        <v>1431933</v>
      </c>
      <c r="C2008" s="3">
        <v>35763</v>
      </c>
      <c r="D2008" s="3" t="s">
        <v>7591</v>
      </c>
      <c r="E2008" s="3">
        <v>10026894099</v>
      </c>
      <c r="F2008" s="3" t="s">
        <v>532</v>
      </c>
      <c r="G2008" s="3" t="s">
        <v>533</v>
      </c>
      <c r="H2008" s="3" t="s">
        <v>50</v>
      </c>
      <c r="I2008" s="3" t="s">
        <v>50</v>
      </c>
      <c r="J2008" s="3" t="s">
        <v>98</v>
      </c>
      <c r="K2008" s="3" t="s">
        <v>7592</v>
      </c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 t="s">
        <v>157</v>
      </c>
      <c r="AL2008" s="4">
        <v>37880</v>
      </c>
      <c r="AM2008" s="3"/>
      <c r="AN2008" s="3"/>
    </row>
    <row r="2009" spans="1:40" x14ac:dyDescent="0.3">
      <c r="A2009" s="3">
        <v>2003</v>
      </c>
      <c r="B2009" s="3" t="str">
        <f>"1469208"</f>
        <v>1469208</v>
      </c>
      <c r="C2009" s="3">
        <v>35016</v>
      </c>
      <c r="D2009" s="3" t="s">
        <v>7593</v>
      </c>
      <c r="E2009" s="3">
        <v>20467282388</v>
      </c>
      <c r="F2009" s="3" t="s">
        <v>1324</v>
      </c>
      <c r="G2009" s="3" t="s">
        <v>1647</v>
      </c>
      <c r="H2009" s="3" t="s">
        <v>75</v>
      </c>
      <c r="I2009" s="3" t="s">
        <v>75</v>
      </c>
      <c r="J2009" s="3" t="s">
        <v>76</v>
      </c>
      <c r="K2009" s="3" t="s">
        <v>7594</v>
      </c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 t="s">
        <v>187</v>
      </c>
      <c r="AL2009" s="4">
        <v>38148</v>
      </c>
      <c r="AM2009" s="3"/>
      <c r="AN2009" s="3"/>
    </row>
    <row r="2010" spans="1:40" x14ac:dyDescent="0.3">
      <c r="A2010" s="3">
        <v>2004</v>
      </c>
      <c r="B2010" s="3" t="str">
        <f>"201700220057"</f>
        <v>201700220057</v>
      </c>
      <c r="C2010" s="3">
        <v>133699</v>
      </c>
      <c r="D2010" s="3" t="s">
        <v>7595</v>
      </c>
      <c r="E2010" s="3">
        <v>20113539594</v>
      </c>
      <c r="F2010" s="3" t="s">
        <v>164</v>
      </c>
      <c r="G2010" s="3" t="s">
        <v>7596</v>
      </c>
      <c r="H2010" s="3" t="s">
        <v>50</v>
      </c>
      <c r="I2010" s="3" t="s">
        <v>50</v>
      </c>
      <c r="J2010" s="3" t="s">
        <v>50</v>
      </c>
      <c r="K2010" s="3" t="s">
        <v>7597</v>
      </c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 t="s">
        <v>2066</v>
      </c>
      <c r="AL2010" s="4">
        <v>43096</v>
      </c>
      <c r="AM2010" s="3"/>
      <c r="AN2010" s="3" t="s">
        <v>4103</v>
      </c>
    </row>
    <row r="2011" spans="1:40" x14ac:dyDescent="0.3">
      <c r="A2011" s="3">
        <v>2005</v>
      </c>
      <c r="B2011" s="3" t="str">
        <f>"201500023675"</f>
        <v>201500023675</v>
      </c>
      <c r="C2011" s="3">
        <v>31652</v>
      </c>
      <c r="D2011" s="3" t="s">
        <v>7598</v>
      </c>
      <c r="E2011" s="3">
        <v>20113539594</v>
      </c>
      <c r="F2011" s="3" t="s">
        <v>164</v>
      </c>
      <c r="G2011" s="3" t="s">
        <v>4098</v>
      </c>
      <c r="H2011" s="3" t="s">
        <v>50</v>
      </c>
      <c r="I2011" s="3" t="s">
        <v>50</v>
      </c>
      <c r="J2011" s="3" t="s">
        <v>50</v>
      </c>
      <c r="K2011" s="3" t="s">
        <v>7599</v>
      </c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 t="s">
        <v>157</v>
      </c>
      <c r="AL2011" s="4">
        <v>42072</v>
      </c>
      <c r="AM2011" s="3"/>
      <c r="AN2011" s="3" t="s">
        <v>626</v>
      </c>
    </row>
    <row r="2012" spans="1:40" x14ac:dyDescent="0.3">
      <c r="A2012" s="3">
        <v>2006</v>
      </c>
      <c r="B2012" s="3" t="str">
        <f>"202000005137"</f>
        <v>202000005137</v>
      </c>
      <c r="C2012" s="3">
        <v>148709</v>
      </c>
      <c r="D2012" s="3" t="s">
        <v>7600</v>
      </c>
      <c r="E2012" s="3">
        <v>20605138307</v>
      </c>
      <c r="F2012" s="3" t="s">
        <v>7601</v>
      </c>
      <c r="G2012" s="3" t="s">
        <v>7602</v>
      </c>
      <c r="H2012" s="3" t="s">
        <v>50</v>
      </c>
      <c r="I2012" s="3" t="s">
        <v>50</v>
      </c>
      <c r="J2012" s="3" t="s">
        <v>2274</v>
      </c>
      <c r="K2012" s="3" t="s">
        <v>7603</v>
      </c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 t="s">
        <v>7604</v>
      </c>
      <c r="AL2012" s="4">
        <v>43852</v>
      </c>
      <c r="AM2012" s="3"/>
      <c r="AN2012" s="3" t="s">
        <v>7605</v>
      </c>
    </row>
    <row r="2013" spans="1:40" x14ac:dyDescent="0.3">
      <c r="A2013" s="3">
        <v>2007</v>
      </c>
      <c r="B2013" s="3" t="str">
        <f>"1281970"</f>
        <v>1281970</v>
      </c>
      <c r="C2013" s="3">
        <v>19329</v>
      </c>
      <c r="D2013" s="3" t="s">
        <v>7606</v>
      </c>
      <c r="E2013" s="3">
        <v>10191976202</v>
      </c>
      <c r="F2013" s="3" t="s">
        <v>7607</v>
      </c>
      <c r="G2013" s="3" t="s">
        <v>7608</v>
      </c>
      <c r="H2013" s="3" t="s">
        <v>44</v>
      </c>
      <c r="I2013" s="3" t="s">
        <v>45</v>
      </c>
      <c r="J2013" s="3" t="s">
        <v>45</v>
      </c>
      <c r="K2013" s="3" t="s">
        <v>7609</v>
      </c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 t="s">
        <v>546</v>
      </c>
      <c r="AL2013" s="4">
        <v>36662</v>
      </c>
      <c r="AM2013" s="3"/>
      <c r="AN2013" s="3"/>
    </row>
    <row r="2014" spans="1:40" ht="27.95" x14ac:dyDescent="0.3">
      <c r="A2014" s="3">
        <v>2008</v>
      </c>
      <c r="B2014" s="3" t="str">
        <f>"1638345"</f>
        <v>1638345</v>
      </c>
      <c r="C2014" s="3">
        <v>36060</v>
      </c>
      <c r="D2014" s="3" t="s">
        <v>7610</v>
      </c>
      <c r="E2014" s="3">
        <v>10103631101</v>
      </c>
      <c r="F2014" s="3" t="s">
        <v>4685</v>
      </c>
      <c r="G2014" s="3" t="s">
        <v>7611</v>
      </c>
      <c r="H2014" s="3" t="s">
        <v>56</v>
      </c>
      <c r="I2014" s="3" t="s">
        <v>56</v>
      </c>
      <c r="J2014" s="3" t="s">
        <v>277</v>
      </c>
      <c r="K2014" s="3" t="s">
        <v>7612</v>
      </c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 t="s">
        <v>5789</v>
      </c>
      <c r="AL2014" s="4">
        <v>39000</v>
      </c>
      <c r="AM2014" s="3"/>
      <c r="AN2014" s="3"/>
    </row>
    <row r="2015" spans="1:40" x14ac:dyDescent="0.3">
      <c r="A2015" s="3">
        <v>2009</v>
      </c>
      <c r="B2015" s="3" t="str">
        <f>"201600138390"</f>
        <v>201600138390</v>
      </c>
      <c r="C2015" s="3">
        <v>120285</v>
      </c>
      <c r="D2015" s="3" t="s">
        <v>7613</v>
      </c>
      <c r="E2015" s="3">
        <v>10422671221</v>
      </c>
      <c r="F2015" s="3" t="s">
        <v>7614</v>
      </c>
      <c r="G2015" s="3" t="s">
        <v>7615</v>
      </c>
      <c r="H2015" s="3" t="s">
        <v>202</v>
      </c>
      <c r="I2015" s="3" t="s">
        <v>202</v>
      </c>
      <c r="J2015" s="3" t="s">
        <v>612</v>
      </c>
      <c r="K2015" s="3" t="s">
        <v>7616</v>
      </c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 t="s">
        <v>3604</v>
      </c>
      <c r="AL2015" s="4">
        <v>42650</v>
      </c>
      <c r="AM2015" s="3"/>
      <c r="AN2015" s="3" t="s">
        <v>7614</v>
      </c>
    </row>
    <row r="2016" spans="1:40" x14ac:dyDescent="0.3">
      <c r="A2016" s="3">
        <v>2010</v>
      </c>
      <c r="B2016" s="3" t="str">
        <f>"201700220059"</f>
        <v>201700220059</v>
      </c>
      <c r="C2016" s="3">
        <v>133701</v>
      </c>
      <c r="D2016" s="3" t="s">
        <v>7617</v>
      </c>
      <c r="E2016" s="3">
        <v>20113539594</v>
      </c>
      <c r="F2016" s="3" t="s">
        <v>164</v>
      </c>
      <c r="G2016" s="3" t="s">
        <v>4098</v>
      </c>
      <c r="H2016" s="3" t="s">
        <v>50</v>
      </c>
      <c r="I2016" s="3" t="s">
        <v>50</v>
      </c>
      <c r="J2016" s="3" t="s">
        <v>50</v>
      </c>
      <c r="K2016" s="3" t="s">
        <v>7618</v>
      </c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 t="s">
        <v>7604</v>
      </c>
      <c r="AL2016" s="4">
        <v>43097</v>
      </c>
      <c r="AM2016" s="3"/>
      <c r="AN2016" s="3" t="s">
        <v>4103</v>
      </c>
    </row>
    <row r="2017" spans="1:40" x14ac:dyDescent="0.3">
      <c r="A2017" s="3">
        <v>2011</v>
      </c>
      <c r="B2017" s="3" t="str">
        <f>"1116852"</f>
        <v>1116852</v>
      </c>
      <c r="C2017" s="3">
        <v>3585</v>
      </c>
      <c r="D2017" s="3">
        <v>993380</v>
      </c>
      <c r="E2017" s="3">
        <v>10083227929</v>
      </c>
      <c r="F2017" s="3" t="s">
        <v>7619</v>
      </c>
      <c r="G2017" s="3" t="s">
        <v>7620</v>
      </c>
      <c r="H2017" s="3" t="s">
        <v>56</v>
      </c>
      <c r="I2017" s="3" t="s">
        <v>56</v>
      </c>
      <c r="J2017" s="3" t="s">
        <v>277</v>
      </c>
      <c r="K2017" s="3" t="s">
        <v>7621</v>
      </c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 t="s">
        <v>81</v>
      </c>
      <c r="AL2017" s="4">
        <v>35543</v>
      </c>
      <c r="AM2017" s="3"/>
      <c r="AN2017" s="3"/>
    </row>
    <row r="2018" spans="1:40" x14ac:dyDescent="0.3">
      <c r="A2018" s="3">
        <v>2012</v>
      </c>
      <c r="B2018" s="3" t="str">
        <f>"201300039954"</f>
        <v>201300039954</v>
      </c>
      <c r="C2018" s="3">
        <v>101203</v>
      </c>
      <c r="D2018" s="3" t="s">
        <v>7622</v>
      </c>
      <c r="E2018" s="3">
        <v>10235615580</v>
      </c>
      <c r="F2018" s="3" t="s">
        <v>7623</v>
      </c>
      <c r="G2018" s="3" t="s">
        <v>7624</v>
      </c>
      <c r="H2018" s="3" t="s">
        <v>2110</v>
      </c>
      <c r="I2018" s="3" t="s">
        <v>2843</v>
      </c>
      <c r="J2018" s="3" t="s">
        <v>2843</v>
      </c>
      <c r="K2018" s="3" t="s">
        <v>7625</v>
      </c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 t="s">
        <v>157</v>
      </c>
      <c r="AL2018" s="3" t="s">
        <v>290</v>
      </c>
      <c r="AM2018" s="3"/>
      <c r="AN2018" s="3" t="s">
        <v>7623</v>
      </c>
    </row>
    <row r="2019" spans="1:40" x14ac:dyDescent="0.3">
      <c r="A2019" s="3">
        <v>2013</v>
      </c>
      <c r="B2019" s="3" t="str">
        <f>"1431927"</f>
        <v>1431927</v>
      </c>
      <c r="C2019" s="3">
        <v>35733</v>
      </c>
      <c r="D2019" s="3" t="s">
        <v>7626</v>
      </c>
      <c r="E2019" s="3">
        <v>10026894099</v>
      </c>
      <c r="F2019" s="3" t="s">
        <v>532</v>
      </c>
      <c r="G2019" s="3" t="s">
        <v>533</v>
      </c>
      <c r="H2019" s="3" t="s">
        <v>50</v>
      </c>
      <c r="I2019" s="3" t="s">
        <v>50</v>
      </c>
      <c r="J2019" s="3" t="s">
        <v>98</v>
      </c>
      <c r="K2019" s="3" t="s">
        <v>7627</v>
      </c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 t="s">
        <v>583</v>
      </c>
      <c r="AL2019" s="4">
        <v>37880</v>
      </c>
      <c r="AM2019" s="3"/>
      <c r="AN2019" s="3"/>
    </row>
    <row r="2020" spans="1:40" x14ac:dyDescent="0.3">
      <c r="A2020" s="3">
        <v>2014</v>
      </c>
      <c r="B2020" s="3" t="str">
        <f>"201700220061"</f>
        <v>201700220061</v>
      </c>
      <c r="C2020" s="3">
        <v>133702</v>
      </c>
      <c r="D2020" s="3" t="s">
        <v>7628</v>
      </c>
      <c r="E2020" s="3">
        <v>20113539594</v>
      </c>
      <c r="F2020" s="3" t="s">
        <v>7629</v>
      </c>
      <c r="G2020" s="3" t="s">
        <v>7630</v>
      </c>
      <c r="H2020" s="3" t="s">
        <v>50</v>
      </c>
      <c r="I2020" s="3" t="s">
        <v>50</v>
      </c>
      <c r="J2020" s="3" t="s">
        <v>50</v>
      </c>
      <c r="K2020" s="3" t="s">
        <v>7631</v>
      </c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 t="s">
        <v>7604</v>
      </c>
      <c r="AL2020" s="4">
        <v>43097</v>
      </c>
      <c r="AM2020" s="3"/>
      <c r="AN2020" s="3" t="s">
        <v>4103</v>
      </c>
    </row>
    <row r="2021" spans="1:40" x14ac:dyDescent="0.3">
      <c r="A2021" s="3">
        <v>2015</v>
      </c>
      <c r="B2021" s="3" t="str">
        <f>"1431928"</f>
        <v>1431928</v>
      </c>
      <c r="C2021" s="3">
        <v>35730</v>
      </c>
      <c r="D2021" s="3" t="s">
        <v>7632</v>
      </c>
      <c r="E2021" s="3">
        <v>10026894099</v>
      </c>
      <c r="F2021" s="3" t="s">
        <v>532</v>
      </c>
      <c r="G2021" s="3" t="s">
        <v>533</v>
      </c>
      <c r="H2021" s="3" t="s">
        <v>50</v>
      </c>
      <c r="I2021" s="3" t="s">
        <v>50</v>
      </c>
      <c r="J2021" s="3" t="s">
        <v>98</v>
      </c>
      <c r="K2021" s="3" t="s">
        <v>7633</v>
      </c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 t="s">
        <v>614</v>
      </c>
      <c r="AL2021" s="4">
        <v>37880</v>
      </c>
      <c r="AM2021" s="3"/>
      <c r="AN2021" s="3"/>
    </row>
    <row r="2022" spans="1:40" x14ac:dyDescent="0.3">
      <c r="A2022" s="3">
        <v>2016</v>
      </c>
      <c r="B2022" s="3" t="str">
        <f>"201200163219"</f>
        <v>201200163219</v>
      </c>
      <c r="C2022" s="3">
        <v>98108</v>
      </c>
      <c r="D2022" s="3" t="s">
        <v>7634</v>
      </c>
      <c r="E2022" s="3">
        <v>10178845573</v>
      </c>
      <c r="F2022" s="3" t="s">
        <v>7635</v>
      </c>
      <c r="G2022" s="3" t="s">
        <v>7636</v>
      </c>
      <c r="H2022" s="3" t="s">
        <v>44</v>
      </c>
      <c r="I2022" s="3" t="s">
        <v>45</v>
      </c>
      <c r="J2022" s="3" t="s">
        <v>45</v>
      </c>
      <c r="K2022" s="3" t="s">
        <v>7637</v>
      </c>
      <c r="L2022" s="3" t="s">
        <v>7638</v>
      </c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 t="s">
        <v>1162</v>
      </c>
      <c r="AL2022" s="4">
        <v>41162</v>
      </c>
      <c r="AM2022" s="3"/>
      <c r="AN2022" s="3" t="s">
        <v>7635</v>
      </c>
    </row>
    <row r="2023" spans="1:40" x14ac:dyDescent="0.3">
      <c r="A2023" s="3">
        <v>2017</v>
      </c>
      <c r="B2023" s="3" t="str">
        <f>"1490831"</f>
        <v>1490831</v>
      </c>
      <c r="C2023" s="3">
        <v>45215</v>
      </c>
      <c r="D2023" s="3" t="s">
        <v>7639</v>
      </c>
      <c r="E2023" s="3">
        <v>20121837634</v>
      </c>
      <c r="F2023" s="3" t="s">
        <v>866</v>
      </c>
      <c r="G2023" s="3" t="s">
        <v>7640</v>
      </c>
      <c r="H2023" s="3" t="s">
        <v>237</v>
      </c>
      <c r="I2023" s="3" t="s">
        <v>868</v>
      </c>
      <c r="J2023" s="3" t="s">
        <v>868</v>
      </c>
      <c r="K2023" s="3" t="s">
        <v>7641</v>
      </c>
      <c r="L2023" s="3" t="s">
        <v>7642</v>
      </c>
      <c r="M2023" s="3" t="s">
        <v>7643</v>
      </c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 t="s">
        <v>7644</v>
      </c>
      <c r="AL2023" s="4">
        <v>40738</v>
      </c>
      <c r="AM2023" s="3"/>
      <c r="AN2023" s="3" t="s">
        <v>7645</v>
      </c>
    </row>
    <row r="2024" spans="1:40" x14ac:dyDescent="0.3">
      <c r="A2024" s="3">
        <v>2018</v>
      </c>
      <c r="B2024" s="3" t="str">
        <f>"201200126659"</f>
        <v>201200126659</v>
      </c>
      <c r="C2024" s="3">
        <v>96933</v>
      </c>
      <c r="D2024" s="3" t="s">
        <v>7646</v>
      </c>
      <c r="E2024" s="3">
        <v>20454723610</v>
      </c>
      <c r="F2024" s="3" t="s">
        <v>7647</v>
      </c>
      <c r="G2024" s="3" t="s">
        <v>7648</v>
      </c>
      <c r="H2024" s="3" t="s">
        <v>97</v>
      </c>
      <c r="I2024" s="3" t="s">
        <v>97</v>
      </c>
      <c r="J2024" s="3" t="s">
        <v>144</v>
      </c>
      <c r="K2024" s="3" t="s">
        <v>7649</v>
      </c>
      <c r="L2024" s="3" t="s">
        <v>7650</v>
      </c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 t="s">
        <v>7165</v>
      </c>
      <c r="AL2024" s="4">
        <v>41099</v>
      </c>
      <c r="AM2024" s="3"/>
      <c r="AN2024" s="3" t="s">
        <v>3725</v>
      </c>
    </row>
    <row r="2025" spans="1:40" x14ac:dyDescent="0.3">
      <c r="A2025" s="3">
        <v>2019</v>
      </c>
      <c r="B2025" s="3" t="str">
        <f>"201500042032"</f>
        <v>201500042032</v>
      </c>
      <c r="C2025" s="3">
        <v>114704</v>
      </c>
      <c r="D2025" s="3" t="s">
        <v>7651</v>
      </c>
      <c r="E2025" s="3">
        <v>10180199972</v>
      </c>
      <c r="F2025" s="3" t="s">
        <v>7652</v>
      </c>
      <c r="G2025" s="3" t="s">
        <v>7653</v>
      </c>
      <c r="H2025" s="3" t="s">
        <v>44</v>
      </c>
      <c r="I2025" s="3" t="s">
        <v>45</v>
      </c>
      <c r="J2025" s="3" t="s">
        <v>7654</v>
      </c>
      <c r="K2025" s="3" t="s">
        <v>7655</v>
      </c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 t="s">
        <v>7656</v>
      </c>
      <c r="AL2025" s="4">
        <v>42108</v>
      </c>
      <c r="AM2025" s="3"/>
      <c r="AN2025" s="3" t="s">
        <v>7652</v>
      </c>
    </row>
    <row r="2026" spans="1:40" ht="27.95" x14ac:dyDescent="0.3">
      <c r="A2026" s="3">
        <v>2020</v>
      </c>
      <c r="B2026" s="3" t="str">
        <f>"1679502"</f>
        <v>1679502</v>
      </c>
      <c r="C2026" s="3">
        <v>41841</v>
      </c>
      <c r="D2026" s="3" t="s">
        <v>7657</v>
      </c>
      <c r="E2026" s="3">
        <v>10102560782</v>
      </c>
      <c r="F2026" s="3" t="s">
        <v>2853</v>
      </c>
      <c r="G2026" s="3" t="s">
        <v>7658</v>
      </c>
      <c r="H2026" s="3" t="s">
        <v>56</v>
      </c>
      <c r="I2026" s="3" t="s">
        <v>56</v>
      </c>
      <c r="J2026" s="3" t="s">
        <v>363</v>
      </c>
      <c r="K2026" s="3" t="s">
        <v>7659</v>
      </c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 t="s">
        <v>157</v>
      </c>
      <c r="AL2026" s="4">
        <v>39190</v>
      </c>
      <c r="AM2026" s="3"/>
      <c r="AN2026" s="3"/>
    </row>
    <row r="2027" spans="1:40" x14ac:dyDescent="0.3">
      <c r="A2027" s="3">
        <v>2021</v>
      </c>
      <c r="B2027" s="3" t="str">
        <f>"202000005930"</f>
        <v>202000005930</v>
      </c>
      <c r="C2027" s="3">
        <v>148718</v>
      </c>
      <c r="D2027" s="3" t="s">
        <v>7660</v>
      </c>
      <c r="E2027" s="3">
        <v>20102314698</v>
      </c>
      <c r="F2027" s="3" t="s">
        <v>1185</v>
      </c>
      <c r="G2027" s="3" t="s">
        <v>7661</v>
      </c>
      <c r="H2027" s="3" t="s">
        <v>50</v>
      </c>
      <c r="I2027" s="3" t="s">
        <v>50</v>
      </c>
      <c r="J2027" s="3" t="s">
        <v>2274</v>
      </c>
      <c r="K2027" s="3" t="s">
        <v>7662</v>
      </c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 t="s">
        <v>167</v>
      </c>
      <c r="AL2027" s="4">
        <v>43847</v>
      </c>
      <c r="AM2027" s="3"/>
      <c r="AN2027" s="3" t="s">
        <v>7590</v>
      </c>
    </row>
    <row r="2028" spans="1:40" x14ac:dyDescent="0.3">
      <c r="A2028" s="3">
        <v>2022</v>
      </c>
      <c r="B2028" s="3" t="str">
        <f>"201500158739"</f>
        <v>201500158739</v>
      </c>
      <c r="C2028" s="3">
        <v>118744</v>
      </c>
      <c r="D2028" s="3" t="s">
        <v>7663</v>
      </c>
      <c r="E2028" s="3">
        <v>20487131220</v>
      </c>
      <c r="F2028" s="3" t="s">
        <v>7664</v>
      </c>
      <c r="G2028" s="3" t="s">
        <v>7665</v>
      </c>
      <c r="H2028" s="3" t="s">
        <v>44</v>
      </c>
      <c r="I2028" s="3" t="s">
        <v>45</v>
      </c>
      <c r="J2028" s="3" t="s">
        <v>45</v>
      </c>
      <c r="K2028" s="3" t="s">
        <v>7666</v>
      </c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 t="s">
        <v>321</v>
      </c>
      <c r="AL2028" s="4">
        <v>42340</v>
      </c>
      <c r="AM2028" s="3"/>
      <c r="AN2028" s="3" t="s">
        <v>235</v>
      </c>
    </row>
    <row r="2029" spans="1:40" x14ac:dyDescent="0.3">
      <c r="A2029" s="3">
        <v>2023</v>
      </c>
      <c r="B2029" s="3" t="str">
        <f>"1370572"</f>
        <v>1370572</v>
      </c>
      <c r="C2029" s="3">
        <v>43255</v>
      </c>
      <c r="D2029" s="3" t="s">
        <v>7667</v>
      </c>
      <c r="E2029" s="3">
        <v>10294563707</v>
      </c>
      <c r="F2029" s="3" t="s">
        <v>7668</v>
      </c>
      <c r="G2029" s="3" t="s">
        <v>7669</v>
      </c>
      <c r="H2029" s="3" t="s">
        <v>97</v>
      </c>
      <c r="I2029" s="3" t="s">
        <v>97</v>
      </c>
      <c r="J2029" s="3" t="s">
        <v>341</v>
      </c>
      <c r="K2029" s="3" t="s">
        <v>7670</v>
      </c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 t="s">
        <v>1586</v>
      </c>
      <c r="AL2029" s="4">
        <v>40353</v>
      </c>
      <c r="AM2029" s="3"/>
      <c r="AN2029" s="3" t="s">
        <v>7668</v>
      </c>
    </row>
    <row r="2030" spans="1:40" x14ac:dyDescent="0.3">
      <c r="A2030" s="3">
        <v>2024</v>
      </c>
      <c r="B2030" s="3" t="str">
        <f>"201200220944"</f>
        <v>201200220944</v>
      </c>
      <c r="C2030" s="3">
        <v>99918</v>
      </c>
      <c r="D2030" s="3" t="s">
        <v>7671</v>
      </c>
      <c r="E2030" s="3">
        <v>10431642447</v>
      </c>
      <c r="F2030" s="3" t="s">
        <v>6136</v>
      </c>
      <c r="G2030" s="3" t="s">
        <v>7672</v>
      </c>
      <c r="H2030" s="3" t="s">
        <v>97</v>
      </c>
      <c r="I2030" s="3" t="s">
        <v>97</v>
      </c>
      <c r="J2030" s="3" t="s">
        <v>97</v>
      </c>
      <c r="K2030" s="3" t="s">
        <v>7673</v>
      </c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 t="s">
        <v>167</v>
      </c>
      <c r="AL2030" s="4">
        <v>41296</v>
      </c>
      <c r="AM2030" s="3"/>
      <c r="AN2030" s="3" t="s">
        <v>7674</v>
      </c>
    </row>
    <row r="2031" spans="1:40" x14ac:dyDescent="0.3">
      <c r="A2031" s="3">
        <v>2025</v>
      </c>
      <c r="B2031" s="3" t="str">
        <f>"1116821"</f>
        <v>1116821</v>
      </c>
      <c r="C2031" s="3">
        <v>3583</v>
      </c>
      <c r="D2031" s="3">
        <v>993803</v>
      </c>
      <c r="E2031" s="3">
        <v>10075375064</v>
      </c>
      <c r="F2031" s="3" t="s">
        <v>7675</v>
      </c>
      <c r="G2031" s="3" t="s">
        <v>7676</v>
      </c>
      <c r="H2031" s="3" t="s">
        <v>216</v>
      </c>
      <c r="I2031" s="3" t="s">
        <v>4291</v>
      </c>
      <c r="J2031" s="3" t="s">
        <v>7677</v>
      </c>
      <c r="K2031" s="3" t="s">
        <v>7678</v>
      </c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 t="s">
        <v>226</v>
      </c>
      <c r="AL2031" s="4">
        <v>35543</v>
      </c>
      <c r="AM2031" s="3"/>
      <c r="AN2031" s="3"/>
    </row>
    <row r="2032" spans="1:40" x14ac:dyDescent="0.3">
      <c r="A2032" s="3">
        <v>2026</v>
      </c>
      <c r="B2032" s="3" t="str">
        <f>"1679501"</f>
        <v>1679501</v>
      </c>
      <c r="C2032" s="3">
        <v>41173</v>
      </c>
      <c r="D2032" s="3" t="s">
        <v>7679</v>
      </c>
      <c r="E2032" s="3">
        <v>10102560782</v>
      </c>
      <c r="F2032" s="3" t="s">
        <v>7680</v>
      </c>
      <c r="G2032" s="3" t="s">
        <v>7681</v>
      </c>
      <c r="H2032" s="3" t="s">
        <v>56</v>
      </c>
      <c r="I2032" s="3" t="s">
        <v>56</v>
      </c>
      <c r="J2032" s="3" t="s">
        <v>363</v>
      </c>
      <c r="K2032" s="3" t="s">
        <v>7682</v>
      </c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 t="s">
        <v>2856</v>
      </c>
      <c r="AL2032" s="4">
        <v>39190</v>
      </c>
      <c r="AM2032" s="3"/>
      <c r="AN2032" s="3"/>
    </row>
    <row r="2033" spans="1:40" ht="41.95" x14ac:dyDescent="0.3">
      <c r="A2033" s="3">
        <v>2027</v>
      </c>
      <c r="B2033" s="3" t="str">
        <f>"202000005117"</f>
        <v>202000005117</v>
      </c>
      <c r="C2033" s="3">
        <v>148501</v>
      </c>
      <c r="D2033" s="3" t="s">
        <v>7683</v>
      </c>
      <c r="E2033" s="3">
        <v>20478005289</v>
      </c>
      <c r="F2033" s="3" t="s">
        <v>957</v>
      </c>
      <c r="G2033" s="3" t="s">
        <v>7684</v>
      </c>
      <c r="H2033" s="3" t="s">
        <v>56</v>
      </c>
      <c r="I2033" s="3" t="s">
        <v>56</v>
      </c>
      <c r="J2033" s="3" t="s">
        <v>363</v>
      </c>
      <c r="K2033" s="3" t="s">
        <v>7685</v>
      </c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 t="s">
        <v>157</v>
      </c>
      <c r="AL2033" s="4">
        <v>43858</v>
      </c>
      <c r="AM2033" s="3"/>
      <c r="AN2033" s="3" t="s">
        <v>372</v>
      </c>
    </row>
    <row r="2034" spans="1:40" x14ac:dyDescent="0.3">
      <c r="A2034" s="3">
        <v>2028</v>
      </c>
      <c r="B2034" s="3" t="str">
        <f>"201400050717"</f>
        <v>201400050717</v>
      </c>
      <c r="C2034" s="3">
        <v>97156</v>
      </c>
      <c r="D2034" s="3" t="s">
        <v>7686</v>
      </c>
      <c r="E2034" s="3">
        <v>20262254268</v>
      </c>
      <c r="F2034" s="3" t="s">
        <v>7687</v>
      </c>
      <c r="G2034" s="3" t="s">
        <v>7688</v>
      </c>
      <c r="H2034" s="3" t="s">
        <v>56</v>
      </c>
      <c r="I2034" s="3" t="s">
        <v>56</v>
      </c>
      <c r="J2034" s="3" t="s">
        <v>105</v>
      </c>
      <c r="K2034" s="3" t="s">
        <v>7689</v>
      </c>
      <c r="L2034" s="3" t="s">
        <v>5009</v>
      </c>
      <c r="M2034" s="3" t="s">
        <v>107</v>
      </c>
      <c r="N2034" s="3" t="s">
        <v>3900</v>
      </c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 t="s">
        <v>371</v>
      </c>
      <c r="AL2034" s="4">
        <v>41761</v>
      </c>
      <c r="AM2034" s="3"/>
      <c r="AN2034" s="3" t="s">
        <v>113</v>
      </c>
    </row>
    <row r="2035" spans="1:40" x14ac:dyDescent="0.3">
      <c r="A2035" s="3">
        <v>2029</v>
      </c>
      <c r="B2035" s="3" t="str">
        <f>"201800111899"</f>
        <v>201800111899</v>
      </c>
      <c r="C2035" s="3">
        <v>137330</v>
      </c>
      <c r="D2035" s="3" t="s">
        <v>7690</v>
      </c>
      <c r="E2035" s="3">
        <v>10266951375</v>
      </c>
      <c r="F2035" s="3" t="s">
        <v>7691</v>
      </c>
      <c r="G2035" s="3" t="s">
        <v>7692</v>
      </c>
      <c r="H2035" s="3" t="s">
        <v>357</v>
      </c>
      <c r="I2035" s="3" t="s">
        <v>357</v>
      </c>
      <c r="J2035" s="3" t="s">
        <v>357</v>
      </c>
      <c r="K2035" s="3" t="s">
        <v>7693</v>
      </c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 t="s">
        <v>1514</v>
      </c>
      <c r="AL2035" s="4">
        <v>43291</v>
      </c>
      <c r="AM2035" s="3"/>
      <c r="AN2035" s="3" t="s">
        <v>7691</v>
      </c>
    </row>
    <row r="2036" spans="1:40" ht="27.95" x14ac:dyDescent="0.3">
      <c r="A2036" s="3">
        <v>2030</v>
      </c>
      <c r="B2036" s="3" t="str">
        <f>"1600389"</f>
        <v>1600389</v>
      </c>
      <c r="C2036" s="3">
        <v>43217</v>
      </c>
      <c r="D2036" s="3" t="s">
        <v>7694</v>
      </c>
      <c r="E2036" s="3">
        <v>10235218831</v>
      </c>
      <c r="F2036" s="3" t="s">
        <v>462</v>
      </c>
      <c r="G2036" s="3" t="s">
        <v>7695</v>
      </c>
      <c r="H2036" s="3" t="s">
        <v>56</v>
      </c>
      <c r="I2036" s="3" t="s">
        <v>56</v>
      </c>
      <c r="J2036" s="3" t="s">
        <v>57</v>
      </c>
      <c r="K2036" s="3" t="s">
        <v>7696</v>
      </c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 t="s">
        <v>1341</v>
      </c>
      <c r="AL2036" s="4">
        <v>38825</v>
      </c>
      <c r="AM2036" s="3"/>
      <c r="AN2036" s="3"/>
    </row>
    <row r="2037" spans="1:40" x14ac:dyDescent="0.3">
      <c r="A2037" s="3">
        <v>2031</v>
      </c>
      <c r="B2037" s="3" t="str">
        <f>"201200126637"</f>
        <v>201200126637</v>
      </c>
      <c r="C2037" s="3">
        <v>97118</v>
      </c>
      <c r="D2037" s="3" t="s">
        <v>7697</v>
      </c>
      <c r="E2037" s="3">
        <v>20516822202</v>
      </c>
      <c r="F2037" s="3" t="s">
        <v>7373</v>
      </c>
      <c r="G2037" s="3" t="s">
        <v>7698</v>
      </c>
      <c r="H2037" s="3" t="s">
        <v>75</v>
      </c>
      <c r="I2037" s="3" t="s">
        <v>75</v>
      </c>
      <c r="J2037" s="3" t="s">
        <v>1358</v>
      </c>
      <c r="K2037" s="3" t="s">
        <v>7699</v>
      </c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 t="s">
        <v>4038</v>
      </c>
      <c r="AL2037" s="4">
        <v>41082</v>
      </c>
      <c r="AM2037" s="3"/>
      <c r="AN2037" s="3" t="s">
        <v>2748</v>
      </c>
    </row>
    <row r="2038" spans="1:40" ht="27.95" x14ac:dyDescent="0.3">
      <c r="A2038" s="3">
        <v>2032</v>
      </c>
      <c r="B2038" s="3" t="str">
        <f>"201900050416"</f>
        <v>201900050416</v>
      </c>
      <c r="C2038" s="3">
        <v>142312</v>
      </c>
      <c r="D2038" s="3" t="s">
        <v>7700</v>
      </c>
      <c r="E2038" s="3">
        <v>20522002021</v>
      </c>
      <c r="F2038" s="3" t="s">
        <v>7701</v>
      </c>
      <c r="G2038" s="3" t="s">
        <v>7702</v>
      </c>
      <c r="H2038" s="3" t="s">
        <v>56</v>
      </c>
      <c r="I2038" s="3" t="s">
        <v>56</v>
      </c>
      <c r="J2038" s="3" t="s">
        <v>715</v>
      </c>
      <c r="K2038" s="3" t="s">
        <v>7703</v>
      </c>
      <c r="L2038" s="3" t="s">
        <v>7704</v>
      </c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 t="s">
        <v>139</v>
      </c>
      <c r="AL2038" s="4">
        <v>43558</v>
      </c>
      <c r="AM2038" s="3"/>
      <c r="AN2038" s="3" t="s">
        <v>2767</v>
      </c>
    </row>
    <row r="2039" spans="1:40" x14ac:dyDescent="0.3">
      <c r="A2039" s="3">
        <v>2033</v>
      </c>
      <c r="B2039" s="3" t="str">
        <f>"201700060693"</f>
        <v>201700060693</v>
      </c>
      <c r="C2039" s="3">
        <v>128077</v>
      </c>
      <c r="D2039" s="3" t="s">
        <v>7705</v>
      </c>
      <c r="E2039" s="3">
        <v>20113539594</v>
      </c>
      <c r="F2039" s="3" t="s">
        <v>164</v>
      </c>
      <c r="G2039" s="3" t="s">
        <v>7706</v>
      </c>
      <c r="H2039" s="3" t="s">
        <v>50</v>
      </c>
      <c r="I2039" s="3" t="s">
        <v>50</v>
      </c>
      <c r="J2039" s="3" t="s">
        <v>50</v>
      </c>
      <c r="K2039" s="3" t="s">
        <v>7707</v>
      </c>
      <c r="L2039" s="3" t="s">
        <v>7708</v>
      </c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 t="s">
        <v>1538</v>
      </c>
      <c r="AL2039" s="4">
        <v>42859</v>
      </c>
      <c r="AM2039" s="3"/>
      <c r="AN2039" s="3" t="s">
        <v>626</v>
      </c>
    </row>
    <row r="2040" spans="1:40" x14ac:dyDescent="0.3">
      <c r="A2040" s="3">
        <v>2034</v>
      </c>
      <c r="B2040" s="3" t="str">
        <f>"201100159161"</f>
        <v>201100159161</v>
      </c>
      <c r="C2040" s="3">
        <v>94882</v>
      </c>
      <c r="D2040" s="3" t="s">
        <v>7709</v>
      </c>
      <c r="E2040" s="3">
        <v>20516532115</v>
      </c>
      <c r="F2040" s="3" t="s">
        <v>7710</v>
      </c>
      <c r="G2040" s="3" t="s">
        <v>7711</v>
      </c>
      <c r="H2040" s="3" t="s">
        <v>56</v>
      </c>
      <c r="I2040" s="3" t="s">
        <v>56</v>
      </c>
      <c r="J2040" s="3" t="s">
        <v>155</v>
      </c>
      <c r="K2040" s="3" t="s">
        <v>7712</v>
      </c>
      <c r="L2040" s="3" t="s">
        <v>7713</v>
      </c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 t="s">
        <v>7714</v>
      </c>
      <c r="AL2040" s="3" t="s">
        <v>290</v>
      </c>
      <c r="AM2040" s="3"/>
      <c r="AN2040" s="3" t="s">
        <v>7715</v>
      </c>
    </row>
    <row r="2041" spans="1:40" x14ac:dyDescent="0.3">
      <c r="A2041" s="3">
        <v>2035</v>
      </c>
      <c r="B2041" s="3" t="str">
        <f>"1121161"</f>
        <v>1121161</v>
      </c>
      <c r="C2041" s="3">
        <v>3504</v>
      </c>
      <c r="D2041" s="3">
        <v>990786</v>
      </c>
      <c r="E2041" s="3">
        <v>10254927746</v>
      </c>
      <c r="F2041" s="3" t="s">
        <v>7716</v>
      </c>
      <c r="G2041" s="3" t="s">
        <v>7717</v>
      </c>
      <c r="H2041" s="3" t="s">
        <v>75</v>
      </c>
      <c r="I2041" s="3" t="s">
        <v>75</v>
      </c>
      <c r="J2041" s="3" t="s">
        <v>76</v>
      </c>
      <c r="K2041" s="3" t="s">
        <v>7718</v>
      </c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 t="s">
        <v>157</v>
      </c>
      <c r="AL2041" s="4">
        <v>35618</v>
      </c>
      <c r="AM2041" s="3"/>
      <c r="AN2041" s="3"/>
    </row>
    <row r="2042" spans="1:40" x14ac:dyDescent="0.3">
      <c r="A2042" s="3">
        <v>2036</v>
      </c>
      <c r="B2042" s="3" t="str">
        <f>"201900157865"</f>
        <v>201900157865</v>
      </c>
      <c r="C2042" s="3">
        <v>146810</v>
      </c>
      <c r="D2042" s="3" t="s">
        <v>7719</v>
      </c>
      <c r="E2042" s="3">
        <v>20102314698</v>
      </c>
      <c r="F2042" s="3" t="s">
        <v>2272</v>
      </c>
      <c r="G2042" s="3" t="s">
        <v>7720</v>
      </c>
      <c r="H2042" s="3" t="s">
        <v>50</v>
      </c>
      <c r="I2042" s="3" t="s">
        <v>50</v>
      </c>
      <c r="J2042" s="3" t="s">
        <v>2274</v>
      </c>
      <c r="K2042" s="3" t="s">
        <v>7721</v>
      </c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 t="s">
        <v>504</v>
      </c>
      <c r="AL2042" s="4">
        <v>43755</v>
      </c>
      <c r="AM2042" s="3"/>
      <c r="AN2042" s="3" t="s">
        <v>7722</v>
      </c>
    </row>
    <row r="2043" spans="1:40" x14ac:dyDescent="0.3">
      <c r="A2043" s="3">
        <v>2037</v>
      </c>
      <c r="B2043" s="3" t="str">
        <f>"1121162"</f>
        <v>1121162</v>
      </c>
      <c r="C2043" s="3">
        <v>3503</v>
      </c>
      <c r="D2043" s="3">
        <v>990102</v>
      </c>
      <c r="E2043" s="3">
        <v>20161902684</v>
      </c>
      <c r="F2043" s="3" t="s">
        <v>7723</v>
      </c>
      <c r="G2043" s="3" t="s">
        <v>7724</v>
      </c>
      <c r="H2043" s="3" t="s">
        <v>75</v>
      </c>
      <c r="I2043" s="3" t="s">
        <v>75</v>
      </c>
      <c r="J2043" s="3" t="s">
        <v>76</v>
      </c>
      <c r="K2043" s="3" t="s">
        <v>7725</v>
      </c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 t="s">
        <v>187</v>
      </c>
      <c r="AL2043" s="4">
        <v>35618</v>
      </c>
      <c r="AM2043" s="3"/>
      <c r="AN2043" s="3"/>
    </row>
    <row r="2044" spans="1:40" x14ac:dyDescent="0.3">
      <c r="A2044" s="3">
        <v>2038</v>
      </c>
      <c r="B2044" s="3" t="str">
        <f>"1480591"</f>
        <v>1480591</v>
      </c>
      <c r="C2044" s="3">
        <v>36195</v>
      </c>
      <c r="D2044" s="3" t="s">
        <v>7726</v>
      </c>
      <c r="E2044" s="3">
        <v>10040035465</v>
      </c>
      <c r="F2044" s="3" t="s">
        <v>7727</v>
      </c>
      <c r="G2044" s="3" t="s">
        <v>3164</v>
      </c>
      <c r="H2044" s="3" t="s">
        <v>56</v>
      </c>
      <c r="I2044" s="3" t="s">
        <v>56</v>
      </c>
      <c r="J2044" s="3" t="s">
        <v>1677</v>
      </c>
      <c r="K2044" s="3" t="s">
        <v>7728</v>
      </c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 t="s">
        <v>2856</v>
      </c>
      <c r="AL2044" s="4">
        <v>38260</v>
      </c>
      <c r="AM2044" s="3"/>
      <c r="AN2044" s="3"/>
    </row>
    <row r="2045" spans="1:40" x14ac:dyDescent="0.3">
      <c r="A2045" s="3">
        <v>2039</v>
      </c>
      <c r="B2045" s="3" t="str">
        <f>"201400010821"</f>
        <v>201400010821</v>
      </c>
      <c r="C2045" s="3">
        <v>107206</v>
      </c>
      <c r="D2045" s="3" t="s">
        <v>7729</v>
      </c>
      <c r="E2045" s="3">
        <v>10425367761</v>
      </c>
      <c r="F2045" s="3" t="s">
        <v>3171</v>
      </c>
      <c r="G2045" s="3" t="s">
        <v>3172</v>
      </c>
      <c r="H2045" s="3" t="s">
        <v>50</v>
      </c>
      <c r="I2045" s="3" t="s">
        <v>749</v>
      </c>
      <c r="J2045" s="3" t="s">
        <v>749</v>
      </c>
      <c r="K2045" s="3" t="s">
        <v>7730</v>
      </c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 t="s">
        <v>2681</v>
      </c>
      <c r="AL2045" s="4">
        <v>41676</v>
      </c>
      <c r="AM2045" s="3"/>
      <c r="AN2045" s="3" t="s">
        <v>3171</v>
      </c>
    </row>
    <row r="2046" spans="1:40" x14ac:dyDescent="0.3">
      <c r="A2046" s="3">
        <v>2040</v>
      </c>
      <c r="B2046" s="3" t="str">
        <f>"201600103762"</f>
        <v>201600103762</v>
      </c>
      <c r="C2046" s="3">
        <v>122747</v>
      </c>
      <c r="D2046" s="3" t="s">
        <v>7731</v>
      </c>
      <c r="E2046" s="3">
        <v>10021570091</v>
      </c>
      <c r="F2046" s="3" t="s">
        <v>7732</v>
      </c>
      <c r="G2046" s="3" t="s">
        <v>7733</v>
      </c>
      <c r="H2046" s="3" t="s">
        <v>97</v>
      </c>
      <c r="I2046" s="3" t="s">
        <v>97</v>
      </c>
      <c r="J2046" s="3" t="s">
        <v>341</v>
      </c>
      <c r="K2046" s="3" t="s">
        <v>7734</v>
      </c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 t="s">
        <v>1341</v>
      </c>
      <c r="AL2046" s="4">
        <v>42572</v>
      </c>
      <c r="AM2046" s="3"/>
      <c r="AN2046" s="3" t="s">
        <v>7732</v>
      </c>
    </row>
    <row r="2047" spans="1:40" x14ac:dyDescent="0.3">
      <c r="A2047" s="3">
        <v>2041</v>
      </c>
      <c r="B2047" s="3" t="str">
        <f>"201800008762"</f>
        <v>201800008762</v>
      </c>
      <c r="C2047" s="3">
        <v>134083</v>
      </c>
      <c r="D2047" s="3" t="s">
        <v>7735</v>
      </c>
      <c r="E2047" s="3">
        <v>20100366747</v>
      </c>
      <c r="F2047" s="3" t="s">
        <v>4697</v>
      </c>
      <c r="G2047" s="3" t="s">
        <v>451</v>
      </c>
      <c r="H2047" s="3" t="s">
        <v>56</v>
      </c>
      <c r="I2047" s="3" t="s">
        <v>56</v>
      </c>
      <c r="J2047" s="3" t="s">
        <v>185</v>
      </c>
      <c r="K2047" s="3" t="s">
        <v>7736</v>
      </c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 t="s">
        <v>337</v>
      </c>
      <c r="AL2047" s="4">
        <v>43125</v>
      </c>
      <c r="AM2047" s="3"/>
      <c r="AN2047" s="3" t="s">
        <v>262</v>
      </c>
    </row>
    <row r="2048" spans="1:40" x14ac:dyDescent="0.3">
      <c r="A2048" s="3">
        <v>2042</v>
      </c>
      <c r="B2048" s="3" t="str">
        <f>"201600034473"</f>
        <v>201600034473</v>
      </c>
      <c r="C2048" s="3">
        <v>84014</v>
      </c>
      <c r="D2048" s="3" t="s">
        <v>7737</v>
      </c>
      <c r="E2048" s="3">
        <v>20100366747</v>
      </c>
      <c r="F2048" s="3" t="s">
        <v>258</v>
      </c>
      <c r="G2048" s="3" t="s">
        <v>259</v>
      </c>
      <c r="H2048" s="3" t="s">
        <v>56</v>
      </c>
      <c r="I2048" s="3" t="s">
        <v>56</v>
      </c>
      <c r="J2048" s="3" t="s">
        <v>185</v>
      </c>
      <c r="K2048" s="3" t="s">
        <v>7738</v>
      </c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 t="s">
        <v>211</v>
      </c>
      <c r="AL2048" s="4">
        <v>42460</v>
      </c>
      <c r="AM2048" s="3"/>
      <c r="AN2048" s="3" t="s">
        <v>262</v>
      </c>
    </row>
    <row r="2049" spans="1:40" x14ac:dyDescent="0.3">
      <c r="A2049" s="3">
        <v>2043</v>
      </c>
      <c r="B2049" s="3" t="str">
        <f>"201800008768"</f>
        <v>201800008768</v>
      </c>
      <c r="C2049" s="3">
        <v>134084</v>
      </c>
      <c r="D2049" s="3" t="s">
        <v>7739</v>
      </c>
      <c r="E2049" s="3">
        <v>20100366747</v>
      </c>
      <c r="F2049" s="3" t="s">
        <v>258</v>
      </c>
      <c r="G2049" s="3" t="s">
        <v>451</v>
      </c>
      <c r="H2049" s="3" t="s">
        <v>56</v>
      </c>
      <c r="I2049" s="3" t="s">
        <v>56</v>
      </c>
      <c r="J2049" s="3" t="s">
        <v>185</v>
      </c>
      <c r="K2049" s="3" t="s">
        <v>7740</v>
      </c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 t="s">
        <v>337</v>
      </c>
      <c r="AL2049" s="4">
        <v>43124</v>
      </c>
      <c r="AM2049" s="3"/>
      <c r="AN2049" s="3" t="s">
        <v>262</v>
      </c>
    </row>
    <row r="2050" spans="1:40" ht="27.95" x14ac:dyDescent="0.3">
      <c r="A2050" s="3">
        <v>2044</v>
      </c>
      <c r="B2050" s="3" t="str">
        <f>"1500657"</f>
        <v>1500657</v>
      </c>
      <c r="C2050" s="3">
        <v>93599</v>
      </c>
      <c r="D2050" s="3" t="s">
        <v>7741</v>
      </c>
      <c r="E2050" s="3">
        <v>10422565596</v>
      </c>
      <c r="F2050" s="3" t="s">
        <v>7742</v>
      </c>
      <c r="G2050" s="3" t="s">
        <v>7743</v>
      </c>
      <c r="H2050" s="3" t="s">
        <v>56</v>
      </c>
      <c r="I2050" s="3" t="s">
        <v>56</v>
      </c>
      <c r="J2050" s="3" t="s">
        <v>331</v>
      </c>
      <c r="K2050" s="3" t="s">
        <v>7744</v>
      </c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 t="s">
        <v>707</v>
      </c>
      <c r="AL2050" s="4">
        <v>40815</v>
      </c>
      <c r="AM2050" s="3"/>
      <c r="AN2050" s="3" t="s">
        <v>7742</v>
      </c>
    </row>
    <row r="2051" spans="1:40" x14ac:dyDescent="0.3">
      <c r="A2051" s="3">
        <v>2045</v>
      </c>
      <c r="B2051" s="3" t="str">
        <f>"201600034481"</f>
        <v>201600034481</v>
      </c>
      <c r="C2051" s="3">
        <v>96329</v>
      </c>
      <c r="D2051" s="3" t="s">
        <v>7745</v>
      </c>
      <c r="E2051" s="3">
        <v>20100366747</v>
      </c>
      <c r="F2051" s="3" t="s">
        <v>258</v>
      </c>
      <c r="G2051" s="3" t="s">
        <v>766</v>
      </c>
      <c r="H2051" s="3" t="s">
        <v>56</v>
      </c>
      <c r="I2051" s="3" t="s">
        <v>56</v>
      </c>
      <c r="J2051" s="3" t="s">
        <v>185</v>
      </c>
      <c r="K2051" s="3" t="s">
        <v>7746</v>
      </c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 t="s">
        <v>5783</v>
      </c>
      <c r="AL2051" s="4">
        <v>42460</v>
      </c>
      <c r="AM2051" s="3"/>
      <c r="AN2051" s="3" t="s">
        <v>262</v>
      </c>
    </row>
    <row r="2052" spans="1:40" x14ac:dyDescent="0.3">
      <c r="A2052" s="3">
        <v>2046</v>
      </c>
      <c r="B2052" s="3" t="str">
        <f>"201600119099"</f>
        <v>201600119099</v>
      </c>
      <c r="C2052" s="3">
        <v>123327</v>
      </c>
      <c r="D2052" s="3" t="s">
        <v>7747</v>
      </c>
      <c r="E2052" s="3">
        <v>20462279991</v>
      </c>
      <c r="F2052" s="3" t="s">
        <v>7748</v>
      </c>
      <c r="G2052" s="3" t="s">
        <v>7749</v>
      </c>
      <c r="H2052" s="3" t="s">
        <v>395</v>
      </c>
      <c r="I2052" s="3" t="s">
        <v>396</v>
      </c>
      <c r="J2052" s="3" t="s">
        <v>397</v>
      </c>
      <c r="K2052" s="3" t="s">
        <v>7750</v>
      </c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 t="s">
        <v>1679</v>
      </c>
      <c r="AL2052" s="4">
        <v>42703</v>
      </c>
      <c r="AM2052" s="3"/>
      <c r="AN2052" s="3" t="s">
        <v>7751</v>
      </c>
    </row>
    <row r="2053" spans="1:40" x14ac:dyDescent="0.3">
      <c r="A2053" s="3">
        <v>2047</v>
      </c>
      <c r="B2053" s="3" t="str">
        <f>"1477978"</f>
        <v>1477978</v>
      </c>
      <c r="C2053" s="3">
        <v>91924</v>
      </c>
      <c r="D2053" s="3" t="s">
        <v>7752</v>
      </c>
      <c r="E2053" s="3">
        <v>20525521509</v>
      </c>
      <c r="F2053" s="3" t="s">
        <v>7753</v>
      </c>
      <c r="G2053" s="3" t="s">
        <v>190</v>
      </c>
      <c r="H2053" s="3" t="s">
        <v>50</v>
      </c>
      <c r="I2053" s="3" t="s">
        <v>50</v>
      </c>
      <c r="J2053" s="3" t="s">
        <v>98</v>
      </c>
      <c r="K2053" s="3" t="s">
        <v>7754</v>
      </c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 t="s">
        <v>1087</v>
      </c>
      <c r="AL2053" s="4">
        <v>40641</v>
      </c>
      <c r="AM2053" s="3"/>
      <c r="AN2053" s="3" t="s">
        <v>885</v>
      </c>
    </row>
    <row r="2054" spans="1:40" x14ac:dyDescent="0.3">
      <c r="A2054" s="3">
        <v>2048</v>
      </c>
      <c r="B2054" s="3" t="str">
        <f>"201500007855"</f>
        <v>201500007855</v>
      </c>
      <c r="C2054" s="3">
        <v>113572</v>
      </c>
      <c r="D2054" s="3" t="s">
        <v>7755</v>
      </c>
      <c r="E2054" s="3">
        <v>10018780599</v>
      </c>
      <c r="F2054" s="3" t="s">
        <v>4063</v>
      </c>
      <c r="G2054" s="3" t="s">
        <v>7756</v>
      </c>
      <c r="H2054" s="3" t="s">
        <v>202</v>
      </c>
      <c r="I2054" s="3" t="s">
        <v>202</v>
      </c>
      <c r="J2054" s="3" t="s">
        <v>904</v>
      </c>
      <c r="K2054" s="3" t="s">
        <v>7757</v>
      </c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 t="s">
        <v>574</v>
      </c>
      <c r="AL2054" s="4">
        <v>42062</v>
      </c>
      <c r="AM2054" s="3"/>
      <c r="AN2054" s="3" t="s">
        <v>4063</v>
      </c>
    </row>
    <row r="2055" spans="1:40" x14ac:dyDescent="0.3">
      <c r="A2055" s="3">
        <v>2049</v>
      </c>
      <c r="B2055" s="3" t="str">
        <f>"201900088048"</f>
        <v>201900088048</v>
      </c>
      <c r="C2055" s="3">
        <v>41749</v>
      </c>
      <c r="D2055" s="3" t="s">
        <v>7758</v>
      </c>
      <c r="E2055" s="3">
        <v>20486695499</v>
      </c>
      <c r="F2055" s="3" t="s">
        <v>7759</v>
      </c>
      <c r="G2055" s="3" t="s">
        <v>7760</v>
      </c>
      <c r="H2055" s="3" t="s">
        <v>56</v>
      </c>
      <c r="I2055" s="3" t="s">
        <v>56</v>
      </c>
      <c r="J2055" s="3" t="s">
        <v>63</v>
      </c>
      <c r="K2055" s="3" t="s">
        <v>7761</v>
      </c>
      <c r="L2055" s="3" t="s">
        <v>7762</v>
      </c>
      <c r="M2055" s="3" t="s">
        <v>7763</v>
      </c>
      <c r="N2055" s="3" t="s">
        <v>7764</v>
      </c>
      <c r="O2055" s="3" t="s">
        <v>7765</v>
      </c>
      <c r="P2055" s="3" t="s">
        <v>7766</v>
      </c>
      <c r="Q2055" s="3" t="s">
        <v>7767</v>
      </c>
      <c r="R2055" s="3" t="s">
        <v>4700</v>
      </c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 t="s">
        <v>371</v>
      </c>
      <c r="AL2055" s="4">
        <v>43623</v>
      </c>
      <c r="AM2055" s="3"/>
      <c r="AN2055" s="3" t="s">
        <v>7768</v>
      </c>
    </row>
    <row r="2056" spans="1:40" ht="27.95" x14ac:dyDescent="0.3">
      <c r="A2056" s="3">
        <v>2050</v>
      </c>
      <c r="B2056" s="3" t="str">
        <f>"1525897"</f>
        <v>1525897</v>
      </c>
      <c r="C2056" s="3">
        <v>36590</v>
      </c>
      <c r="D2056" s="3" t="s">
        <v>7769</v>
      </c>
      <c r="E2056" s="3">
        <v>20100076749</v>
      </c>
      <c r="F2056" s="3" t="s">
        <v>159</v>
      </c>
      <c r="G2056" s="3" t="s">
        <v>2636</v>
      </c>
      <c r="H2056" s="3" t="s">
        <v>56</v>
      </c>
      <c r="I2056" s="3" t="s">
        <v>56</v>
      </c>
      <c r="J2056" s="3" t="s">
        <v>121</v>
      </c>
      <c r="K2056" s="3" t="s">
        <v>7770</v>
      </c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 t="s">
        <v>546</v>
      </c>
      <c r="AL2056" s="4">
        <v>38454</v>
      </c>
      <c r="AM2056" s="3"/>
      <c r="AN2056" s="3"/>
    </row>
    <row r="2057" spans="1:40" x14ac:dyDescent="0.3">
      <c r="A2057" s="3">
        <v>2051</v>
      </c>
      <c r="B2057" s="3" t="str">
        <f>"1110999"</f>
        <v>1110999</v>
      </c>
      <c r="C2057" s="3">
        <v>3552</v>
      </c>
      <c r="D2057" s="3">
        <v>990473</v>
      </c>
      <c r="E2057" s="3">
        <v>10086325158</v>
      </c>
      <c r="F2057" s="3" t="s">
        <v>7771</v>
      </c>
      <c r="G2057" s="3" t="s">
        <v>7772</v>
      </c>
      <c r="H2057" s="3" t="s">
        <v>56</v>
      </c>
      <c r="I2057" s="3" t="s">
        <v>56</v>
      </c>
      <c r="J2057" s="3" t="s">
        <v>63</v>
      </c>
      <c r="K2057" s="3" t="s">
        <v>7773</v>
      </c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 t="s">
        <v>546</v>
      </c>
      <c r="AL2057" s="4">
        <v>35520</v>
      </c>
      <c r="AM2057" s="3"/>
      <c r="AN2057" s="3"/>
    </row>
    <row r="2058" spans="1:40" x14ac:dyDescent="0.3">
      <c r="A2058" s="3">
        <v>2052</v>
      </c>
      <c r="B2058" s="3" t="str">
        <f>"1351637"</f>
        <v>1351637</v>
      </c>
      <c r="C2058" s="3">
        <v>86613</v>
      </c>
      <c r="D2058" s="3" t="s">
        <v>7774</v>
      </c>
      <c r="E2058" s="3">
        <v>20102314698</v>
      </c>
      <c r="F2058" s="3" t="s">
        <v>1185</v>
      </c>
      <c r="G2058" s="3" t="s">
        <v>6819</v>
      </c>
      <c r="H2058" s="3" t="s">
        <v>56</v>
      </c>
      <c r="I2058" s="3" t="s">
        <v>56</v>
      </c>
      <c r="J2058" s="3" t="s">
        <v>331</v>
      </c>
      <c r="K2058" s="3" t="s">
        <v>7775</v>
      </c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 t="s">
        <v>256</v>
      </c>
      <c r="AL2058" s="4">
        <v>40315</v>
      </c>
      <c r="AM2058" s="3"/>
      <c r="AN2058" s="3" t="s">
        <v>1189</v>
      </c>
    </row>
    <row r="2059" spans="1:40" ht="27.95" x14ac:dyDescent="0.3">
      <c r="A2059" s="3">
        <v>2053</v>
      </c>
      <c r="B2059" s="3" t="str">
        <f>"201800105442"</f>
        <v>201800105442</v>
      </c>
      <c r="C2059" s="3">
        <v>107216</v>
      </c>
      <c r="D2059" s="3" t="s">
        <v>7776</v>
      </c>
      <c r="E2059" s="3">
        <v>20547314426</v>
      </c>
      <c r="F2059" s="3" t="s">
        <v>5264</v>
      </c>
      <c r="G2059" s="3" t="s">
        <v>7777</v>
      </c>
      <c r="H2059" s="3" t="s">
        <v>56</v>
      </c>
      <c r="I2059" s="3" t="s">
        <v>56</v>
      </c>
      <c r="J2059" s="3" t="s">
        <v>273</v>
      </c>
      <c r="K2059" s="3" t="s">
        <v>7778</v>
      </c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 t="s">
        <v>47</v>
      </c>
      <c r="AL2059" s="4">
        <v>43286</v>
      </c>
      <c r="AM2059" s="3"/>
      <c r="AN2059" s="3" t="s">
        <v>1039</v>
      </c>
    </row>
    <row r="2060" spans="1:40" ht="27.95" x14ac:dyDescent="0.3">
      <c r="A2060" s="3">
        <v>2054</v>
      </c>
      <c r="B2060" s="3" t="str">
        <f>"201900080989"</f>
        <v>201900080989</v>
      </c>
      <c r="C2060" s="3">
        <v>132803</v>
      </c>
      <c r="D2060" s="3" t="s">
        <v>7779</v>
      </c>
      <c r="E2060" s="3">
        <v>10254801289</v>
      </c>
      <c r="F2060" s="3" t="s">
        <v>7780</v>
      </c>
      <c r="G2060" s="3" t="s">
        <v>2092</v>
      </c>
      <c r="H2060" s="3" t="s">
        <v>75</v>
      </c>
      <c r="I2060" s="3" t="s">
        <v>75</v>
      </c>
      <c r="J2060" s="3" t="s">
        <v>76</v>
      </c>
      <c r="K2060" s="3" t="s">
        <v>7781</v>
      </c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 t="s">
        <v>118</v>
      </c>
      <c r="AL2060" s="4">
        <v>43612</v>
      </c>
      <c r="AM2060" s="3"/>
      <c r="AN2060" s="3" t="s">
        <v>1355</v>
      </c>
    </row>
    <row r="2061" spans="1:40" x14ac:dyDescent="0.3">
      <c r="A2061" s="3">
        <v>2055</v>
      </c>
      <c r="B2061" s="3" t="str">
        <f>"201900124036"</f>
        <v>201900124036</v>
      </c>
      <c r="C2061" s="3">
        <v>122942</v>
      </c>
      <c r="D2061" s="3" t="s">
        <v>7782</v>
      </c>
      <c r="E2061" s="3">
        <v>20100007348</v>
      </c>
      <c r="F2061" s="3" t="s">
        <v>929</v>
      </c>
      <c r="G2061" s="3" t="s">
        <v>7783</v>
      </c>
      <c r="H2061" s="3" t="s">
        <v>75</v>
      </c>
      <c r="I2061" s="3" t="s">
        <v>75</v>
      </c>
      <c r="J2061" s="3" t="s">
        <v>76</v>
      </c>
      <c r="K2061" s="3" t="s">
        <v>7784</v>
      </c>
      <c r="L2061" s="3" t="s">
        <v>7785</v>
      </c>
      <c r="M2061" s="3" t="s">
        <v>4239</v>
      </c>
      <c r="N2061" s="3" t="s">
        <v>7786</v>
      </c>
      <c r="O2061" s="3" t="s">
        <v>7787</v>
      </c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 t="s">
        <v>3846</v>
      </c>
      <c r="AL2061" s="4">
        <v>43684</v>
      </c>
      <c r="AM2061" s="3"/>
      <c r="AN2061" s="3" t="s">
        <v>5648</v>
      </c>
    </row>
    <row r="2062" spans="1:40" x14ac:dyDescent="0.3">
      <c r="A2062" s="3">
        <v>2056</v>
      </c>
      <c r="B2062" s="3" t="str">
        <f>"201600034486"</f>
        <v>201600034486</v>
      </c>
      <c r="C2062" s="3">
        <v>103721</v>
      </c>
      <c r="D2062" s="3" t="s">
        <v>7788</v>
      </c>
      <c r="E2062" s="3">
        <v>20100366747</v>
      </c>
      <c r="F2062" s="3" t="s">
        <v>258</v>
      </c>
      <c r="G2062" s="3" t="s">
        <v>766</v>
      </c>
      <c r="H2062" s="3" t="s">
        <v>56</v>
      </c>
      <c r="I2062" s="3" t="s">
        <v>56</v>
      </c>
      <c r="J2062" s="3" t="s">
        <v>185</v>
      </c>
      <c r="K2062" s="3" t="s">
        <v>7789</v>
      </c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 t="s">
        <v>118</v>
      </c>
      <c r="AL2062" s="4">
        <v>42471</v>
      </c>
      <c r="AM2062" s="3"/>
      <c r="AN2062" s="3" t="s">
        <v>3808</v>
      </c>
    </row>
    <row r="2063" spans="1:40" x14ac:dyDescent="0.3">
      <c r="A2063" s="3">
        <v>2057</v>
      </c>
      <c r="B2063" s="3" t="str">
        <f>"201900151706"</f>
        <v>201900151706</v>
      </c>
      <c r="C2063" s="3">
        <v>146621</v>
      </c>
      <c r="D2063" s="3" t="s">
        <v>7790</v>
      </c>
      <c r="E2063" s="3">
        <v>20450742342</v>
      </c>
      <c r="F2063" s="3" t="s">
        <v>7791</v>
      </c>
      <c r="G2063" s="3" t="s">
        <v>7792</v>
      </c>
      <c r="H2063" s="3" t="s">
        <v>446</v>
      </c>
      <c r="I2063" s="3" t="s">
        <v>7793</v>
      </c>
      <c r="J2063" s="3" t="s">
        <v>7794</v>
      </c>
      <c r="K2063" s="3" t="s">
        <v>7795</v>
      </c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 t="s">
        <v>7796</v>
      </c>
      <c r="AL2063" s="4">
        <v>43728</v>
      </c>
      <c r="AM2063" s="3"/>
      <c r="AN2063" s="3" t="s">
        <v>7797</v>
      </c>
    </row>
    <row r="2064" spans="1:40" x14ac:dyDescent="0.3">
      <c r="A2064" s="3">
        <v>2058</v>
      </c>
      <c r="B2064" s="3" t="str">
        <f>"201400012244"</f>
        <v>201400012244</v>
      </c>
      <c r="C2064" s="3">
        <v>106697</v>
      </c>
      <c r="D2064" s="3" t="s">
        <v>7798</v>
      </c>
      <c r="E2064" s="3">
        <v>20542206188</v>
      </c>
      <c r="F2064" s="3" t="s">
        <v>1717</v>
      </c>
      <c r="G2064" s="3" t="s">
        <v>1718</v>
      </c>
      <c r="H2064" s="3" t="s">
        <v>172</v>
      </c>
      <c r="I2064" s="3" t="s">
        <v>172</v>
      </c>
      <c r="J2064" s="3" t="s">
        <v>1719</v>
      </c>
      <c r="K2064" s="3" t="s">
        <v>7799</v>
      </c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 t="s">
        <v>7800</v>
      </c>
      <c r="AL2064" s="4">
        <v>41677</v>
      </c>
      <c r="AM2064" s="3"/>
      <c r="AN2064" s="3" t="s">
        <v>1722</v>
      </c>
    </row>
    <row r="2065" spans="1:40" x14ac:dyDescent="0.3">
      <c r="A2065" s="3">
        <v>2059</v>
      </c>
      <c r="B2065" s="3" t="str">
        <f>"201600034483"</f>
        <v>201600034483</v>
      </c>
      <c r="C2065" s="3">
        <v>96345</v>
      </c>
      <c r="D2065" s="3" t="s">
        <v>7801</v>
      </c>
      <c r="E2065" s="3">
        <v>20100366747</v>
      </c>
      <c r="F2065" s="3" t="s">
        <v>258</v>
      </c>
      <c r="G2065" s="3" t="s">
        <v>766</v>
      </c>
      <c r="H2065" s="3" t="s">
        <v>56</v>
      </c>
      <c r="I2065" s="3" t="s">
        <v>56</v>
      </c>
      <c r="J2065" s="3" t="s">
        <v>185</v>
      </c>
      <c r="K2065" s="3" t="s">
        <v>7802</v>
      </c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 t="s">
        <v>7803</v>
      </c>
      <c r="AL2065" s="4">
        <v>42460</v>
      </c>
      <c r="AM2065" s="3"/>
      <c r="AN2065" s="3" t="s">
        <v>262</v>
      </c>
    </row>
    <row r="2066" spans="1:40" x14ac:dyDescent="0.3">
      <c r="A2066" s="3">
        <v>2060</v>
      </c>
      <c r="B2066" s="3" t="str">
        <f>"201900000139"</f>
        <v>201900000139</v>
      </c>
      <c r="C2066" s="3">
        <v>140614</v>
      </c>
      <c r="D2066" s="3" t="s">
        <v>7804</v>
      </c>
      <c r="E2066" s="3">
        <v>20603610955</v>
      </c>
      <c r="F2066" s="3" t="s">
        <v>7805</v>
      </c>
      <c r="G2066" s="3" t="s">
        <v>7806</v>
      </c>
      <c r="H2066" s="3" t="s">
        <v>44</v>
      </c>
      <c r="I2066" s="3" t="s">
        <v>45</v>
      </c>
      <c r="J2066" s="3" t="s">
        <v>45</v>
      </c>
      <c r="K2066" s="3" t="s">
        <v>7807</v>
      </c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 t="s">
        <v>7808</v>
      </c>
      <c r="AL2066" s="4">
        <v>43479</v>
      </c>
      <c r="AM2066" s="3"/>
      <c r="AN2066" s="3" t="s">
        <v>7809</v>
      </c>
    </row>
    <row r="2067" spans="1:40" x14ac:dyDescent="0.3">
      <c r="A2067" s="3">
        <v>2061</v>
      </c>
      <c r="B2067" s="3" t="str">
        <f>"201600034490"</f>
        <v>201600034490</v>
      </c>
      <c r="C2067" s="3">
        <v>86349</v>
      </c>
      <c r="D2067" s="3" t="s">
        <v>7810</v>
      </c>
      <c r="E2067" s="3">
        <v>20100366747</v>
      </c>
      <c r="F2067" s="3" t="s">
        <v>258</v>
      </c>
      <c r="G2067" s="3" t="s">
        <v>259</v>
      </c>
      <c r="H2067" s="3" t="s">
        <v>56</v>
      </c>
      <c r="I2067" s="3" t="s">
        <v>56</v>
      </c>
      <c r="J2067" s="3" t="s">
        <v>185</v>
      </c>
      <c r="K2067" s="3" t="s">
        <v>7811</v>
      </c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 t="s">
        <v>118</v>
      </c>
      <c r="AL2067" s="4">
        <v>42457</v>
      </c>
      <c r="AM2067" s="3"/>
      <c r="AN2067" s="3" t="s">
        <v>262</v>
      </c>
    </row>
    <row r="2068" spans="1:40" x14ac:dyDescent="0.3">
      <c r="A2068" s="3">
        <v>2062</v>
      </c>
      <c r="B2068" s="3" t="str">
        <f>"201300034122"</f>
        <v>201300034122</v>
      </c>
      <c r="C2068" s="3">
        <v>100959</v>
      </c>
      <c r="D2068" s="3" t="s">
        <v>7812</v>
      </c>
      <c r="E2068" s="3">
        <v>10292917177</v>
      </c>
      <c r="F2068" s="3" t="s">
        <v>7813</v>
      </c>
      <c r="G2068" s="3" t="s">
        <v>7814</v>
      </c>
      <c r="H2068" s="3" t="s">
        <v>97</v>
      </c>
      <c r="I2068" s="3" t="s">
        <v>97</v>
      </c>
      <c r="J2068" s="3" t="s">
        <v>326</v>
      </c>
      <c r="K2068" s="3" t="s">
        <v>7815</v>
      </c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 t="s">
        <v>1188</v>
      </c>
      <c r="AL2068" s="4">
        <v>41331</v>
      </c>
      <c r="AM2068" s="3"/>
      <c r="AN2068" s="3" t="s">
        <v>7813</v>
      </c>
    </row>
    <row r="2069" spans="1:40" x14ac:dyDescent="0.3">
      <c r="A2069" s="3">
        <v>2063</v>
      </c>
      <c r="B2069" s="3" t="str">
        <f>"202000107454"</f>
        <v>202000107454</v>
      </c>
      <c r="C2069" s="3">
        <v>121125</v>
      </c>
      <c r="D2069" s="3" t="s">
        <v>7816</v>
      </c>
      <c r="E2069" s="3">
        <v>20600790898</v>
      </c>
      <c r="F2069" s="3" t="s">
        <v>6012</v>
      </c>
      <c r="G2069" s="3" t="s">
        <v>6013</v>
      </c>
      <c r="H2069" s="3" t="s">
        <v>1208</v>
      </c>
      <c r="I2069" s="3" t="s">
        <v>1209</v>
      </c>
      <c r="J2069" s="3" t="s">
        <v>1209</v>
      </c>
      <c r="K2069" s="3" t="s">
        <v>7817</v>
      </c>
      <c r="L2069" s="3" t="s">
        <v>7818</v>
      </c>
      <c r="M2069" s="3" t="s">
        <v>6015</v>
      </c>
      <c r="N2069" s="3" t="s">
        <v>6016</v>
      </c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 t="s">
        <v>2281</v>
      </c>
      <c r="AL2069" s="4">
        <v>44068</v>
      </c>
      <c r="AM2069" s="3"/>
      <c r="AN2069" s="3" t="s">
        <v>7819</v>
      </c>
    </row>
    <row r="2070" spans="1:40" x14ac:dyDescent="0.3">
      <c r="A2070" s="3">
        <v>2064</v>
      </c>
      <c r="B2070" s="3" t="str">
        <f>"1500644"</f>
        <v>1500644</v>
      </c>
      <c r="C2070" s="3">
        <v>93687</v>
      </c>
      <c r="D2070" s="3" t="s">
        <v>7820</v>
      </c>
      <c r="E2070" s="3">
        <v>20404723392</v>
      </c>
      <c r="F2070" s="3" t="s">
        <v>642</v>
      </c>
      <c r="G2070" s="3" t="s">
        <v>7821</v>
      </c>
      <c r="H2070" s="3" t="s">
        <v>89</v>
      </c>
      <c r="I2070" s="3" t="s">
        <v>89</v>
      </c>
      <c r="J2070" s="3" t="s">
        <v>90</v>
      </c>
      <c r="K2070" s="3" t="s">
        <v>7822</v>
      </c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 t="s">
        <v>157</v>
      </c>
      <c r="AL2070" s="4">
        <v>40801</v>
      </c>
      <c r="AM2070" s="3"/>
      <c r="AN2070" s="3" t="s">
        <v>93</v>
      </c>
    </row>
    <row r="2071" spans="1:40" x14ac:dyDescent="0.3">
      <c r="A2071" s="3">
        <v>2065</v>
      </c>
      <c r="B2071" s="3" t="str">
        <f>"1219064"</f>
        <v>1219064</v>
      </c>
      <c r="C2071" s="3">
        <v>15476</v>
      </c>
      <c r="D2071" s="3">
        <v>1219064</v>
      </c>
      <c r="E2071" s="3">
        <v>20100366747</v>
      </c>
      <c r="F2071" s="3" t="s">
        <v>258</v>
      </c>
      <c r="G2071" s="3" t="s">
        <v>1055</v>
      </c>
      <c r="H2071" s="3" t="s">
        <v>56</v>
      </c>
      <c r="I2071" s="3" t="s">
        <v>56</v>
      </c>
      <c r="J2071" s="3" t="s">
        <v>185</v>
      </c>
      <c r="K2071" s="3" t="s">
        <v>7823</v>
      </c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 t="s">
        <v>2041</v>
      </c>
      <c r="AL2071" s="4">
        <v>36188</v>
      </c>
      <c r="AM2071" s="3"/>
      <c r="AN2071" s="3"/>
    </row>
    <row r="2072" spans="1:40" ht="27.95" x14ac:dyDescent="0.3">
      <c r="A2072" s="3">
        <v>2066</v>
      </c>
      <c r="B2072" s="3" t="str">
        <f>"201500096109"</f>
        <v>201500096109</v>
      </c>
      <c r="C2072" s="3">
        <v>116548</v>
      </c>
      <c r="D2072" s="3" t="s">
        <v>7824</v>
      </c>
      <c r="E2072" s="3">
        <v>20455656886</v>
      </c>
      <c r="F2072" s="3" t="s">
        <v>7825</v>
      </c>
      <c r="G2072" s="3" t="s">
        <v>7826</v>
      </c>
      <c r="H2072" s="3" t="s">
        <v>97</v>
      </c>
      <c r="I2072" s="3" t="s">
        <v>97</v>
      </c>
      <c r="J2072" s="3" t="s">
        <v>6512</v>
      </c>
      <c r="K2072" s="3" t="s">
        <v>7827</v>
      </c>
      <c r="L2072" s="3" t="s">
        <v>7828</v>
      </c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 t="s">
        <v>7829</v>
      </c>
      <c r="AL2072" s="4">
        <v>42249</v>
      </c>
      <c r="AM2072" s="3"/>
      <c r="AN2072" s="3" t="s">
        <v>7830</v>
      </c>
    </row>
    <row r="2073" spans="1:40" x14ac:dyDescent="0.3">
      <c r="A2073" s="3">
        <v>2067</v>
      </c>
      <c r="B2073" s="3" t="str">
        <f>"1155478"</f>
        <v>1155478</v>
      </c>
      <c r="C2073" s="3">
        <v>6121</v>
      </c>
      <c r="D2073" s="3">
        <v>1155478</v>
      </c>
      <c r="E2073" s="3">
        <v>20115691962</v>
      </c>
      <c r="F2073" s="3" t="s">
        <v>3661</v>
      </c>
      <c r="G2073" s="3" t="s">
        <v>3662</v>
      </c>
      <c r="H2073" s="3" t="s">
        <v>743</v>
      </c>
      <c r="I2073" s="3" t="s">
        <v>1031</v>
      </c>
      <c r="J2073" s="3" t="s">
        <v>1031</v>
      </c>
      <c r="K2073" s="3" t="s">
        <v>7831</v>
      </c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 t="s">
        <v>256</v>
      </c>
      <c r="AL2073" s="4">
        <v>35746</v>
      </c>
      <c r="AM2073" s="3"/>
      <c r="AN2073" s="3"/>
    </row>
    <row r="2074" spans="1:40" x14ac:dyDescent="0.3">
      <c r="A2074" s="3">
        <v>2068</v>
      </c>
      <c r="B2074" s="3" t="str">
        <f>"201400069570"</f>
        <v>201400069570</v>
      </c>
      <c r="C2074" s="3">
        <v>109784</v>
      </c>
      <c r="D2074" s="3" t="s">
        <v>7832</v>
      </c>
      <c r="E2074" s="3">
        <v>20533677984</v>
      </c>
      <c r="F2074" s="3" t="s">
        <v>7833</v>
      </c>
      <c r="G2074" s="3" t="s">
        <v>7834</v>
      </c>
      <c r="H2074" s="3" t="s">
        <v>271</v>
      </c>
      <c r="I2074" s="3" t="s">
        <v>7835</v>
      </c>
      <c r="J2074" s="3" t="s">
        <v>7835</v>
      </c>
      <c r="K2074" s="3" t="s">
        <v>7836</v>
      </c>
      <c r="L2074" s="3" t="s">
        <v>7837</v>
      </c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 t="s">
        <v>4540</v>
      </c>
      <c r="AL2074" s="4">
        <v>41807</v>
      </c>
      <c r="AM2074" s="3"/>
      <c r="AN2074" s="3" t="s">
        <v>7838</v>
      </c>
    </row>
    <row r="2075" spans="1:40" x14ac:dyDescent="0.3">
      <c r="A2075" s="3">
        <v>2069</v>
      </c>
      <c r="B2075" s="3" t="str">
        <f>"201900080992"</f>
        <v>201900080992</v>
      </c>
      <c r="C2075" s="3">
        <v>132802</v>
      </c>
      <c r="D2075" s="3" t="s">
        <v>7839</v>
      </c>
      <c r="E2075" s="3">
        <v>10254801289</v>
      </c>
      <c r="F2075" s="3" t="s">
        <v>7840</v>
      </c>
      <c r="G2075" s="3" t="s">
        <v>7841</v>
      </c>
      <c r="H2075" s="3" t="s">
        <v>75</v>
      </c>
      <c r="I2075" s="3" t="s">
        <v>75</v>
      </c>
      <c r="J2075" s="3" t="s">
        <v>2698</v>
      </c>
      <c r="K2075" s="3" t="s">
        <v>7842</v>
      </c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 t="s">
        <v>118</v>
      </c>
      <c r="AL2075" s="4">
        <v>43612</v>
      </c>
      <c r="AM2075" s="3"/>
      <c r="AN2075" s="3" t="s">
        <v>7840</v>
      </c>
    </row>
    <row r="2076" spans="1:40" x14ac:dyDescent="0.3">
      <c r="A2076" s="3">
        <v>2070</v>
      </c>
      <c r="B2076" s="3" t="str">
        <f>"201800008745"</f>
        <v>201800008745</v>
      </c>
      <c r="C2076" s="3">
        <v>134081</v>
      </c>
      <c r="D2076" s="3" t="s">
        <v>7843</v>
      </c>
      <c r="E2076" s="3">
        <v>20100366747</v>
      </c>
      <c r="F2076" s="3" t="s">
        <v>258</v>
      </c>
      <c r="G2076" s="3" t="s">
        <v>451</v>
      </c>
      <c r="H2076" s="3" t="s">
        <v>56</v>
      </c>
      <c r="I2076" s="3" t="s">
        <v>56</v>
      </c>
      <c r="J2076" s="3" t="s">
        <v>185</v>
      </c>
      <c r="K2076" s="3" t="s">
        <v>7844</v>
      </c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 t="s">
        <v>6487</v>
      </c>
      <c r="AL2076" s="4">
        <v>43125</v>
      </c>
      <c r="AM2076" s="3"/>
      <c r="AN2076" s="3" t="s">
        <v>262</v>
      </c>
    </row>
    <row r="2077" spans="1:40" x14ac:dyDescent="0.3">
      <c r="A2077" s="3">
        <v>2071</v>
      </c>
      <c r="B2077" s="3" t="str">
        <f>"201200228086"</f>
        <v>201200228086</v>
      </c>
      <c r="C2077" s="3">
        <v>100186</v>
      </c>
      <c r="D2077" s="3" t="s">
        <v>7845</v>
      </c>
      <c r="E2077" s="3">
        <v>20516822202</v>
      </c>
      <c r="F2077" s="3" t="s">
        <v>1850</v>
      </c>
      <c r="G2077" s="3" t="s">
        <v>4187</v>
      </c>
      <c r="H2077" s="3" t="s">
        <v>75</v>
      </c>
      <c r="I2077" s="3" t="s">
        <v>75</v>
      </c>
      <c r="J2077" s="3" t="s">
        <v>1358</v>
      </c>
      <c r="K2077" s="3" t="s">
        <v>7846</v>
      </c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 t="s">
        <v>1668</v>
      </c>
      <c r="AL2077" s="4">
        <v>40564</v>
      </c>
      <c r="AM2077" s="3"/>
      <c r="AN2077" s="3" t="s">
        <v>2748</v>
      </c>
    </row>
    <row r="2078" spans="1:40" x14ac:dyDescent="0.3">
      <c r="A2078" s="3">
        <v>2072</v>
      </c>
      <c r="B2078" s="3" t="str">
        <f>"201800008742"</f>
        <v>201800008742</v>
      </c>
      <c r="C2078" s="3">
        <v>134080</v>
      </c>
      <c r="D2078" s="3" t="s">
        <v>7847</v>
      </c>
      <c r="E2078" s="3">
        <v>20100366747</v>
      </c>
      <c r="F2078" s="3" t="s">
        <v>258</v>
      </c>
      <c r="G2078" s="3" t="s">
        <v>451</v>
      </c>
      <c r="H2078" s="3" t="s">
        <v>56</v>
      </c>
      <c r="I2078" s="3" t="s">
        <v>56</v>
      </c>
      <c r="J2078" s="3" t="s">
        <v>185</v>
      </c>
      <c r="K2078" s="3" t="s">
        <v>7848</v>
      </c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 t="s">
        <v>337</v>
      </c>
      <c r="AL2078" s="4">
        <v>43125</v>
      </c>
      <c r="AM2078" s="3"/>
      <c r="AN2078" s="3" t="s">
        <v>262</v>
      </c>
    </row>
    <row r="2079" spans="1:40" ht="27.95" x14ac:dyDescent="0.3">
      <c r="A2079" s="3">
        <v>2073</v>
      </c>
      <c r="B2079" s="3" t="str">
        <f>"1566341"</f>
        <v>1566341</v>
      </c>
      <c r="C2079" s="3">
        <v>33437</v>
      </c>
      <c r="D2079" s="3" t="s">
        <v>7849</v>
      </c>
      <c r="E2079" s="3">
        <v>20205183915</v>
      </c>
      <c r="F2079" s="3" t="s">
        <v>973</v>
      </c>
      <c r="G2079" s="3" t="s">
        <v>7850</v>
      </c>
      <c r="H2079" s="3" t="s">
        <v>97</v>
      </c>
      <c r="I2079" s="3" t="s">
        <v>97</v>
      </c>
      <c r="J2079" s="3" t="s">
        <v>705</v>
      </c>
      <c r="K2079" s="3" t="s">
        <v>7851</v>
      </c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 t="s">
        <v>614</v>
      </c>
      <c r="AL2079" s="4">
        <v>38635</v>
      </c>
      <c r="AM2079" s="3"/>
      <c r="AN2079" s="3"/>
    </row>
    <row r="2080" spans="1:40" x14ac:dyDescent="0.3">
      <c r="A2080" s="3">
        <v>2074</v>
      </c>
      <c r="B2080" s="3" t="str">
        <f>"201800008750"</f>
        <v>201800008750</v>
      </c>
      <c r="C2080" s="3">
        <v>134082</v>
      </c>
      <c r="D2080" s="3" t="s">
        <v>7852</v>
      </c>
      <c r="E2080" s="3">
        <v>20100366747</v>
      </c>
      <c r="F2080" s="3" t="s">
        <v>258</v>
      </c>
      <c r="G2080" s="3" t="s">
        <v>451</v>
      </c>
      <c r="H2080" s="3" t="s">
        <v>56</v>
      </c>
      <c r="I2080" s="3" t="s">
        <v>56</v>
      </c>
      <c r="J2080" s="3" t="s">
        <v>185</v>
      </c>
      <c r="K2080" s="3" t="s">
        <v>7853</v>
      </c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 t="s">
        <v>1467</v>
      </c>
      <c r="AL2080" s="4">
        <v>43125</v>
      </c>
      <c r="AM2080" s="3"/>
      <c r="AN2080" s="3" t="s">
        <v>262</v>
      </c>
    </row>
    <row r="2081" spans="1:40" x14ac:dyDescent="0.3">
      <c r="A2081" s="3">
        <v>2075</v>
      </c>
      <c r="B2081" s="3" t="str">
        <f>"1110186"</f>
        <v>1110186</v>
      </c>
      <c r="C2081" s="3">
        <v>2329</v>
      </c>
      <c r="D2081" s="3">
        <v>957224</v>
      </c>
      <c r="E2081" s="3">
        <v>10103054627</v>
      </c>
      <c r="F2081" s="3" t="s">
        <v>5123</v>
      </c>
      <c r="G2081" s="3" t="s">
        <v>7854</v>
      </c>
      <c r="H2081" s="3" t="s">
        <v>56</v>
      </c>
      <c r="I2081" s="3" t="s">
        <v>56</v>
      </c>
      <c r="J2081" s="3" t="s">
        <v>273</v>
      </c>
      <c r="K2081" s="3" t="s">
        <v>7855</v>
      </c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 t="s">
        <v>7856</v>
      </c>
      <c r="AL2081" s="4">
        <v>35495</v>
      </c>
      <c r="AM2081" s="3"/>
      <c r="AN2081" s="3"/>
    </row>
    <row r="2082" spans="1:40" x14ac:dyDescent="0.3">
      <c r="A2082" s="3">
        <v>2076</v>
      </c>
      <c r="B2082" s="3" t="str">
        <f>"201300119985"</f>
        <v>201300119985</v>
      </c>
      <c r="C2082" s="3">
        <v>104145</v>
      </c>
      <c r="D2082" s="3" t="s">
        <v>7857</v>
      </c>
      <c r="E2082" s="3">
        <v>20454626258</v>
      </c>
      <c r="F2082" s="3" t="s">
        <v>7858</v>
      </c>
      <c r="G2082" s="3" t="s">
        <v>7859</v>
      </c>
      <c r="H2082" s="3" t="s">
        <v>97</v>
      </c>
      <c r="I2082" s="3" t="s">
        <v>97</v>
      </c>
      <c r="J2082" s="3" t="s">
        <v>144</v>
      </c>
      <c r="K2082" s="3" t="s">
        <v>7860</v>
      </c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 t="s">
        <v>167</v>
      </c>
      <c r="AL2082" s="4">
        <v>41473</v>
      </c>
      <c r="AM2082" s="3"/>
      <c r="AN2082" s="3" t="s">
        <v>7464</v>
      </c>
    </row>
    <row r="2083" spans="1:40" x14ac:dyDescent="0.3">
      <c r="A2083" s="3">
        <v>2077</v>
      </c>
      <c r="B2083" s="3" t="str">
        <f>"1576587"</f>
        <v>1576587</v>
      </c>
      <c r="C2083" s="3">
        <v>14738</v>
      </c>
      <c r="D2083" s="3" t="s">
        <v>7861</v>
      </c>
      <c r="E2083" s="3">
        <v>10093822680</v>
      </c>
      <c r="F2083" s="3" t="s">
        <v>7862</v>
      </c>
      <c r="G2083" s="3" t="s">
        <v>7863</v>
      </c>
      <c r="H2083" s="3" t="s">
        <v>56</v>
      </c>
      <c r="I2083" s="3" t="s">
        <v>56</v>
      </c>
      <c r="J2083" s="3" t="s">
        <v>185</v>
      </c>
      <c r="K2083" s="3" t="s">
        <v>7864</v>
      </c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 t="s">
        <v>842</v>
      </c>
      <c r="AL2083" s="4">
        <v>38698</v>
      </c>
      <c r="AM2083" s="3"/>
      <c r="AN2083" s="3"/>
    </row>
    <row r="2084" spans="1:40" x14ac:dyDescent="0.3">
      <c r="A2084" s="3">
        <v>2078</v>
      </c>
      <c r="B2084" s="3" t="str">
        <f>"201500049204"</f>
        <v>201500049204</v>
      </c>
      <c r="C2084" s="3">
        <v>90018</v>
      </c>
      <c r="D2084" s="3" t="s">
        <v>7865</v>
      </c>
      <c r="E2084" s="3">
        <v>20102314698</v>
      </c>
      <c r="F2084" s="3" t="s">
        <v>1185</v>
      </c>
      <c r="G2084" s="3" t="s">
        <v>7866</v>
      </c>
      <c r="H2084" s="3" t="s">
        <v>50</v>
      </c>
      <c r="I2084" s="3" t="s">
        <v>50</v>
      </c>
      <c r="J2084" s="3" t="s">
        <v>50</v>
      </c>
      <c r="K2084" s="3" t="s">
        <v>7867</v>
      </c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 t="s">
        <v>546</v>
      </c>
      <c r="AL2084" s="4">
        <v>42123</v>
      </c>
      <c r="AM2084" s="3"/>
      <c r="AN2084" s="3" t="s">
        <v>1189</v>
      </c>
    </row>
    <row r="2085" spans="1:40" x14ac:dyDescent="0.3">
      <c r="A2085" s="3">
        <v>2079</v>
      </c>
      <c r="B2085" s="3" t="str">
        <f>"1476402"</f>
        <v>1476402</v>
      </c>
      <c r="C2085" s="3">
        <v>91848</v>
      </c>
      <c r="D2085" s="3" t="s">
        <v>7868</v>
      </c>
      <c r="E2085" s="3">
        <v>20525521509</v>
      </c>
      <c r="F2085" s="3" t="s">
        <v>7753</v>
      </c>
      <c r="G2085" s="3" t="s">
        <v>190</v>
      </c>
      <c r="H2085" s="3" t="s">
        <v>50</v>
      </c>
      <c r="I2085" s="3" t="s">
        <v>50</v>
      </c>
      <c r="J2085" s="3" t="s">
        <v>98</v>
      </c>
      <c r="K2085" s="3" t="s">
        <v>7869</v>
      </c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 t="s">
        <v>602</v>
      </c>
      <c r="AL2085" s="4">
        <v>40631</v>
      </c>
      <c r="AM2085" s="3"/>
      <c r="AN2085" s="3" t="s">
        <v>885</v>
      </c>
    </row>
    <row r="2086" spans="1:40" x14ac:dyDescent="0.3">
      <c r="A2086" s="3">
        <v>2080</v>
      </c>
      <c r="B2086" s="3" t="str">
        <f>"201500143822"</f>
        <v>201500143822</v>
      </c>
      <c r="C2086" s="3">
        <v>101975</v>
      </c>
      <c r="D2086" s="3" t="s">
        <v>7870</v>
      </c>
      <c r="E2086" s="3">
        <v>20600737377</v>
      </c>
      <c r="F2086" s="3" t="s">
        <v>3178</v>
      </c>
      <c r="G2086" s="3" t="s">
        <v>7871</v>
      </c>
      <c r="H2086" s="3" t="s">
        <v>587</v>
      </c>
      <c r="I2086" s="3" t="s">
        <v>588</v>
      </c>
      <c r="J2086" s="3" t="s">
        <v>588</v>
      </c>
      <c r="K2086" s="3" t="s">
        <v>7872</v>
      </c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 t="s">
        <v>3087</v>
      </c>
      <c r="AL2086" s="4">
        <v>42318</v>
      </c>
      <c r="AM2086" s="3"/>
      <c r="AN2086" s="3" t="s">
        <v>3181</v>
      </c>
    </row>
    <row r="2087" spans="1:40" x14ac:dyDescent="0.3">
      <c r="A2087" s="3">
        <v>2081</v>
      </c>
      <c r="B2087" s="3" t="str">
        <f>"201400092708"</f>
        <v>201400092708</v>
      </c>
      <c r="C2087" s="3">
        <v>97057</v>
      </c>
      <c r="D2087" s="3" t="s">
        <v>7873</v>
      </c>
      <c r="E2087" s="3">
        <v>20572157394</v>
      </c>
      <c r="F2087" s="3" t="s">
        <v>7874</v>
      </c>
      <c r="G2087" s="3" t="s">
        <v>7875</v>
      </c>
      <c r="H2087" s="3" t="s">
        <v>172</v>
      </c>
      <c r="I2087" s="3" t="s">
        <v>172</v>
      </c>
      <c r="J2087" s="3" t="s">
        <v>173</v>
      </c>
      <c r="K2087" s="3" t="s">
        <v>7876</v>
      </c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 t="s">
        <v>5733</v>
      </c>
      <c r="AL2087" s="4">
        <v>41843</v>
      </c>
      <c r="AM2087" s="3"/>
      <c r="AN2087" s="3" t="s">
        <v>178</v>
      </c>
    </row>
    <row r="2088" spans="1:40" x14ac:dyDescent="0.3">
      <c r="A2088" s="3">
        <v>2082</v>
      </c>
      <c r="B2088" s="3" t="str">
        <f>"201300124995"</f>
        <v>201300124995</v>
      </c>
      <c r="C2088" s="3">
        <v>104333</v>
      </c>
      <c r="D2088" s="3" t="s">
        <v>7877</v>
      </c>
      <c r="E2088" s="3">
        <v>20543992942</v>
      </c>
      <c r="F2088" s="3" t="s">
        <v>540</v>
      </c>
      <c r="G2088" s="3" t="s">
        <v>541</v>
      </c>
      <c r="H2088" s="3" t="s">
        <v>56</v>
      </c>
      <c r="I2088" s="3" t="s">
        <v>56</v>
      </c>
      <c r="J2088" s="3" t="s">
        <v>380</v>
      </c>
      <c r="K2088" s="3" t="s">
        <v>7878</v>
      </c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 t="s">
        <v>2587</v>
      </c>
      <c r="AL2088" s="4">
        <v>41486</v>
      </c>
      <c r="AM2088" s="3"/>
      <c r="AN2088" s="3" t="s">
        <v>543</v>
      </c>
    </row>
    <row r="2089" spans="1:40" ht="27.95" x14ac:dyDescent="0.3">
      <c r="A2089" s="3">
        <v>2083</v>
      </c>
      <c r="B2089" s="3" t="str">
        <f>"201900068581"</f>
        <v>201900068581</v>
      </c>
      <c r="C2089" s="3">
        <v>142869</v>
      </c>
      <c r="D2089" s="3" t="s">
        <v>7879</v>
      </c>
      <c r="E2089" s="3">
        <v>20603939027</v>
      </c>
      <c r="F2089" s="3" t="s">
        <v>7332</v>
      </c>
      <c r="G2089" s="3" t="s">
        <v>7333</v>
      </c>
      <c r="H2089" s="3" t="s">
        <v>271</v>
      </c>
      <c r="I2089" s="3" t="s">
        <v>552</v>
      </c>
      <c r="J2089" s="3" t="s">
        <v>4652</v>
      </c>
      <c r="K2089" s="3" t="s">
        <v>7880</v>
      </c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 t="s">
        <v>6170</v>
      </c>
      <c r="AL2089" s="4">
        <v>43599</v>
      </c>
      <c r="AM2089" s="3"/>
      <c r="AN2089" s="3" t="s">
        <v>7336</v>
      </c>
    </row>
    <row r="2090" spans="1:40" x14ac:dyDescent="0.3">
      <c r="A2090" s="3">
        <v>2084</v>
      </c>
      <c r="B2090" s="3" t="str">
        <f>"1480589"</f>
        <v>1480589</v>
      </c>
      <c r="C2090" s="3">
        <v>36803</v>
      </c>
      <c r="D2090" s="3" t="s">
        <v>7881</v>
      </c>
      <c r="E2090" s="3">
        <v>10104817071</v>
      </c>
      <c r="F2090" s="3" t="s">
        <v>7882</v>
      </c>
      <c r="G2090" s="3" t="s">
        <v>3164</v>
      </c>
      <c r="H2090" s="3" t="s">
        <v>56</v>
      </c>
      <c r="I2090" s="3" t="s">
        <v>56</v>
      </c>
      <c r="J2090" s="3" t="s">
        <v>1677</v>
      </c>
      <c r="K2090" s="3" t="s">
        <v>7883</v>
      </c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 t="s">
        <v>2355</v>
      </c>
      <c r="AL2090" s="4">
        <v>38259</v>
      </c>
      <c r="AM2090" s="3"/>
      <c r="AN2090" s="3"/>
    </row>
    <row r="2091" spans="1:40" ht="27.95" x14ac:dyDescent="0.3">
      <c r="A2091" s="3">
        <v>2085</v>
      </c>
      <c r="B2091" s="3" t="str">
        <f>"1338637"</f>
        <v>1338637</v>
      </c>
      <c r="C2091" s="3">
        <v>2541</v>
      </c>
      <c r="D2091" s="3" t="s">
        <v>7884</v>
      </c>
      <c r="E2091" s="3">
        <v>20210133748</v>
      </c>
      <c r="F2091" s="3" t="s">
        <v>4609</v>
      </c>
      <c r="G2091" s="3" t="s">
        <v>4610</v>
      </c>
      <c r="H2091" s="3" t="s">
        <v>56</v>
      </c>
      <c r="I2091" s="3" t="s">
        <v>56</v>
      </c>
      <c r="J2091" s="3" t="s">
        <v>63</v>
      </c>
      <c r="K2091" s="3" t="s">
        <v>7885</v>
      </c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 t="s">
        <v>634</v>
      </c>
      <c r="AL2091" s="4">
        <v>37186</v>
      </c>
      <c r="AM2091" s="3"/>
      <c r="AN2091" s="3"/>
    </row>
    <row r="2092" spans="1:40" x14ac:dyDescent="0.3">
      <c r="A2092" s="3">
        <v>2086</v>
      </c>
      <c r="B2092" s="3" t="str">
        <f>"201300119988"</f>
        <v>201300119988</v>
      </c>
      <c r="C2092" s="3">
        <v>104144</v>
      </c>
      <c r="D2092" s="3" t="s">
        <v>7886</v>
      </c>
      <c r="E2092" s="3">
        <v>20454626258</v>
      </c>
      <c r="F2092" s="3" t="s">
        <v>7858</v>
      </c>
      <c r="G2092" s="3" t="s">
        <v>7859</v>
      </c>
      <c r="H2092" s="3" t="s">
        <v>97</v>
      </c>
      <c r="I2092" s="3" t="s">
        <v>97</v>
      </c>
      <c r="J2092" s="3" t="s">
        <v>144</v>
      </c>
      <c r="K2092" s="3" t="s">
        <v>7887</v>
      </c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 t="s">
        <v>167</v>
      </c>
      <c r="AL2092" s="4">
        <v>41473</v>
      </c>
      <c r="AM2092" s="3"/>
      <c r="AN2092" s="3" t="s">
        <v>7464</v>
      </c>
    </row>
    <row r="2093" spans="1:40" ht="27.95" x14ac:dyDescent="0.3">
      <c r="A2093" s="3">
        <v>2087</v>
      </c>
      <c r="B2093" s="3" t="str">
        <f>"1317008"</f>
        <v>1317008</v>
      </c>
      <c r="C2093" s="3">
        <v>15938</v>
      </c>
      <c r="D2093" s="3" t="s">
        <v>7888</v>
      </c>
      <c r="E2093" s="3">
        <v>20166717389</v>
      </c>
      <c r="F2093" s="3" t="s">
        <v>1312</v>
      </c>
      <c r="G2093" s="3" t="s">
        <v>1313</v>
      </c>
      <c r="H2093" s="3" t="s">
        <v>357</v>
      </c>
      <c r="I2093" s="3" t="s">
        <v>357</v>
      </c>
      <c r="J2093" s="3" t="s">
        <v>357</v>
      </c>
      <c r="K2093" s="3" t="s">
        <v>7889</v>
      </c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 t="s">
        <v>187</v>
      </c>
      <c r="AL2093" s="4">
        <v>36978</v>
      </c>
      <c r="AM2093" s="3"/>
      <c r="AN2093" s="3"/>
    </row>
    <row r="2094" spans="1:40" x14ac:dyDescent="0.3">
      <c r="A2094" s="3">
        <v>2088</v>
      </c>
      <c r="B2094" s="3" t="str">
        <f>"201600034466"</f>
        <v>201600034466</v>
      </c>
      <c r="C2094" s="3">
        <v>120310</v>
      </c>
      <c r="D2094" s="3" t="s">
        <v>7890</v>
      </c>
      <c r="E2094" s="3">
        <v>20100366747</v>
      </c>
      <c r="F2094" s="3" t="s">
        <v>258</v>
      </c>
      <c r="G2094" s="3" t="s">
        <v>451</v>
      </c>
      <c r="H2094" s="3" t="s">
        <v>56</v>
      </c>
      <c r="I2094" s="3" t="s">
        <v>56</v>
      </c>
      <c r="J2094" s="3" t="s">
        <v>185</v>
      </c>
      <c r="K2094" s="3" t="s">
        <v>7891</v>
      </c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 t="s">
        <v>2848</v>
      </c>
      <c r="AL2094" s="4">
        <v>42488</v>
      </c>
      <c r="AM2094" s="3"/>
      <c r="AN2094" s="3" t="s">
        <v>262</v>
      </c>
    </row>
    <row r="2095" spans="1:40" ht="27.95" x14ac:dyDescent="0.3">
      <c r="A2095" s="3">
        <v>2089</v>
      </c>
      <c r="B2095" s="3" t="str">
        <f>"1619376"</f>
        <v>1619376</v>
      </c>
      <c r="C2095" s="3">
        <v>43552</v>
      </c>
      <c r="D2095" s="3" t="s">
        <v>7892</v>
      </c>
      <c r="E2095" s="3">
        <v>10166626795</v>
      </c>
      <c r="F2095" s="3" t="s">
        <v>2427</v>
      </c>
      <c r="G2095" s="3" t="s">
        <v>7893</v>
      </c>
      <c r="H2095" s="3" t="s">
        <v>318</v>
      </c>
      <c r="I2095" s="3" t="s">
        <v>319</v>
      </c>
      <c r="J2095" s="3" t="s">
        <v>319</v>
      </c>
      <c r="K2095" s="3" t="s">
        <v>7894</v>
      </c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 t="s">
        <v>1679</v>
      </c>
      <c r="AL2095" s="4">
        <v>38901</v>
      </c>
      <c r="AM2095" s="3"/>
      <c r="AN2095" s="3"/>
    </row>
    <row r="2096" spans="1:40" x14ac:dyDescent="0.3">
      <c r="A2096" s="3">
        <v>2090</v>
      </c>
      <c r="B2096" s="3" t="str">
        <f>"1517191"</f>
        <v>1517191</v>
      </c>
      <c r="C2096" s="3">
        <v>1870</v>
      </c>
      <c r="D2096" s="3" t="s">
        <v>7895</v>
      </c>
      <c r="E2096" s="3">
        <v>10066423374</v>
      </c>
      <c r="F2096" s="3" t="s">
        <v>7896</v>
      </c>
      <c r="G2096" s="3" t="s">
        <v>7897</v>
      </c>
      <c r="H2096" s="3" t="s">
        <v>56</v>
      </c>
      <c r="I2096" s="3" t="s">
        <v>56</v>
      </c>
      <c r="J2096" s="3" t="s">
        <v>121</v>
      </c>
      <c r="K2096" s="3" t="s">
        <v>7898</v>
      </c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 t="s">
        <v>614</v>
      </c>
      <c r="AL2096" s="4">
        <v>38406</v>
      </c>
      <c r="AM2096" s="3"/>
      <c r="AN2096" s="3"/>
    </row>
    <row r="2097" spans="1:40" ht="27.95" x14ac:dyDescent="0.3">
      <c r="A2097" s="3">
        <v>2091</v>
      </c>
      <c r="B2097" s="3" t="str">
        <f>"1338633"</f>
        <v>1338633</v>
      </c>
      <c r="C2097" s="3">
        <v>3545</v>
      </c>
      <c r="D2097" s="3" t="s">
        <v>7899</v>
      </c>
      <c r="E2097" s="3">
        <v>20210133748</v>
      </c>
      <c r="F2097" s="3" t="s">
        <v>4609</v>
      </c>
      <c r="G2097" s="3" t="s">
        <v>4610</v>
      </c>
      <c r="H2097" s="3" t="s">
        <v>56</v>
      </c>
      <c r="I2097" s="3" t="s">
        <v>56</v>
      </c>
      <c r="J2097" s="3" t="s">
        <v>63</v>
      </c>
      <c r="K2097" s="3" t="s">
        <v>7900</v>
      </c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 t="s">
        <v>634</v>
      </c>
      <c r="AL2097" s="4">
        <v>37186</v>
      </c>
      <c r="AM2097" s="3"/>
      <c r="AN2097" s="3"/>
    </row>
    <row r="2098" spans="1:40" x14ac:dyDescent="0.3">
      <c r="A2098" s="3">
        <v>2092</v>
      </c>
      <c r="B2098" s="3" t="str">
        <f>"1110963"</f>
        <v>1110963</v>
      </c>
      <c r="C2098" s="3">
        <v>3531</v>
      </c>
      <c r="D2098" s="3">
        <v>990529</v>
      </c>
      <c r="E2098" s="3">
        <v>10087654996</v>
      </c>
      <c r="F2098" s="3" t="s">
        <v>7901</v>
      </c>
      <c r="G2098" s="3" t="s">
        <v>7902</v>
      </c>
      <c r="H2098" s="3" t="s">
        <v>56</v>
      </c>
      <c r="I2098" s="3" t="s">
        <v>56</v>
      </c>
      <c r="J2098" s="3" t="s">
        <v>185</v>
      </c>
      <c r="K2098" s="3" t="s">
        <v>7903</v>
      </c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 t="s">
        <v>65</v>
      </c>
      <c r="AL2098" s="4">
        <v>35501</v>
      </c>
      <c r="AM2098" s="3"/>
      <c r="AN2098" s="3"/>
    </row>
    <row r="2099" spans="1:40" x14ac:dyDescent="0.3">
      <c r="A2099" s="3">
        <v>2093</v>
      </c>
      <c r="B2099" s="3" t="str">
        <f>"1461275"</f>
        <v>1461275</v>
      </c>
      <c r="C2099" s="3">
        <v>2306</v>
      </c>
      <c r="D2099" s="3" t="s">
        <v>7904</v>
      </c>
      <c r="E2099" s="3">
        <v>10103923251</v>
      </c>
      <c r="F2099" s="3" t="s">
        <v>2782</v>
      </c>
      <c r="G2099" s="3" t="s">
        <v>7905</v>
      </c>
      <c r="H2099" s="3" t="s">
        <v>56</v>
      </c>
      <c r="I2099" s="3" t="s">
        <v>56</v>
      </c>
      <c r="J2099" s="3" t="s">
        <v>63</v>
      </c>
      <c r="K2099" s="3" t="s">
        <v>7906</v>
      </c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 t="s">
        <v>1341</v>
      </c>
      <c r="AL2099" s="4">
        <v>40554</v>
      </c>
      <c r="AM2099" s="3"/>
      <c r="AN2099" s="3" t="s">
        <v>2782</v>
      </c>
    </row>
    <row r="2100" spans="1:40" x14ac:dyDescent="0.3">
      <c r="A2100" s="3">
        <v>2094</v>
      </c>
      <c r="B2100" s="3" t="str">
        <f>"201800024447"</f>
        <v>201800024447</v>
      </c>
      <c r="C2100" s="3">
        <v>134511</v>
      </c>
      <c r="D2100" s="3" t="s">
        <v>7907</v>
      </c>
      <c r="E2100" s="3">
        <v>10418186874</v>
      </c>
      <c r="F2100" s="3" t="s">
        <v>7908</v>
      </c>
      <c r="G2100" s="3" t="s">
        <v>7909</v>
      </c>
      <c r="H2100" s="3" t="s">
        <v>222</v>
      </c>
      <c r="I2100" s="3" t="s">
        <v>223</v>
      </c>
      <c r="J2100" s="3" t="s">
        <v>224</v>
      </c>
      <c r="K2100" s="3" t="s">
        <v>7910</v>
      </c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 t="s">
        <v>1341</v>
      </c>
      <c r="AL2100" s="4">
        <v>43153</v>
      </c>
      <c r="AM2100" s="3"/>
      <c r="AN2100" s="3" t="s">
        <v>7908</v>
      </c>
    </row>
    <row r="2101" spans="1:40" x14ac:dyDescent="0.3">
      <c r="A2101" s="3">
        <v>2095</v>
      </c>
      <c r="B2101" s="3" t="str">
        <f>"1116876"</f>
        <v>1116876</v>
      </c>
      <c r="C2101" s="3">
        <v>2704</v>
      </c>
      <c r="D2101" s="3">
        <v>1080827</v>
      </c>
      <c r="E2101" s="3">
        <v>10091799079</v>
      </c>
      <c r="F2101" s="3" t="s">
        <v>7911</v>
      </c>
      <c r="G2101" s="3" t="s">
        <v>7912</v>
      </c>
      <c r="H2101" s="3" t="s">
        <v>56</v>
      </c>
      <c r="I2101" s="3" t="s">
        <v>56</v>
      </c>
      <c r="J2101" s="3" t="s">
        <v>653</v>
      </c>
      <c r="K2101" s="3" t="s">
        <v>7913</v>
      </c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 t="s">
        <v>65</v>
      </c>
      <c r="AL2101" s="4">
        <v>35538</v>
      </c>
      <c r="AM2101" s="3"/>
      <c r="AN2101" s="3"/>
    </row>
    <row r="2102" spans="1:40" ht="27.95" x14ac:dyDescent="0.3">
      <c r="A2102" s="3">
        <v>2096</v>
      </c>
      <c r="B2102" s="3" t="str">
        <f>"1488059"</f>
        <v>1488059</v>
      </c>
      <c r="C2102" s="3">
        <v>92471</v>
      </c>
      <c r="D2102" s="3" t="s">
        <v>7914</v>
      </c>
      <c r="E2102" s="3">
        <v>10442185692</v>
      </c>
      <c r="F2102" s="3" t="s">
        <v>7915</v>
      </c>
      <c r="G2102" s="3" t="s">
        <v>7916</v>
      </c>
      <c r="H2102" s="3" t="s">
        <v>56</v>
      </c>
      <c r="I2102" s="3" t="s">
        <v>56</v>
      </c>
      <c r="J2102" s="3" t="s">
        <v>572</v>
      </c>
      <c r="K2102" s="3" t="s">
        <v>7917</v>
      </c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 t="s">
        <v>425</v>
      </c>
      <c r="AL2102" s="4">
        <v>40730</v>
      </c>
      <c r="AM2102" s="3"/>
      <c r="AN2102" s="3" t="s">
        <v>7915</v>
      </c>
    </row>
    <row r="2103" spans="1:40" x14ac:dyDescent="0.3">
      <c r="A2103" s="3">
        <v>2097</v>
      </c>
      <c r="B2103" s="3" t="str">
        <f>"201400085284"</f>
        <v>201400085284</v>
      </c>
      <c r="C2103" s="3">
        <v>109977</v>
      </c>
      <c r="D2103" s="3" t="s">
        <v>7918</v>
      </c>
      <c r="E2103" s="3">
        <v>20480281790</v>
      </c>
      <c r="F2103" s="3" t="s">
        <v>7919</v>
      </c>
      <c r="G2103" s="3" t="s">
        <v>7920</v>
      </c>
      <c r="H2103" s="3" t="s">
        <v>318</v>
      </c>
      <c r="I2103" s="3" t="s">
        <v>319</v>
      </c>
      <c r="J2103" s="3" t="s">
        <v>495</v>
      </c>
      <c r="K2103" s="3" t="s">
        <v>7921</v>
      </c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 t="s">
        <v>7922</v>
      </c>
      <c r="AL2103" s="4">
        <v>41829</v>
      </c>
      <c r="AM2103" s="3"/>
      <c r="AN2103" s="3" t="s">
        <v>2625</v>
      </c>
    </row>
    <row r="2104" spans="1:40" ht="27.95" x14ac:dyDescent="0.3">
      <c r="A2104" s="3">
        <v>2098</v>
      </c>
      <c r="B2104" s="3" t="str">
        <f>"1461277"</f>
        <v>1461277</v>
      </c>
      <c r="C2104" s="3">
        <v>16381</v>
      </c>
      <c r="D2104" s="3" t="s">
        <v>7923</v>
      </c>
      <c r="E2104" s="3">
        <v>20523127790</v>
      </c>
      <c r="F2104" s="3" t="s">
        <v>7924</v>
      </c>
      <c r="G2104" s="3" t="s">
        <v>7925</v>
      </c>
      <c r="H2104" s="3" t="s">
        <v>56</v>
      </c>
      <c r="I2104" s="3" t="s">
        <v>56</v>
      </c>
      <c r="J2104" s="3" t="s">
        <v>63</v>
      </c>
      <c r="K2104" s="3" t="s">
        <v>7926</v>
      </c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 t="s">
        <v>1341</v>
      </c>
      <c r="AL2104" s="4">
        <v>40554</v>
      </c>
      <c r="AM2104" s="3"/>
      <c r="AN2104" s="3" t="s">
        <v>7927</v>
      </c>
    </row>
    <row r="2105" spans="1:40" x14ac:dyDescent="0.3">
      <c r="A2105" s="3">
        <v>2099</v>
      </c>
      <c r="B2105" s="3" t="str">
        <f>"201200119164"</f>
        <v>201200119164</v>
      </c>
      <c r="C2105" s="3">
        <v>97042</v>
      </c>
      <c r="D2105" s="3" t="s">
        <v>7928</v>
      </c>
      <c r="E2105" s="3">
        <v>20516822202</v>
      </c>
      <c r="F2105" s="3" t="s">
        <v>1850</v>
      </c>
      <c r="G2105" s="3" t="s">
        <v>7698</v>
      </c>
      <c r="H2105" s="3" t="s">
        <v>75</v>
      </c>
      <c r="I2105" s="3" t="s">
        <v>75</v>
      </c>
      <c r="J2105" s="3" t="s">
        <v>1358</v>
      </c>
      <c r="K2105" s="3" t="s">
        <v>7929</v>
      </c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 t="s">
        <v>4038</v>
      </c>
      <c r="AL2105" s="4">
        <v>41067</v>
      </c>
      <c r="AM2105" s="3"/>
      <c r="AN2105" s="3" t="s">
        <v>2748</v>
      </c>
    </row>
    <row r="2106" spans="1:40" ht="27.95" x14ac:dyDescent="0.3">
      <c r="A2106" s="3">
        <v>2100</v>
      </c>
      <c r="B2106" s="3" t="str">
        <f>"201600165941"</f>
        <v>201600165941</v>
      </c>
      <c r="C2106" s="3">
        <v>123943</v>
      </c>
      <c r="D2106" s="3" t="s">
        <v>7930</v>
      </c>
      <c r="E2106" s="3">
        <v>20600945212</v>
      </c>
      <c r="F2106" s="3" t="s">
        <v>7931</v>
      </c>
      <c r="G2106" s="3" t="s">
        <v>7932</v>
      </c>
      <c r="H2106" s="3" t="s">
        <v>75</v>
      </c>
      <c r="I2106" s="3" t="s">
        <v>75</v>
      </c>
      <c r="J2106" s="3" t="s">
        <v>76</v>
      </c>
      <c r="K2106" s="3" t="s">
        <v>7933</v>
      </c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 t="s">
        <v>7934</v>
      </c>
      <c r="AL2106" s="4">
        <v>42689</v>
      </c>
      <c r="AM2106" s="3"/>
      <c r="AN2106" s="3" t="s">
        <v>7935</v>
      </c>
    </row>
    <row r="2107" spans="1:40" ht="27.95" x14ac:dyDescent="0.3">
      <c r="A2107" s="3">
        <v>2101</v>
      </c>
      <c r="B2107" s="3" t="str">
        <f>"201800137943"</f>
        <v>201800137943</v>
      </c>
      <c r="C2107" s="3">
        <v>138135</v>
      </c>
      <c r="D2107" s="3" t="s">
        <v>7936</v>
      </c>
      <c r="E2107" s="3">
        <v>20525521509</v>
      </c>
      <c r="F2107" s="3" t="s">
        <v>189</v>
      </c>
      <c r="G2107" s="3" t="s">
        <v>815</v>
      </c>
      <c r="H2107" s="3" t="s">
        <v>50</v>
      </c>
      <c r="I2107" s="3" t="s">
        <v>50</v>
      </c>
      <c r="J2107" s="3" t="s">
        <v>50</v>
      </c>
      <c r="K2107" s="3" t="s">
        <v>7937</v>
      </c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 t="s">
        <v>602</v>
      </c>
      <c r="AL2107" s="4">
        <v>43339</v>
      </c>
      <c r="AM2107" s="3"/>
      <c r="AN2107" s="3" t="s">
        <v>817</v>
      </c>
    </row>
    <row r="2108" spans="1:40" ht="27.95" x14ac:dyDescent="0.3">
      <c r="A2108" s="3">
        <v>2102</v>
      </c>
      <c r="B2108" s="3" t="str">
        <f>"201800123383"</f>
        <v>201800123383</v>
      </c>
      <c r="C2108" s="3">
        <v>89946</v>
      </c>
      <c r="D2108" s="3" t="s">
        <v>7938</v>
      </c>
      <c r="E2108" s="3">
        <v>20455751528</v>
      </c>
      <c r="F2108" s="3" t="s">
        <v>142</v>
      </c>
      <c r="G2108" s="3" t="s">
        <v>7939</v>
      </c>
      <c r="H2108" s="3" t="s">
        <v>97</v>
      </c>
      <c r="I2108" s="3" t="s">
        <v>97</v>
      </c>
      <c r="J2108" s="3" t="s">
        <v>144</v>
      </c>
      <c r="K2108" s="3" t="s">
        <v>7940</v>
      </c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 t="s">
        <v>3589</v>
      </c>
      <c r="AL2108" s="4">
        <v>43319</v>
      </c>
      <c r="AM2108" s="3"/>
      <c r="AN2108" s="3" t="s">
        <v>151</v>
      </c>
    </row>
    <row r="2109" spans="1:40" x14ac:dyDescent="0.3">
      <c r="A2109" s="3">
        <v>2103</v>
      </c>
      <c r="B2109" s="3" t="str">
        <f>"201800143693"</f>
        <v>201800143693</v>
      </c>
      <c r="C2109" s="3">
        <v>138316</v>
      </c>
      <c r="D2109" s="3" t="s">
        <v>7941</v>
      </c>
      <c r="E2109" s="3">
        <v>10278485043</v>
      </c>
      <c r="F2109" s="3" t="s">
        <v>4437</v>
      </c>
      <c r="G2109" s="3" t="s">
        <v>7942</v>
      </c>
      <c r="H2109" s="3" t="s">
        <v>50</v>
      </c>
      <c r="I2109" s="3" t="s">
        <v>50</v>
      </c>
      <c r="J2109" s="3" t="s">
        <v>98</v>
      </c>
      <c r="K2109" s="3" t="s">
        <v>7943</v>
      </c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 t="s">
        <v>218</v>
      </c>
      <c r="AL2109" s="4">
        <v>43348</v>
      </c>
      <c r="AM2109" s="3"/>
      <c r="AN2109" s="3" t="s">
        <v>7944</v>
      </c>
    </row>
    <row r="2110" spans="1:40" x14ac:dyDescent="0.3">
      <c r="A2110" s="3">
        <v>2104</v>
      </c>
      <c r="B2110" s="3" t="str">
        <f>"201400124880"</f>
        <v>201400124880</v>
      </c>
      <c r="C2110" s="3">
        <v>111075</v>
      </c>
      <c r="D2110" s="3" t="s">
        <v>7945</v>
      </c>
      <c r="E2110" s="3">
        <v>20332711157</v>
      </c>
      <c r="F2110" s="3" t="s">
        <v>1939</v>
      </c>
      <c r="G2110" s="3" t="s">
        <v>7946</v>
      </c>
      <c r="H2110" s="3" t="s">
        <v>56</v>
      </c>
      <c r="I2110" s="3" t="s">
        <v>56</v>
      </c>
      <c r="J2110" s="3" t="s">
        <v>105</v>
      </c>
      <c r="K2110" s="3" t="s">
        <v>7947</v>
      </c>
      <c r="L2110" s="3" t="s">
        <v>7948</v>
      </c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 t="s">
        <v>7949</v>
      </c>
      <c r="AL2110" s="4">
        <v>41908</v>
      </c>
      <c r="AM2110" s="3"/>
      <c r="AN2110" s="3" t="s">
        <v>7950</v>
      </c>
    </row>
    <row r="2111" spans="1:40" ht="27.95" x14ac:dyDescent="0.3">
      <c r="A2111" s="3">
        <v>2105</v>
      </c>
      <c r="B2111" s="3" t="str">
        <f>"201500071929"</f>
        <v>201500071929</v>
      </c>
      <c r="C2111" s="3">
        <v>115291</v>
      </c>
      <c r="D2111" s="3" t="s">
        <v>7951</v>
      </c>
      <c r="E2111" s="3">
        <v>20389099164</v>
      </c>
      <c r="F2111" s="3" t="s">
        <v>1511</v>
      </c>
      <c r="G2111" s="3" t="s">
        <v>4084</v>
      </c>
      <c r="H2111" s="3" t="s">
        <v>56</v>
      </c>
      <c r="I2111" s="3" t="s">
        <v>56</v>
      </c>
      <c r="J2111" s="3" t="s">
        <v>363</v>
      </c>
      <c r="K2111" s="3" t="s">
        <v>7952</v>
      </c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 t="s">
        <v>1829</v>
      </c>
      <c r="AL2111" s="4">
        <v>42174</v>
      </c>
      <c r="AM2111" s="3"/>
      <c r="AN2111" s="3" t="s">
        <v>1231</v>
      </c>
    </row>
    <row r="2112" spans="1:40" ht="27.95" x14ac:dyDescent="0.3">
      <c r="A2112" s="3">
        <v>2106</v>
      </c>
      <c r="B2112" s="3" t="str">
        <f>"201800123376"</f>
        <v>201800123376</v>
      </c>
      <c r="C2112" s="3">
        <v>41763</v>
      </c>
      <c r="D2112" s="3" t="s">
        <v>7953</v>
      </c>
      <c r="E2112" s="3">
        <v>20455751528</v>
      </c>
      <c r="F2112" s="3" t="s">
        <v>142</v>
      </c>
      <c r="G2112" s="3" t="s">
        <v>7939</v>
      </c>
      <c r="H2112" s="3" t="s">
        <v>97</v>
      </c>
      <c r="I2112" s="3" t="s">
        <v>97</v>
      </c>
      <c r="J2112" s="3" t="s">
        <v>144</v>
      </c>
      <c r="K2112" s="3" t="s">
        <v>7954</v>
      </c>
      <c r="L2112" s="3" t="s">
        <v>3751</v>
      </c>
      <c r="M2112" s="3" t="s">
        <v>5811</v>
      </c>
      <c r="N2112" s="3" t="s">
        <v>7955</v>
      </c>
      <c r="O2112" s="3" t="s">
        <v>5681</v>
      </c>
      <c r="P2112" s="3" t="s">
        <v>7956</v>
      </c>
      <c r="Q2112" s="3" t="s">
        <v>7450</v>
      </c>
      <c r="R2112" s="3" t="s">
        <v>7396</v>
      </c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 t="s">
        <v>7957</v>
      </c>
      <c r="AL2112" s="4">
        <v>43319</v>
      </c>
      <c r="AM2112" s="3"/>
      <c r="AN2112" s="3" t="s">
        <v>151</v>
      </c>
    </row>
    <row r="2113" spans="1:40" x14ac:dyDescent="0.3">
      <c r="A2113" s="3">
        <v>2107</v>
      </c>
      <c r="B2113" s="3" t="str">
        <f>"1815166"</f>
        <v>1815166</v>
      </c>
      <c r="C2113" s="3">
        <v>44827</v>
      </c>
      <c r="D2113" s="3" t="s">
        <v>7958</v>
      </c>
      <c r="E2113" s="3">
        <v>20509916102</v>
      </c>
      <c r="F2113" s="3" t="s">
        <v>7146</v>
      </c>
      <c r="G2113" s="3" t="s">
        <v>7959</v>
      </c>
      <c r="H2113" s="3" t="s">
        <v>97</v>
      </c>
      <c r="I2113" s="3" t="s">
        <v>97</v>
      </c>
      <c r="J2113" s="3" t="s">
        <v>417</v>
      </c>
      <c r="K2113" s="3" t="s">
        <v>7960</v>
      </c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 t="s">
        <v>546</v>
      </c>
      <c r="AL2113" s="4">
        <v>39667</v>
      </c>
      <c r="AM2113" s="3"/>
      <c r="AN2113" s="3"/>
    </row>
    <row r="2114" spans="1:40" x14ac:dyDescent="0.3">
      <c r="A2114" s="3">
        <v>2108</v>
      </c>
      <c r="B2114" s="3" t="str">
        <f>"1145261"</f>
        <v>1145261</v>
      </c>
      <c r="C2114" s="3">
        <v>3388</v>
      </c>
      <c r="D2114" s="3">
        <v>1145261</v>
      </c>
      <c r="E2114" s="3">
        <v>10089945319</v>
      </c>
      <c r="F2114" s="3" t="s">
        <v>4390</v>
      </c>
      <c r="G2114" s="3" t="s">
        <v>7961</v>
      </c>
      <c r="H2114" s="3" t="s">
        <v>56</v>
      </c>
      <c r="I2114" s="3" t="s">
        <v>56</v>
      </c>
      <c r="J2114" s="3" t="s">
        <v>1043</v>
      </c>
      <c r="K2114" s="3" t="s">
        <v>7962</v>
      </c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 t="s">
        <v>52</v>
      </c>
      <c r="AL2114" s="4">
        <v>35664</v>
      </c>
      <c r="AM2114" s="3"/>
      <c r="AN2114" s="3"/>
    </row>
    <row r="2115" spans="1:40" x14ac:dyDescent="0.3">
      <c r="A2115" s="3">
        <v>2109</v>
      </c>
      <c r="B2115" s="3" t="str">
        <f>"201400033073"</f>
        <v>201400033073</v>
      </c>
      <c r="C2115" s="3">
        <v>108233</v>
      </c>
      <c r="D2115" s="3" t="s">
        <v>7963</v>
      </c>
      <c r="E2115" s="3">
        <v>10274063403</v>
      </c>
      <c r="F2115" s="3" t="s">
        <v>7964</v>
      </c>
      <c r="G2115" s="3" t="s">
        <v>7965</v>
      </c>
      <c r="H2115" s="3" t="s">
        <v>357</v>
      </c>
      <c r="I2115" s="3" t="s">
        <v>7966</v>
      </c>
      <c r="J2115" s="3" t="s">
        <v>7967</v>
      </c>
      <c r="K2115" s="3" t="s">
        <v>7968</v>
      </c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 t="s">
        <v>7969</v>
      </c>
      <c r="AL2115" s="4">
        <v>41723</v>
      </c>
      <c r="AM2115" s="3"/>
      <c r="AN2115" s="3" t="s">
        <v>7964</v>
      </c>
    </row>
    <row r="2116" spans="1:40" x14ac:dyDescent="0.3">
      <c r="A2116" s="3">
        <v>2110</v>
      </c>
      <c r="B2116" s="3" t="str">
        <f>"1128640"</f>
        <v>1128640</v>
      </c>
      <c r="C2116" s="3">
        <v>3367</v>
      </c>
      <c r="D2116" s="3">
        <v>1128640</v>
      </c>
      <c r="E2116" s="3">
        <v>10256833978</v>
      </c>
      <c r="F2116" s="3" t="s">
        <v>7970</v>
      </c>
      <c r="G2116" s="3" t="s">
        <v>3455</v>
      </c>
      <c r="H2116" s="3" t="s">
        <v>202</v>
      </c>
      <c r="I2116" s="3" t="s">
        <v>202</v>
      </c>
      <c r="J2116" s="3" t="s">
        <v>203</v>
      </c>
      <c r="K2116" s="3" t="s">
        <v>7971</v>
      </c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 t="s">
        <v>906</v>
      </c>
      <c r="AL2116" s="4">
        <v>35587</v>
      </c>
      <c r="AM2116" s="3"/>
      <c r="AN2116" s="3"/>
    </row>
    <row r="2117" spans="1:40" x14ac:dyDescent="0.3">
      <c r="A2117" s="3">
        <v>2111</v>
      </c>
      <c r="B2117" s="3" t="str">
        <f>"1128641"</f>
        <v>1128641</v>
      </c>
      <c r="C2117" s="3">
        <v>3369</v>
      </c>
      <c r="D2117" s="3">
        <v>1128641</v>
      </c>
      <c r="E2117" s="3">
        <v>20135807665</v>
      </c>
      <c r="F2117" s="3" t="s">
        <v>1217</v>
      </c>
      <c r="G2117" s="3" t="s">
        <v>3455</v>
      </c>
      <c r="H2117" s="3" t="s">
        <v>202</v>
      </c>
      <c r="I2117" s="3" t="s">
        <v>202</v>
      </c>
      <c r="J2117" s="3" t="s">
        <v>203</v>
      </c>
      <c r="K2117" s="3" t="s">
        <v>7972</v>
      </c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 t="s">
        <v>906</v>
      </c>
      <c r="AL2117" s="4">
        <v>35587</v>
      </c>
      <c r="AM2117" s="3"/>
      <c r="AN2117" s="3"/>
    </row>
    <row r="2118" spans="1:40" x14ac:dyDescent="0.3">
      <c r="A2118" s="3">
        <v>2112</v>
      </c>
      <c r="B2118" s="3" t="str">
        <f>"1382947"</f>
        <v>1382947</v>
      </c>
      <c r="C2118" s="3">
        <v>33462</v>
      </c>
      <c r="D2118" s="3" t="s">
        <v>7973</v>
      </c>
      <c r="E2118" s="3">
        <v>20100809088</v>
      </c>
      <c r="F2118" s="3" t="s">
        <v>2177</v>
      </c>
      <c r="G2118" s="3" t="s">
        <v>2178</v>
      </c>
      <c r="H2118" s="3" t="s">
        <v>56</v>
      </c>
      <c r="I2118" s="3" t="s">
        <v>56</v>
      </c>
      <c r="J2118" s="3" t="s">
        <v>313</v>
      </c>
      <c r="K2118" s="3" t="s">
        <v>7974</v>
      </c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 t="s">
        <v>167</v>
      </c>
      <c r="AL2118" s="4">
        <v>37523</v>
      </c>
      <c r="AM2118" s="3"/>
      <c r="AN2118" s="3"/>
    </row>
    <row r="2119" spans="1:40" x14ac:dyDescent="0.3">
      <c r="A2119" s="3">
        <v>2113</v>
      </c>
      <c r="B2119" s="3" t="str">
        <f>"201800143689"</f>
        <v>201800143689</v>
      </c>
      <c r="C2119" s="3">
        <v>138315</v>
      </c>
      <c r="D2119" s="3" t="s">
        <v>7975</v>
      </c>
      <c r="E2119" s="3">
        <v>10278485043</v>
      </c>
      <c r="F2119" s="3" t="s">
        <v>4437</v>
      </c>
      <c r="G2119" s="3" t="s">
        <v>7942</v>
      </c>
      <c r="H2119" s="3" t="s">
        <v>50</v>
      </c>
      <c r="I2119" s="3" t="s">
        <v>50</v>
      </c>
      <c r="J2119" s="3" t="s">
        <v>98</v>
      </c>
      <c r="K2119" s="3" t="s">
        <v>7976</v>
      </c>
      <c r="L2119" s="3" t="s">
        <v>876</v>
      </c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 t="s">
        <v>5010</v>
      </c>
      <c r="AL2119" s="4">
        <v>43349</v>
      </c>
      <c r="AM2119" s="3"/>
      <c r="AN2119" s="3" t="s">
        <v>7944</v>
      </c>
    </row>
    <row r="2120" spans="1:40" ht="27.95" x14ac:dyDescent="0.3">
      <c r="A2120" s="3">
        <v>2114</v>
      </c>
      <c r="B2120" s="3" t="str">
        <f>"201800123367"</f>
        <v>201800123367</v>
      </c>
      <c r="C2120" s="3">
        <v>101930</v>
      </c>
      <c r="D2120" s="3" t="s">
        <v>7977</v>
      </c>
      <c r="E2120" s="3">
        <v>20455751528</v>
      </c>
      <c r="F2120" s="3" t="s">
        <v>142</v>
      </c>
      <c r="G2120" s="3" t="s">
        <v>7394</v>
      </c>
      <c r="H2120" s="3" t="s">
        <v>97</v>
      </c>
      <c r="I2120" s="3" t="s">
        <v>97</v>
      </c>
      <c r="J2120" s="3" t="s">
        <v>144</v>
      </c>
      <c r="K2120" s="3" t="s">
        <v>7978</v>
      </c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 t="s">
        <v>7979</v>
      </c>
      <c r="AL2120" s="4">
        <v>43319</v>
      </c>
      <c r="AM2120" s="3"/>
      <c r="AN2120" s="3" t="s">
        <v>1333</v>
      </c>
    </row>
    <row r="2121" spans="1:40" x14ac:dyDescent="0.3">
      <c r="A2121" s="3">
        <v>2115</v>
      </c>
      <c r="B2121" s="3" t="str">
        <f>"1445097"</f>
        <v>1445097</v>
      </c>
      <c r="C2121" s="3">
        <v>89738</v>
      </c>
      <c r="D2121" s="3" t="s">
        <v>7980</v>
      </c>
      <c r="E2121" s="3">
        <v>20525521509</v>
      </c>
      <c r="F2121" s="3" t="s">
        <v>6172</v>
      </c>
      <c r="G2121" s="3" t="s">
        <v>190</v>
      </c>
      <c r="H2121" s="3" t="s">
        <v>50</v>
      </c>
      <c r="I2121" s="3" t="s">
        <v>50</v>
      </c>
      <c r="J2121" s="3" t="s">
        <v>98</v>
      </c>
      <c r="K2121" s="3" t="s">
        <v>7981</v>
      </c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 t="s">
        <v>7982</v>
      </c>
      <c r="AL2121" s="4">
        <v>40500</v>
      </c>
      <c r="AM2121" s="3"/>
      <c r="AN2121" s="3" t="s">
        <v>885</v>
      </c>
    </row>
    <row r="2122" spans="1:40" x14ac:dyDescent="0.3">
      <c r="A2122" s="3">
        <v>2116</v>
      </c>
      <c r="B2122" s="3" t="str">
        <f>"1389495"</f>
        <v>1389495</v>
      </c>
      <c r="C2122" s="3">
        <v>33860</v>
      </c>
      <c r="D2122" s="3" t="s">
        <v>7983</v>
      </c>
      <c r="E2122" s="3">
        <v>20100873681</v>
      </c>
      <c r="F2122" s="3" t="s">
        <v>1241</v>
      </c>
      <c r="G2122" s="3" t="s">
        <v>1047</v>
      </c>
      <c r="H2122" s="3" t="s">
        <v>56</v>
      </c>
      <c r="I2122" s="3" t="s">
        <v>56</v>
      </c>
      <c r="J2122" s="3" t="s">
        <v>715</v>
      </c>
      <c r="K2122" s="3" t="s">
        <v>7984</v>
      </c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 t="s">
        <v>1087</v>
      </c>
      <c r="AL2122" s="4">
        <v>37596</v>
      </c>
      <c r="AM2122" s="3"/>
      <c r="AN2122" s="3"/>
    </row>
    <row r="2123" spans="1:40" ht="27.95" x14ac:dyDescent="0.3">
      <c r="A2123" s="3">
        <v>2117</v>
      </c>
      <c r="B2123" s="3" t="str">
        <f>"1268619"</f>
        <v>1268619</v>
      </c>
      <c r="C2123" s="3">
        <v>18085</v>
      </c>
      <c r="D2123" s="3">
        <v>1268619</v>
      </c>
      <c r="E2123" s="3">
        <v>10081583396</v>
      </c>
      <c r="F2123" s="3" t="s">
        <v>3783</v>
      </c>
      <c r="G2123" s="3" t="s">
        <v>7985</v>
      </c>
      <c r="H2123" s="3" t="s">
        <v>56</v>
      </c>
      <c r="I2123" s="3" t="s">
        <v>56</v>
      </c>
      <c r="J2123" s="3" t="s">
        <v>277</v>
      </c>
      <c r="K2123" s="3" t="s">
        <v>7986</v>
      </c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 t="s">
        <v>1341</v>
      </c>
      <c r="AL2123" s="4">
        <v>36557</v>
      </c>
      <c r="AM2123" s="3"/>
      <c r="AN2123" s="3"/>
    </row>
    <row r="2124" spans="1:40" ht="27.95" x14ac:dyDescent="0.3">
      <c r="A2124" s="3">
        <v>2118</v>
      </c>
      <c r="B2124" s="3" t="str">
        <f>"201900167521"</f>
        <v>201900167521</v>
      </c>
      <c r="C2124" s="3">
        <v>147137</v>
      </c>
      <c r="D2124" s="3" t="s">
        <v>7987</v>
      </c>
      <c r="E2124" s="3">
        <v>20455751528</v>
      </c>
      <c r="F2124" s="3" t="s">
        <v>142</v>
      </c>
      <c r="G2124" s="3" t="s">
        <v>2167</v>
      </c>
      <c r="H2124" s="3" t="s">
        <v>97</v>
      </c>
      <c r="I2124" s="3" t="s">
        <v>97</v>
      </c>
      <c r="J2124" s="3" t="s">
        <v>144</v>
      </c>
      <c r="K2124" s="3" t="s">
        <v>7988</v>
      </c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 t="s">
        <v>192</v>
      </c>
      <c r="AL2124" s="4">
        <v>43756</v>
      </c>
      <c r="AM2124" s="3"/>
      <c r="AN2124" s="3" t="s">
        <v>151</v>
      </c>
    </row>
    <row r="2125" spans="1:40" x14ac:dyDescent="0.3">
      <c r="A2125" s="3">
        <v>2119</v>
      </c>
      <c r="B2125" s="3" t="str">
        <f>"201400004273"</f>
        <v>201400004273</v>
      </c>
      <c r="C2125" s="3">
        <v>107465</v>
      </c>
      <c r="D2125" s="3" t="s">
        <v>7989</v>
      </c>
      <c r="E2125" s="3">
        <v>10038792186</v>
      </c>
      <c r="F2125" s="3" t="s">
        <v>7990</v>
      </c>
      <c r="G2125" s="3" t="s">
        <v>7991</v>
      </c>
      <c r="H2125" s="3" t="s">
        <v>97</v>
      </c>
      <c r="I2125" s="3" t="s">
        <v>208</v>
      </c>
      <c r="J2125" s="3" t="s">
        <v>209</v>
      </c>
      <c r="K2125" s="3" t="s">
        <v>7992</v>
      </c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 t="s">
        <v>4148</v>
      </c>
      <c r="AL2125" s="4">
        <v>41666</v>
      </c>
      <c r="AM2125" s="3"/>
      <c r="AN2125" s="3" t="s">
        <v>7990</v>
      </c>
    </row>
    <row r="2126" spans="1:40" x14ac:dyDescent="0.3">
      <c r="A2126" s="3">
        <v>2120</v>
      </c>
      <c r="B2126" s="3" t="str">
        <f>"1397799"</f>
        <v>1397799</v>
      </c>
      <c r="C2126" s="3">
        <v>88286</v>
      </c>
      <c r="D2126" s="3" t="s">
        <v>7993</v>
      </c>
      <c r="E2126" s="3">
        <v>20293658146</v>
      </c>
      <c r="F2126" s="3" t="s">
        <v>7994</v>
      </c>
      <c r="G2126" s="3" t="s">
        <v>7995</v>
      </c>
      <c r="H2126" s="3" t="s">
        <v>56</v>
      </c>
      <c r="I2126" s="3" t="s">
        <v>56</v>
      </c>
      <c r="J2126" s="3" t="s">
        <v>63</v>
      </c>
      <c r="K2126" s="3" t="s">
        <v>7996</v>
      </c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 t="s">
        <v>7997</v>
      </c>
      <c r="AL2126" s="4">
        <v>40410</v>
      </c>
      <c r="AM2126" s="3"/>
      <c r="AN2126" s="3" t="s">
        <v>2829</v>
      </c>
    </row>
    <row r="2127" spans="1:40" x14ac:dyDescent="0.3">
      <c r="A2127" s="3">
        <v>2121</v>
      </c>
      <c r="B2127" s="3" t="str">
        <f>"1488903"</f>
        <v>1488903</v>
      </c>
      <c r="C2127" s="3">
        <v>39183</v>
      </c>
      <c r="D2127" s="3" t="s">
        <v>7998</v>
      </c>
      <c r="E2127" s="3">
        <v>20121837634</v>
      </c>
      <c r="F2127" s="3" t="s">
        <v>866</v>
      </c>
      <c r="G2127" s="3" t="s">
        <v>867</v>
      </c>
      <c r="H2127" s="3" t="s">
        <v>237</v>
      </c>
      <c r="I2127" s="3" t="s">
        <v>868</v>
      </c>
      <c r="J2127" s="3" t="s">
        <v>869</v>
      </c>
      <c r="K2127" s="3" t="s">
        <v>7999</v>
      </c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 t="s">
        <v>8000</v>
      </c>
      <c r="AL2127" s="4">
        <v>38230</v>
      </c>
      <c r="AM2127" s="3"/>
      <c r="AN2127" s="3"/>
    </row>
    <row r="2128" spans="1:40" x14ac:dyDescent="0.3">
      <c r="A2128" s="3">
        <v>2122</v>
      </c>
      <c r="B2128" s="3" t="str">
        <f>"201500094848"</f>
        <v>201500094848</v>
      </c>
      <c r="C2128" s="3">
        <v>116057</v>
      </c>
      <c r="D2128" s="3" t="s">
        <v>8001</v>
      </c>
      <c r="E2128" s="3">
        <v>20349366330</v>
      </c>
      <c r="F2128" s="3" t="s">
        <v>3977</v>
      </c>
      <c r="G2128" s="3" t="s">
        <v>8002</v>
      </c>
      <c r="H2128" s="3" t="s">
        <v>56</v>
      </c>
      <c r="I2128" s="3" t="s">
        <v>3997</v>
      </c>
      <c r="J2128" s="3" t="s">
        <v>3997</v>
      </c>
      <c r="K2128" s="3" t="s">
        <v>8003</v>
      </c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 t="s">
        <v>1812</v>
      </c>
      <c r="AL2128" s="4">
        <v>42237</v>
      </c>
      <c r="AM2128" s="3"/>
      <c r="AN2128" s="3" t="s">
        <v>8004</v>
      </c>
    </row>
    <row r="2129" spans="1:40" x14ac:dyDescent="0.3">
      <c r="A2129" s="3">
        <v>2123</v>
      </c>
      <c r="B2129" s="3" t="str">
        <f>"1203489"</f>
        <v>1203489</v>
      </c>
      <c r="C2129" s="3">
        <v>14505</v>
      </c>
      <c r="D2129" s="3">
        <v>1203489</v>
      </c>
      <c r="E2129" s="3">
        <v>20404567595</v>
      </c>
      <c r="F2129" s="3" t="s">
        <v>4585</v>
      </c>
      <c r="G2129" s="3" t="s">
        <v>4586</v>
      </c>
      <c r="H2129" s="3" t="s">
        <v>89</v>
      </c>
      <c r="I2129" s="3" t="s">
        <v>89</v>
      </c>
      <c r="J2129" s="3" t="s">
        <v>89</v>
      </c>
      <c r="K2129" s="3" t="s">
        <v>8005</v>
      </c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 t="s">
        <v>634</v>
      </c>
      <c r="AL2129" s="4">
        <v>36096</v>
      </c>
      <c r="AM2129" s="3"/>
      <c r="AN2129" s="3"/>
    </row>
    <row r="2130" spans="1:40" x14ac:dyDescent="0.3">
      <c r="A2130" s="3">
        <v>2124</v>
      </c>
      <c r="B2130" s="3" t="str">
        <f>"1148563"</f>
        <v>1148563</v>
      </c>
      <c r="C2130" s="3">
        <v>3306</v>
      </c>
      <c r="D2130" s="3">
        <v>1148563</v>
      </c>
      <c r="E2130" s="3">
        <v>10075443540</v>
      </c>
      <c r="F2130" s="3" t="s">
        <v>8006</v>
      </c>
      <c r="G2130" s="3" t="s">
        <v>8007</v>
      </c>
      <c r="H2130" s="3" t="s">
        <v>56</v>
      </c>
      <c r="I2130" s="3" t="s">
        <v>56</v>
      </c>
      <c r="J2130" s="3" t="s">
        <v>121</v>
      </c>
      <c r="K2130" s="3" t="s">
        <v>8008</v>
      </c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 t="s">
        <v>65</v>
      </c>
      <c r="AL2130" s="4">
        <v>35681</v>
      </c>
      <c r="AM2130" s="3"/>
      <c r="AN2130" s="3"/>
    </row>
    <row r="2131" spans="1:40" ht="27.95" x14ac:dyDescent="0.3">
      <c r="A2131" s="3">
        <v>2125</v>
      </c>
      <c r="B2131" s="3" t="str">
        <f>"201800123355"</f>
        <v>201800123355</v>
      </c>
      <c r="C2131" s="3">
        <v>137696</v>
      </c>
      <c r="D2131" s="3" t="s">
        <v>8009</v>
      </c>
      <c r="E2131" s="3">
        <v>20478005289</v>
      </c>
      <c r="F2131" s="3" t="s">
        <v>8010</v>
      </c>
      <c r="G2131" s="3" t="s">
        <v>1933</v>
      </c>
      <c r="H2131" s="3" t="s">
        <v>56</v>
      </c>
      <c r="I2131" s="3" t="s">
        <v>56</v>
      </c>
      <c r="J2131" s="3" t="s">
        <v>363</v>
      </c>
      <c r="K2131" s="3" t="s">
        <v>8011</v>
      </c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 t="s">
        <v>8012</v>
      </c>
      <c r="AL2131" s="4">
        <v>43311</v>
      </c>
      <c r="AM2131" s="3"/>
      <c r="AN2131" s="3" t="s">
        <v>372</v>
      </c>
    </row>
    <row r="2132" spans="1:40" x14ac:dyDescent="0.3">
      <c r="A2132" s="3">
        <v>2126</v>
      </c>
      <c r="B2132" s="3" t="str">
        <f>"201400087560"</f>
        <v>201400087560</v>
      </c>
      <c r="C2132" s="3">
        <v>61591</v>
      </c>
      <c r="D2132" s="3" t="s">
        <v>8013</v>
      </c>
      <c r="E2132" s="3">
        <v>20264870721</v>
      </c>
      <c r="F2132" s="3" t="s">
        <v>8014</v>
      </c>
      <c r="G2132" s="3" t="s">
        <v>8015</v>
      </c>
      <c r="H2132" s="3" t="s">
        <v>56</v>
      </c>
      <c r="I2132" s="3" t="s">
        <v>56</v>
      </c>
      <c r="J2132" s="3" t="s">
        <v>529</v>
      </c>
      <c r="K2132" s="3" t="s">
        <v>8016</v>
      </c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 t="s">
        <v>906</v>
      </c>
      <c r="AL2132" s="4">
        <v>41831</v>
      </c>
      <c r="AM2132" s="3"/>
      <c r="AN2132" s="3" t="s">
        <v>2099</v>
      </c>
    </row>
    <row r="2133" spans="1:40" ht="27.95" x14ac:dyDescent="0.3">
      <c r="A2133" s="3">
        <v>2127</v>
      </c>
      <c r="B2133" s="3" t="str">
        <f>"201800123359"</f>
        <v>201800123359</v>
      </c>
      <c r="C2133" s="3">
        <v>96420</v>
      </c>
      <c r="D2133" s="3" t="s">
        <v>8017</v>
      </c>
      <c r="E2133" s="3">
        <v>20455751528</v>
      </c>
      <c r="F2133" s="3" t="s">
        <v>142</v>
      </c>
      <c r="G2133" s="3" t="s">
        <v>7939</v>
      </c>
      <c r="H2133" s="3" t="s">
        <v>97</v>
      </c>
      <c r="I2133" s="3" t="s">
        <v>97</v>
      </c>
      <c r="J2133" s="3" t="s">
        <v>144</v>
      </c>
      <c r="K2133" s="3" t="s">
        <v>3750</v>
      </c>
      <c r="L2133" s="3" t="s">
        <v>3743</v>
      </c>
      <c r="M2133" s="3" t="s">
        <v>8018</v>
      </c>
      <c r="N2133" s="3" t="s">
        <v>7400</v>
      </c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 t="s">
        <v>2281</v>
      </c>
      <c r="AL2133" s="4">
        <v>43320</v>
      </c>
      <c r="AM2133" s="3"/>
      <c r="AN2133" s="3" t="s">
        <v>151</v>
      </c>
    </row>
    <row r="2134" spans="1:40" ht="27.95" x14ac:dyDescent="0.3">
      <c r="A2134" s="3">
        <v>2128</v>
      </c>
      <c r="B2134" s="3" t="str">
        <f>"1343745"</f>
        <v>1343745</v>
      </c>
      <c r="C2134" s="3">
        <v>21346</v>
      </c>
      <c r="D2134" s="3" t="s">
        <v>8019</v>
      </c>
      <c r="E2134" s="3">
        <v>10062406009</v>
      </c>
      <c r="F2134" s="3" t="s">
        <v>8020</v>
      </c>
      <c r="G2134" s="3" t="s">
        <v>8021</v>
      </c>
      <c r="H2134" s="3" t="s">
        <v>56</v>
      </c>
      <c r="I2134" s="3" t="s">
        <v>56</v>
      </c>
      <c r="J2134" s="3" t="s">
        <v>56</v>
      </c>
      <c r="K2134" s="3" t="s">
        <v>8022</v>
      </c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 t="s">
        <v>614</v>
      </c>
      <c r="AL2134" s="4">
        <v>37228</v>
      </c>
      <c r="AM2134" s="3"/>
      <c r="AN2134" s="3"/>
    </row>
    <row r="2135" spans="1:40" x14ac:dyDescent="0.3">
      <c r="A2135" s="3">
        <v>2129</v>
      </c>
      <c r="B2135" s="3" t="str">
        <f>"1384409"</f>
        <v>1384409</v>
      </c>
      <c r="C2135" s="3">
        <v>33546</v>
      </c>
      <c r="D2135" s="3" t="s">
        <v>8023</v>
      </c>
      <c r="E2135" s="3">
        <v>20100366747</v>
      </c>
      <c r="F2135" s="3" t="s">
        <v>258</v>
      </c>
      <c r="G2135" s="3" t="s">
        <v>1055</v>
      </c>
      <c r="H2135" s="3" t="s">
        <v>56</v>
      </c>
      <c r="I2135" s="3" t="s">
        <v>56</v>
      </c>
      <c r="J2135" s="3" t="s">
        <v>185</v>
      </c>
      <c r="K2135" s="3" t="s">
        <v>8024</v>
      </c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 t="s">
        <v>546</v>
      </c>
      <c r="AL2135" s="4">
        <v>37540</v>
      </c>
      <c r="AM2135" s="3"/>
      <c r="AN2135" s="3"/>
    </row>
    <row r="2136" spans="1:40" x14ac:dyDescent="0.3">
      <c r="A2136" s="3">
        <v>2130</v>
      </c>
      <c r="B2136" s="3" t="str">
        <f>"202000005947"</f>
        <v>202000005947</v>
      </c>
      <c r="C2136" s="3">
        <v>148721</v>
      </c>
      <c r="D2136" s="3" t="s">
        <v>8025</v>
      </c>
      <c r="E2136" s="3">
        <v>20102314698</v>
      </c>
      <c r="F2136" s="3" t="s">
        <v>1185</v>
      </c>
      <c r="G2136" s="3" t="s">
        <v>8026</v>
      </c>
      <c r="H2136" s="3" t="s">
        <v>50</v>
      </c>
      <c r="I2136" s="3" t="s">
        <v>50</v>
      </c>
      <c r="J2136" s="3" t="s">
        <v>2274</v>
      </c>
      <c r="K2136" s="3" t="s">
        <v>8027</v>
      </c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 t="s">
        <v>167</v>
      </c>
      <c r="AL2136" s="4">
        <v>43847</v>
      </c>
      <c r="AM2136" s="3"/>
      <c r="AN2136" s="3" t="s">
        <v>7722</v>
      </c>
    </row>
    <row r="2137" spans="1:40" x14ac:dyDescent="0.3">
      <c r="A2137" s="3">
        <v>2131</v>
      </c>
      <c r="B2137" s="3" t="str">
        <f>"1384403"</f>
        <v>1384403</v>
      </c>
      <c r="C2137" s="3">
        <v>33558</v>
      </c>
      <c r="D2137" s="3" t="s">
        <v>8028</v>
      </c>
      <c r="E2137" s="3">
        <v>20100366747</v>
      </c>
      <c r="F2137" s="3" t="s">
        <v>258</v>
      </c>
      <c r="G2137" s="3" t="s">
        <v>1055</v>
      </c>
      <c r="H2137" s="3" t="s">
        <v>56</v>
      </c>
      <c r="I2137" s="3" t="s">
        <v>56</v>
      </c>
      <c r="J2137" s="3" t="s">
        <v>185</v>
      </c>
      <c r="K2137" s="3" t="s">
        <v>8029</v>
      </c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 t="s">
        <v>546</v>
      </c>
      <c r="AL2137" s="4">
        <v>37540</v>
      </c>
      <c r="AM2137" s="3"/>
      <c r="AN2137" s="3"/>
    </row>
    <row r="2138" spans="1:40" x14ac:dyDescent="0.3">
      <c r="A2138" s="3">
        <v>2132</v>
      </c>
      <c r="B2138" s="3" t="str">
        <f>"1384402"</f>
        <v>1384402</v>
      </c>
      <c r="C2138" s="3">
        <v>33559</v>
      </c>
      <c r="D2138" s="3" t="s">
        <v>8030</v>
      </c>
      <c r="E2138" s="3">
        <v>20100366747</v>
      </c>
      <c r="F2138" s="3" t="s">
        <v>258</v>
      </c>
      <c r="G2138" s="3" t="s">
        <v>1055</v>
      </c>
      <c r="H2138" s="3" t="s">
        <v>56</v>
      </c>
      <c r="I2138" s="3" t="s">
        <v>56</v>
      </c>
      <c r="J2138" s="3" t="s">
        <v>185</v>
      </c>
      <c r="K2138" s="3" t="s">
        <v>8031</v>
      </c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 t="s">
        <v>546</v>
      </c>
      <c r="AL2138" s="4">
        <v>37540</v>
      </c>
      <c r="AM2138" s="3"/>
      <c r="AN2138" s="3"/>
    </row>
    <row r="2139" spans="1:40" x14ac:dyDescent="0.3">
      <c r="A2139" s="3">
        <v>2133</v>
      </c>
      <c r="B2139" s="3" t="str">
        <f>"201600168325"</f>
        <v>201600168325</v>
      </c>
      <c r="C2139" s="3">
        <v>124885</v>
      </c>
      <c r="D2139" s="3" t="s">
        <v>8032</v>
      </c>
      <c r="E2139" s="3">
        <v>10476030256</v>
      </c>
      <c r="F2139" s="3" t="s">
        <v>8033</v>
      </c>
      <c r="G2139" s="3" t="s">
        <v>7546</v>
      </c>
      <c r="H2139" s="3" t="s">
        <v>56</v>
      </c>
      <c r="I2139" s="3" t="s">
        <v>56</v>
      </c>
      <c r="J2139" s="3" t="s">
        <v>363</v>
      </c>
      <c r="K2139" s="3" t="s">
        <v>8034</v>
      </c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 t="s">
        <v>3389</v>
      </c>
      <c r="AL2139" s="4">
        <v>42690</v>
      </c>
      <c r="AM2139" s="3"/>
      <c r="AN2139" s="3" t="s">
        <v>8033</v>
      </c>
    </row>
    <row r="2140" spans="1:40" x14ac:dyDescent="0.3">
      <c r="A2140" s="3">
        <v>2134</v>
      </c>
      <c r="B2140" s="3" t="str">
        <f>"202000005936"</f>
        <v>202000005936</v>
      </c>
      <c r="C2140" s="3">
        <v>148720</v>
      </c>
      <c r="D2140" s="3" t="s">
        <v>8035</v>
      </c>
      <c r="E2140" s="3">
        <v>20102314698</v>
      </c>
      <c r="F2140" s="3" t="s">
        <v>1185</v>
      </c>
      <c r="G2140" s="3" t="s">
        <v>8036</v>
      </c>
      <c r="H2140" s="3" t="s">
        <v>50</v>
      </c>
      <c r="I2140" s="3" t="s">
        <v>50</v>
      </c>
      <c r="J2140" s="3" t="s">
        <v>2274</v>
      </c>
      <c r="K2140" s="3" t="s">
        <v>8037</v>
      </c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 t="s">
        <v>167</v>
      </c>
      <c r="AL2140" s="4">
        <v>43847</v>
      </c>
      <c r="AM2140" s="3"/>
      <c r="AN2140" s="3" t="s">
        <v>7722</v>
      </c>
    </row>
    <row r="2141" spans="1:40" x14ac:dyDescent="0.3">
      <c r="A2141" s="3">
        <v>2135</v>
      </c>
      <c r="B2141" s="3" t="str">
        <f>"1384415"</f>
        <v>1384415</v>
      </c>
      <c r="C2141" s="3">
        <v>33544</v>
      </c>
      <c r="D2141" s="3" t="s">
        <v>8038</v>
      </c>
      <c r="E2141" s="3">
        <v>20100366747</v>
      </c>
      <c r="F2141" s="3" t="s">
        <v>258</v>
      </c>
      <c r="G2141" s="3" t="s">
        <v>1055</v>
      </c>
      <c r="H2141" s="3" t="s">
        <v>56</v>
      </c>
      <c r="I2141" s="3" t="s">
        <v>56</v>
      </c>
      <c r="J2141" s="3" t="s">
        <v>185</v>
      </c>
      <c r="K2141" s="3" t="s">
        <v>8039</v>
      </c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 t="s">
        <v>546</v>
      </c>
      <c r="AL2141" s="4">
        <v>37540</v>
      </c>
      <c r="AM2141" s="3"/>
      <c r="AN2141" s="3"/>
    </row>
    <row r="2142" spans="1:40" x14ac:dyDescent="0.3">
      <c r="A2142" s="3">
        <v>2136</v>
      </c>
      <c r="B2142" s="3" t="str">
        <f>"1115766"</f>
        <v>1115766</v>
      </c>
      <c r="C2142" s="3">
        <v>3573</v>
      </c>
      <c r="D2142" s="3" t="s">
        <v>8040</v>
      </c>
      <c r="E2142" s="3">
        <v>20100366747</v>
      </c>
      <c r="F2142" s="3" t="s">
        <v>258</v>
      </c>
      <c r="G2142" s="3" t="s">
        <v>1055</v>
      </c>
      <c r="H2142" s="3" t="s">
        <v>56</v>
      </c>
      <c r="I2142" s="3" t="s">
        <v>56</v>
      </c>
      <c r="J2142" s="3" t="s">
        <v>185</v>
      </c>
      <c r="K2142" s="3" t="s">
        <v>8041</v>
      </c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 t="s">
        <v>157</v>
      </c>
      <c r="AL2142" s="4">
        <v>36875</v>
      </c>
      <c r="AM2142" s="3"/>
      <c r="AN2142" s="3"/>
    </row>
    <row r="2143" spans="1:40" x14ac:dyDescent="0.3">
      <c r="A2143" s="3">
        <v>2137</v>
      </c>
      <c r="B2143" s="3" t="str">
        <f>"1384411"</f>
        <v>1384411</v>
      </c>
      <c r="C2143" s="3">
        <v>33547</v>
      </c>
      <c r="D2143" s="3" t="s">
        <v>8042</v>
      </c>
      <c r="E2143" s="3">
        <v>20100366747</v>
      </c>
      <c r="F2143" s="3" t="s">
        <v>258</v>
      </c>
      <c r="G2143" s="3" t="s">
        <v>1055</v>
      </c>
      <c r="H2143" s="3" t="s">
        <v>56</v>
      </c>
      <c r="I2143" s="3" t="s">
        <v>56</v>
      </c>
      <c r="J2143" s="3" t="s">
        <v>185</v>
      </c>
      <c r="K2143" s="3" t="s">
        <v>8043</v>
      </c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 t="s">
        <v>546</v>
      </c>
      <c r="AL2143" s="4">
        <v>37540</v>
      </c>
      <c r="AM2143" s="3"/>
      <c r="AN2143" s="3"/>
    </row>
    <row r="2144" spans="1:40" x14ac:dyDescent="0.3">
      <c r="A2144" s="3">
        <v>2138</v>
      </c>
      <c r="B2144" s="3" t="str">
        <f>"1384410"</f>
        <v>1384410</v>
      </c>
      <c r="C2144" s="3">
        <v>33566</v>
      </c>
      <c r="D2144" s="3" t="s">
        <v>8044</v>
      </c>
      <c r="E2144" s="3">
        <v>20100366747</v>
      </c>
      <c r="F2144" s="3" t="s">
        <v>258</v>
      </c>
      <c r="G2144" s="3" t="s">
        <v>1055</v>
      </c>
      <c r="H2144" s="3" t="s">
        <v>56</v>
      </c>
      <c r="I2144" s="3" t="s">
        <v>56</v>
      </c>
      <c r="J2144" s="3" t="s">
        <v>185</v>
      </c>
      <c r="K2144" s="3" t="s">
        <v>8045</v>
      </c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 t="s">
        <v>546</v>
      </c>
      <c r="AL2144" s="4">
        <v>37540</v>
      </c>
      <c r="AM2144" s="3"/>
      <c r="AN2144" s="3"/>
    </row>
    <row r="2145" spans="1:40" x14ac:dyDescent="0.3">
      <c r="A2145" s="3">
        <v>2139</v>
      </c>
      <c r="B2145" s="3" t="str">
        <f>"201700197872"</f>
        <v>201700197872</v>
      </c>
      <c r="C2145" s="3">
        <v>133034</v>
      </c>
      <c r="D2145" s="3" t="s">
        <v>8046</v>
      </c>
      <c r="E2145" s="3">
        <v>10167020483</v>
      </c>
      <c r="F2145" s="3" t="s">
        <v>8047</v>
      </c>
      <c r="G2145" s="3" t="s">
        <v>8048</v>
      </c>
      <c r="H2145" s="3" t="s">
        <v>50</v>
      </c>
      <c r="I2145" s="3" t="s">
        <v>50</v>
      </c>
      <c r="J2145" s="3" t="s">
        <v>50</v>
      </c>
      <c r="K2145" s="3" t="s">
        <v>8049</v>
      </c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 t="s">
        <v>583</v>
      </c>
      <c r="AL2145" s="4">
        <v>43063</v>
      </c>
      <c r="AM2145" s="3"/>
      <c r="AN2145" s="3" t="s">
        <v>8050</v>
      </c>
    </row>
    <row r="2146" spans="1:40" x14ac:dyDescent="0.3">
      <c r="A2146" s="3">
        <v>2140</v>
      </c>
      <c r="B2146" s="3" t="str">
        <f>"1950668"</f>
        <v>1950668</v>
      </c>
      <c r="C2146" s="3">
        <v>63853</v>
      </c>
      <c r="D2146" s="3" t="s">
        <v>8051</v>
      </c>
      <c r="E2146" s="3">
        <v>10094177702</v>
      </c>
      <c r="F2146" s="3" t="s">
        <v>8052</v>
      </c>
      <c r="G2146" s="3" t="s">
        <v>8053</v>
      </c>
      <c r="H2146" s="3" t="s">
        <v>56</v>
      </c>
      <c r="I2146" s="3" t="s">
        <v>56</v>
      </c>
      <c r="J2146" s="3" t="s">
        <v>331</v>
      </c>
      <c r="K2146" s="3" t="s">
        <v>8054</v>
      </c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 t="s">
        <v>8055</v>
      </c>
      <c r="AL2146" s="4">
        <v>40238</v>
      </c>
      <c r="AM2146" s="3"/>
      <c r="AN2146" s="3"/>
    </row>
    <row r="2147" spans="1:40" x14ac:dyDescent="0.3">
      <c r="A2147" s="3">
        <v>2141</v>
      </c>
      <c r="B2147" s="3" t="str">
        <f>"1868011"</f>
        <v>1868011</v>
      </c>
      <c r="C2147" s="3">
        <v>3405</v>
      </c>
      <c r="D2147" s="3" t="s">
        <v>8056</v>
      </c>
      <c r="E2147" s="3">
        <v>10257800429</v>
      </c>
      <c r="F2147" s="3" t="s">
        <v>281</v>
      </c>
      <c r="G2147" s="3" t="s">
        <v>282</v>
      </c>
      <c r="H2147" s="3" t="s">
        <v>56</v>
      </c>
      <c r="I2147" s="3" t="s">
        <v>56</v>
      </c>
      <c r="J2147" s="3" t="s">
        <v>56</v>
      </c>
      <c r="K2147" s="3" t="s">
        <v>8057</v>
      </c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 t="s">
        <v>65</v>
      </c>
      <c r="AL2147" s="4">
        <v>39889</v>
      </c>
      <c r="AM2147" s="3"/>
      <c r="AN2147" s="3"/>
    </row>
    <row r="2148" spans="1:40" ht="27.95" x14ac:dyDescent="0.3">
      <c r="A2148" s="3">
        <v>2142</v>
      </c>
      <c r="B2148" s="3" t="str">
        <f>"201800123338"</f>
        <v>201800123338</v>
      </c>
      <c r="C2148" s="3">
        <v>109136</v>
      </c>
      <c r="D2148" s="3" t="s">
        <v>8058</v>
      </c>
      <c r="E2148" s="3">
        <v>20455751528</v>
      </c>
      <c r="F2148" s="3" t="s">
        <v>142</v>
      </c>
      <c r="G2148" s="3" t="s">
        <v>7939</v>
      </c>
      <c r="H2148" s="3" t="s">
        <v>97</v>
      </c>
      <c r="I2148" s="3" t="s">
        <v>97</v>
      </c>
      <c r="J2148" s="3" t="s">
        <v>144</v>
      </c>
      <c r="K2148" s="3" t="s">
        <v>8059</v>
      </c>
      <c r="L2148" s="3" t="s">
        <v>8018</v>
      </c>
      <c r="M2148" s="3" t="s">
        <v>7450</v>
      </c>
      <c r="N2148" s="3" t="s">
        <v>7396</v>
      </c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 t="s">
        <v>2281</v>
      </c>
      <c r="AL2148" s="4">
        <v>43319</v>
      </c>
      <c r="AM2148" s="3"/>
      <c r="AN2148" s="3" t="s">
        <v>151</v>
      </c>
    </row>
    <row r="2149" spans="1:40" x14ac:dyDescent="0.3">
      <c r="A2149" s="3">
        <v>2143</v>
      </c>
      <c r="B2149" s="3" t="str">
        <f>"201500095990"</f>
        <v>201500095990</v>
      </c>
      <c r="C2149" s="3">
        <v>111140</v>
      </c>
      <c r="D2149" s="3" t="s">
        <v>8060</v>
      </c>
      <c r="E2149" s="3">
        <v>10278485043</v>
      </c>
      <c r="F2149" s="3" t="s">
        <v>4437</v>
      </c>
      <c r="G2149" s="3" t="s">
        <v>8061</v>
      </c>
      <c r="H2149" s="3" t="s">
        <v>50</v>
      </c>
      <c r="I2149" s="3" t="s">
        <v>50</v>
      </c>
      <c r="J2149" s="3" t="s">
        <v>98</v>
      </c>
      <c r="K2149" s="3" t="s">
        <v>8062</v>
      </c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 t="s">
        <v>6500</v>
      </c>
      <c r="AL2149" s="4">
        <v>42220</v>
      </c>
      <c r="AM2149" s="3"/>
      <c r="AN2149" s="3" t="s">
        <v>8063</v>
      </c>
    </row>
    <row r="2150" spans="1:40" x14ac:dyDescent="0.3">
      <c r="A2150" s="3">
        <v>2144</v>
      </c>
      <c r="B2150" s="3" t="str">
        <f>"1485392"</f>
        <v>1485392</v>
      </c>
      <c r="C2150" s="3">
        <v>92408</v>
      </c>
      <c r="D2150" s="3" t="s">
        <v>8064</v>
      </c>
      <c r="E2150" s="3">
        <v>20455855145</v>
      </c>
      <c r="F2150" s="3" t="s">
        <v>7433</v>
      </c>
      <c r="G2150" s="3" t="s">
        <v>7434</v>
      </c>
      <c r="H2150" s="3" t="s">
        <v>97</v>
      </c>
      <c r="I2150" s="3" t="s">
        <v>97</v>
      </c>
      <c r="J2150" s="3" t="s">
        <v>970</v>
      </c>
      <c r="K2150" s="3" t="s">
        <v>8065</v>
      </c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 t="s">
        <v>4435</v>
      </c>
      <c r="AL2150" s="4">
        <v>41376</v>
      </c>
      <c r="AM2150" s="3"/>
      <c r="AN2150" s="3" t="s">
        <v>7436</v>
      </c>
    </row>
    <row r="2151" spans="1:40" ht="27.95" x14ac:dyDescent="0.3">
      <c r="A2151" s="3">
        <v>2145</v>
      </c>
      <c r="B2151" s="3" t="str">
        <f>"1716301"</f>
        <v>1716301</v>
      </c>
      <c r="C2151" s="3">
        <v>60921</v>
      </c>
      <c r="D2151" s="3" t="s">
        <v>8066</v>
      </c>
      <c r="E2151" s="3">
        <v>10060304489</v>
      </c>
      <c r="F2151" s="3" t="s">
        <v>3631</v>
      </c>
      <c r="G2151" s="3" t="s">
        <v>8067</v>
      </c>
      <c r="H2151" s="3" t="s">
        <v>56</v>
      </c>
      <c r="I2151" s="3" t="s">
        <v>56</v>
      </c>
      <c r="J2151" s="3" t="s">
        <v>309</v>
      </c>
      <c r="K2151" s="3" t="s">
        <v>8068</v>
      </c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 t="s">
        <v>230</v>
      </c>
      <c r="AL2151" s="4">
        <v>39330</v>
      </c>
      <c r="AM2151" s="3"/>
      <c r="AN2151" s="3"/>
    </row>
    <row r="2152" spans="1:40" x14ac:dyDescent="0.3">
      <c r="A2152" s="3">
        <v>2146</v>
      </c>
      <c r="B2152" s="3" t="str">
        <f>"1121933"</f>
        <v>1121933</v>
      </c>
      <c r="C2152" s="3">
        <v>2549</v>
      </c>
      <c r="D2152" s="3">
        <v>1046859</v>
      </c>
      <c r="E2152" s="3">
        <v>10065433163</v>
      </c>
      <c r="F2152" s="3" t="s">
        <v>7048</v>
      </c>
      <c r="G2152" s="3" t="s">
        <v>7049</v>
      </c>
      <c r="H2152" s="3" t="s">
        <v>56</v>
      </c>
      <c r="I2152" s="3" t="s">
        <v>56</v>
      </c>
      <c r="J2152" s="3" t="s">
        <v>2995</v>
      </c>
      <c r="K2152" s="3" t="s">
        <v>8069</v>
      </c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 t="s">
        <v>842</v>
      </c>
      <c r="AL2152" s="4">
        <v>35550</v>
      </c>
      <c r="AM2152" s="3"/>
      <c r="AN2152" s="3"/>
    </row>
    <row r="2153" spans="1:40" x14ac:dyDescent="0.3">
      <c r="A2153" s="3">
        <v>2147</v>
      </c>
      <c r="B2153" s="3" t="str">
        <f>"1373268"</f>
        <v>1373268</v>
      </c>
      <c r="C2153" s="3">
        <v>63543</v>
      </c>
      <c r="D2153" s="3" t="s">
        <v>8070</v>
      </c>
      <c r="E2153" s="3">
        <v>10295483755</v>
      </c>
      <c r="F2153" s="3" t="s">
        <v>8071</v>
      </c>
      <c r="G2153" s="3" t="s">
        <v>8072</v>
      </c>
      <c r="H2153" s="3" t="s">
        <v>97</v>
      </c>
      <c r="I2153" s="3" t="s">
        <v>97</v>
      </c>
      <c r="J2153" s="3" t="s">
        <v>254</v>
      </c>
      <c r="K2153" s="3" t="s">
        <v>8073</v>
      </c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 t="s">
        <v>419</v>
      </c>
      <c r="AL2153" s="4">
        <v>40360</v>
      </c>
      <c r="AM2153" s="3"/>
      <c r="AN2153" s="3" t="s">
        <v>8071</v>
      </c>
    </row>
    <row r="2154" spans="1:40" x14ac:dyDescent="0.3">
      <c r="A2154" s="3">
        <v>2148</v>
      </c>
      <c r="B2154" s="3" t="str">
        <f>"1298303"</f>
        <v>1298303</v>
      </c>
      <c r="C2154" s="3">
        <v>19695</v>
      </c>
      <c r="D2154" s="3">
        <v>1298303</v>
      </c>
      <c r="E2154" s="3">
        <v>20293033804</v>
      </c>
      <c r="F2154" s="3" t="s">
        <v>6241</v>
      </c>
      <c r="G2154" s="3" t="s">
        <v>6242</v>
      </c>
      <c r="H2154" s="3" t="s">
        <v>75</v>
      </c>
      <c r="I2154" s="3" t="s">
        <v>75</v>
      </c>
      <c r="J2154" s="3" t="s">
        <v>4639</v>
      </c>
      <c r="K2154" s="3" t="s">
        <v>8074</v>
      </c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 t="s">
        <v>2355</v>
      </c>
      <c r="AL2154" s="4">
        <v>36825</v>
      </c>
      <c r="AM2154" s="3"/>
      <c r="AN2154" s="3"/>
    </row>
    <row r="2155" spans="1:40" x14ac:dyDescent="0.3">
      <c r="A2155" s="3">
        <v>2149</v>
      </c>
      <c r="B2155" s="3" t="str">
        <f>"1298304"</f>
        <v>1298304</v>
      </c>
      <c r="C2155" s="3">
        <v>19696</v>
      </c>
      <c r="D2155" s="3">
        <v>1298304</v>
      </c>
      <c r="E2155" s="3">
        <v>20293033804</v>
      </c>
      <c r="F2155" s="3" t="s">
        <v>6241</v>
      </c>
      <c r="G2155" s="3" t="s">
        <v>6242</v>
      </c>
      <c r="H2155" s="3" t="s">
        <v>75</v>
      </c>
      <c r="I2155" s="3" t="s">
        <v>75</v>
      </c>
      <c r="J2155" s="3" t="s">
        <v>4639</v>
      </c>
      <c r="K2155" s="3" t="s">
        <v>8075</v>
      </c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 t="s">
        <v>2355</v>
      </c>
      <c r="AL2155" s="4">
        <v>36825</v>
      </c>
      <c r="AM2155" s="3"/>
      <c r="AN2155" s="3"/>
    </row>
    <row r="2156" spans="1:40" x14ac:dyDescent="0.3">
      <c r="A2156" s="3">
        <v>2150</v>
      </c>
      <c r="B2156" s="3" t="str">
        <f>"1298302"</f>
        <v>1298302</v>
      </c>
      <c r="C2156" s="3">
        <v>19694</v>
      </c>
      <c r="D2156" s="3">
        <v>1298302</v>
      </c>
      <c r="E2156" s="3">
        <v>20293033804</v>
      </c>
      <c r="F2156" s="3" t="s">
        <v>6241</v>
      </c>
      <c r="G2156" s="3" t="s">
        <v>6242</v>
      </c>
      <c r="H2156" s="3" t="s">
        <v>75</v>
      </c>
      <c r="I2156" s="3" t="s">
        <v>75</v>
      </c>
      <c r="J2156" s="3" t="s">
        <v>4639</v>
      </c>
      <c r="K2156" s="3" t="s">
        <v>8076</v>
      </c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 t="s">
        <v>2355</v>
      </c>
      <c r="AL2156" s="4">
        <v>36825</v>
      </c>
      <c r="AM2156" s="3"/>
      <c r="AN2156" s="3"/>
    </row>
    <row r="2157" spans="1:40" x14ac:dyDescent="0.3">
      <c r="A2157" s="3">
        <v>2151</v>
      </c>
      <c r="B2157" s="3" t="str">
        <f>"201700185411"</f>
        <v>201700185411</v>
      </c>
      <c r="C2157" s="3">
        <v>132696</v>
      </c>
      <c r="D2157" s="3" t="s">
        <v>8077</v>
      </c>
      <c r="E2157" s="3">
        <v>20601859409</v>
      </c>
      <c r="F2157" s="3" t="s">
        <v>4743</v>
      </c>
      <c r="G2157" s="3" t="s">
        <v>8078</v>
      </c>
      <c r="H2157" s="3" t="s">
        <v>172</v>
      </c>
      <c r="I2157" s="3" t="s">
        <v>172</v>
      </c>
      <c r="J2157" s="3" t="s">
        <v>1719</v>
      </c>
      <c r="K2157" s="3" t="s">
        <v>8079</v>
      </c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 t="s">
        <v>1812</v>
      </c>
      <c r="AL2157" s="4">
        <v>43049</v>
      </c>
      <c r="AM2157" s="3"/>
      <c r="AN2157" s="3" t="s">
        <v>4746</v>
      </c>
    </row>
    <row r="2158" spans="1:40" x14ac:dyDescent="0.3">
      <c r="A2158" s="3">
        <v>2152</v>
      </c>
      <c r="B2158" s="3" t="str">
        <f>"1298300"</f>
        <v>1298300</v>
      </c>
      <c r="C2158" s="3">
        <v>19693</v>
      </c>
      <c r="D2158" s="3">
        <v>1298300</v>
      </c>
      <c r="E2158" s="3">
        <v>20293033804</v>
      </c>
      <c r="F2158" s="3" t="s">
        <v>6241</v>
      </c>
      <c r="G2158" s="3" t="s">
        <v>6242</v>
      </c>
      <c r="H2158" s="3" t="s">
        <v>75</v>
      </c>
      <c r="I2158" s="3" t="s">
        <v>75</v>
      </c>
      <c r="J2158" s="3" t="s">
        <v>4639</v>
      </c>
      <c r="K2158" s="3" t="s">
        <v>8080</v>
      </c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 t="s">
        <v>2355</v>
      </c>
      <c r="AL2158" s="4">
        <v>36825</v>
      </c>
      <c r="AM2158" s="3"/>
      <c r="AN2158" s="3"/>
    </row>
    <row r="2159" spans="1:40" ht="27.95" x14ac:dyDescent="0.3">
      <c r="A2159" s="3">
        <v>2153</v>
      </c>
      <c r="B2159" s="3" t="str">
        <f>"201600185675"</f>
        <v>201600185675</v>
      </c>
      <c r="C2159" s="3">
        <v>84634</v>
      </c>
      <c r="D2159" s="3" t="s">
        <v>8081</v>
      </c>
      <c r="E2159" s="3">
        <v>20100873681</v>
      </c>
      <c r="F2159" s="3" t="s">
        <v>1241</v>
      </c>
      <c r="G2159" s="3" t="s">
        <v>8082</v>
      </c>
      <c r="H2159" s="3" t="s">
        <v>56</v>
      </c>
      <c r="I2159" s="3" t="s">
        <v>56</v>
      </c>
      <c r="J2159" s="3" t="s">
        <v>715</v>
      </c>
      <c r="K2159" s="3" t="s">
        <v>8083</v>
      </c>
      <c r="L2159" s="3" t="s">
        <v>8084</v>
      </c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 t="s">
        <v>8085</v>
      </c>
      <c r="AL2159" s="4">
        <v>42747</v>
      </c>
      <c r="AM2159" s="3"/>
      <c r="AN2159" s="3" t="s">
        <v>2870</v>
      </c>
    </row>
    <row r="2160" spans="1:40" x14ac:dyDescent="0.3">
      <c r="A2160" s="3">
        <v>2154</v>
      </c>
      <c r="B2160" s="3" t="str">
        <f>"201800100665"</f>
        <v>201800100665</v>
      </c>
      <c r="C2160" s="3">
        <v>136979</v>
      </c>
      <c r="D2160" s="3" t="s">
        <v>8086</v>
      </c>
      <c r="E2160" s="3">
        <v>10274443508</v>
      </c>
      <c r="F2160" s="3" t="s">
        <v>8087</v>
      </c>
      <c r="G2160" s="3" t="s">
        <v>8088</v>
      </c>
      <c r="H2160" s="3" t="s">
        <v>56</v>
      </c>
      <c r="I2160" s="3" t="s">
        <v>56</v>
      </c>
      <c r="J2160" s="3" t="s">
        <v>529</v>
      </c>
      <c r="K2160" s="3" t="s">
        <v>8089</v>
      </c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 t="s">
        <v>2508</v>
      </c>
      <c r="AL2160" s="4">
        <v>43273</v>
      </c>
      <c r="AM2160" s="3"/>
      <c r="AN2160" s="3" t="s">
        <v>8090</v>
      </c>
    </row>
    <row r="2161" spans="1:40" ht="27.95" x14ac:dyDescent="0.3">
      <c r="A2161" s="3">
        <v>2155</v>
      </c>
      <c r="B2161" s="3" t="str">
        <f>"201900149857"</f>
        <v>201900149857</v>
      </c>
      <c r="C2161" s="3">
        <v>121161</v>
      </c>
      <c r="D2161" s="3" t="s">
        <v>8091</v>
      </c>
      <c r="E2161" s="3">
        <v>10434676725</v>
      </c>
      <c r="F2161" s="3" t="s">
        <v>8092</v>
      </c>
      <c r="G2161" s="3" t="s">
        <v>8093</v>
      </c>
      <c r="H2161" s="3" t="s">
        <v>357</v>
      </c>
      <c r="I2161" s="3" t="s">
        <v>7966</v>
      </c>
      <c r="J2161" s="3" t="s">
        <v>8094</v>
      </c>
      <c r="K2161" s="3" t="s">
        <v>8095</v>
      </c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 t="s">
        <v>8096</v>
      </c>
      <c r="AL2161" s="4">
        <v>43724</v>
      </c>
      <c r="AM2161" s="3"/>
      <c r="AN2161" s="3" t="s">
        <v>8092</v>
      </c>
    </row>
    <row r="2162" spans="1:40" ht="27.95" x14ac:dyDescent="0.3">
      <c r="A2162" s="3">
        <v>2156</v>
      </c>
      <c r="B2162" s="3" t="str">
        <f>"1601477"</f>
        <v>1601477</v>
      </c>
      <c r="C2162" s="3">
        <v>43099</v>
      </c>
      <c r="D2162" s="3" t="s">
        <v>8097</v>
      </c>
      <c r="E2162" s="3">
        <v>20100082714</v>
      </c>
      <c r="F2162" s="3" t="s">
        <v>8098</v>
      </c>
      <c r="G2162" s="3" t="s">
        <v>8099</v>
      </c>
      <c r="H2162" s="3" t="s">
        <v>75</v>
      </c>
      <c r="I2162" s="3" t="s">
        <v>75</v>
      </c>
      <c r="J2162" s="3" t="s">
        <v>1358</v>
      </c>
      <c r="K2162" s="3" t="s">
        <v>8100</v>
      </c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 t="s">
        <v>2045</v>
      </c>
      <c r="AL2162" s="4">
        <v>38831</v>
      </c>
      <c r="AM2162" s="3"/>
      <c r="AN2162" s="3"/>
    </row>
    <row r="2163" spans="1:40" ht="27.95" x14ac:dyDescent="0.3">
      <c r="A2163" s="3">
        <v>2157</v>
      </c>
      <c r="B2163" s="3" t="str">
        <f>"1601478"</f>
        <v>1601478</v>
      </c>
      <c r="C2163" s="3">
        <v>43103</v>
      </c>
      <c r="D2163" s="3" t="s">
        <v>8101</v>
      </c>
      <c r="E2163" s="3">
        <v>20100082714</v>
      </c>
      <c r="F2163" s="3" t="s">
        <v>8098</v>
      </c>
      <c r="G2163" s="3" t="s">
        <v>8102</v>
      </c>
      <c r="H2163" s="3" t="s">
        <v>75</v>
      </c>
      <c r="I2163" s="3" t="s">
        <v>75</v>
      </c>
      <c r="J2163" s="3" t="s">
        <v>1358</v>
      </c>
      <c r="K2163" s="3" t="s">
        <v>8103</v>
      </c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 t="s">
        <v>2045</v>
      </c>
      <c r="AL2163" s="4">
        <v>38831</v>
      </c>
      <c r="AM2163" s="3"/>
      <c r="AN2163" s="3"/>
    </row>
    <row r="2164" spans="1:40" x14ac:dyDescent="0.3">
      <c r="A2164" s="3">
        <v>2158</v>
      </c>
      <c r="B2164" s="3" t="str">
        <f>"201800029936"</f>
        <v>201800029936</v>
      </c>
      <c r="C2164" s="3">
        <v>118554</v>
      </c>
      <c r="D2164" s="3" t="s">
        <v>8104</v>
      </c>
      <c r="E2164" s="3">
        <v>20525521509</v>
      </c>
      <c r="F2164" s="3" t="s">
        <v>8105</v>
      </c>
      <c r="G2164" s="3" t="s">
        <v>8106</v>
      </c>
      <c r="H2164" s="3" t="s">
        <v>50</v>
      </c>
      <c r="I2164" s="3" t="s">
        <v>50</v>
      </c>
      <c r="J2164" s="3" t="s">
        <v>50</v>
      </c>
      <c r="K2164" s="3" t="s">
        <v>8107</v>
      </c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C2164" s="3"/>
      <c r="AD2164" s="3"/>
      <c r="AE2164" s="3"/>
      <c r="AF2164" s="3"/>
      <c r="AG2164" s="3"/>
      <c r="AH2164" s="3"/>
      <c r="AI2164" s="3"/>
      <c r="AJ2164" s="3"/>
      <c r="AK2164" s="3" t="s">
        <v>3589</v>
      </c>
      <c r="AL2164" s="4">
        <v>43160</v>
      </c>
      <c r="AM2164" s="3"/>
      <c r="AN2164" s="3" t="s">
        <v>6906</v>
      </c>
    </row>
    <row r="2165" spans="1:40" ht="27.95" x14ac:dyDescent="0.3">
      <c r="A2165" s="3">
        <v>2159</v>
      </c>
      <c r="B2165" s="3" t="str">
        <f>"201400166780"</f>
        <v>201400166780</v>
      </c>
      <c r="C2165" s="3">
        <v>106726</v>
      </c>
      <c r="D2165" s="3" t="s">
        <v>8108</v>
      </c>
      <c r="E2165" s="3">
        <v>20542211424</v>
      </c>
      <c r="F2165" s="3" t="s">
        <v>8109</v>
      </c>
      <c r="G2165" s="3" t="s">
        <v>8110</v>
      </c>
      <c r="H2165" s="3" t="s">
        <v>172</v>
      </c>
      <c r="I2165" s="3" t="s">
        <v>172</v>
      </c>
      <c r="J2165" s="3" t="s">
        <v>1719</v>
      </c>
      <c r="K2165" s="3" t="s">
        <v>8111</v>
      </c>
      <c r="L2165" s="3" t="s">
        <v>8112</v>
      </c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  <c r="AG2165" s="3"/>
      <c r="AH2165" s="3"/>
      <c r="AI2165" s="3"/>
      <c r="AJ2165" s="3"/>
      <c r="AK2165" s="3" t="s">
        <v>3229</v>
      </c>
      <c r="AL2165" s="3" t="s">
        <v>290</v>
      </c>
      <c r="AM2165" s="3"/>
      <c r="AN2165" s="3" t="s">
        <v>8113</v>
      </c>
    </row>
    <row r="2166" spans="1:40" ht="27.95" x14ac:dyDescent="0.3">
      <c r="A2166" s="3">
        <v>2160</v>
      </c>
      <c r="B2166" s="3" t="str">
        <f>"201700124038"</f>
        <v>201700124038</v>
      </c>
      <c r="C2166" s="3">
        <v>131009</v>
      </c>
      <c r="D2166" s="3" t="s">
        <v>8114</v>
      </c>
      <c r="E2166" s="3">
        <v>10297298769</v>
      </c>
      <c r="F2166" s="3" t="s">
        <v>8115</v>
      </c>
      <c r="G2166" s="3" t="s">
        <v>8116</v>
      </c>
      <c r="H2166" s="3" t="s">
        <v>97</v>
      </c>
      <c r="I2166" s="3" t="s">
        <v>97</v>
      </c>
      <c r="J2166" s="3" t="s">
        <v>144</v>
      </c>
      <c r="K2166" s="3" t="s">
        <v>8117</v>
      </c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  <c r="AG2166" s="3"/>
      <c r="AH2166" s="3"/>
      <c r="AI2166" s="3"/>
      <c r="AJ2166" s="3"/>
      <c r="AK2166" s="3" t="s">
        <v>4222</v>
      </c>
      <c r="AL2166" s="4">
        <v>42955</v>
      </c>
      <c r="AM2166" s="3"/>
      <c r="AN2166" s="3" t="s">
        <v>8115</v>
      </c>
    </row>
    <row r="2167" spans="1:40" x14ac:dyDescent="0.3">
      <c r="A2167" s="3">
        <v>2161</v>
      </c>
      <c r="B2167" s="3" t="str">
        <f>"201600104080"</f>
        <v>201600104080</v>
      </c>
      <c r="C2167" s="3">
        <v>122761</v>
      </c>
      <c r="D2167" s="3" t="s">
        <v>8118</v>
      </c>
      <c r="E2167" s="3">
        <v>10040114004</v>
      </c>
      <c r="F2167" s="3" t="s">
        <v>8119</v>
      </c>
      <c r="G2167" s="3" t="s">
        <v>8120</v>
      </c>
      <c r="H2167" s="3" t="s">
        <v>237</v>
      </c>
      <c r="I2167" s="3" t="s">
        <v>868</v>
      </c>
      <c r="J2167" s="3" t="s">
        <v>8121</v>
      </c>
      <c r="K2167" s="3" t="s">
        <v>8122</v>
      </c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C2167" s="3"/>
      <c r="AD2167" s="3"/>
      <c r="AE2167" s="3"/>
      <c r="AF2167" s="3"/>
      <c r="AG2167" s="3"/>
      <c r="AH2167" s="3"/>
      <c r="AI2167" s="3"/>
      <c r="AJ2167" s="3"/>
      <c r="AK2167" s="3" t="s">
        <v>6487</v>
      </c>
      <c r="AL2167" s="4">
        <v>42591</v>
      </c>
      <c r="AM2167" s="3"/>
      <c r="AN2167" s="3" t="s">
        <v>8123</v>
      </c>
    </row>
    <row r="2168" spans="1:40" ht="27.95" x14ac:dyDescent="0.3">
      <c r="A2168" s="3">
        <v>2162</v>
      </c>
      <c r="B2168" s="3" t="str">
        <f>"201900155111"</f>
        <v>201900155111</v>
      </c>
      <c r="C2168" s="3">
        <v>146716</v>
      </c>
      <c r="D2168" s="3" t="s">
        <v>8124</v>
      </c>
      <c r="E2168" s="3">
        <v>20455751528</v>
      </c>
      <c r="F2168" s="3" t="s">
        <v>142</v>
      </c>
      <c r="G2168" s="3" t="s">
        <v>8125</v>
      </c>
      <c r="H2168" s="3" t="s">
        <v>97</v>
      </c>
      <c r="I2168" s="3" t="s">
        <v>97</v>
      </c>
      <c r="J2168" s="3" t="s">
        <v>144</v>
      </c>
      <c r="K2168" s="3" t="s">
        <v>8126</v>
      </c>
      <c r="L2168" s="3" t="s">
        <v>8127</v>
      </c>
      <c r="M2168" s="3" t="s">
        <v>7955</v>
      </c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C2168" s="3"/>
      <c r="AD2168" s="3"/>
      <c r="AE2168" s="3"/>
      <c r="AF2168" s="3"/>
      <c r="AG2168" s="3"/>
      <c r="AH2168" s="3"/>
      <c r="AI2168" s="3"/>
      <c r="AJ2168" s="3"/>
      <c r="AK2168" s="3" t="s">
        <v>150</v>
      </c>
      <c r="AL2168" s="4">
        <v>43739</v>
      </c>
      <c r="AM2168" s="3"/>
      <c r="AN2168" s="3" t="s">
        <v>151</v>
      </c>
    </row>
    <row r="2169" spans="1:40" x14ac:dyDescent="0.3">
      <c r="A2169" s="3">
        <v>2163</v>
      </c>
      <c r="B2169" s="3" t="str">
        <f>"1955233"</f>
        <v>1955233</v>
      </c>
      <c r="C2169" s="3">
        <v>84735</v>
      </c>
      <c r="D2169" s="3" t="s">
        <v>8128</v>
      </c>
      <c r="E2169" s="3">
        <v>20230072583</v>
      </c>
      <c r="F2169" s="3" t="s">
        <v>8129</v>
      </c>
      <c r="G2169" s="3" t="s">
        <v>8130</v>
      </c>
      <c r="H2169" s="3" t="s">
        <v>237</v>
      </c>
      <c r="I2169" s="3" t="s">
        <v>868</v>
      </c>
      <c r="J2169" s="3" t="s">
        <v>2312</v>
      </c>
      <c r="K2169" s="3" t="s">
        <v>8131</v>
      </c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  <c r="AG2169" s="3"/>
      <c r="AH2169" s="3"/>
      <c r="AI2169" s="3"/>
      <c r="AJ2169" s="3"/>
      <c r="AK2169" s="3" t="s">
        <v>8132</v>
      </c>
      <c r="AL2169" s="4">
        <v>40161</v>
      </c>
      <c r="AM2169" s="3"/>
      <c r="AN2169" s="3"/>
    </row>
    <row r="2170" spans="1:40" x14ac:dyDescent="0.3">
      <c r="A2170" s="3">
        <v>2164</v>
      </c>
      <c r="B2170" s="3" t="str">
        <f>"202000131411"</f>
        <v>202000131411</v>
      </c>
      <c r="C2170" s="3">
        <v>151582</v>
      </c>
      <c r="D2170" s="3" t="s">
        <v>8133</v>
      </c>
      <c r="E2170" s="3">
        <v>10479652762</v>
      </c>
      <c r="F2170" s="3" t="s">
        <v>8134</v>
      </c>
      <c r="G2170" s="3" t="s">
        <v>8135</v>
      </c>
      <c r="H2170" s="3" t="s">
        <v>271</v>
      </c>
      <c r="I2170" s="3" t="s">
        <v>8136</v>
      </c>
      <c r="J2170" s="3" t="s">
        <v>8136</v>
      </c>
      <c r="K2170" s="3" t="s">
        <v>8137</v>
      </c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  <c r="AG2170" s="3"/>
      <c r="AH2170" s="3"/>
      <c r="AI2170" s="3"/>
      <c r="AJ2170" s="3"/>
      <c r="AK2170" s="3" t="s">
        <v>101</v>
      </c>
      <c r="AL2170" s="4">
        <v>44111</v>
      </c>
      <c r="AM2170" s="3"/>
      <c r="AN2170" s="3" t="s">
        <v>8134</v>
      </c>
    </row>
    <row r="2171" spans="1:40" x14ac:dyDescent="0.3">
      <c r="A2171" s="3">
        <v>2165</v>
      </c>
      <c r="B2171" s="3" t="str">
        <f>"1265969"</f>
        <v>1265969</v>
      </c>
      <c r="C2171" s="3">
        <v>18103</v>
      </c>
      <c r="D2171" s="3" t="s">
        <v>8138</v>
      </c>
      <c r="E2171" s="3">
        <v>20100176450</v>
      </c>
      <c r="F2171" s="3" t="s">
        <v>651</v>
      </c>
      <c r="G2171" s="3" t="s">
        <v>1295</v>
      </c>
      <c r="H2171" s="3" t="s">
        <v>97</v>
      </c>
      <c r="I2171" s="3" t="s">
        <v>97</v>
      </c>
      <c r="J2171" s="3" t="s">
        <v>97</v>
      </c>
      <c r="K2171" s="3" t="s">
        <v>8139</v>
      </c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C2171" s="3"/>
      <c r="AD2171" s="3"/>
      <c r="AE2171" s="3"/>
      <c r="AF2171" s="3"/>
      <c r="AG2171" s="3"/>
      <c r="AH2171" s="3"/>
      <c r="AI2171" s="3"/>
      <c r="AJ2171" s="3"/>
      <c r="AK2171" s="3" t="s">
        <v>574</v>
      </c>
      <c r="AL2171" s="4">
        <v>36550</v>
      </c>
      <c r="AM2171" s="3"/>
      <c r="AN2171" s="3"/>
    </row>
    <row r="2172" spans="1:40" x14ac:dyDescent="0.3">
      <c r="A2172" s="3">
        <v>2166</v>
      </c>
      <c r="B2172" s="3" t="str">
        <f>"1789276"</f>
        <v>1789276</v>
      </c>
      <c r="C2172" s="3">
        <v>62366</v>
      </c>
      <c r="D2172" s="3" t="s">
        <v>8140</v>
      </c>
      <c r="E2172" s="3">
        <v>10294874246</v>
      </c>
      <c r="F2172" s="3" t="s">
        <v>6294</v>
      </c>
      <c r="G2172" s="3" t="s">
        <v>8141</v>
      </c>
      <c r="H2172" s="3" t="s">
        <v>97</v>
      </c>
      <c r="I2172" s="3" t="s">
        <v>97</v>
      </c>
      <c r="J2172" s="3" t="s">
        <v>254</v>
      </c>
      <c r="K2172" s="3" t="s">
        <v>8142</v>
      </c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C2172" s="3"/>
      <c r="AD2172" s="3"/>
      <c r="AE2172" s="3"/>
      <c r="AF2172" s="3"/>
      <c r="AG2172" s="3"/>
      <c r="AH2172" s="3"/>
      <c r="AI2172" s="3"/>
      <c r="AJ2172" s="3"/>
      <c r="AK2172" s="3" t="s">
        <v>2659</v>
      </c>
      <c r="AL2172" s="4">
        <v>39598</v>
      </c>
      <c r="AM2172" s="3"/>
      <c r="AN2172" s="3"/>
    </row>
    <row r="2173" spans="1:40" x14ac:dyDescent="0.3">
      <c r="A2173" s="3">
        <v>2167</v>
      </c>
      <c r="B2173" s="3" t="str">
        <f>"201300185812"</f>
        <v>201300185812</v>
      </c>
      <c r="C2173" s="3">
        <v>106766</v>
      </c>
      <c r="D2173" s="3" t="s">
        <v>8143</v>
      </c>
      <c r="E2173" s="3">
        <v>20486278464</v>
      </c>
      <c r="F2173" s="3" t="s">
        <v>8144</v>
      </c>
      <c r="G2173" s="3" t="s">
        <v>8145</v>
      </c>
      <c r="H2173" s="3" t="s">
        <v>237</v>
      </c>
      <c r="I2173" s="3" t="s">
        <v>2842</v>
      </c>
      <c r="J2173" s="3" t="s">
        <v>2842</v>
      </c>
      <c r="K2173" s="3" t="s">
        <v>8146</v>
      </c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  <c r="AG2173" s="3"/>
      <c r="AH2173" s="3"/>
      <c r="AI2173" s="3"/>
      <c r="AJ2173" s="3"/>
      <c r="AK2173" s="3" t="s">
        <v>1514</v>
      </c>
      <c r="AL2173" s="3" t="s">
        <v>290</v>
      </c>
      <c r="AM2173" s="3"/>
      <c r="AN2173" s="3" t="s">
        <v>8147</v>
      </c>
    </row>
    <row r="2174" spans="1:40" x14ac:dyDescent="0.3">
      <c r="A2174" s="3">
        <v>2168</v>
      </c>
      <c r="B2174" s="3" t="str">
        <f>"1465694"</f>
        <v>1465694</v>
      </c>
      <c r="C2174" s="3">
        <v>38299</v>
      </c>
      <c r="D2174" s="3" t="s">
        <v>8148</v>
      </c>
      <c r="E2174" s="3">
        <v>10096268276</v>
      </c>
      <c r="F2174" s="3" t="s">
        <v>8149</v>
      </c>
      <c r="G2174" s="3" t="s">
        <v>8150</v>
      </c>
      <c r="H2174" s="3" t="s">
        <v>56</v>
      </c>
      <c r="I2174" s="3" t="s">
        <v>56</v>
      </c>
      <c r="J2174" s="3" t="s">
        <v>57</v>
      </c>
      <c r="K2174" s="3" t="s">
        <v>8151</v>
      </c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  <c r="AG2174" s="3"/>
      <c r="AH2174" s="3"/>
      <c r="AI2174" s="3"/>
      <c r="AJ2174" s="3"/>
      <c r="AK2174" s="3" t="s">
        <v>8152</v>
      </c>
      <c r="AL2174" s="4">
        <v>38124</v>
      </c>
      <c r="AM2174" s="3"/>
      <c r="AN2174" s="3"/>
    </row>
    <row r="2175" spans="1:40" x14ac:dyDescent="0.3">
      <c r="A2175" s="3">
        <v>2169</v>
      </c>
      <c r="B2175" s="3" t="str">
        <f>"1391488"</f>
        <v>1391488</v>
      </c>
      <c r="C2175" s="3">
        <v>33532</v>
      </c>
      <c r="D2175" s="3" t="s">
        <v>8153</v>
      </c>
      <c r="E2175" s="3">
        <v>20232449773</v>
      </c>
      <c r="F2175" s="3" t="s">
        <v>8154</v>
      </c>
      <c r="G2175" s="3" t="s">
        <v>8155</v>
      </c>
      <c r="H2175" s="3" t="s">
        <v>56</v>
      </c>
      <c r="I2175" s="3" t="s">
        <v>3997</v>
      </c>
      <c r="J2175" s="3" t="s">
        <v>3997</v>
      </c>
      <c r="K2175" s="3" t="s">
        <v>8156</v>
      </c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C2175" s="3"/>
      <c r="AD2175" s="3"/>
      <c r="AE2175" s="3"/>
      <c r="AF2175" s="3"/>
      <c r="AG2175" s="3"/>
      <c r="AH2175" s="3"/>
      <c r="AI2175" s="3"/>
      <c r="AJ2175" s="3"/>
      <c r="AK2175" s="3" t="s">
        <v>802</v>
      </c>
      <c r="AL2175" s="4">
        <v>37663</v>
      </c>
      <c r="AM2175" s="3"/>
      <c r="AN2175" s="3"/>
    </row>
    <row r="2176" spans="1:40" x14ac:dyDescent="0.3">
      <c r="A2176" s="3">
        <v>2170</v>
      </c>
      <c r="B2176" s="3" t="str">
        <f>"201500094888"</f>
        <v>201500094888</v>
      </c>
      <c r="C2176" s="3">
        <v>85158</v>
      </c>
      <c r="D2176" s="3" t="s">
        <v>8157</v>
      </c>
      <c r="E2176" s="3">
        <v>20111220949</v>
      </c>
      <c r="F2176" s="3" t="s">
        <v>8158</v>
      </c>
      <c r="G2176" s="3" t="s">
        <v>8159</v>
      </c>
      <c r="H2176" s="3" t="s">
        <v>56</v>
      </c>
      <c r="I2176" s="3" t="s">
        <v>56</v>
      </c>
      <c r="J2176" s="3" t="s">
        <v>331</v>
      </c>
      <c r="K2176" s="3" t="s">
        <v>8160</v>
      </c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C2176" s="3"/>
      <c r="AD2176" s="3"/>
      <c r="AE2176" s="3"/>
      <c r="AF2176" s="3"/>
      <c r="AG2176" s="3"/>
      <c r="AH2176" s="3"/>
      <c r="AI2176" s="3"/>
      <c r="AJ2176" s="3"/>
      <c r="AK2176" s="3" t="s">
        <v>218</v>
      </c>
      <c r="AL2176" s="4">
        <v>42237</v>
      </c>
      <c r="AM2176" s="3"/>
      <c r="AN2176" s="3" t="s">
        <v>8161</v>
      </c>
    </row>
    <row r="2177" spans="1:40" ht="27.95" x14ac:dyDescent="0.3">
      <c r="A2177" s="3">
        <v>2171</v>
      </c>
      <c r="B2177" s="3" t="str">
        <f>"1601479"</f>
        <v>1601479</v>
      </c>
      <c r="C2177" s="3">
        <v>43102</v>
      </c>
      <c r="D2177" s="3" t="s">
        <v>8162</v>
      </c>
      <c r="E2177" s="3">
        <v>20100082714</v>
      </c>
      <c r="F2177" s="3" t="s">
        <v>8098</v>
      </c>
      <c r="G2177" s="3" t="s">
        <v>8163</v>
      </c>
      <c r="H2177" s="3" t="s">
        <v>75</v>
      </c>
      <c r="I2177" s="3" t="s">
        <v>75</v>
      </c>
      <c r="J2177" s="3" t="s">
        <v>1358</v>
      </c>
      <c r="K2177" s="3" t="s">
        <v>8164</v>
      </c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  <c r="AG2177" s="3"/>
      <c r="AH2177" s="3"/>
      <c r="AI2177" s="3"/>
      <c r="AJ2177" s="3"/>
      <c r="AK2177" s="3" t="s">
        <v>2045</v>
      </c>
      <c r="AL2177" s="4">
        <v>38831</v>
      </c>
      <c r="AM2177" s="3"/>
      <c r="AN2177" s="3"/>
    </row>
    <row r="2178" spans="1:40" x14ac:dyDescent="0.3">
      <c r="A2178" s="3">
        <v>2172</v>
      </c>
      <c r="B2178" s="3" t="str">
        <f>"1485368"</f>
        <v>1485368</v>
      </c>
      <c r="C2178" s="3">
        <v>92590</v>
      </c>
      <c r="D2178" s="3" t="s">
        <v>8165</v>
      </c>
      <c r="E2178" s="3">
        <v>20535704539</v>
      </c>
      <c r="F2178" s="3" t="s">
        <v>921</v>
      </c>
      <c r="G2178" s="3" t="s">
        <v>8166</v>
      </c>
      <c r="H2178" s="3" t="s">
        <v>97</v>
      </c>
      <c r="I2178" s="3" t="s">
        <v>97</v>
      </c>
      <c r="J2178" s="3" t="s">
        <v>970</v>
      </c>
      <c r="K2178" s="3" t="s">
        <v>8167</v>
      </c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  <c r="AG2178" s="3"/>
      <c r="AH2178" s="3"/>
      <c r="AI2178" s="3"/>
      <c r="AJ2178" s="3"/>
      <c r="AK2178" s="3" t="s">
        <v>226</v>
      </c>
      <c r="AL2178" s="4">
        <v>40701</v>
      </c>
      <c r="AM2178" s="3"/>
      <c r="AN2178" s="3" t="s">
        <v>925</v>
      </c>
    </row>
    <row r="2179" spans="1:40" x14ac:dyDescent="0.3">
      <c r="A2179" s="3">
        <v>2173</v>
      </c>
      <c r="B2179" s="3" t="str">
        <f>"1485369"</f>
        <v>1485369</v>
      </c>
      <c r="C2179" s="3">
        <v>92599</v>
      </c>
      <c r="D2179" s="3" t="s">
        <v>8168</v>
      </c>
      <c r="E2179" s="3">
        <v>20535704539</v>
      </c>
      <c r="F2179" s="3" t="s">
        <v>921</v>
      </c>
      <c r="G2179" s="3" t="s">
        <v>8166</v>
      </c>
      <c r="H2179" s="3" t="s">
        <v>97</v>
      </c>
      <c r="I2179" s="3" t="s">
        <v>97</v>
      </c>
      <c r="J2179" s="3" t="s">
        <v>970</v>
      </c>
      <c r="K2179" s="3" t="s">
        <v>8169</v>
      </c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C2179" s="3"/>
      <c r="AD2179" s="3"/>
      <c r="AE2179" s="3"/>
      <c r="AF2179" s="3"/>
      <c r="AG2179" s="3"/>
      <c r="AH2179" s="3"/>
      <c r="AI2179" s="3"/>
      <c r="AJ2179" s="3"/>
      <c r="AK2179" s="3" t="s">
        <v>226</v>
      </c>
      <c r="AL2179" s="4">
        <v>40701</v>
      </c>
      <c r="AM2179" s="3"/>
      <c r="AN2179" s="3" t="s">
        <v>925</v>
      </c>
    </row>
    <row r="2180" spans="1:40" x14ac:dyDescent="0.3">
      <c r="A2180" s="3">
        <v>2174</v>
      </c>
      <c r="B2180" s="3" t="str">
        <f>"201500131907"</f>
        <v>201500131907</v>
      </c>
      <c r="C2180" s="3">
        <v>97186</v>
      </c>
      <c r="D2180" s="3" t="s">
        <v>8170</v>
      </c>
      <c r="E2180" s="3">
        <v>10292917177</v>
      </c>
      <c r="F2180" s="3" t="s">
        <v>444</v>
      </c>
      <c r="G2180" s="3" t="s">
        <v>7439</v>
      </c>
      <c r="H2180" s="3" t="s">
        <v>446</v>
      </c>
      <c r="I2180" s="3" t="s">
        <v>446</v>
      </c>
      <c r="J2180" s="3" t="s">
        <v>447</v>
      </c>
      <c r="K2180" s="3" t="s">
        <v>8171</v>
      </c>
      <c r="L2180" s="3" t="s">
        <v>4877</v>
      </c>
      <c r="M2180" s="3" t="s">
        <v>4676</v>
      </c>
      <c r="N2180" s="3" t="s">
        <v>4677</v>
      </c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C2180" s="3"/>
      <c r="AD2180" s="3"/>
      <c r="AE2180" s="3"/>
      <c r="AF2180" s="3"/>
      <c r="AG2180" s="3"/>
      <c r="AH2180" s="3"/>
      <c r="AI2180" s="3"/>
      <c r="AJ2180" s="3"/>
      <c r="AK2180" s="3" t="s">
        <v>150</v>
      </c>
      <c r="AL2180" s="4">
        <v>42299</v>
      </c>
      <c r="AM2180" s="3"/>
      <c r="AN2180" s="3" t="s">
        <v>444</v>
      </c>
    </row>
    <row r="2181" spans="1:40" x14ac:dyDescent="0.3">
      <c r="A2181" s="3">
        <v>2175</v>
      </c>
      <c r="B2181" s="3" t="str">
        <f>"1485365"</f>
        <v>1485365</v>
      </c>
      <c r="C2181" s="3">
        <v>92601</v>
      </c>
      <c r="D2181" s="3" t="s">
        <v>8172</v>
      </c>
      <c r="E2181" s="3">
        <v>20535704539</v>
      </c>
      <c r="F2181" s="3" t="s">
        <v>921</v>
      </c>
      <c r="G2181" s="3" t="s">
        <v>8166</v>
      </c>
      <c r="H2181" s="3" t="s">
        <v>97</v>
      </c>
      <c r="I2181" s="3" t="s">
        <v>97</v>
      </c>
      <c r="J2181" s="3" t="s">
        <v>970</v>
      </c>
      <c r="K2181" s="3" t="s">
        <v>8173</v>
      </c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  <c r="AG2181" s="3"/>
      <c r="AH2181" s="3"/>
      <c r="AI2181" s="3"/>
      <c r="AJ2181" s="3"/>
      <c r="AK2181" s="3" t="s">
        <v>1273</v>
      </c>
      <c r="AL2181" s="4">
        <v>40701</v>
      </c>
      <c r="AM2181" s="3"/>
      <c r="AN2181" s="3" t="s">
        <v>925</v>
      </c>
    </row>
    <row r="2182" spans="1:40" x14ac:dyDescent="0.3">
      <c r="A2182" s="3">
        <v>2176</v>
      </c>
      <c r="B2182" s="3" t="str">
        <f>"201200019729"</f>
        <v>201200019729</v>
      </c>
      <c r="C2182" s="3">
        <v>43966</v>
      </c>
      <c r="D2182" s="3" t="s">
        <v>8174</v>
      </c>
      <c r="E2182" s="3">
        <v>20486852268</v>
      </c>
      <c r="F2182" s="3" t="s">
        <v>8175</v>
      </c>
      <c r="G2182" s="3" t="s">
        <v>8176</v>
      </c>
      <c r="H2182" s="3" t="s">
        <v>237</v>
      </c>
      <c r="I2182" s="3" t="s">
        <v>868</v>
      </c>
      <c r="J2182" s="3" t="s">
        <v>868</v>
      </c>
      <c r="K2182" s="3" t="s">
        <v>8177</v>
      </c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  <c r="AG2182" s="3"/>
      <c r="AH2182" s="3"/>
      <c r="AI2182" s="3"/>
      <c r="AJ2182" s="3"/>
      <c r="AK2182" s="3" t="s">
        <v>3761</v>
      </c>
      <c r="AL2182" s="4">
        <v>40961</v>
      </c>
      <c r="AM2182" s="3"/>
      <c r="AN2182" s="3" t="s">
        <v>8178</v>
      </c>
    </row>
    <row r="2183" spans="1:40" ht="27.95" x14ac:dyDescent="0.3">
      <c r="A2183" s="3">
        <v>2177</v>
      </c>
      <c r="B2183" s="3" t="str">
        <f>"1947118"</f>
        <v>1947118</v>
      </c>
      <c r="C2183" s="3">
        <v>84737</v>
      </c>
      <c r="D2183" s="3" t="s">
        <v>8179</v>
      </c>
      <c r="E2183" s="3">
        <v>20480297441</v>
      </c>
      <c r="F2183" s="3" t="s">
        <v>2389</v>
      </c>
      <c r="G2183" s="3" t="s">
        <v>8180</v>
      </c>
      <c r="H2183" s="3" t="s">
        <v>318</v>
      </c>
      <c r="I2183" s="3" t="s">
        <v>319</v>
      </c>
      <c r="J2183" s="3" t="s">
        <v>495</v>
      </c>
      <c r="K2183" s="3" t="s">
        <v>8181</v>
      </c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C2183" s="3"/>
      <c r="AD2183" s="3"/>
      <c r="AE2183" s="3"/>
      <c r="AF2183" s="3"/>
      <c r="AG2183" s="3"/>
      <c r="AH2183" s="3"/>
      <c r="AI2183" s="3"/>
      <c r="AJ2183" s="3"/>
      <c r="AK2183" s="3" t="s">
        <v>8182</v>
      </c>
      <c r="AL2183" s="4">
        <v>40151</v>
      </c>
      <c r="AM2183" s="3"/>
      <c r="AN2183" s="3" t="s">
        <v>1799</v>
      </c>
    </row>
    <row r="2184" spans="1:40" x14ac:dyDescent="0.3">
      <c r="A2184" s="3">
        <v>2178</v>
      </c>
      <c r="B2184" s="3" t="str">
        <f>"1115726"</f>
        <v>1115726</v>
      </c>
      <c r="C2184" s="3">
        <v>3571</v>
      </c>
      <c r="D2184" s="3">
        <v>991530</v>
      </c>
      <c r="E2184" s="3">
        <v>10084386052</v>
      </c>
      <c r="F2184" s="3" t="s">
        <v>8183</v>
      </c>
      <c r="G2184" s="3" t="s">
        <v>8184</v>
      </c>
      <c r="H2184" s="3" t="s">
        <v>56</v>
      </c>
      <c r="I2184" s="3" t="s">
        <v>56</v>
      </c>
      <c r="J2184" s="3" t="s">
        <v>63</v>
      </c>
      <c r="K2184" s="3" t="s">
        <v>8185</v>
      </c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C2184" s="3"/>
      <c r="AD2184" s="3"/>
      <c r="AE2184" s="3"/>
      <c r="AF2184" s="3"/>
      <c r="AG2184" s="3"/>
      <c r="AH2184" s="3"/>
      <c r="AI2184" s="3"/>
      <c r="AJ2184" s="3"/>
      <c r="AK2184" s="3" t="s">
        <v>906</v>
      </c>
      <c r="AL2184" s="4">
        <v>35521</v>
      </c>
      <c r="AM2184" s="3"/>
      <c r="AN2184" s="3"/>
    </row>
    <row r="2185" spans="1:40" x14ac:dyDescent="0.3">
      <c r="A2185" s="3">
        <v>2179</v>
      </c>
      <c r="B2185" s="3" t="str">
        <f>"1485377"</f>
        <v>1485377</v>
      </c>
      <c r="C2185" s="3">
        <v>92592</v>
      </c>
      <c r="D2185" s="3" t="s">
        <v>8186</v>
      </c>
      <c r="E2185" s="3">
        <v>20535704539</v>
      </c>
      <c r="F2185" s="3" t="s">
        <v>921</v>
      </c>
      <c r="G2185" s="3" t="s">
        <v>8166</v>
      </c>
      <c r="H2185" s="3" t="s">
        <v>97</v>
      </c>
      <c r="I2185" s="3" t="s">
        <v>97</v>
      </c>
      <c r="J2185" s="3" t="s">
        <v>970</v>
      </c>
      <c r="K2185" s="3" t="s">
        <v>8187</v>
      </c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  <c r="AG2185" s="3"/>
      <c r="AH2185" s="3"/>
      <c r="AI2185" s="3"/>
      <c r="AJ2185" s="3"/>
      <c r="AK2185" s="3" t="s">
        <v>226</v>
      </c>
      <c r="AL2185" s="4">
        <v>40701</v>
      </c>
      <c r="AM2185" s="3"/>
      <c r="AN2185" s="3" t="s">
        <v>925</v>
      </c>
    </row>
    <row r="2186" spans="1:40" ht="27.95" x14ac:dyDescent="0.3">
      <c r="A2186" s="3">
        <v>2180</v>
      </c>
      <c r="B2186" s="3" t="str">
        <f>"201800123421"</f>
        <v>201800123421</v>
      </c>
      <c r="C2186" s="3">
        <v>112739</v>
      </c>
      <c r="D2186" s="3" t="s">
        <v>8188</v>
      </c>
      <c r="E2186" s="3">
        <v>20455751528</v>
      </c>
      <c r="F2186" s="3" t="s">
        <v>142</v>
      </c>
      <c r="G2186" s="3" t="s">
        <v>7939</v>
      </c>
      <c r="H2186" s="3" t="s">
        <v>97</v>
      </c>
      <c r="I2186" s="3" t="s">
        <v>97</v>
      </c>
      <c r="J2186" s="3" t="s">
        <v>144</v>
      </c>
      <c r="K2186" s="3" t="s">
        <v>8189</v>
      </c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  <c r="AG2186" s="3"/>
      <c r="AH2186" s="3"/>
      <c r="AI2186" s="3"/>
      <c r="AJ2186" s="3"/>
      <c r="AK2186" s="3" t="s">
        <v>8012</v>
      </c>
      <c r="AL2186" s="4">
        <v>43319</v>
      </c>
      <c r="AM2186" s="3"/>
      <c r="AN2186" s="3" t="s">
        <v>151</v>
      </c>
    </row>
    <row r="2187" spans="1:40" ht="27.95" x14ac:dyDescent="0.3">
      <c r="A2187" s="3">
        <v>2181</v>
      </c>
      <c r="B2187" s="3" t="str">
        <f>"201800123420"</f>
        <v>201800123420</v>
      </c>
      <c r="C2187" s="3">
        <v>90082</v>
      </c>
      <c r="D2187" s="3" t="s">
        <v>8190</v>
      </c>
      <c r="E2187" s="3">
        <v>20455751528</v>
      </c>
      <c r="F2187" s="3" t="s">
        <v>142</v>
      </c>
      <c r="G2187" s="3" t="s">
        <v>8191</v>
      </c>
      <c r="H2187" s="3" t="s">
        <v>97</v>
      </c>
      <c r="I2187" s="3" t="s">
        <v>97</v>
      </c>
      <c r="J2187" s="3" t="s">
        <v>144</v>
      </c>
      <c r="K2187" s="3" t="s">
        <v>8192</v>
      </c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C2187" s="3"/>
      <c r="AD2187" s="3"/>
      <c r="AE2187" s="3"/>
      <c r="AF2187" s="3"/>
      <c r="AG2187" s="3"/>
      <c r="AH2187" s="3"/>
      <c r="AI2187" s="3"/>
      <c r="AJ2187" s="3"/>
      <c r="AK2187" s="3" t="s">
        <v>6728</v>
      </c>
      <c r="AL2187" s="4">
        <v>43319</v>
      </c>
      <c r="AM2187" s="3"/>
      <c r="AN2187" s="3" t="s">
        <v>151</v>
      </c>
    </row>
    <row r="2188" spans="1:40" x14ac:dyDescent="0.3">
      <c r="A2188" s="3">
        <v>2182</v>
      </c>
      <c r="B2188" s="3" t="str">
        <f>"201400029369"</f>
        <v>201400029369</v>
      </c>
      <c r="C2188" s="3">
        <v>108314</v>
      </c>
      <c r="D2188" s="3" t="s">
        <v>8193</v>
      </c>
      <c r="E2188" s="3">
        <v>20133577735</v>
      </c>
      <c r="F2188" s="3" t="s">
        <v>5369</v>
      </c>
      <c r="G2188" s="3" t="s">
        <v>8194</v>
      </c>
      <c r="H2188" s="3" t="s">
        <v>44</v>
      </c>
      <c r="I2188" s="3" t="s">
        <v>45</v>
      </c>
      <c r="J2188" s="3" t="s">
        <v>45</v>
      </c>
      <c r="K2188" s="3" t="s">
        <v>8195</v>
      </c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C2188" s="3"/>
      <c r="AD2188" s="3"/>
      <c r="AE2188" s="3"/>
      <c r="AF2188" s="3"/>
      <c r="AG2188" s="3"/>
      <c r="AH2188" s="3"/>
      <c r="AI2188" s="3"/>
      <c r="AJ2188" s="3"/>
      <c r="AK2188" s="3" t="s">
        <v>321</v>
      </c>
      <c r="AL2188" s="4">
        <v>41731</v>
      </c>
      <c r="AM2188" s="3"/>
      <c r="AN2188" s="3" t="s">
        <v>168</v>
      </c>
    </row>
    <row r="2189" spans="1:40" ht="27.95" x14ac:dyDescent="0.3">
      <c r="A2189" s="3">
        <v>2183</v>
      </c>
      <c r="B2189" s="3" t="str">
        <f>"201800070929"</f>
        <v>201800070929</v>
      </c>
      <c r="C2189" s="3">
        <v>135890</v>
      </c>
      <c r="D2189" s="3" t="s">
        <v>8196</v>
      </c>
      <c r="E2189" s="3">
        <v>20533080741</v>
      </c>
      <c r="F2189" s="3" t="s">
        <v>5526</v>
      </c>
      <c r="G2189" s="3" t="s">
        <v>8197</v>
      </c>
      <c r="H2189" s="3" t="s">
        <v>743</v>
      </c>
      <c r="I2189" s="3" t="s">
        <v>744</v>
      </c>
      <c r="J2189" s="3" t="s">
        <v>743</v>
      </c>
      <c r="K2189" s="3" t="s">
        <v>8198</v>
      </c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  <c r="AG2189" s="3"/>
      <c r="AH2189" s="3"/>
      <c r="AI2189" s="3"/>
      <c r="AJ2189" s="3"/>
      <c r="AK2189" s="3" t="s">
        <v>353</v>
      </c>
      <c r="AL2189" s="4">
        <v>43230</v>
      </c>
      <c r="AM2189" s="3"/>
      <c r="AN2189" s="3" t="s">
        <v>8199</v>
      </c>
    </row>
    <row r="2190" spans="1:40" x14ac:dyDescent="0.3">
      <c r="A2190" s="3">
        <v>2184</v>
      </c>
      <c r="B2190" s="3" t="str">
        <f>"201500022484"</f>
        <v>201500022484</v>
      </c>
      <c r="C2190" s="3">
        <v>113998</v>
      </c>
      <c r="D2190" s="3" t="s">
        <v>8200</v>
      </c>
      <c r="E2190" s="3">
        <v>10316019949</v>
      </c>
      <c r="F2190" s="3" t="s">
        <v>3842</v>
      </c>
      <c r="G2190" s="3" t="s">
        <v>8201</v>
      </c>
      <c r="H2190" s="3" t="s">
        <v>271</v>
      </c>
      <c r="I2190" s="3" t="s">
        <v>272</v>
      </c>
      <c r="J2190" s="3" t="s">
        <v>273</v>
      </c>
      <c r="K2190" s="3" t="s">
        <v>8202</v>
      </c>
      <c r="L2190" s="3" t="s">
        <v>8203</v>
      </c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  <c r="AG2190" s="3"/>
      <c r="AH2190" s="3"/>
      <c r="AI2190" s="3"/>
      <c r="AJ2190" s="3"/>
      <c r="AK2190" s="3" t="s">
        <v>621</v>
      </c>
      <c r="AL2190" s="4">
        <v>42068</v>
      </c>
      <c r="AM2190" s="3"/>
      <c r="AN2190" s="3" t="s">
        <v>3842</v>
      </c>
    </row>
    <row r="2191" spans="1:40" ht="27.95" x14ac:dyDescent="0.3">
      <c r="A2191" s="3">
        <v>2185</v>
      </c>
      <c r="B2191" s="3" t="str">
        <f>"201800123428"</f>
        <v>201800123428</v>
      </c>
      <c r="C2191" s="3">
        <v>90084</v>
      </c>
      <c r="D2191" s="3" t="s">
        <v>8204</v>
      </c>
      <c r="E2191" s="3">
        <v>20455751528</v>
      </c>
      <c r="F2191" s="3" t="s">
        <v>142</v>
      </c>
      <c r="G2191" s="3" t="s">
        <v>6726</v>
      </c>
      <c r="H2191" s="3" t="s">
        <v>97</v>
      </c>
      <c r="I2191" s="3" t="s">
        <v>97</v>
      </c>
      <c r="J2191" s="3" t="s">
        <v>144</v>
      </c>
      <c r="K2191" s="3" t="s">
        <v>8205</v>
      </c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C2191" s="3"/>
      <c r="AD2191" s="3"/>
      <c r="AE2191" s="3"/>
      <c r="AF2191" s="3"/>
      <c r="AG2191" s="3"/>
      <c r="AH2191" s="3"/>
      <c r="AI2191" s="3"/>
      <c r="AJ2191" s="3"/>
      <c r="AK2191" s="3" t="s">
        <v>6728</v>
      </c>
      <c r="AL2191" s="4">
        <v>43319</v>
      </c>
      <c r="AM2191" s="3"/>
      <c r="AN2191" s="3" t="s">
        <v>1333</v>
      </c>
    </row>
    <row r="2192" spans="1:40" x14ac:dyDescent="0.3">
      <c r="A2192" s="3">
        <v>2186</v>
      </c>
      <c r="B2192" s="3" t="str">
        <f>"201300096090"</f>
        <v>201300096090</v>
      </c>
      <c r="C2192" s="3">
        <v>35000</v>
      </c>
      <c r="D2192" s="3" t="s">
        <v>8206</v>
      </c>
      <c r="E2192" s="3">
        <v>20543992942</v>
      </c>
      <c r="F2192" s="3" t="s">
        <v>8207</v>
      </c>
      <c r="G2192" s="3" t="s">
        <v>541</v>
      </c>
      <c r="H2192" s="3" t="s">
        <v>56</v>
      </c>
      <c r="I2192" s="3" t="s">
        <v>56</v>
      </c>
      <c r="J2192" s="3" t="s">
        <v>380</v>
      </c>
      <c r="K2192" s="3" t="s">
        <v>8208</v>
      </c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C2192" s="3"/>
      <c r="AD2192" s="3"/>
      <c r="AE2192" s="3"/>
      <c r="AF2192" s="3"/>
      <c r="AG2192" s="3"/>
      <c r="AH2192" s="3"/>
      <c r="AI2192" s="3"/>
      <c r="AJ2192" s="3"/>
      <c r="AK2192" s="3" t="s">
        <v>802</v>
      </c>
      <c r="AL2192" s="3" t="s">
        <v>290</v>
      </c>
      <c r="AM2192" s="3"/>
      <c r="AN2192" s="3" t="s">
        <v>543</v>
      </c>
    </row>
    <row r="2193" spans="1:40" ht="27.95" x14ac:dyDescent="0.3">
      <c r="A2193" s="3">
        <v>2187</v>
      </c>
      <c r="B2193" s="3" t="str">
        <f>"1414571"</f>
        <v>1414571</v>
      </c>
      <c r="C2193" s="3">
        <v>88791</v>
      </c>
      <c r="D2193" s="3" t="s">
        <v>8209</v>
      </c>
      <c r="E2193" s="3">
        <v>20517798941</v>
      </c>
      <c r="F2193" s="3" t="s">
        <v>8210</v>
      </c>
      <c r="G2193" s="3" t="s">
        <v>8211</v>
      </c>
      <c r="H2193" s="3" t="s">
        <v>56</v>
      </c>
      <c r="I2193" s="3" t="s">
        <v>56</v>
      </c>
      <c r="J2193" s="3" t="s">
        <v>57</v>
      </c>
      <c r="K2193" s="3" t="s">
        <v>8212</v>
      </c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  <c r="AG2193" s="3"/>
      <c r="AH2193" s="3"/>
      <c r="AI2193" s="3"/>
      <c r="AJ2193" s="3"/>
      <c r="AK2193" s="3" t="s">
        <v>942</v>
      </c>
      <c r="AL2193" s="4">
        <v>40443</v>
      </c>
      <c r="AM2193" s="3"/>
      <c r="AN2193" s="3" t="s">
        <v>8213</v>
      </c>
    </row>
    <row r="2194" spans="1:40" x14ac:dyDescent="0.3">
      <c r="A2194" s="3">
        <v>2188</v>
      </c>
      <c r="B2194" s="3" t="str">
        <f>"1417971"</f>
        <v>1417971</v>
      </c>
      <c r="C2194" s="3">
        <v>20831</v>
      </c>
      <c r="D2194" s="3" t="s">
        <v>8214</v>
      </c>
      <c r="E2194" s="3">
        <v>20133577735</v>
      </c>
      <c r="F2194" s="3" t="s">
        <v>5369</v>
      </c>
      <c r="G2194" s="3" t="s">
        <v>5370</v>
      </c>
      <c r="H2194" s="3" t="s">
        <v>44</v>
      </c>
      <c r="I2194" s="3" t="s">
        <v>45</v>
      </c>
      <c r="J2194" s="3" t="s">
        <v>6245</v>
      </c>
      <c r="K2194" s="3" t="s">
        <v>8215</v>
      </c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3"/>
      <c r="AF2194" s="3"/>
      <c r="AG2194" s="3"/>
      <c r="AH2194" s="3"/>
      <c r="AI2194" s="3"/>
      <c r="AJ2194" s="3"/>
      <c r="AK2194" s="3" t="s">
        <v>65</v>
      </c>
      <c r="AL2194" s="4">
        <v>40449</v>
      </c>
      <c r="AM2194" s="3"/>
      <c r="AN2194" s="3" t="s">
        <v>168</v>
      </c>
    </row>
    <row r="2195" spans="1:40" x14ac:dyDescent="0.3">
      <c r="A2195" s="3">
        <v>2189</v>
      </c>
      <c r="B2195" s="3" t="str">
        <f>"1485371"</f>
        <v>1485371</v>
      </c>
      <c r="C2195" s="3">
        <v>92600</v>
      </c>
      <c r="D2195" s="3" t="s">
        <v>8216</v>
      </c>
      <c r="E2195" s="3">
        <v>20535704539</v>
      </c>
      <c r="F2195" s="3" t="s">
        <v>921</v>
      </c>
      <c r="G2195" s="3" t="s">
        <v>8166</v>
      </c>
      <c r="H2195" s="3" t="s">
        <v>97</v>
      </c>
      <c r="I2195" s="3" t="s">
        <v>97</v>
      </c>
      <c r="J2195" s="3" t="s">
        <v>970</v>
      </c>
      <c r="K2195" s="3" t="s">
        <v>8217</v>
      </c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C2195" s="3"/>
      <c r="AD2195" s="3"/>
      <c r="AE2195" s="3"/>
      <c r="AF2195" s="3"/>
      <c r="AG2195" s="3"/>
      <c r="AH2195" s="3"/>
      <c r="AI2195" s="3"/>
      <c r="AJ2195" s="3"/>
      <c r="AK2195" s="3" t="s">
        <v>167</v>
      </c>
      <c r="AL2195" s="4">
        <v>40701</v>
      </c>
      <c r="AM2195" s="3"/>
      <c r="AN2195" s="3" t="s">
        <v>925</v>
      </c>
    </row>
    <row r="2196" spans="1:40" x14ac:dyDescent="0.3">
      <c r="A2196" s="3">
        <v>2190</v>
      </c>
      <c r="B2196" s="3" t="str">
        <f>"1485342"</f>
        <v>1485342</v>
      </c>
      <c r="C2196" s="3">
        <v>92602</v>
      </c>
      <c r="D2196" s="3" t="s">
        <v>8218</v>
      </c>
      <c r="E2196" s="3">
        <v>20535704539</v>
      </c>
      <c r="F2196" s="3" t="s">
        <v>921</v>
      </c>
      <c r="G2196" s="3" t="s">
        <v>8166</v>
      </c>
      <c r="H2196" s="3" t="s">
        <v>97</v>
      </c>
      <c r="I2196" s="3" t="s">
        <v>97</v>
      </c>
      <c r="J2196" s="3" t="s">
        <v>970</v>
      </c>
      <c r="K2196" s="3" t="s">
        <v>8219</v>
      </c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C2196" s="3"/>
      <c r="AD2196" s="3"/>
      <c r="AE2196" s="3"/>
      <c r="AF2196" s="3"/>
      <c r="AG2196" s="3"/>
      <c r="AH2196" s="3"/>
      <c r="AI2196" s="3"/>
      <c r="AJ2196" s="3"/>
      <c r="AK2196" s="3" t="s">
        <v>8220</v>
      </c>
      <c r="AL2196" s="4">
        <v>40701</v>
      </c>
      <c r="AM2196" s="3"/>
      <c r="AN2196" s="3" t="s">
        <v>925</v>
      </c>
    </row>
    <row r="2197" spans="1:40" x14ac:dyDescent="0.3">
      <c r="A2197" s="3">
        <v>2191</v>
      </c>
      <c r="B2197" s="3" t="str">
        <f>"1590253"</f>
        <v>1590253</v>
      </c>
      <c r="C2197" s="3">
        <v>21737</v>
      </c>
      <c r="D2197" s="3" t="s">
        <v>8221</v>
      </c>
      <c r="E2197" s="3">
        <v>20262254268</v>
      </c>
      <c r="F2197" s="3" t="s">
        <v>103</v>
      </c>
      <c r="G2197" s="3" t="s">
        <v>104</v>
      </c>
      <c r="H2197" s="3" t="s">
        <v>56</v>
      </c>
      <c r="I2197" s="3" t="s">
        <v>56</v>
      </c>
      <c r="J2197" s="3" t="s">
        <v>105</v>
      </c>
      <c r="K2197" s="3" t="s">
        <v>8222</v>
      </c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  <c r="AG2197" s="3"/>
      <c r="AH2197" s="3"/>
      <c r="AI2197" s="3"/>
      <c r="AJ2197" s="3"/>
      <c r="AK2197" s="3" t="s">
        <v>1586</v>
      </c>
      <c r="AL2197" s="4">
        <v>38765</v>
      </c>
      <c r="AM2197" s="3"/>
      <c r="AN2197" s="3"/>
    </row>
    <row r="2198" spans="1:40" x14ac:dyDescent="0.3">
      <c r="A2198" s="3">
        <v>2192</v>
      </c>
      <c r="B2198" s="3" t="str">
        <f>"1561672"</f>
        <v>1561672</v>
      </c>
      <c r="C2198" s="3">
        <v>41687</v>
      </c>
      <c r="D2198" s="3" t="s">
        <v>8223</v>
      </c>
      <c r="E2198" s="3">
        <v>20121837634</v>
      </c>
      <c r="F2198" s="3" t="s">
        <v>8224</v>
      </c>
      <c r="G2198" s="3" t="s">
        <v>1624</v>
      </c>
      <c r="H2198" s="3" t="s">
        <v>237</v>
      </c>
      <c r="I2198" s="3" t="s">
        <v>868</v>
      </c>
      <c r="J2198" s="3" t="s">
        <v>869</v>
      </c>
      <c r="K2198" s="3" t="s">
        <v>8225</v>
      </c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3"/>
      <c r="AF2198" s="3"/>
      <c r="AG2198" s="3"/>
      <c r="AH2198" s="3"/>
      <c r="AI2198" s="3"/>
      <c r="AJ2198" s="3"/>
      <c r="AK2198" s="3" t="s">
        <v>157</v>
      </c>
      <c r="AL2198" s="4">
        <v>38603</v>
      </c>
      <c r="AM2198" s="3"/>
      <c r="AN2198" s="3"/>
    </row>
    <row r="2199" spans="1:40" x14ac:dyDescent="0.3">
      <c r="A2199" s="3">
        <v>2193</v>
      </c>
      <c r="B2199" s="3" t="str">
        <f>"201800044589"</f>
        <v>201800044589</v>
      </c>
      <c r="C2199" s="3">
        <v>135105</v>
      </c>
      <c r="D2199" s="3" t="s">
        <v>8226</v>
      </c>
      <c r="E2199" s="3">
        <v>20393248654</v>
      </c>
      <c r="F2199" s="3" t="s">
        <v>5860</v>
      </c>
      <c r="G2199" s="3" t="s">
        <v>5861</v>
      </c>
      <c r="H2199" s="3" t="s">
        <v>395</v>
      </c>
      <c r="I2199" s="3" t="s">
        <v>396</v>
      </c>
      <c r="J2199" s="3" t="s">
        <v>490</v>
      </c>
      <c r="K2199" s="3" t="s">
        <v>8227</v>
      </c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C2199" s="3"/>
      <c r="AD2199" s="3"/>
      <c r="AE2199" s="3"/>
      <c r="AF2199" s="3"/>
      <c r="AG2199" s="3"/>
      <c r="AH2199" s="3"/>
      <c r="AI2199" s="3"/>
      <c r="AJ2199" s="3"/>
      <c r="AK2199" s="3" t="s">
        <v>2251</v>
      </c>
      <c r="AL2199" s="4">
        <v>43256</v>
      </c>
      <c r="AM2199" s="3"/>
      <c r="AN2199" s="3" t="s">
        <v>8228</v>
      </c>
    </row>
    <row r="2200" spans="1:40" x14ac:dyDescent="0.3">
      <c r="A2200" s="3">
        <v>2194</v>
      </c>
      <c r="B2200" s="3" t="str">
        <f>"201500013927"</f>
        <v>201500013927</v>
      </c>
      <c r="C2200" s="3">
        <v>113772</v>
      </c>
      <c r="D2200" s="3" t="s">
        <v>8229</v>
      </c>
      <c r="E2200" s="3">
        <v>20507312277</v>
      </c>
      <c r="F2200" s="3" t="s">
        <v>1741</v>
      </c>
      <c r="G2200" s="3" t="s">
        <v>8230</v>
      </c>
      <c r="H2200" s="3" t="s">
        <v>56</v>
      </c>
      <c r="I2200" s="3" t="s">
        <v>56</v>
      </c>
      <c r="J2200" s="3" t="s">
        <v>69</v>
      </c>
      <c r="K2200" s="3" t="s">
        <v>8231</v>
      </c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C2200" s="3"/>
      <c r="AD2200" s="3"/>
      <c r="AE2200" s="3"/>
      <c r="AF2200" s="3"/>
      <c r="AG2200" s="3"/>
      <c r="AH2200" s="3"/>
      <c r="AI2200" s="3"/>
      <c r="AJ2200" s="3"/>
      <c r="AK2200" s="3" t="s">
        <v>1087</v>
      </c>
      <c r="AL2200" s="4">
        <v>42058</v>
      </c>
      <c r="AM2200" s="3"/>
      <c r="AN2200" s="3" t="s">
        <v>8232</v>
      </c>
    </row>
    <row r="2201" spans="1:40" x14ac:dyDescent="0.3">
      <c r="A2201" s="3">
        <v>2195</v>
      </c>
      <c r="B2201" s="3" t="str">
        <f>"1417173"</f>
        <v>1417173</v>
      </c>
      <c r="C2201" s="3">
        <v>2603</v>
      </c>
      <c r="D2201" s="3" t="s">
        <v>8233</v>
      </c>
      <c r="E2201" s="3">
        <v>20115638646</v>
      </c>
      <c r="F2201" s="3" t="s">
        <v>1105</v>
      </c>
      <c r="G2201" s="3" t="s">
        <v>1106</v>
      </c>
      <c r="H2201" s="3" t="s">
        <v>271</v>
      </c>
      <c r="I2201" s="3" t="s">
        <v>272</v>
      </c>
      <c r="J2201" s="3" t="s">
        <v>272</v>
      </c>
      <c r="K2201" s="3" t="s">
        <v>8234</v>
      </c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  <c r="AG2201" s="3"/>
      <c r="AH2201" s="3"/>
      <c r="AI2201" s="3"/>
      <c r="AJ2201" s="3"/>
      <c r="AK2201" s="3" t="s">
        <v>157</v>
      </c>
      <c r="AL2201" s="4">
        <v>37725</v>
      </c>
      <c r="AM2201" s="3"/>
      <c r="AN2201" s="3"/>
    </row>
    <row r="2202" spans="1:40" x14ac:dyDescent="0.3">
      <c r="A2202" s="3">
        <v>2196</v>
      </c>
      <c r="B2202" s="3" t="str">
        <f>"1417176"</f>
        <v>1417176</v>
      </c>
      <c r="C2202" s="3">
        <v>42602</v>
      </c>
      <c r="D2202" s="3" t="s">
        <v>8235</v>
      </c>
      <c r="E2202" s="3">
        <v>10321040883</v>
      </c>
      <c r="F2202" s="3" t="s">
        <v>8236</v>
      </c>
      <c r="G2202" s="3" t="s">
        <v>8237</v>
      </c>
      <c r="H2202" s="3" t="s">
        <v>271</v>
      </c>
      <c r="I2202" s="3" t="s">
        <v>8238</v>
      </c>
      <c r="J2202" s="3" t="s">
        <v>8238</v>
      </c>
      <c r="K2202" s="3" t="s">
        <v>8239</v>
      </c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  <c r="AG2202" s="3"/>
      <c r="AH2202" s="3"/>
      <c r="AI2202" s="3"/>
      <c r="AJ2202" s="3"/>
      <c r="AK2202" s="3" t="s">
        <v>157</v>
      </c>
      <c r="AL2202" s="4">
        <v>37796</v>
      </c>
      <c r="AM2202" s="3"/>
      <c r="AN2202" s="3"/>
    </row>
    <row r="2203" spans="1:40" x14ac:dyDescent="0.3">
      <c r="A2203" s="3">
        <v>2197</v>
      </c>
      <c r="B2203" s="3" t="str">
        <f>"1483994"</f>
        <v>1483994</v>
      </c>
      <c r="C2203" s="3">
        <v>92152</v>
      </c>
      <c r="D2203" s="3" t="s">
        <v>8240</v>
      </c>
      <c r="E2203" s="3">
        <v>10004457299</v>
      </c>
      <c r="F2203" s="3" t="s">
        <v>8241</v>
      </c>
      <c r="G2203" s="3" t="s">
        <v>8242</v>
      </c>
      <c r="H2203" s="3" t="s">
        <v>202</v>
      </c>
      <c r="I2203" s="3" t="s">
        <v>202</v>
      </c>
      <c r="J2203" s="3" t="s">
        <v>612</v>
      </c>
      <c r="K2203" s="3" t="s">
        <v>8243</v>
      </c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C2203" s="3"/>
      <c r="AD2203" s="3"/>
      <c r="AE2203" s="3"/>
      <c r="AF2203" s="3"/>
      <c r="AG2203" s="3"/>
      <c r="AH2203" s="3"/>
      <c r="AI2203" s="3"/>
      <c r="AJ2203" s="3"/>
      <c r="AK2203" s="3" t="s">
        <v>802</v>
      </c>
      <c r="AL2203" s="4">
        <v>40687</v>
      </c>
      <c r="AM2203" s="3"/>
      <c r="AN2203" s="3" t="s">
        <v>8241</v>
      </c>
    </row>
    <row r="2204" spans="1:40" x14ac:dyDescent="0.3">
      <c r="A2204" s="3">
        <v>2198</v>
      </c>
      <c r="B2204" s="3" t="str">
        <f>"1270037"</f>
        <v>1270037</v>
      </c>
      <c r="C2204" s="3">
        <v>18111</v>
      </c>
      <c r="D2204" s="3" t="s">
        <v>8244</v>
      </c>
      <c r="E2204" s="3">
        <v>20103521344</v>
      </c>
      <c r="F2204" s="3" t="s">
        <v>1419</v>
      </c>
      <c r="G2204" s="3" t="s">
        <v>1416</v>
      </c>
      <c r="H2204" s="3" t="s">
        <v>318</v>
      </c>
      <c r="I2204" s="3" t="s">
        <v>319</v>
      </c>
      <c r="J2204" s="3" t="s">
        <v>319</v>
      </c>
      <c r="K2204" s="3" t="s">
        <v>8245</v>
      </c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C2204" s="3"/>
      <c r="AD2204" s="3"/>
      <c r="AE2204" s="3"/>
      <c r="AF2204" s="3"/>
      <c r="AG2204" s="3"/>
      <c r="AH2204" s="3"/>
      <c r="AI2204" s="3"/>
      <c r="AJ2204" s="3"/>
      <c r="AK2204" s="3" t="s">
        <v>634</v>
      </c>
      <c r="AL2204" s="4">
        <v>36580</v>
      </c>
      <c r="AM2204" s="3"/>
      <c r="AN2204" s="3"/>
    </row>
    <row r="2205" spans="1:40" x14ac:dyDescent="0.3">
      <c r="A2205" s="3">
        <v>2199</v>
      </c>
      <c r="B2205" s="3" t="str">
        <f>"201800094574"</f>
        <v>201800094574</v>
      </c>
      <c r="C2205" s="3">
        <v>136769</v>
      </c>
      <c r="D2205" s="3" t="s">
        <v>8246</v>
      </c>
      <c r="E2205" s="3">
        <v>20479496537</v>
      </c>
      <c r="F2205" s="3" t="s">
        <v>8247</v>
      </c>
      <c r="G2205" s="3" t="s">
        <v>8248</v>
      </c>
      <c r="H2205" s="3" t="s">
        <v>357</v>
      </c>
      <c r="I2205" s="3" t="s">
        <v>8249</v>
      </c>
      <c r="J2205" s="3" t="s">
        <v>8249</v>
      </c>
      <c r="K2205" s="3" t="s">
        <v>8250</v>
      </c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  <c r="AG2205" s="3"/>
      <c r="AH2205" s="3"/>
      <c r="AI2205" s="3"/>
      <c r="AJ2205" s="3"/>
      <c r="AK2205" s="3" t="s">
        <v>71</v>
      </c>
      <c r="AL2205" s="4">
        <v>43262</v>
      </c>
      <c r="AM2205" s="3"/>
      <c r="AN2205" s="3" t="s">
        <v>8251</v>
      </c>
    </row>
    <row r="2206" spans="1:40" x14ac:dyDescent="0.3">
      <c r="A2206" s="3">
        <v>2200</v>
      </c>
      <c r="B2206" s="3" t="str">
        <f>"201600190477"</f>
        <v>201600190477</v>
      </c>
      <c r="C2206" s="3">
        <v>44833</v>
      </c>
      <c r="D2206" s="3" t="s">
        <v>8252</v>
      </c>
      <c r="E2206" s="3">
        <v>20408971943</v>
      </c>
      <c r="F2206" s="3" t="s">
        <v>8253</v>
      </c>
      <c r="G2206" s="3" t="s">
        <v>8254</v>
      </c>
      <c r="H2206" s="3" t="s">
        <v>245</v>
      </c>
      <c r="I2206" s="3" t="s">
        <v>246</v>
      </c>
      <c r="J2206" s="3" t="s">
        <v>659</v>
      </c>
      <c r="K2206" s="3" t="s">
        <v>8255</v>
      </c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C2206" s="3"/>
      <c r="AD2206" s="3"/>
      <c r="AE2206" s="3"/>
      <c r="AF2206" s="3"/>
      <c r="AG2206" s="3"/>
      <c r="AH2206" s="3"/>
      <c r="AI2206" s="3"/>
      <c r="AJ2206" s="3"/>
      <c r="AK2206" s="3" t="s">
        <v>306</v>
      </c>
      <c r="AL2206" s="4">
        <v>42775</v>
      </c>
      <c r="AM2206" s="3"/>
      <c r="AN2206" s="3" t="s">
        <v>3258</v>
      </c>
    </row>
    <row r="2207" spans="1:40" x14ac:dyDescent="0.3">
      <c r="A2207" s="3">
        <v>2201</v>
      </c>
      <c r="B2207" s="3" t="str">
        <f>"1117950"</f>
        <v>1117950</v>
      </c>
      <c r="C2207" s="3">
        <v>6523</v>
      </c>
      <c r="D2207" s="3">
        <v>987965</v>
      </c>
      <c r="E2207" s="3">
        <v>10212438761</v>
      </c>
      <c r="F2207" s="3" t="s">
        <v>8256</v>
      </c>
      <c r="G2207" s="3" t="s">
        <v>8257</v>
      </c>
      <c r="H2207" s="3" t="s">
        <v>237</v>
      </c>
      <c r="I2207" s="3" t="s">
        <v>3868</v>
      </c>
      <c r="J2207" s="3" t="s">
        <v>3869</v>
      </c>
      <c r="K2207" s="3" t="s">
        <v>8258</v>
      </c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C2207" s="3"/>
      <c r="AD2207" s="3"/>
      <c r="AE2207" s="3"/>
      <c r="AF2207" s="3"/>
      <c r="AG2207" s="3"/>
      <c r="AH2207" s="3"/>
      <c r="AI2207" s="3"/>
      <c r="AJ2207" s="3"/>
      <c r="AK2207" s="3" t="s">
        <v>946</v>
      </c>
      <c r="AL2207" s="4">
        <v>35550</v>
      </c>
      <c r="AM2207" s="3"/>
      <c r="AN2207" s="3"/>
    </row>
    <row r="2208" spans="1:40" x14ac:dyDescent="0.3">
      <c r="A2208" s="3">
        <v>2202</v>
      </c>
      <c r="B2208" s="3" t="str">
        <f>"1117066"</f>
        <v>1117066</v>
      </c>
      <c r="C2208" s="3">
        <v>2581</v>
      </c>
      <c r="D2208" s="3">
        <v>1052064</v>
      </c>
      <c r="E2208" s="3">
        <v>20100170761</v>
      </c>
      <c r="F2208" s="3" t="s">
        <v>275</v>
      </c>
      <c r="G2208" s="3" t="s">
        <v>276</v>
      </c>
      <c r="H2208" s="3" t="s">
        <v>56</v>
      </c>
      <c r="I2208" s="3" t="s">
        <v>56</v>
      </c>
      <c r="J2208" s="3" t="s">
        <v>277</v>
      </c>
      <c r="K2208" s="3" t="s">
        <v>8259</v>
      </c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C2208" s="3"/>
      <c r="AD2208" s="3"/>
      <c r="AE2208" s="3"/>
      <c r="AF2208" s="3"/>
      <c r="AG2208" s="3"/>
      <c r="AH2208" s="3"/>
      <c r="AI2208" s="3"/>
      <c r="AJ2208" s="3"/>
      <c r="AK2208" s="3" t="s">
        <v>157</v>
      </c>
      <c r="AL2208" s="4">
        <v>35531</v>
      </c>
      <c r="AM2208" s="3"/>
      <c r="AN2208" s="3"/>
    </row>
    <row r="2209" spans="1:40" x14ac:dyDescent="0.3">
      <c r="A2209" s="3">
        <v>2203</v>
      </c>
      <c r="B2209" s="3" t="str">
        <f>"1375523"</f>
        <v>1375523</v>
      </c>
      <c r="C2209" s="3">
        <v>84276</v>
      </c>
      <c r="D2209" s="3" t="s">
        <v>8260</v>
      </c>
      <c r="E2209" s="3">
        <v>20525521509</v>
      </c>
      <c r="F2209" s="3" t="s">
        <v>189</v>
      </c>
      <c r="G2209" s="3" t="s">
        <v>190</v>
      </c>
      <c r="H2209" s="3" t="s">
        <v>50</v>
      </c>
      <c r="I2209" s="3" t="s">
        <v>50</v>
      </c>
      <c r="J2209" s="3" t="s">
        <v>98</v>
      </c>
      <c r="K2209" s="3" t="s">
        <v>8261</v>
      </c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  <c r="AG2209" s="3"/>
      <c r="AH2209" s="3"/>
      <c r="AI2209" s="3"/>
      <c r="AJ2209" s="3"/>
      <c r="AK2209" s="3" t="s">
        <v>306</v>
      </c>
      <c r="AL2209" s="4">
        <v>40366</v>
      </c>
      <c r="AM2209" s="3"/>
      <c r="AN2209" s="3" t="s">
        <v>885</v>
      </c>
    </row>
    <row r="2210" spans="1:40" x14ac:dyDescent="0.3">
      <c r="A2210" s="3">
        <v>2204</v>
      </c>
      <c r="B2210" s="3" t="str">
        <f>"201200032621"</f>
        <v>201200032621</v>
      </c>
      <c r="C2210" s="3">
        <v>96093</v>
      </c>
      <c r="D2210" s="3" t="s">
        <v>8262</v>
      </c>
      <c r="E2210" s="3">
        <v>20516822202</v>
      </c>
      <c r="F2210" s="3" t="s">
        <v>7373</v>
      </c>
      <c r="G2210" s="3" t="s">
        <v>8263</v>
      </c>
      <c r="H2210" s="3" t="s">
        <v>75</v>
      </c>
      <c r="I2210" s="3" t="s">
        <v>75</v>
      </c>
      <c r="J2210" s="3" t="s">
        <v>1358</v>
      </c>
      <c r="K2210" s="3" t="s">
        <v>8264</v>
      </c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C2210" s="3"/>
      <c r="AD2210" s="3"/>
      <c r="AE2210" s="3"/>
      <c r="AF2210" s="3"/>
      <c r="AG2210" s="3"/>
      <c r="AH2210" s="3"/>
      <c r="AI2210" s="3"/>
      <c r="AJ2210" s="3"/>
      <c r="AK2210" s="3" t="s">
        <v>2883</v>
      </c>
      <c r="AL2210" s="4">
        <v>40980</v>
      </c>
      <c r="AM2210" s="3"/>
      <c r="AN2210" s="3" t="s">
        <v>1853</v>
      </c>
    </row>
    <row r="2211" spans="1:40" x14ac:dyDescent="0.3">
      <c r="A2211" s="3">
        <v>2205</v>
      </c>
      <c r="B2211" s="3" t="str">
        <f>"201500005742"</f>
        <v>201500005742</v>
      </c>
      <c r="C2211" s="3">
        <v>113359</v>
      </c>
      <c r="D2211" s="3" t="s">
        <v>8265</v>
      </c>
      <c r="E2211" s="3">
        <v>10018780599</v>
      </c>
      <c r="F2211" s="3" t="s">
        <v>4063</v>
      </c>
      <c r="G2211" s="3" t="s">
        <v>7756</v>
      </c>
      <c r="H2211" s="3" t="s">
        <v>202</v>
      </c>
      <c r="I2211" s="3" t="s">
        <v>202</v>
      </c>
      <c r="J2211" s="3" t="s">
        <v>904</v>
      </c>
      <c r="K2211" s="3" t="s">
        <v>8266</v>
      </c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C2211" s="3"/>
      <c r="AD2211" s="3"/>
      <c r="AE2211" s="3"/>
      <c r="AF2211" s="3"/>
      <c r="AG2211" s="3"/>
      <c r="AH2211" s="3"/>
      <c r="AI2211" s="3"/>
      <c r="AJ2211" s="3"/>
      <c r="AK2211" s="3" t="s">
        <v>525</v>
      </c>
      <c r="AL2211" s="4">
        <v>42065</v>
      </c>
      <c r="AM2211" s="3"/>
      <c r="AN2211" s="3" t="s">
        <v>4063</v>
      </c>
    </row>
    <row r="2212" spans="1:40" ht="27.95" x14ac:dyDescent="0.3">
      <c r="A2212" s="3">
        <v>2206</v>
      </c>
      <c r="B2212" s="3" t="str">
        <f>"201300164654"</f>
        <v>201300164654</v>
      </c>
      <c r="C2212" s="3">
        <v>105177</v>
      </c>
      <c r="D2212" s="3" t="s">
        <v>8267</v>
      </c>
      <c r="E2212" s="3">
        <v>20448341039</v>
      </c>
      <c r="F2212" s="3" t="s">
        <v>8268</v>
      </c>
      <c r="G2212" s="3" t="s">
        <v>8269</v>
      </c>
      <c r="H2212" s="3" t="s">
        <v>222</v>
      </c>
      <c r="I2212" s="3" t="s">
        <v>223</v>
      </c>
      <c r="J2212" s="3" t="s">
        <v>224</v>
      </c>
      <c r="K2212" s="3" t="s">
        <v>8270</v>
      </c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C2212" s="3"/>
      <c r="AD2212" s="3"/>
      <c r="AE2212" s="3"/>
      <c r="AF2212" s="3"/>
      <c r="AG2212" s="3"/>
      <c r="AH2212" s="3"/>
      <c r="AI2212" s="3"/>
      <c r="AJ2212" s="3"/>
      <c r="AK2212" s="3" t="s">
        <v>162</v>
      </c>
      <c r="AL2212" s="4">
        <v>41591</v>
      </c>
      <c r="AM2212" s="3"/>
      <c r="AN2212" s="3" t="s">
        <v>8271</v>
      </c>
    </row>
    <row r="2213" spans="1:40" x14ac:dyDescent="0.3">
      <c r="A2213" s="3">
        <v>2207</v>
      </c>
      <c r="B2213" s="3" t="str">
        <f>"201500131913"</f>
        <v>201500131913</v>
      </c>
      <c r="C2213" s="3">
        <v>117437</v>
      </c>
      <c r="D2213" s="3" t="s">
        <v>8272</v>
      </c>
      <c r="E2213" s="3">
        <v>10292917177</v>
      </c>
      <c r="F2213" s="3" t="s">
        <v>444</v>
      </c>
      <c r="G2213" s="3" t="s">
        <v>8273</v>
      </c>
      <c r="H2213" s="3" t="s">
        <v>97</v>
      </c>
      <c r="I2213" s="3" t="s">
        <v>97</v>
      </c>
      <c r="J2213" s="3" t="s">
        <v>326</v>
      </c>
      <c r="K2213" s="3" t="s">
        <v>8274</v>
      </c>
      <c r="L2213" s="3" t="s">
        <v>4676</v>
      </c>
      <c r="M2213" s="3" t="s">
        <v>4877</v>
      </c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  <c r="AG2213" s="3"/>
      <c r="AH2213" s="3"/>
      <c r="AI2213" s="3"/>
      <c r="AJ2213" s="3"/>
      <c r="AK2213" s="3" t="s">
        <v>150</v>
      </c>
      <c r="AL2213" s="4">
        <v>42297</v>
      </c>
      <c r="AM2213" s="3"/>
      <c r="AN2213" s="3" t="s">
        <v>444</v>
      </c>
    </row>
    <row r="2214" spans="1:40" ht="27.95" x14ac:dyDescent="0.3">
      <c r="A2214" s="3">
        <v>2208</v>
      </c>
      <c r="B2214" s="3" t="str">
        <f>"201600083888"</f>
        <v>201600083888</v>
      </c>
      <c r="C2214" s="3">
        <v>121923</v>
      </c>
      <c r="D2214" s="3" t="s">
        <v>8275</v>
      </c>
      <c r="E2214" s="3">
        <v>20541524348</v>
      </c>
      <c r="F2214" s="3" t="s">
        <v>8276</v>
      </c>
      <c r="G2214" s="3" t="s">
        <v>8277</v>
      </c>
      <c r="H2214" s="3" t="s">
        <v>237</v>
      </c>
      <c r="I2214" s="3" t="s">
        <v>868</v>
      </c>
      <c r="J2214" s="3" t="s">
        <v>868</v>
      </c>
      <c r="K2214" s="3" t="s">
        <v>8278</v>
      </c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C2214" s="3"/>
      <c r="AD2214" s="3"/>
      <c r="AE2214" s="3"/>
      <c r="AF2214" s="3"/>
      <c r="AG2214" s="3"/>
      <c r="AH2214" s="3"/>
      <c r="AI2214" s="3"/>
      <c r="AJ2214" s="3"/>
      <c r="AK2214" s="3" t="s">
        <v>157</v>
      </c>
      <c r="AL2214" s="4">
        <v>42548</v>
      </c>
      <c r="AM2214" s="3"/>
      <c r="AN2214" s="3" t="s">
        <v>8279</v>
      </c>
    </row>
    <row r="2215" spans="1:40" x14ac:dyDescent="0.3">
      <c r="A2215" s="3">
        <v>2209</v>
      </c>
      <c r="B2215" s="3" t="str">
        <f>"1103385"</f>
        <v>1103385</v>
      </c>
      <c r="C2215" s="3">
        <v>6534</v>
      </c>
      <c r="D2215" s="3">
        <v>955100</v>
      </c>
      <c r="E2215" s="3">
        <v>20153253308</v>
      </c>
      <c r="F2215" s="3" t="s">
        <v>8280</v>
      </c>
      <c r="G2215" s="3" t="s">
        <v>8281</v>
      </c>
      <c r="H2215" s="3" t="s">
        <v>56</v>
      </c>
      <c r="I2215" s="3" t="s">
        <v>56</v>
      </c>
      <c r="J2215" s="3" t="s">
        <v>313</v>
      </c>
      <c r="K2215" s="3" t="s">
        <v>8282</v>
      </c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C2215" s="3"/>
      <c r="AD2215" s="3"/>
      <c r="AE2215" s="3"/>
      <c r="AF2215" s="3"/>
      <c r="AG2215" s="3"/>
      <c r="AH2215" s="3"/>
      <c r="AI2215" s="3"/>
      <c r="AJ2215" s="3"/>
      <c r="AK2215" s="3" t="s">
        <v>157</v>
      </c>
      <c r="AL2215" s="4">
        <v>35459</v>
      </c>
      <c r="AM2215" s="3"/>
      <c r="AN2215" s="3"/>
    </row>
    <row r="2216" spans="1:40" x14ac:dyDescent="0.3">
      <c r="A2216" s="3">
        <v>2210</v>
      </c>
      <c r="B2216" s="3" t="str">
        <f>"1894291"</f>
        <v>1894291</v>
      </c>
      <c r="C2216" s="3">
        <v>83512</v>
      </c>
      <c r="D2216" s="3" t="s">
        <v>8283</v>
      </c>
      <c r="E2216" s="3">
        <v>10252166501</v>
      </c>
      <c r="F2216" s="3" t="s">
        <v>6290</v>
      </c>
      <c r="G2216" s="3" t="s">
        <v>8284</v>
      </c>
      <c r="H2216" s="3" t="s">
        <v>446</v>
      </c>
      <c r="I2216" s="3" t="s">
        <v>446</v>
      </c>
      <c r="J2216" s="3" t="s">
        <v>447</v>
      </c>
      <c r="K2216" s="3" t="s">
        <v>8285</v>
      </c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C2216" s="3"/>
      <c r="AD2216" s="3"/>
      <c r="AE2216" s="3"/>
      <c r="AF2216" s="3"/>
      <c r="AG2216" s="3"/>
      <c r="AH2216" s="3"/>
      <c r="AI2216" s="3"/>
      <c r="AJ2216" s="3"/>
      <c r="AK2216" s="3" t="s">
        <v>8286</v>
      </c>
      <c r="AL2216" s="4">
        <v>39974</v>
      </c>
      <c r="AM2216" s="3"/>
      <c r="AN2216" s="3"/>
    </row>
    <row r="2217" spans="1:40" x14ac:dyDescent="0.3">
      <c r="A2217" s="3">
        <v>2211</v>
      </c>
      <c r="B2217" s="3" t="str">
        <f>"1498696"</f>
        <v>1498696</v>
      </c>
      <c r="C2217" s="3">
        <v>39847</v>
      </c>
      <c r="D2217" s="3" t="s">
        <v>8287</v>
      </c>
      <c r="E2217" s="3">
        <v>20501548589</v>
      </c>
      <c r="F2217" s="3" t="s">
        <v>4109</v>
      </c>
      <c r="G2217" s="3" t="s">
        <v>6267</v>
      </c>
      <c r="H2217" s="3" t="s">
        <v>56</v>
      </c>
      <c r="I2217" s="3" t="s">
        <v>56</v>
      </c>
      <c r="J2217" s="3" t="s">
        <v>63</v>
      </c>
      <c r="K2217" s="3" t="s">
        <v>8288</v>
      </c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  <c r="AG2217" s="3"/>
      <c r="AH2217" s="3"/>
      <c r="AI2217" s="3"/>
      <c r="AJ2217" s="3"/>
      <c r="AK2217" s="3" t="s">
        <v>8289</v>
      </c>
      <c r="AL2217" s="4">
        <v>38394</v>
      </c>
      <c r="AM2217" s="3"/>
      <c r="AN2217" s="3"/>
    </row>
    <row r="2218" spans="1:40" x14ac:dyDescent="0.3">
      <c r="A2218" s="3">
        <v>2212</v>
      </c>
      <c r="B2218" s="3" t="str">
        <f>"201600157801"</f>
        <v>201600157801</v>
      </c>
      <c r="C2218" s="3">
        <v>124390</v>
      </c>
      <c r="D2218" s="3" t="s">
        <v>8290</v>
      </c>
      <c r="E2218" s="3">
        <v>20524320496</v>
      </c>
      <c r="F2218" s="3" t="s">
        <v>8291</v>
      </c>
      <c r="G2218" s="3" t="s">
        <v>8292</v>
      </c>
      <c r="H2218" s="3" t="s">
        <v>56</v>
      </c>
      <c r="I2218" s="3" t="s">
        <v>56</v>
      </c>
      <c r="J2218" s="3" t="s">
        <v>121</v>
      </c>
      <c r="K2218" s="3" t="s">
        <v>8293</v>
      </c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  <c r="AG2218" s="3"/>
      <c r="AH2218" s="3"/>
      <c r="AI2218" s="3"/>
      <c r="AJ2218" s="3"/>
      <c r="AK2218" s="3" t="s">
        <v>8294</v>
      </c>
      <c r="AL2218" s="4">
        <v>42681</v>
      </c>
      <c r="AM2218" s="3"/>
      <c r="AN2218" s="3" t="s">
        <v>8295</v>
      </c>
    </row>
    <row r="2219" spans="1:40" x14ac:dyDescent="0.3">
      <c r="A2219" s="3">
        <v>2213</v>
      </c>
      <c r="B2219" s="3" t="str">
        <f>"1498698"</f>
        <v>1498698</v>
      </c>
      <c r="C2219" s="3">
        <v>39848</v>
      </c>
      <c r="D2219" s="3" t="s">
        <v>8296</v>
      </c>
      <c r="E2219" s="3">
        <v>20501548589</v>
      </c>
      <c r="F2219" s="3" t="s">
        <v>4109</v>
      </c>
      <c r="G2219" s="3" t="s">
        <v>6267</v>
      </c>
      <c r="H2219" s="3" t="s">
        <v>56</v>
      </c>
      <c r="I2219" s="3" t="s">
        <v>56</v>
      </c>
      <c r="J2219" s="3" t="s">
        <v>63</v>
      </c>
      <c r="K2219" s="3" t="s">
        <v>8297</v>
      </c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C2219" s="3"/>
      <c r="AD2219" s="3"/>
      <c r="AE2219" s="3"/>
      <c r="AF2219" s="3"/>
      <c r="AG2219" s="3"/>
      <c r="AH2219" s="3"/>
      <c r="AI2219" s="3"/>
      <c r="AJ2219" s="3"/>
      <c r="AK2219" s="3" t="s">
        <v>8298</v>
      </c>
      <c r="AL2219" s="4">
        <v>38385</v>
      </c>
      <c r="AM2219" s="3"/>
      <c r="AN2219" s="3"/>
    </row>
    <row r="2220" spans="1:40" x14ac:dyDescent="0.3">
      <c r="A2220" s="3">
        <v>2214</v>
      </c>
      <c r="B2220" s="3" t="str">
        <f>"201700158149"</f>
        <v>201700158149</v>
      </c>
      <c r="C2220" s="3">
        <v>132033</v>
      </c>
      <c r="D2220" s="3" t="s">
        <v>8299</v>
      </c>
      <c r="E2220" s="3">
        <v>10207201702</v>
      </c>
      <c r="F2220" s="3" t="s">
        <v>8300</v>
      </c>
      <c r="G2220" s="3" t="s">
        <v>8301</v>
      </c>
      <c r="H2220" s="3" t="s">
        <v>56</v>
      </c>
      <c r="I2220" s="3" t="s">
        <v>56</v>
      </c>
      <c r="J2220" s="3" t="s">
        <v>363</v>
      </c>
      <c r="K2220" s="3" t="s">
        <v>8302</v>
      </c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C2220" s="3"/>
      <c r="AD2220" s="3"/>
      <c r="AE2220" s="3"/>
      <c r="AF2220" s="3"/>
      <c r="AG2220" s="3"/>
      <c r="AH2220" s="3"/>
      <c r="AI2220" s="3"/>
      <c r="AJ2220" s="3"/>
      <c r="AK2220" s="3" t="s">
        <v>1679</v>
      </c>
      <c r="AL2220" s="4">
        <v>43011</v>
      </c>
      <c r="AM2220" s="3"/>
      <c r="AN2220" s="3" t="s">
        <v>8300</v>
      </c>
    </row>
    <row r="2221" spans="1:40" x14ac:dyDescent="0.3">
      <c r="A2221" s="3">
        <v>2215</v>
      </c>
      <c r="B2221" s="3" t="str">
        <f>"1933214"</f>
        <v>1933214</v>
      </c>
      <c r="C2221" s="3">
        <v>84267</v>
      </c>
      <c r="D2221" s="3" t="s">
        <v>8303</v>
      </c>
      <c r="E2221" s="3">
        <v>20452729238</v>
      </c>
      <c r="F2221" s="3" t="s">
        <v>8304</v>
      </c>
      <c r="G2221" s="3" t="s">
        <v>8305</v>
      </c>
      <c r="H2221" s="3" t="s">
        <v>216</v>
      </c>
      <c r="I2221" s="3" t="s">
        <v>4291</v>
      </c>
      <c r="J2221" s="3" t="s">
        <v>4292</v>
      </c>
      <c r="K2221" s="3" t="s">
        <v>8306</v>
      </c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  <c r="AG2221" s="3"/>
      <c r="AH2221" s="3"/>
      <c r="AI2221" s="3"/>
      <c r="AJ2221" s="3"/>
      <c r="AK2221" s="3" t="s">
        <v>2276</v>
      </c>
      <c r="AL2221" s="4">
        <v>40108</v>
      </c>
      <c r="AM2221" s="3"/>
      <c r="AN2221" s="3"/>
    </row>
    <row r="2222" spans="1:40" x14ac:dyDescent="0.3">
      <c r="A2222" s="3">
        <v>2216</v>
      </c>
      <c r="B2222" s="3" t="str">
        <f>"1933212"</f>
        <v>1933212</v>
      </c>
      <c r="C2222" s="3">
        <v>84265</v>
      </c>
      <c r="D2222" s="3" t="s">
        <v>8307</v>
      </c>
      <c r="E2222" s="3">
        <v>20452729238</v>
      </c>
      <c r="F2222" s="3" t="s">
        <v>8304</v>
      </c>
      <c r="G2222" s="3" t="s">
        <v>8305</v>
      </c>
      <c r="H2222" s="3" t="s">
        <v>216</v>
      </c>
      <c r="I2222" s="3" t="s">
        <v>4291</v>
      </c>
      <c r="J2222" s="3" t="s">
        <v>4292</v>
      </c>
      <c r="K2222" s="3" t="s">
        <v>8308</v>
      </c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C2222" s="3"/>
      <c r="AD2222" s="3"/>
      <c r="AE2222" s="3"/>
      <c r="AF2222" s="3"/>
      <c r="AG2222" s="3"/>
      <c r="AH2222" s="3"/>
      <c r="AI2222" s="3"/>
      <c r="AJ2222" s="3"/>
      <c r="AK2222" s="3" t="s">
        <v>81</v>
      </c>
      <c r="AL2222" s="4">
        <v>40108</v>
      </c>
      <c r="AM2222" s="3"/>
      <c r="AN2222" s="3"/>
    </row>
    <row r="2223" spans="1:40" x14ac:dyDescent="0.3">
      <c r="A2223" s="3">
        <v>2217</v>
      </c>
      <c r="B2223" s="3" t="str">
        <f>"1485339"</f>
        <v>1485339</v>
      </c>
      <c r="C2223" s="3">
        <v>92591</v>
      </c>
      <c r="D2223" s="3" t="s">
        <v>8309</v>
      </c>
      <c r="E2223" s="3">
        <v>20535704539</v>
      </c>
      <c r="F2223" s="3" t="s">
        <v>921</v>
      </c>
      <c r="G2223" s="3" t="s">
        <v>8166</v>
      </c>
      <c r="H2223" s="3" t="s">
        <v>97</v>
      </c>
      <c r="I2223" s="3" t="s">
        <v>97</v>
      </c>
      <c r="J2223" s="3" t="s">
        <v>970</v>
      </c>
      <c r="K2223" s="3" t="s">
        <v>8310</v>
      </c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C2223" s="3"/>
      <c r="AD2223" s="3"/>
      <c r="AE2223" s="3"/>
      <c r="AF2223" s="3"/>
      <c r="AG2223" s="3"/>
      <c r="AH2223" s="3"/>
      <c r="AI2223" s="3"/>
      <c r="AJ2223" s="3"/>
      <c r="AK2223" s="3" t="s">
        <v>167</v>
      </c>
      <c r="AL2223" s="4">
        <v>40701</v>
      </c>
      <c r="AM2223" s="3"/>
      <c r="AN2223" s="3" t="s">
        <v>925</v>
      </c>
    </row>
    <row r="2224" spans="1:40" x14ac:dyDescent="0.3">
      <c r="A2224" s="3">
        <v>2218</v>
      </c>
      <c r="B2224" s="3" t="str">
        <f>"1485337"</f>
        <v>1485337</v>
      </c>
      <c r="C2224" s="3">
        <v>92595</v>
      </c>
      <c r="D2224" s="3" t="s">
        <v>8311</v>
      </c>
      <c r="E2224" s="3">
        <v>20535704539</v>
      </c>
      <c r="F2224" s="3" t="s">
        <v>921</v>
      </c>
      <c r="G2224" s="3" t="s">
        <v>8166</v>
      </c>
      <c r="H2224" s="3" t="s">
        <v>97</v>
      </c>
      <c r="I2224" s="3" t="s">
        <v>97</v>
      </c>
      <c r="J2224" s="3" t="s">
        <v>970</v>
      </c>
      <c r="K2224" s="3" t="s">
        <v>8312</v>
      </c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C2224" s="3"/>
      <c r="AD2224" s="3"/>
      <c r="AE2224" s="3"/>
      <c r="AF2224" s="3"/>
      <c r="AG2224" s="3"/>
      <c r="AH2224" s="3"/>
      <c r="AI2224" s="3"/>
      <c r="AJ2224" s="3"/>
      <c r="AK2224" s="3" t="s">
        <v>167</v>
      </c>
      <c r="AL2224" s="4">
        <v>40701</v>
      </c>
      <c r="AM2224" s="3"/>
      <c r="AN2224" s="3" t="s">
        <v>925</v>
      </c>
    </row>
    <row r="2225" spans="1:40" x14ac:dyDescent="0.3">
      <c r="A2225" s="3">
        <v>2219</v>
      </c>
      <c r="B2225" s="3" t="str">
        <f>"1485335"</f>
        <v>1485335</v>
      </c>
      <c r="C2225" s="3">
        <v>92593</v>
      </c>
      <c r="D2225" s="3" t="s">
        <v>8313</v>
      </c>
      <c r="E2225" s="3">
        <v>20535704539</v>
      </c>
      <c r="F2225" s="3" t="s">
        <v>921</v>
      </c>
      <c r="G2225" s="3" t="s">
        <v>8166</v>
      </c>
      <c r="H2225" s="3" t="s">
        <v>97</v>
      </c>
      <c r="I2225" s="3" t="s">
        <v>97</v>
      </c>
      <c r="J2225" s="3" t="s">
        <v>970</v>
      </c>
      <c r="K2225" s="3" t="s">
        <v>8314</v>
      </c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  <c r="AG2225" s="3"/>
      <c r="AH2225" s="3"/>
      <c r="AI2225" s="3"/>
      <c r="AJ2225" s="3"/>
      <c r="AK2225" s="3" t="s">
        <v>167</v>
      </c>
      <c r="AL2225" s="4">
        <v>40701</v>
      </c>
      <c r="AM2225" s="3"/>
      <c r="AN2225" s="3" t="s">
        <v>925</v>
      </c>
    </row>
    <row r="2226" spans="1:40" ht="27.95" x14ac:dyDescent="0.3">
      <c r="A2226" s="3">
        <v>2220</v>
      </c>
      <c r="B2226" s="3" t="str">
        <f>"201500013918"</f>
        <v>201500013918</v>
      </c>
      <c r="C2226" s="3">
        <v>113761</v>
      </c>
      <c r="D2226" s="3" t="s">
        <v>8315</v>
      </c>
      <c r="E2226" s="3">
        <v>20547314426</v>
      </c>
      <c r="F2226" s="3" t="s">
        <v>1035</v>
      </c>
      <c r="G2226" s="3" t="s">
        <v>8316</v>
      </c>
      <c r="H2226" s="3" t="s">
        <v>56</v>
      </c>
      <c r="I2226" s="3" t="s">
        <v>56</v>
      </c>
      <c r="J2226" s="3" t="s">
        <v>273</v>
      </c>
      <c r="K2226" s="3" t="s">
        <v>8317</v>
      </c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3"/>
      <c r="AF2226" s="3"/>
      <c r="AG2226" s="3"/>
      <c r="AH2226" s="3"/>
      <c r="AI2226" s="3"/>
      <c r="AJ2226" s="3"/>
      <c r="AK2226" s="3" t="s">
        <v>8318</v>
      </c>
      <c r="AL2226" s="4">
        <v>42055</v>
      </c>
      <c r="AM2226" s="3"/>
      <c r="AN2226" s="3" t="s">
        <v>1039</v>
      </c>
    </row>
    <row r="2227" spans="1:40" x14ac:dyDescent="0.3">
      <c r="A2227" s="3">
        <v>2221</v>
      </c>
      <c r="B2227" s="3" t="str">
        <f>"201700122533"</f>
        <v>201700122533</v>
      </c>
      <c r="C2227" s="3">
        <v>130941</v>
      </c>
      <c r="D2227" s="3" t="s">
        <v>8319</v>
      </c>
      <c r="E2227" s="3">
        <v>20558613239</v>
      </c>
      <c r="F2227" s="3" t="s">
        <v>8320</v>
      </c>
      <c r="G2227" s="3" t="s">
        <v>8321</v>
      </c>
      <c r="H2227" s="3" t="s">
        <v>97</v>
      </c>
      <c r="I2227" s="3" t="s">
        <v>97</v>
      </c>
      <c r="J2227" s="3" t="s">
        <v>144</v>
      </c>
      <c r="K2227" s="3" t="s">
        <v>8322</v>
      </c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C2227" s="3"/>
      <c r="AD2227" s="3"/>
      <c r="AE2227" s="3"/>
      <c r="AF2227" s="3"/>
      <c r="AG2227" s="3"/>
      <c r="AH2227" s="3"/>
      <c r="AI2227" s="3"/>
      <c r="AJ2227" s="3"/>
      <c r="AK2227" s="3" t="s">
        <v>3491</v>
      </c>
      <c r="AL2227" s="4">
        <v>42964</v>
      </c>
      <c r="AM2227" s="3"/>
      <c r="AN2227" s="3" t="s">
        <v>8323</v>
      </c>
    </row>
    <row r="2228" spans="1:40" ht="27.95" x14ac:dyDescent="0.3">
      <c r="A2228" s="3">
        <v>2222</v>
      </c>
      <c r="B2228" s="3" t="str">
        <f>"201900044836"</f>
        <v>201900044836</v>
      </c>
      <c r="C2228" s="3">
        <v>142048</v>
      </c>
      <c r="D2228" s="3" t="s">
        <v>8324</v>
      </c>
      <c r="E2228" s="3">
        <v>20600737377</v>
      </c>
      <c r="F2228" s="3" t="s">
        <v>3178</v>
      </c>
      <c r="G2228" s="3" t="s">
        <v>8325</v>
      </c>
      <c r="H2228" s="3" t="s">
        <v>587</v>
      </c>
      <c r="I2228" s="3" t="s">
        <v>588</v>
      </c>
      <c r="J2228" s="3" t="s">
        <v>588</v>
      </c>
      <c r="K2228" s="3" t="s">
        <v>8326</v>
      </c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C2228" s="3"/>
      <c r="AD2228" s="3"/>
      <c r="AE2228" s="3"/>
      <c r="AF2228" s="3"/>
      <c r="AG2228" s="3"/>
      <c r="AH2228" s="3"/>
      <c r="AI2228" s="3"/>
      <c r="AJ2228" s="3"/>
      <c r="AK2228" s="3" t="s">
        <v>52</v>
      </c>
      <c r="AL2228" s="4">
        <v>43594</v>
      </c>
      <c r="AM2228" s="3"/>
      <c r="AN2228" s="3" t="s">
        <v>3181</v>
      </c>
    </row>
    <row r="2229" spans="1:40" ht="27.95" x14ac:dyDescent="0.3">
      <c r="A2229" s="3">
        <v>2223</v>
      </c>
      <c r="B2229" s="3" t="str">
        <f>"201900038911"</f>
        <v>201900038911</v>
      </c>
      <c r="C2229" s="3">
        <v>62518</v>
      </c>
      <c r="D2229" s="3" t="s">
        <v>8327</v>
      </c>
      <c r="E2229" s="3">
        <v>20527406731</v>
      </c>
      <c r="F2229" s="3" t="s">
        <v>8328</v>
      </c>
      <c r="G2229" s="3" t="s">
        <v>8329</v>
      </c>
      <c r="H2229" s="3" t="s">
        <v>446</v>
      </c>
      <c r="I2229" s="3" t="s">
        <v>3236</v>
      </c>
      <c r="J2229" s="3" t="s">
        <v>8330</v>
      </c>
      <c r="K2229" s="3" t="s">
        <v>8331</v>
      </c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  <c r="AG2229" s="3"/>
      <c r="AH2229" s="3"/>
      <c r="AI2229" s="3"/>
      <c r="AJ2229" s="3"/>
      <c r="AK2229" s="3" t="s">
        <v>1812</v>
      </c>
      <c r="AL2229" s="4">
        <v>43538</v>
      </c>
      <c r="AM2229" s="3"/>
      <c r="AN2229" s="3" t="s">
        <v>8332</v>
      </c>
    </row>
    <row r="2230" spans="1:40" x14ac:dyDescent="0.3">
      <c r="A2230" s="3">
        <v>2224</v>
      </c>
      <c r="B2230" s="3" t="str">
        <f>"1965789"</f>
        <v>1965789</v>
      </c>
      <c r="C2230" s="3">
        <v>85666</v>
      </c>
      <c r="D2230" s="3" t="s">
        <v>8333</v>
      </c>
      <c r="E2230" s="3">
        <v>20492687694</v>
      </c>
      <c r="F2230" s="3" t="s">
        <v>8334</v>
      </c>
      <c r="G2230" s="3" t="s">
        <v>8335</v>
      </c>
      <c r="H2230" s="3" t="s">
        <v>75</v>
      </c>
      <c r="I2230" s="3" t="s">
        <v>75</v>
      </c>
      <c r="J2230" s="3" t="s">
        <v>76</v>
      </c>
      <c r="K2230" s="3" t="s">
        <v>8336</v>
      </c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3"/>
      <c r="AF2230" s="3"/>
      <c r="AG2230" s="3"/>
      <c r="AH2230" s="3"/>
      <c r="AI2230" s="3"/>
      <c r="AJ2230" s="3"/>
      <c r="AK2230" s="3" t="s">
        <v>8337</v>
      </c>
      <c r="AL2230" s="4">
        <v>40255</v>
      </c>
      <c r="AM2230" s="3"/>
      <c r="AN2230" s="3"/>
    </row>
    <row r="2231" spans="1:40" x14ac:dyDescent="0.3">
      <c r="A2231" s="3">
        <v>2225</v>
      </c>
      <c r="B2231" s="3" t="str">
        <f>"201700162763"</f>
        <v>201700162763</v>
      </c>
      <c r="C2231" s="3">
        <v>132137</v>
      </c>
      <c r="D2231" s="3" t="s">
        <v>8338</v>
      </c>
      <c r="E2231" s="3">
        <v>10621361797</v>
      </c>
      <c r="F2231" s="3" t="s">
        <v>8339</v>
      </c>
      <c r="G2231" s="3" t="s">
        <v>8340</v>
      </c>
      <c r="H2231" s="3" t="s">
        <v>56</v>
      </c>
      <c r="I2231" s="3" t="s">
        <v>8341</v>
      </c>
      <c r="J2231" s="3" t="s">
        <v>8342</v>
      </c>
      <c r="K2231" s="3" t="s">
        <v>8343</v>
      </c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C2231" s="3"/>
      <c r="AD2231" s="3"/>
      <c r="AE2231" s="3"/>
      <c r="AF2231" s="3"/>
      <c r="AG2231" s="3"/>
      <c r="AH2231" s="3"/>
      <c r="AI2231" s="3"/>
      <c r="AJ2231" s="3"/>
      <c r="AK2231" s="3" t="s">
        <v>3539</v>
      </c>
      <c r="AL2231" s="4">
        <v>43020</v>
      </c>
      <c r="AM2231" s="3"/>
      <c r="AN2231" s="3" t="s">
        <v>8344</v>
      </c>
    </row>
    <row r="2232" spans="1:40" x14ac:dyDescent="0.3">
      <c r="A2232" s="3">
        <v>2226</v>
      </c>
      <c r="B2232" s="3" t="str">
        <f>"1662460"</f>
        <v>1662460</v>
      </c>
      <c r="C2232" s="3">
        <v>44573</v>
      </c>
      <c r="D2232" s="3" t="s">
        <v>8345</v>
      </c>
      <c r="E2232" s="3">
        <v>10296799462</v>
      </c>
      <c r="F2232" s="3" t="s">
        <v>324</v>
      </c>
      <c r="G2232" s="3" t="s">
        <v>8346</v>
      </c>
      <c r="H2232" s="3" t="s">
        <v>97</v>
      </c>
      <c r="I2232" s="3" t="s">
        <v>97</v>
      </c>
      <c r="J2232" s="3" t="s">
        <v>326</v>
      </c>
      <c r="K2232" s="3" t="s">
        <v>8347</v>
      </c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C2232" s="3"/>
      <c r="AD2232" s="3"/>
      <c r="AE2232" s="3"/>
      <c r="AF2232" s="3"/>
      <c r="AG2232" s="3"/>
      <c r="AH2232" s="3"/>
      <c r="AI2232" s="3"/>
      <c r="AJ2232" s="3"/>
      <c r="AK2232" s="3" t="s">
        <v>8348</v>
      </c>
      <c r="AL2232" s="4">
        <v>39091</v>
      </c>
      <c r="AM2232" s="3"/>
      <c r="AN2232" s="3"/>
    </row>
    <row r="2233" spans="1:40" x14ac:dyDescent="0.3">
      <c r="A2233" s="3">
        <v>2227</v>
      </c>
      <c r="B2233" s="3" t="str">
        <f>"1388824"</f>
        <v>1388824</v>
      </c>
      <c r="C2233" s="3">
        <v>33621</v>
      </c>
      <c r="D2233" s="3" t="s">
        <v>8349</v>
      </c>
      <c r="E2233" s="3">
        <v>20100366747</v>
      </c>
      <c r="F2233" s="3" t="s">
        <v>258</v>
      </c>
      <c r="G2233" s="3" t="s">
        <v>1055</v>
      </c>
      <c r="H2233" s="3" t="s">
        <v>56</v>
      </c>
      <c r="I2233" s="3" t="s">
        <v>56</v>
      </c>
      <c r="J2233" s="3" t="s">
        <v>185</v>
      </c>
      <c r="K2233" s="3" t="s">
        <v>8350</v>
      </c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  <c r="AG2233" s="3"/>
      <c r="AH2233" s="3"/>
      <c r="AI2233" s="3"/>
      <c r="AJ2233" s="3"/>
      <c r="AK2233" s="3" t="s">
        <v>546</v>
      </c>
      <c r="AL2233" s="4">
        <v>37586</v>
      </c>
      <c r="AM2233" s="3"/>
      <c r="AN2233" s="3"/>
    </row>
    <row r="2234" spans="1:40" x14ac:dyDescent="0.3">
      <c r="A2234" s="3">
        <v>2228</v>
      </c>
      <c r="B2234" s="3" t="str">
        <f>"1933209"</f>
        <v>1933209</v>
      </c>
      <c r="C2234" s="3">
        <v>84268</v>
      </c>
      <c r="D2234" s="3" t="s">
        <v>8351</v>
      </c>
      <c r="E2234" s="3">
        <v>20452729238</v>
      </c>
      <c r="F2234" s="3" t="s">
        <v>8304</v>
      </c>
      <c r="G2234" s="3" t="s">
        <v>8305</v>
      </c>
      <c r="H2234" s="3" t="s">
        <v>216</v>
      </c>
      <c r="I2234" s="3" t="s">
        <v>4291</v>
      </c>
      <c r="J2234" s="3" t="s">
        <v>4292</v>
      </c>
      <c r="K2234" s="3" t="s">
        <v>8352</v>
      </c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3"/>
      <c r="AF2234" s="3"/>
      <c r="AG2234" s="3"/>
      <c r="AH2234" s="3"/>
      <c r="AI2234" s="3"/>
      <c r="AJ2234" s="3"/>
      <c r="AK2234" s="3" t="s">
        <v>2276</v>
      </c>
      <c r="AL2234" s="4">
        <v>40108</v>
      </c>
      <c r="AM2234" s="3"/>
      <c r="AN2234" s="3"/>
    </row>
    <row r="2235" spans="1:40" x14ac:dyDescent="0.3">
      <c r="A2235" s="3">
        <v>2229</v>
      </c>
      <c r="B2235" s="3" t="str">
        <f>"1388820"</f>
        <v>1388820</v>
      </c>
      <c r="C2235" s="3">
        <v>33622</v>
      </c>
      <c r="D2235" s="3" t="s">
        <v>8353</v>
      </c>
      <c r="E2235" s="3">
        <v>20100366747</v>
      </c>
      <c r="F2235" s="3" t="s">
        <v>258</v>
      </c>
      <c r="G2235" s="3" t="s">
        <v>1055</v>
      </c>
      <c r="H2235" s="3" t="s">
        <v>56</v>
      </c>
      <c r="I2235" s="3" t="s">
        <v>56</v>
      </c>
      <c r="J2235" s="3" t="s">
        <v>185</v>
      </c>
      <c r="K2235" s="3" t="s">
        <v>8354</v>
      </c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C2235" s="3"/>
      <c r="AD2235" s="3"/>
      <c r="AE2235" s="3"/>
      <c r="AF2235" s="3"/>
      <c r="AG2235" s="3"/>
      <c r="AH2235" s="3"/>
      <c r="AI2235" s="3"/>
      <c r="AJ2235" s="3"/>
      <c r="AK2235" s="3" t="s">
        <v>546</v>
      </c>
      <c r="AL2235" s="4">
        <v>37585</v>
      </c>
      <c r="AM2235" s="3"/>
      <c r="AN2235" s="3"/>
    </row>
    <row r="2236" spans="1:40" x14ac:dyDescent="0.3">
      <c r="A2236" s="3">
        <v>2230</v>
      </c>
      <c r="B2236" s="3" t="str">
        <f>"1388823"</f>
        <v>1388823</v>
      </c>
      <c r="C2236" s="3">
        <v>33694</v>
      </c>
      <c r="D2236" s="3" t="s">
        <v>8355</v>
      </c>
      <c r="E2236" s="3">
        <v>20100366747</v>
      </c>
      <c r="F2236" s="3" t="s">
        <v>258</v>
      </c>
      <c r="G2236" s="3" t="s">
        <v>1055</v>
      </c>
      <c r="H2236" s="3" t="s">
        <v>56</v>
      </c>
      <c r="I2236" s="3" t="s">
        <v>56</v>
      </c>
      <c r="J2236" s="3" t="s">
        <v>185</v>
      </c>
      <c r="K2236" s="3" t="s">
        <v>8356</v>
      </c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C2236" s="3"/>
      <c r="AD2236" s="3"/>
      <c r="AE2236" s="3"/>
      <c r="AF2236" s="3"/>
      <c r="AG2236" s="3"/>
      <c r="AH2236" s="3"/>
      <c r="AI2236" s="3"/>
      <c r="AJ2236" s="3"/>
      <c r="AK2236" s="3" t="s">
        <v>8357</v>
      </c>
      <c r="AL2236" s="4">
        <v>37585</v>
      </c>
      <c r="AM2236" s="3"/>
      <c r="AN2236" s="3"/>
    </row>
    <row r="2237" spans="1:40" x14ac:dyDescent="0.3">
      <c r="A2237" s="3">
        <v>2231</v>
      </c>
      <c r="B2237" s="3" t="str">
        <f>"1388822"</f>
        <v>1388822</v>
      </c>
      <c r="C2237" s="3">
        <v>33682</v>
      </c>
      <c r="D2237" s="3" t="s">
        <v>8358</v>
      </c>
      <c r="E2237" s="3">
        <v>20100366747</v>
      </c>
      <c r="F2237" s="3" t="s">
        <v>258</v>
      </c>
      <c r="G2237" s="3" t="s">
        <v>1055</v>
      </c>
      <c r="H2237" s="3" t="s">
        <v>56</v>
      </c>
      <c r="I2237" s="3" t="s">
        <v>56</v>
      </c>
      <c r="J2237" s="3" t="s">
        <v>185</v>
      </c>
      <c r="K2237" s="3" t="s">
        <v>8359</v>
      </c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  <c r="AG2237" s="3"/>
      <c r="AH2237" s="3"/>
      <c r="AI2237" s="3"/>
      <c r="AJ2237" s="3"/>
      <c r="AK2237" s="3" t="s">
        <v>546</v>
      </c>
      <c r="AL2237" s="4">
        <v>37585</v>
      </c>
      <c r="AM2237" s="3"/>
      <c r="AN2237" s="3"/>
    </row>
    <row r="2238" spans="1:40" x14ac:dyDescent="0.3">
      <c r="A2238" s="3">
        <v>2232</v>
      </c>
      <c r="B2238" s="3" t="str">
        <f>"1142365"</f>
        <v>1142365</v>
      </c>
      <c r="C2238" s="3">
        <v>6493</v>
      </c>
      <c r="D2238" s="3">
        <v>1117415</v>
      </c>
      <c r="E2238" s="3">
        <v>20100284694</v>
      </c>
      <c r="F2238" s="3" t="s">
        <v>1337</v>
      </c>
      <c r="G2238" s="3" t="s">
        <v>1338</v>
      </c>
      <c r="H2238" s="3" t="s">
        <v>56</v>
      </c>
      <c r="I2238" s="3" t="s">
        <v>56</v>
      </c>
      <c r="J2238" s="3" t="s">
        <v>1339</v>
      </c>
      <c r="K2238" s="3" t="s">
        <v>8360</v>
      </c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C2238" s="3"/>
      <c r="AD2238" s="3"/>
      <c r="AE2238" s="3"/>
      <c r="AF2238" s="3"/>
      <c r="AG2238" s="3"/>
      <c r="AH2238" s="3"/>
      <c r="AI2238" s="3"/>
      <c r="AJ2238" s="3"/>
      <c r="AK2238" s="3" t="s">
        <v>1341</v>
      </c>
      <c r="AL2238" s="4">
        <v>35643</v>
      </c>
      <c r="AM2238" s="3"/>
      <c r="AN2238" s="3"/>
    </row>
    <row r="2239" spans="1:40" x14ac:dyDescent="0.3">
      <c r="A2239" s="3">
        <v>2233</v>
      </c>
      <c r="B2239" s="3" t="str">
        <f>"1886246"</f>
        <v>1886246</v>
      </c>
      <c r="C2239" s="3">
        <v>82919</v>
      </c>
      <c r="D2239" s="3" t="s">
        <v>8361</v>
      </c>
      <c r="E2239" s="3">
        <v>10214285113</v>
      </c>
      <c r="F2239" s="3" t="s">
        <v>8362</v>
      </c>
      <c r="G2239" s="3" t="s">
        <v>8363</v>
      </c>
      <c r="H2239" s="3" t="s">
        <v>216</v>
      </c>
      <c r="I2239" s="3" t="s">
        <v>216</v>
      </c>
      <c r="J2239" s="3" t="s">
        <v>216</v>
      </c>
      <c r="K2239" s="3" t="s">
        <v>8364</v>
      </c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C2239" s="3"/>
      <c r="AD2239" s="3"/>
      <c r="AE2239" s="3"/>
      <c r="AF2239" s="3"/>
      <c r="AG2239" s="3"/>
      <c r="AH2239" s="3"/>
      <c r="AI2239" s="3"/>
      <c r="AJ2239" s="3"/>
      <c r="AK2239" s="3" t="s">
        <v>614</v>
      </c>
      <c r="AL2239" s="4">
        <v>39951</v>
      </c>
      <c r="AM2239" s="3"/>
      <c r="AN2239" s="3"/>
    </row>
    <row r="2240" spans="1:40" x14ac:dyDescent="0.3">
      <c r="A2240" s="3">
        <v>2234</v>
      </c>
      <c r="B2240" s="3" t="str">
        <f>"201500176668"</f>
        <v>201500176668</v>
      </c>
      <c r="C2240" s="3">
        <v>118596</v>
      </c>
      <c r="D2240" s="3" t="s">
        <v>8365</v>
      </c>
      <c r="E2240" s="3">
        <v>10429039571</v>
      </c>
      <c r="F2240" s="3" t="s">
        <v>8366</v>
      </c>
      <c r="G2240" s="3" t="s">
        <v>8367</v>
      </c>
      <c r="H2240" s="3" t="s">
        <v>222</v>
      </c>
      <c r="I2240" s="3" t="s">
        <v>223</v>
      </c>
      <c r="J2240" s="3" t="s">
        <v>224</v>
      </c>
      <c r="K2240" s="3" t="s">
        <v>8368</v>
      </c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C2240" s="3"/>
      <c r="AD2240" s="3"/>
      <c r="AE2240" s="3"/>
      <c r="AF2240" s="3"/>
      <c r="AG2240" s="3"/>
      <c r="AH2240" s="3"/>
      <c r="AI2240" s="3"/>
      <c r="AJ2240" s="3"/>
      <c r="AK2240" s="3" t="s">
        <v>8369</v>
      </c>
      <c r="AL2240" s="4">
        <v>42384</v>
      </c>
      <c r="AM2240" s="3"/>
      <c r="AN2240" s="3" t="s">
        <v>8366</v>
      </c>
    </row>
    <row r="2241" spans="1:40" x14ac:dyDescent="0.3">
      <c r="A2241" s="3">
        <v>2235</v>
      </c>
      <c r="B2241" s="3" t="str">
        <f>"1468054"</f>
        <v>1468054</v>
      </c>
      <c r="C2241" s="3">
        <v>91073</v>
      </c>
      <c r="D2241" s="3" t="s">
        <v>8370</v>
      </c>
      <c r="E2241" s="3">
        <v>20490328891</v>
      </c>
      <c r="F2241" s="3" t="s">
        <v>8371</v>
      </c>
      <c r="G2241" s="3" t="s">
        <v>8372</v>
      </c>
      <c r="H2241" s="3" t="s">
        <v>446</v>
      </c>
      <c r="I2241" s="3" t="s">
        <v>3236</v>
      </c>
      <c r="J2241" s="3" t="s">
        <v>3236</v>
      </c>
      <c r="K2241" s="3" t="s">
        <v>8373</v>
      </c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  <c r="AG2241" s="3"/>
      <c r="AH2241" s="3"/>
      <c r="AI2241" s="3"/>
      <c r="AJ2241" s="3"/>
      <c r="AK2241" s="3" t="s">
        <v>8374</v>
      </c>
      <c r="AL2241" s="4">
        <v>40589</v>
      </c>
      <c r="AM2241" s="3"/>
      <c r="AN2241" s="3" t="s">
        <v>8375</v>
      </c>
    </row>
    <row r="2242" spans="1:40" x14ac:dyDescent="0.3">
      <c r="A2242" s="3">
        <v>2236</v>
      </c>
      <c r="B2242" s="3" t="str">
        <f>"1397807"</f>
        <v>1397807</v>
      </c>
      <c r="C2242" s="3">
        <v>88285</v>
      </c>
      <c r="D2242" s="3" t="s">
        <v>8376</v>
      </c>
      <c r="E2242" s="3">
        <v>20293658146</v>
      </c>
      <c r="F2242" s="3" t="s">
        <v>2826</v>
      </c>
      <c r="G2242" s="3" t="s">
        <v>8377</v>
      </c>
      <c r="H2242" s="3" t="s">
        <v>56</v>
      </c>
      <c r="I2242" s="3" t="s">
        <v>56</v>
      </c>
      <c r="J2242" s="3" t="s">
        <v>63</v>
      </c>
      <c r="K2242" s="3" t="s">
        <v>8378</v>
      </c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  <c r="AD2242" s="3"/>
      <c r="AE2242" s="3"/>
      <c r="AF2242" s="3"/>
      <c r="AG2242" s="3"/>
      <c r="AH2242" s="3"/>
      <c r="AI2242" s="3"/>
      <c r="AJ2242" s="3"/>
      <c r="AK2242" s="3" t="s">
        <v>7997</v>
      </c>
      <c r="AL2242" s="4">
        <v>40410</v>
      </c>
      <c r="AM2242" s="3"/>
      <c r="AN2242" s="3" t="s">
        <v>8379</v>
      </c>
    </row>
    <row r="2243" spans="1:40" x14ac:dyDescent="0.3">
      <c r="A2243" s="3">
        <v>2237</v>
      </c>
      <c r="B2243" s="3" t="str">
        <f>"1362455"</f>
        <v>1362455</v>
      </c>
      <c r="C2243" s="3">
        <v>21803</v>
      </c>
      <c r="D2243" s="3" t="s">
        <v>8380</v>
      </c>
      <c r="E2243" s="3">
        <v>20113539594</v>
      </c>
      <c r="F2243" s="3" t="s">
        <v>164</v>
      </c>
      <c r="G2243" s="3" t="s">
        <v>2506</v>
      </c>
      <c r="H2243" s="3" t="s">
        <v>50</v>
      </c>
      <c r="I2243" s="3" t="s">
        <v>50</v>
      </c>
      <c r="J2243" s="3" t="s">
        <v>50</v>
      </c>
      <c r="K2243" s="3" t="s">
        <v>8381</v>
      </c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C2243" s="3"/>
      <c r="AD2243" s="3"/>
      <c r="AE2243" s="3"/>
      <c r="AF2243" s="3"/>
      <c r="AG2243" s="3"/>
      <c r="AH2243" s="3"/>
      <c r="AI2243" s="3"/>
      <c r="AJ2243" s="3"/>
      <c r="AK2243" s="3" t="s">
        <v>419</v>
      </c>
      <c r="AL2243" s="4">
        <v>37372</v>
      </c>
      <c r="AM2243" s="3"/>
      <c r="AN2243" s="3"/>
    </row>
    <row r="2244" spans="1:40" x14ac:dyDescent="0.3">
      <c r="A2244" s="3">
        <v>2238</v>
      </c>
      <c r="B2244" s="3" t="str">
        <f>"1122277"</f>
        <v>1122277</v>
      </c>
      <c r="C2244" s="3">
        <v>3277</v>
      </c>
      <c r="D2244" s="3">
        <v>1122277</v>
      </c>
      <c r="E2244" s="3">
        <v>10061012660</v>
      </c>
      <c r="F2244" s="3" t="s">
        <v>8382</v>
      </c>
      <c r="G2244" s="3" t="s">
        <v>8383</v>
      </c>
      <c r="H2244" s="3" t="s">
        <v>56</v>
      </c>
      <c r="I2244" s="3" t="s">
        <v>56</v>
      </c>
      <c r="J2244" s="3" t="s">
        <v>56</v>
      </c>
      <c r="K2244" s="3" t="s">
        <v>8384</v>
      </c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C2244" s="3"/>
      <c r="AD2244" s="3"/>
      <c r="AE2244" s="3"/>
      <c r="AF2244" s="3"/>
      <c r="AG2244" s="3"/>
      <c r="AH2244" s="3"/>
      <c r="AI2244" s="3"/>
      <c r="AJ2244" s="3"/>
      <c r="AK2244" s="3" t="s">
        <v>118</v>
      </c>
      <c r="AL2244" s="4">
        <v>35562</v>
      </c>
      <c r="AM2244" s="3"/>
      <c r="AN2244" s="3"/>
    </row>
    <row r="2245" spans="1:40" x14ac:dyDescent="0.3">
      <c r="A2245" s="3">
        <v>2239</v>
      </c>
      <c r="B2245" s="3" t="str">
        <f>"201700060059"</f>
        <v>201700060059</v>
      </c>
      <c r="C2245" s="3">
        <v>95660</v>
      </c>
      <c r="D2245" s="3" t="s">
        <v>8385</v>
      </c>
      <c r="E2245" s="3">
        <v>20527229937</v>
      </c>
      <c r="F2245" s="3" t="s">
        <v>8386</v>
      </c>
      <c r="G2245" s="3" t="s">
        <v>8387</v>
      </c>
      <c r="H2245" s="3" t="s">
        <v>3837</v>
      </c>
      <c r="I2245" s="3" t="s">
        <v>4994</v>
      </c>
      <c r="J2245" s="3" t="s">
        <v>4994</v>
      </c>
      <c r="K2245" s="3" t="s">
        <v>8388</v>
      </c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  <c r="AG2245" s="3"/>
      <c r="AH2245" s="3"/>
      <c r="AI2245" s="3"/>
      <c r="AJ2245" s="3"/>
      <c r="AK2245" s="3" t="s">
        <v>8389</v>
      </c>
      <c r="AL2245" s="4">
        <v>42852</v>
      </c>
      <c r="AM2245" s="3"/>
      <c r="AN2245" s="3" t="s">
        <v>8390</v>
      </c>
    </row>
    <row r="2246" spans="1:40" x14ac:dyDescent="0.3">
      <c r="A2246" s="3">
        <v>2240</v>
      </c>
      <c r="B2246" s="3" t="str">
        <f>"201500110802"</f>
        <v>201500110802</v>
      </c>
      <c r="C2246" s="3">
        <v>112640</v>
      </c>
      <c r="D2246" s="3" t="s">
        <v>8391</v>
      </c>
      <c r="E2246" s="3">
        <v>10068668102</v>
      </c>
      <c r="F2246" s="3" t="s">
        <v>8392</v>
      </c>
      <c r="G2246" s="3" t="s">
        <v>8393</v>
      </c>
      <c r="H2246" s="3" t="s">
        <v>56</v>
      </c>
      <c r="I2246" s="3" t="s">
        <v>56</v>
      </c>
      <c r="J2246" s="3" t="s">
        <v>481</v>
      </c>
      <c r="K2246" s="3" t="s">
        <v>8394</v>
      </c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  <c r="AD2246" s="3"/>
      <c r="AE2246" s="3"/>
      <c r="AF2246" s="3"/>
      <c r="AG2246" s="3"/>
      <c r="AH2246" s="3"/>
      <c r="AI2246" s="3"/>
      <c r="AJ2246" s="3"/>
      <c r="AK2246" s="3" t="s">
        <v>3028</v>
      </c>
      <c r="AL2246" s="4">
        <v>42313</v>
      </c>
      <c r="AM2246" s="3"/>
      <c r="AN2246" s="3" t="s">
        <v>8392</v>
      </c>
    </row>
    <row r="2247" spans="1:40" x14ac:dyDescent="0.3">
      <c r="A2247" s="3">
        <v>2241</v>
      </c>
      <c r="B2247" s="3" t="str">
        <f>"1130089"</f>
        <v>1130089</v>
      </c>
      <c r="C2247" s="3">
        <v>3372</v>
      </c>
      <c r="D2247" s="3">
        <v>1079584</v>
      </c>
      <c r="E2247" s="3">
        <v>10293090438</v>
      </c>
      <c r="F2247" s="3" t="s">
        <v>8395</v>
      </c>
      <c r="G2247" s="3" t="s">
        <v>8396</v>
      </c>
      <c r="H2247" s="3" t="s">
        <v>97</v>
      </c>
      <c r="I2247" s="3" t="s">
        <v>97</v>
      </c>
      <c r="J2247" s="3" t="s">
        <v>97</v>
      </c>
      <c r="K2247" s="3" t="s">
        <v>8397</v>
      </c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C2247" s="3"/>
      <c r="AD2247" s="3"/>
      <c r="AE2247" s="3"/>
      <c r="AF2247" s="3"/>
      <c r="AG2247" s="3"/>
      <c r="AH2247" s="3"/>
      <c r="AI2247" s="3"/>
      <c r="AJ2247" s="3"/>
      <c r="AK2247" s="3" t="s">
        <v>574</v>
      </c>
      <c r="AL2247" s="4">
        <v>35593</v>
      </c>
      <c r="AM2247" s="3"/>
      <c r="AN2247" s="3"/>
    </row>
    <row r="2248" spans="1:40" x14ac:dyDescent="0.3">
      <c r="A2248" s="3">
        <v>2242</v>
      </c>
      <c r="B2248" s="3" t="str">
        <f>"1443615"</f>
        <v>1443615</v>
      </c>
      <c r="C2248" s="3">
        <v>63098</v>
      </c>
      <c r="D2248" s="3" t="s">
        <v>8398</v>
      </c>
      <c r="E2248" s="3">
        <v>10102560782</v>
      </c>
      <c r="F2248" s="3" t="s">
        <v>2853</v>
      </c>
      <c r="G2248" s="3" t="s">
        <v>8399</v>
      </c>
      <c r="H2248" s="3" t="s">
        <v>56</v>
      </c>
      <c r="I2248" s="3" t="s">
        <v>56</v>
      </c>
      <c r="J2248" s="3" t="s">
        <v>363</v>
      </c>
      <c r="K2248" s="3" t="s">
        <v>8400</v>
      </c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C2248" s="3"/>
      <c r="AD2248" s="3"/>
      <c r="AE2248" s="3"/>
      <c r="AF2248" s="3"/>
      <c r="AG2248" s="3"/>
      <c r="AH2248" s="3"/>
      <c r="AI2248" s="3"/>
      <c r="AJ2248" s="3"/>
      <c r="AK2248" s="3" t="s">
        <v>2856</v>
      </c>
      <c r="AL2248" s="4">
        <v>40498</v>
      </c>
      <c r="AM2248" s="3"/>
      <c r="AN2248" s="3" t="s">
        <v>2853</v>
      </c>
    </row>
    <row r="2249" spans="1:40" x14ac:dyDescent="0.3">
      <c r="A2249" s="3">
        <v>2243</v>
      </c>
      <c r="B2249" s="3" t="str">
        <f>"1483172"</f>
        <v>1483172</v>
      </c>
      <c r="C2249" s="3">
        <v>92377</v>
      </c>
      <c r="D2249" s="3" t="s">
        <v>8401</v>
      </c>
      <c r="E2249" s="3">
        <v>10292917177</v>
      </c>
      <c r="F2249" s="3" t="s">
        <v>444</v>
      </c>
      <c r="G2249" s="3" t="s">
        <v>7439</v>
      </c>
      <c r="H2249" s="3" t="s">
        <v>446</v>
      </c>
      <c r="I2249" s="3" t="s">
        <v>446</v>
      </c>
      <c r="J2249" s="3" t="s">
        <v>447</v>
      </c>
      <c r="K2249" s="3" t="s">
        <v>8402</v>
      </c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  <c r="AG2249" s="3"/>
      <c r="AH2249" s="3"/>
      <c r="AI2249" s="3"/>
      <c r="AJ2249" s="3"/>
      <c r="AK2249" s="3" t="s">
        <v>602</v>
      </c>
      <c r="AL2249" s="4">
        <v>40675</v>
      </c>
      <c r="AM2249" s="3"/>
      <c r="AN2249" s="3" t="s">
        <v>444</v>
      </c>
    </row>
    <row r="2250" spans="1:40" x14ac:dyDescent="0.3">
      <c r="A2250" s="3">
        <v>2244</v>
      </c>
      <c r="B2250" s="3" t="str">
        <f>"1130081"</f>
        <v>1130081</v>
      </c>
      <c r="C2250" s="3">
        <v>3338</v>
      </c>
      <c r="D2250" s="3">
        <v>1079587</v>
      </c>
      <c r="E2250" s="3">
        <v>10294721211</v>
      </c>
      <c r="F2250" s="3" t="s">
        <v>8403</v>
      </c>
      <c r="G2250" s="3" t="s">
        <v>8404</v>
      </c>
      <c r="H2250" s="3" t="s">
        <v>97</v>
      </c>
      <c r="I2250" s="3" t="s">
        <v>97</v>
      </c>
      <c r="J2250" s="3" t="s">
        <v>144</v>
      </c>
      <c r="K2250" s="3" t="s">
        <v>8405</v>
      </c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  <c r="AD2250" s="3"/>
      <c r="AE2250" s="3"/>
      <c r="AF2250" s="3"/>
      <c r="AG2250" s="3"/>
      <c r="AH2250" s="3"/>
      <c r="AI2250" s="3"/>
      <c r="AJ2250" s="3"/>
      <c r="AK2250" s="3" t="s">
        <v>842</v>
      </c>
      <c r="AL2250" s="4">
        <v>35593</v>
      </c>
      <c r="AM2250" s="3"/>
      <c r="AN2250" s="3"/>
    </row>
    <row r="2251" spans="1:40" x14ac:dyDescent="0.3">
      <c r="A2251" s="3">
        <v>2245</v>
      </c>
      <c r="B2251" s="3" t="str">
        <f>"201800128886"</f>
        <v>201800128886</v>
      </c>
      <c r="C2251" s="3">
        <v>137885</v>
      </c>
      <c r="D2251" s="3" t="s">
        <v>8406</v>
      </c>
      <c r="E2251" s="3">
        <v>20480162600</v>
      </c>
      <c r="F2251" s="3" t="s">
        <v>6732</v>
      </c>
      <c r="G2251" s="3" t="s">
        <v>2568</v>
      </c>
      <c r="H2251" s="3" t="s">
        <v>357</v>
      </c>
      <c r="I2251" s="3" t="s">
        <v>2569</v>
      </c>
      <c r="J2251" s="3" t="s">
        <v>2569</v>
      </c>
      <c r="K2251" s="3" t="s">
        <v>8407</v>
      </c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C2251" s="3"/>
      <c r="AD2251" s="3"/>
      <c r="AE2251" s="3"/>
      <c r="AF2251" s="3"/>
      <c r="AG2251" s="3"/>
      <c r="AH2251" s="3"/>
      <c r="AI2251" s="3"/>
      <c r="AJ2251" s="3"/>
      <c r="AK2251" s="3" t="s">
        <v>8408</v>
      </c>
      <c r="AL2251" s="4">
        <v>43453</v>
      </c>
      <c r="AM2251" s="3"/>
      <c r="AN2251" s="3" t="s">
        <v>6735</v>
      </c>
    </row>
    <row r="2252" spans="1:40" ht="27.95" x14ac:dyDescent="0.3">
      <c r="A2252" s="3">
        <v>2246</v>
      </c>
      <c r="B2252" s="3" t="str">
        <f>"1525901"</f>
        <v>1525901</v>
      </c>
      <c r="C2252" s="3">
        <v>37456</v>
      </c>
      <c r="D2252" s="3" t="s">
        <v>8409</v>
      </c>
      <c r="E2252" s="3">
        <v>20100076749</v>
      </c>
      <c r="F2252" s="3" t="s">
        <v>159</v>
      </c>
      <c r="G2252" s="3" t="s">
        <v>2636</v>
      </c>
      <c r="H2252" s="3" t="s">
        <v>56</v>
      </c>
      <c r="I2252" s="3" t="s">
        <v>56</v>
      </c>
      <c r="J2252" s="3" t="s">
        <v>121</v>
      </c>
      <c r="K2252" s="3" t="s">
        <v>8410</v>
      </c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C2252" s="3"/>
      <c r="AD2252" s="3"/>
      <c r="AE2252" s="3"/>
      <c r="AF2252" s="3"/>
      <c r="AG2252" s="3"/>
      <c r="AH2252" s="3"/>
      <c r="AI2252" s="3"/>
      <c r="AJ2252" s="3"/>
      <c r="AK2252" s="3" t="s">
        <v>118</v>
      </c>
      <c r="AL2252" s="4">
        <v>38454</v>
      </c>
      <c r="AM2252" s="3"/>
      <c r="AN2252" s="3"/>
    </row>
    <row r="2253" spans="1:40" ht="27.95" x14ac:dyDescent="0.3">
      <c r="A2253" s="3">
        <v>2247</v>
      </c>
      <c r="B2253" s="3" t="str">
        <f>"201600080294"</f>
        <v>201600080294</v>
      </c>
      <c r="C2253" s="3">
        <v>121190</v>
      </c>
      <c r="D2253" s="3" t="s">
        <v>8411</v>
      </c>
      <c r="E2253" s="3">
        <v>10308486261</v>
      </c>
      <c r="F2253" s="3" t="s">
        <v>8412</v>
      </c>
      <c r="G2253" s="3" t="s">
        <v>8413</v>
      </c>
      <c r="H2253" s="3" t="s">
        <v>97</v>
      </c>
      <c r="I2253" s="3" t="s">
        <v>97</v>
      </c>
      <c r="J2253" s="3" t="s">
        <v>705</v>
      </c>
      <c r="K2253" s="3" t="s">
        <v>8414</v>
      </c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  <c r="AG2253" s="3"/>
      <c r="AH2253" s="3"/>
      <c r="AI2253" s="3"/>
      <c r="AJ2253" s="3"/>
      <c r="AK2253" s="3" t="s">
        <v>8415</v>
      </c>
      <c r="AL2253" s="4">
        <v>42523</v>
      </c>
      <c r="AM2253" s="3"/>
      <c r="AN2253" s="3" t="s">
        <v>8412</v>
      </c>
    </row>
    <row r="2254" spans="1:40" x14ac:dyDescent="0.3">
      <c r="A2254" s="3">
        <v>2248</v>
      </c>
      <c r="B2254" s="3" t="str">
        <f>"1273104"</f>
        <v>1273104</v>
      </c>
      <c r="C2254" s="3">
        <v>18135</v>
      </c>
      <c r="D2254" s="3">
        <v>1273104</v>
      </c>
      <c r="E2254" s="3">
        <v>20100366747</v>
      </c>
      <c r="F2254" s="3" t="s">
        <v>258</v>
      </c>
      <c r="G2254" s="3" t="s">
        <v>1055</v>
      </c>
      <c r="H2254" s="3" t="s">
        <v>56</v>
      </c>
      <c r="I2254" s="3" t="s">
        <v>56</v>
      </c>
      <c r="J2254" s="3" t="s">
        <v>185</v>
      </c>
      <c r="K2254" s="3" t="s">
        <v>8416</v>
      </c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  <c r="AD2254" s="3"/>
      <c r="AE2254" s="3"/>
      <c r="AF2254" s="3"/>
      <c r="AG2254" s="3"/>
      <c r="AH2254" s="3"/>
      <c r="AI2254" s="3"/>
      <c r="AJ2254" s="3"/>
      <c r="AK2254" s="3" t="s">
        <v>81</v>
      </c>
      <c r="AL2254" s="4">
        <v>36598</v>
      </c>
      <c r="AM2254" s="3"/>
      <c r="AN2254" s="3"/>
    </row>
    <row r="2255" spans="1:40" x14ac:dyDescent="0.3">
      <c r="A2255" s="3">
        <v>2249</v>
      </c>
      <c r="B2255" s="3" t="str">
        <f>"201600183728"</f>
        <v>201600183728</v>
      </c>
      <c r="C2255" s="3">
        <v>125486</v>
      </c>
      <c r="D2255" s="3" t="s">
        <v>8417</v>
      </c>
      <c r="E2255" s="3">
        <v>20489952255</v>
      </c>
      <c r="F2255" s="3" t="s">
        <v>8418</v>
      </c>
      <c r="G2255" s="3" t="s">
        <v>8419</v>
      </c>
      <c r="H2255" s="3" t="s">
        <v>446</v>
      </c>
      <c r="I2255" s="3" t="s">
        <v>895</v>
      </c>
      <c r="J2255" s="3" t="s">
        <v>896</v>
      </c>
      <c r="K2255" s="3" t="s">
        <v>8420</v>
      </c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C2255" s="3"/>
      <c r="AD2255" s="3"/>
      <c r="AE2255" s="3"/>
      <c r="AF2255" s="3"/>
      <c r="AG2255" s="3"/>
      <c r="AH2255" s="3"/>
      <c r="AI2255" s="3"/>
      <c r="AJ2255" s="3"/>
      <c r="AK2255" s="3" t="s">
        <v>5209</v>
      </c>
      <c r="AL2255" s="4">
        <v>42724</v>
      </c>
      <c r="AM2255" s="3"/>
      <c r="AN2255" s="3" t="s">
        <v>8421</v>
      </c>
    </row>
    <row r="2256" spans="1:40" x14ac:dyDescent="0.3">
      <c r="A2256" s="3">
        <v>2250</v>
      </c>
      <c r="B2256" s="3" t="str">
        <f>"1311852"</f>
        <v>1311852</v>
      </c>
      <c r="C2256" s="3">
        <v>3508</v>
      </c>
      <c r="D2256" s="3" t="s">
        <v>8422</v>
      </c>
      <c r="E2256" s="3">
        <v>20100366747</v>
      </c>
      <c r="F2256" s="3" t="s">
        <v>258</v>
      </c>
      <c r="G2256" s="3" t="s">
        <v>1055</v>
      </c>
      <c r="H2256" s="3" t="s">
        <v>56</v>
      </c>
      <c r="I2256" s="3" t="s">
        <v>56</v>
      </c>
      <c r="J2256" s="3" t="s">
        <v>185</v>
      </c>
      <c r="K2256" s="3" t="s">
        <v>8423</v>
      </c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C2256" s="3"/>
      <c r="AD2256" s="3"/>
      <c r="AE2256" s="3"/>
      <c r="AF2256" s="3"/>
      <c r="AG2256" s="3"/>
      <c r="AH2256" s="3"/>
      <c r="AI2256" s="3"/>
      <c r="AJ2256" s="3"/>
      <c r="AK2256" s="3" t="s">
        <v>65</v>
      </c>
      <c r="AL2256" s="4">
        <v>36948</v>
      </c>
      <c r="AM2256" s="3"/>
      <c r="AN2256" s="3"/>
    </row>
    <row r="2257" spans="1:40" ht="27.95" x14ac:dyDescent="0.3">
      <c r="A2257" s="3">
        <v>2251</v>
      </c>
      <c r="B2257" s="3" t="str">
        <f>"202000106887"</f>
        <v>202000106887</v>
      </c>
      <c r="C2257" s="3">
        <v>41735</v>
      </c>
      <c r="D2257" s="3" t="s">
        <v>8424</v>
      </c>
      <c r="E2257" s="3">
        <v>20455751528</v>
      </c>
      <c r="F2257" s="3" t="s">
        <v>142</v>
      </c>
      <c r="G2257" s="3" t="s">
        <v>8425</v>
      </c>
      <c r="H2257" s="3" t="s">
        <v>97</v>
      </c>
      <c r="I2257" s="3" t="s">
        <v>97</v>
      </c>
      <c r="J2257" s="3" t="s">
        <v>144</v>
      </c>
      <c r="K2257" s="3" t="s">
        <v>8426</v>
      </c>
      <c r="L2257" s="3" t="s">
        <v>7397</v>
      </c>
      <c r="M2257" s="3" t="s">
        <v>7400</v>
      </c>
      <c r="N2257" s="3" t="s">
        <v>8427</v>
      </c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  <c r="AG2257" s="3"/>
      <c r="AH2257" s="3"/>
      <c r="AI2257" s="3"/>
      <c r="AJ2257" s="3"/>
      <c r="AK2257" s="3" t="s">
        <v>150</v>
      </c>
      <c r="AL2257" s="4">
        <v>44062</v>
      </c>
      <c r="AM2257" s="3"/>
      <c r="AN2257" s="3" t="s">
        <v>1333</v>
      </c>
    </row>
    <row r="2258" spans="1:40" x14ac:dyDescent="0.3">
      <c r="A2258" s="3">
        <v>2252</v>
      </c>
      <c r="B2258" s="3" t="str">
        <f>"1311854"</f>
        <v>1311854</v>
      </c>
      <c r="C2258" s="3">
        <v>3509</v>
      </c>
      <c r="D2258" s="3" t="s">
        <v>8428</v>
      </c>
      <c r="E2258" s="3">
        <v>20100366747</v>
      </c>
      <c r="F2258" s="3" t="s">
        <v>258</v>
      </c>
      <c r="G2258" s="3" t="s">
        <v>1055</v>
      </c>
      <c r="H2258" s="3" t="s">
        <v>395</v>
      </c>
      <c r="I2258" s="3" t="s">
        <v>396</v>
      </c>
      <c r="J2258" s="3" t="s">
        <v>490</v>
      </c>
      <c r="K2258" s="3" t="s">
        <v>8429</v>
      </c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3"/>
      <c r="AF2258" s="3"/>
      <c r="AG2258" s="3"/>
      <c r="AH2258" s="3"/>
      <c r="AI2258" s="3"/>
      <c r="AJ2258" s="3"/>
      <c r="AK2258" s="3" t="s">
        <v>1514</v>
      </c>
      <c r="AL2258" s="4">
        <v>36948</v>
      </c>
      <c r="AM2258" s="3"/>
      <c r="AN2258" s="3"/>
    </row>
    <row r="2259" spans="1:40" ht="27.95" x14ac:dyDescent="0.3">
      <c r="A2259" s="3">
        <v>2253</v>
      </c>
      <c r="B2259" s="3" t="str">
        <f>"202000145987"</f>
        <v>202000145987</v>
      </c>
      <c r="C2259" s="3">
        <v>112690</v>
      </c>
      <c r="D2259" s="3" t="s">
        <v>8430</v>
      </c>
      <c r="E2259" s="3">
        <v>20455486948</v>
      </c>
      <c r="F2259" s="3" t="s">
        <v>1382</v>
      </c>
      <c r="G2259" s="3" t="s">
        <v>5418</v>
      </c>
      <c r="H2259" s="3" t="s">
        <v>97</v>
      </c>
      <c r="I2259" s="3" t="s">
        <v>97</v>
      </c>
      <c r="J2259" s="3" t="s">
        <v>144</v>
      </c>
      <c r="K2259" s="3" t="s">
        <v>8431</v>
      </c>
      <c r="L2259" s="3" t="s">
        <v>5420</v>
      </c>
      <c r="M2259" s="3" t="s">
        <v>1387</v>
      </c>
      <c r="N2259" s="3" t="s">
        <v>1388</v>
      </c>
      <c r="O2259" s="3" t="s">
        <v>1389</v>
      </c>
      <c r="P2259" s="3" t="s">
        <v>1391</v>
      </c>
      <c r="Q2259" s="3" t="s">
        <v>1392</v>
      </c>
      <c r="R2259" s="3" t="s">
        <v>8432</v>
      </c>
      <c r="S2259" s="3" t="s">
        <v>4011</v>
      </c>
      <c r="T2259" s="3"/>
      <c r="U2259" s="3"/>
      <c r="V2259" s="3"/>
      <c r="W2259" s="3"/>
      <c r="X2259" s="3"/>
      <c r="Y2259" s="3"/>
      <c r="Z2259" s="3"/>
      <c r="AA2259" s="3"/>
      <c r="AB2259" s="3"/>
      <c r="AC2259" s="3"/>
      <c r="AD2259" s="3"/>
      <c r="AE2259" s="3"/>
      <c r="AF2259" s="3"/>
      <c r="AG2259" s="3"/>
      <c r="AH2259" s="3"/>
      <c r="AI2259" s="3"/>
      <c r="AJ2259" s="3"/>
      <c r="AK2259" s="3" t="s">
        <v>470</v>
      </c>
      <c r="AL2259" s="4">
        <v>44123</v>
      </c>
      <c r="AM2259" s="3"/>
      <c r="AN2259" s="3" t="s">
        <v>1396</v>
      </c>
    </row>
    <row r="2260" spans="1:40" ht="27.95" x14ac:dyDescent="0.3">
      <c r="A2260" s="3">
        <v>2254</v>
      </c>
      <c r="B2260" s="3" t="str">
        <f>"1907062"</f>
        <v>1907062</v>
      </c>
      <c r="C2260" s="3">
        <v>83711</v>
      </c>
      <c r="D2260" s="3" t="s">
        <v>8433</v>
      </c>
      <c r="E2260" s="3">
        <v>20512416226</v>
      </c>
      <c r="F2260" s="3" t="s">
        <v>756</v>
      </c>
      <c r="G2260" s="3" t="s">
        <v>8434</v>
      </c>
      <c r="H2260" s="3" t="s">
        <v>75</v>
      </c>
      <c r="I2260" s="3" t="s">
        <v>75</v>
      </c>
      <c r="J2260" s="3" t="s">
        <v>1358</v>
      </c>
      <c r="K2260" s="3" t="s">
        <v>8435</v>
      </c>
      <c r="L2260" s="3" t="s">
        <v>8436</v>
      </c>
      <c r="M2260" s="3" t="s">
        <v>8437</v>
      </c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C2260" s="3"/>
      <c r="AD2260" s="3"/>
      <c r="AE2260" s="3"/>
      <c r="AF2260" s="3"/>
      <c r="AG2260" s="3"/>
      <c r="AH2260" s="3"/>
      <c r="AI2260" s="3"/>
      <c r="AJ2260" s="3"/>
      <c r="AK2260" s="3" t="s">
        <v>8438</v>
      </c>
      <c r="AL2260" s="4">
        <v>40031</v>
      </c>
      <c r="AM2260" s="3"/>
      <c r="AN2260" s="3"/>
    </row>
    <row r="2261" spans="1:40" x14ac:dyDescent="0.3">
      <c r="A2261" s="3">
        <v>2255</v>
      </c>
      <c r="B2261" s="3" t="str">
        <f>"201700023306"</f>
        <v>201700023306</v>
      </c>
      <c r="C2261" s="3">
        <v>126650</v>
      </c>
      <c r="D2261" s="3" t="s">
        <v>8439</v>
      </c>
      <c r="E2261" s="3">
        <v>20481584125</v>
      </c>
      <c r="F2261" s="3" t="s">
        <v>8440</v>
      </c>
      <c r="G2261" s="3" t="s">
        <v>8441</v>
      </c>
      <c r="H2261" s="3" t="s">
        <v>44</v>
      </c>
      <c r="I2261" s="3" t="s">
        <v>8442</v>
      </c>
      <c r="J2261" s="3" t="s">
        <v>8443</v>
      </c>
      <c r="K2261" s="3" t="s">
        <v>8444</v>
      </c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  <c r="AG2261" s="3"/>
      <c r="AH2261" s="3"/>
      <c r="AI2261" s="3"/>
      <c r="AJ2261" s="3"/>
      <c r="AK2261" s="3" t="s">
        <v>2508</v>
      </c>
      <c r="AL2261" s="4">
        <v>42789</v>
      </c>
      <c r="AM2261" s="3"/>
      <c r="AN2261" s="3" t="s">
        <v>8445</v>
      </c>
    </row>
    <row r="2262" spans="1:40" x14ac:dyDescent="0.3">
      <c r="A2262" s="3">
        <v>2256</v>
      </c>
      <c r="B2262" s="3" t="str">
        <f>"1130090"</f>
        <v>1130090</v>
      </c>
      <c r="C2262" s="3">
        <v>6112</v>
      </c>
      <c r="D2262" s="3">
        <v>1054849</v>
      </c>
      <c r="E2262" s="3">
        <v>20534895241</v>
      </c>
      <c r="F2262" s="3" t="s">
        <v>3409</v>
      </c>
      <c r="G2262" s="3" t="s">
        <v>1218</v>
      </c>
      <c r="H2262" s="3" t="s">
        <v>75</v>
      </c>
      <c r="I2262" s="3" t="s">
        <v>75</v>
      </c>
      <c r="J2262" s="3" t="s">
        <v>76</v>
      </c>
      <c r="K2262" s="3" t="s">
        <v>8446</v>
      </c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C2262" s="3"/>
      <c r="AD2262" s="3"/>
      <c r="AE2262" s="3"/>
      <c r="AF2262" s="3"/>
      <c r="AG2262" s="3"/>
      <c r="AH2262" s="3"/>
      <c r="AI2262" s="3"/>
      <c r="AJ2262" s="3"/>
      <c r="AK2262" s="3" t="s">
        <v>187</v>
      </c>
      <c r="AL2262" s="4">
        <v>35593</v>
      </c>
      <c r="AM2262" s="3"/>
      <c r="AN2262" s="3"/>
    </row>
    <row r="2263" spans="1:40" x14ac:dyDescent="0.3">
      <c r="A2263" s="3">
        <v>2257</v>
      </c>
      <c r="B2263" s="3" t="str">
        <f>"201200209508"</f>
        <v>201200209508</v>
      </c>
      <c r="C2263" s="3">
        <v>93179</v>
      </c>
      <c r="D2263" s="3" t="s">
        <v>8447</v>
      </c>
      <c r="E2263" s="3">
        <v>10199175098</v>
      </c>
      <c r="F2263" s="3" t="s">
        <v>8448</v>
      </c>
      <c r="G2263" s="3" t="s">
        <v>8449</v>
      </c>
      <c r="H2263" s="3" t="s">
        <v>237</v>
      </c>
      <c r="I2263" s="3" t="s">
        <v>868</v>
      </c>
      <c r="J2263" s="3" t="s">
        <v>2537</v>
      </c>
      <c r="K2263" s="3" t="s">
        <v>8450</v>
      </c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C2263" s="3"/>
      <c r="AD2263" s="3"/>
      <c r="AE2263" s="3"/>
      <c r="AF2263" s="3"/>
      <c r="AG2263" s="3"/>
      <c r="AH2263" s="3"/>
      <c r="AI2263" s="3"/>
      <c r="AJ2263" s="3"/>
      <c r="AK2263" s="3" t="s">
        <v>1601</v>
      </c>
      <c r="AL2263" s="4">
        <v>41241</v>
      </c>
      <c r="AM2263" s="3"/>
      <c r="AN2263" s="3" t="s">
        <v>8451</v>
      </c>
    </row>
    <row r="2264" spans="1:40" x14ac:dyDescent="0.3">
      <c r="A2264" s="3">
        <v>2258</v>
      </c>
      <c r="B2264" s="3" t="str">
        <f>"201900157821"</f>
        <v>201900157821</v>
      </c>
      <c r="C2264" s="3">
        <v>146808</v>
      </c>
      <c r="D2264" s="3" t="s">
        <v>8452</v>
      </c>
      <c r="E2264" s="3">
        <v>20102314698</v>
      </c>
      <c r="F2264" s="3" t="s">
        <v>2272</v>
      </c>
      <c r="G2264" s="3" t="s">
        <v>8453</v>
      </c>
      <c r="H2264" s="3" t="s">
        <v>50</v>
      </c>
      <c r="I2264" s="3" t="s">
        <v>50</v>
      </c>
      <c r="J2264" s="3" t="s">
        <v>2274</v>
      </c>
      <c r="K2264" s="3" t="s">
        <v>8454</v>
      </c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C2264" s="3"/>
      <c r="AD2264" s="3"/>
      <c r="AE2264" s="3"/>
      <c r="AF2264" s="3"/>
      <c r="AG2264" s="3"/>
      <c r="AH2264" s="3"/>
      <c r="AI2264" s="3"/>
      <c r="AJ2264" s="3"/>
      <c r="AK2264" s="3" t="s">
        <v>8455</v>
      </c>
      <c r="AL2264" s="4">
        <v>43740</v>
      </c>
      <c r="AM2264" s="3"/>
      <c r="AN2264" s="3" t="s">
        <v>2277</v>
      </c>
    </row>
    <row r="2265" spans="1:40" x14ac:dyDescent="0.3">
      <c r="A2265" s="3">
        <v>2259</v>
      </c>
      <c r="B2265" s="3" t="str">
        <f>"201500049110"</f>
        <v>201500049110</v>
      </c>
      <c r="C2265" s="3">
        <v>110634</v>
      </c>
      <c r="D2265" s="3" t="s">
        <v>8456</v>
      </c>
      <c r="E2265" s="3">
        <v>20102314698</v>
      </c>
      <c r="F2265" s="3" t="s">
        <v>8457</v>
      </c>
      <c r="G2265" s="3" t="s">
        <v>8458</v>
      </c>
      <c r="H2265" s="3" t="s">
        <v>50</v>
      </c>
      <c r="I2265" s="3" t="s">
        <v>50</v>
      </c>
      <c r="J2265" s="3" t="s">
        <v>50</v>
      </c>
      <c r="K2265" s="3" t="s">
        <v>8459</v>
      </c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  <c r="AG2265" s="3"/>
      <c r="AH2265" s="3"/>
      <c r="AI2265" s="3"/>
      <c r="AJ2265" s="3"/>
      <c r="AK2265" s="3" t="s">
        <v>3022</v>
      </c>
      <c r="AL2265" s="4">
        <v>42123</v>
      </c>
      <c r="AM2265" s="3"/>
      <c r="AN2265" s="3" t="s">
        <v>1189</v>
      </c>
    </row>
    <row r="2266" spans="1:40" x14ac:dyDescent="0.3">
      <c r="A2266" s="3">
        <v>2260</v>
      </c>
      <c r="B2266" s="3" t="str">
        <f>"1384398"</f>
        <v>1384398</v>
      </c>
      <c r="C2266" s="3">
        <v>33555</v>
      </c>
      <c r="D2266" s="3" t="s">
        <v>8460</v>
      </c>
      <c r="E2266" s="3">
        <v>20100366747</v>
      </c>
      <c r="F2266" s="3" t="s">
        <v>258</v>
      </c>
      <c r="G2266" s="3" t="s">
        <v>1055</v>
      </c>
      <c r="H2266" s="3" t="s">
        <v>56</v>
      </c>
      <c r="I2266" s="3" t="s">
        <v>56</v>
      </c>
      <c r="J2266" s="3" t="s">
        <v>185</v>
      </c>
      <c r="K2266" s="3" t="s">
        <v>8461</v>
      </c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C2266" s="3"/>
      <c r="AD2266" s="3"/>
      <c r="AE2266" s="3"/>
      <c r="AF2266" s="3"/>
      <c r="AG2266" s="3"/>
      <c r="AH2266" s="3"/>
      <c r="AI2266" s="3"/>
      <c r="AJ2266" s="3"/>
      <c r="AK2266" s="3" t="s">
        <v>546</v>
      </c>
      <c r="AL2266" s="4">
        <v>37540</v>
      </c>
      <c r="AM2266" s="3"/>
      <c r="AN2266" s="3"/>
    </row>
    <row r="2267" spans="1:40" x14ac:dyDescent="0.3">
      <c r="A2267" s="3">
        <v>2261</v>
      </c>
      <c r="B2267" s="3" t="str">
        <f>"1384396"</f>
        <v>1384396</v>
      </c>
      <c r="C2267" s="3">
        <v>33554</v>
      </c>
      <c r="D2267" s="3" t="s">
        <v>8462</v>
      </c>
      <c r="E2267" s="3">
        <v>20100366747</v>
      </c>
      <c r="F2267" s="3" t="s">
        <v>258</v>
      </c>
      <c r="G2267" s="3" t="s">
        <v>1055</v>
      </c>
      <c r="H2267" s="3" t="s">
        <v>56</v>
      </c>
      <c r="I2267" s="3" t="s">
        <v>56</v>
      </c>
      <c r="J2267" s="3" t="s">
        <v>185</v>
      </c>
      <c r="K2267" s="3" t="s">
        <v>8463</v>
      </c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C2267" s="3"/>
      <c r="AD2267" s="3"/>
      <c r="AE2267" s="3"/>
      <c r="AF2267" s="3"/>
      <c r="AG2267" s="3"/>
      <c r="AH2267" s="3"/>
      <c r="AI2267" s="3"/>
      <c r="AJ2267" s="3"/>
      <c r="AK2267" s="3" t="s">
        <v>546</v>
      </c>
      <c r="AL2267" s="4">
        <v>37540</v>
      </c>
      <c r="AM2267" s="3"/>
      <c r="AN2267" s="3"/>
    </row>
    <row r="2268" spans="1:40" x14ac:dyDescent="0.3">
      <c r="A2268" s="3">
        <v>2262</v>
      </c>
      <c r="B2268" s="3" t="str">
        <f>"1121176"</f>
        <v>1121176</v>
      </c>
      <c r="C2268" s="3">
        <v>2588</v>
      </c>
      <c r="D2268" s="3">
        <v>1052404</v>
      </c>
      <c r="E2268" s="3">
        <v>20250459981</v>
      </c>
      <c r="F2268" s="3" t="s">
        <v>1351</v>
      </c>
      <c r="G2268" s="3" t="s">
        <v>2923</v>
      </c>
      <c r="H2268" s="3" t="s">
        <v>56</v>
      </c>
      <c r="I2268" s="3" t="s">
        <v>56</v>
      </c>
      <c r="J2268" s="3" t="s">
        <v>273</v>
      </c>
      <c r="K2268" s="3" t="s">
        <v>8464</v>
      </c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C2268" s="3"/>
      <c r="AD2268" s="3"/>
      <c r="AE2268" s="3"/>
      <c r="AF2268" s="3"/>
      <c r="AG2268" s="3"/>
      <c r="AH2268" s="3"/>
      <c r="AI2268" s="3"/>
      <c r="AJ2268" s="3"/>
      <c r="AK2268" s="3" t="s">
        <v>1020</v>
      </c>
      <c r="AL2268" s="4">
        <v>35550</v>
      </c>
      <c r="AM2268" s="3"/>
      <c r="AN2268" s="3"/>
    </row>
    <row r="2269" spans="1:40" x14ac:dyDescent="0.3">
      <c r="A2269" s="3">
        <v>2263</v>
      </c>
      <c r="B2269" s="3" t="str">
        <f>"1384397"</f>
        <v>1384397</v>
      </c>
      <c r="C2269" s="3">
        <v>33550</v>
      </c>
      <c r="D2269" s="3" t="s">
        <v>8465</v>
      </c>
      <c r="E2269" s="3">
        <v>20100366747</v>
      </c>
      <c r="F2269" s="3" t="s">
        <v>258</v>
      </c>
      <c r="G2269" s="3" t="s">
        <v>1055</v>
      </c>
      <c r="H2269" s="3" t="s">
        <v>56</v>
      </c>
      <c r="I2269" s="3" t="s">
        <v>56</v>
      </c>
      <c r="J2269" s="3" t="s">
        <v>185</v>
      </c>
      <c r="K2269" s="3" t="s">
        <v>8466</v>
      </c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  <c r="AG2269" s="3"/>
      <c r="AH2269" s="3"/>
      <c r="AI2269" s="3"/>
      <c r="AJ2269" s="3"/>
      <c r="AK2269" s="3" t="s">
        <v>546</v>
      </c>
      <c r="AL2269" s="4">
        <v>37540</v>
      </c>
      <c r="AM2269" s="3"/>
      <c r="AN2269" s="3"/>
    </row>
    <row r="2270" spans="1:40" ht="27.95" x14ac:dyDescent="0.3">
      <c r="A2270" s="3">
        <v>2264</v>
      </c>
      <c r="B2270" s="3" t="str">
        <f>"201600138406"</f>
        <v>201600138406</v>
      </c>
      <c r="C2270" s="3">
        <v>120284</v>
      </c>
      <c r="D2270" s="3" t="s">
        <v>8467</v>
      </c>
      <c r="E2270" s="3">
        <v>10294079004</v>
      </c>
      <c r="F2270" s="3" t="s">
        <v>8468</v>
      </c>
      <c r="G2270" s="3" t="s">
        <v>8469</v>
      </c>
      <c r="H2270" s="3" t="s">
        <v>202</v>
      </c>
      <c r="I2270" s="3" t="s">
        <v>202</v>
      </c>
      <c r="J2270" s="3" t="s">
        <v>612</v>
      </c>
      <c r="K2270" s="3" t="s">
        <v>8470</v>
      </c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3"/>
      <c r="AF2270" s="3"/>
      <c r="AG2270" s="3"/>
      <c r="AH2270" s="3"/>
      <c r="AI2270" s="3"/>
      <c r="AJ2270" s="3"/>
      <c r="AK2270" s="3" t="s">
        <v>1586</v>
      </c>
      <c r="AL2270" s="4">
        <v>42650</v>
      </c>
      <c r="AM2270" s="3"/>
      <c r="AN2270" s="3" t="s">
        <v>8468</v>
      </c>
    </row>
    <row r="2271" spans="1:40" x14ac:dyDescent="0.3">
      <c r="A2271" s="3">
        <v>2265</v>
      </c>
      <c r="B2271" s="3" t="str">
        <f>"201800008783"</f>
        <v>201800008783</v>
      </c>
      <c r="C2271" s="3">
        <v>134086</v>
      </c>
      <c r="D2271" s="3" t="s">
        <v>8471</v>
      </c>
      <c r="E2271" s="3">
        <v>20100366747</v>
      </c>
      <c r="F2271" s="3" t="s">
        <v>258</v>
      </c>
      <c r="G2271" s="3" t="s">
        <v>451</v>
      </c>
      <c r="H2271" s="3" t="s">
        <v>56</v>
      </c>
      <c r="I2271" s="3" t="s">
        <v>56</v>
      </c>
      <c r="J2271" s="3" t="s">
        <v>185</v>
      </c>
      <c r="K2271" s="3" t="s">
        <v>8472</v>
      </c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C2271" s="3"/>
      <c r="AD2271" s="3"/>
      <c r="AE2271" s="3"/>
      <c r="AF2271" s="3"/>
      <c r="AG2271" s="3"/>
      <c r="AH2271" s="3"/>
      <c r="AI2271" s="3"/>
      <c r="AJ2271" s="3"/>
      <c r="AK2271" s="3" t="s">
        <v>337</v>
      </c>
      <c r="AL2271" s="4">
        <v>43125</v>
      </c>
      <c r="AM2271" s="3"/>
      <c r="AN2271" s="3" t="s">
        <v>3808</v>
      </c>
    </row>
    <row r="2272" spans="1:40" ht="27.95" x14ac:dyDescent="0.3">
      <c r="A2272" s="3">
        <v>2266</v>
      </c>
      <c r="B2272" s="3" t="str">
        <f>"1646126"</f>
        <v>1646126</v>
      </c>
      <c r="C2272" s="3">
        <v>44005</v>
      </c>
      <c r="D2272" s="3" t="s">
        <v>8473</v>
      </c>
      <c r="E2272" s="3">
        <v>10011100983</v>
      </c>
      <c r="F2272" s="3" t="s">
        <v>178</v>
      </c>
      <c r="G2272" s="3" t="s">
        <v>8474</v>
      </c>
      <c r="H2272" s="3" t="s">
        <v>172</v>
      </c>
      <c r="I2272" s="3" t="s">
        <v>172</v>
      </c>
      <c r="J2272" s="3" t="s">
        <v>173</v>
      </c>
      <c r="K2272" s="3" t="s">
        <v>8475</v>
      </c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C2272" s="3"/>
      <c r="AD2272" s="3"/>
      <c r="AE2272" s="3"/>
      <c r="AF2272" s="3"/>
      <c r="AG2272" s="3"/>
      <c r="AH2272" s="3"/>
      <c r="AI2272" s="3"/>
      <c r="AJ2272" s="3"/>
      <c r="AK2272" s="3" t="s">
        <v>81</v>
      </c>
      <c r="AL2272" s="4">
        <v>38961</v>
      </c>
      <c r="AM2272" s="3"/>
      <c r="AN2272" s="3"/>
    </row>
    <row r="2273" spans="1:40" x14ac:dyDescent="0.3">
      <c r="A2273" s="3">
        <v>2267</v>
      </c>
      <c r="B2273" s="3" t="str">
        <f>"201600183730"</f>
        <v>201600183730</v>
      </c>
      <c r="C2273" s="3">
        <v>125487</v>
      </c>
      <c r="D2273" s="3" t="s">
        <v>8476</v>
      </c>
      <c r="E2273" s="3">
        <v>20489952255</v>
      </c>
      <c r="F2273" s="3" t="s">
        <v>8418</v>
      </c>
      <c r="G2273" s="3" t="s">
        <v>8419</v>
      </c>
      <c r="H2273" s="3" t="s">
        <v>446</v>
      </c>
      <c r="I2273" s="3" t="s">
        <v>895</v>
      </c>
      <c r="J2273" s="3" t="s">
        <v>896</v>
      </c>
      <c r="K2273" s="3" t="s">
        <v>8477</v>
      </c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  <c r="AG2273" s="3"/>
      <c r="AH2273" s="3"/>
      <c r="AI2273" s="3"/>
      <c r="AJ2273" s="3"/>
      <c r="AK2273" s="3" t="s">
        <v>5209</v>
      </c>
      <c r="AL2273" s="4">
        <v>42724</v>
      </c>
      <c r="AM2273" s="3"/>
      <c r="AN2273" s="3" t="s">
        <v>8421</v>
      </c>
    </row>
    <row r="2274" spans="1:40" x14ac:dyDescent="0.3">
      <c r="A2274" s="3">
        <v>2268</v>
      </c>
      <c r="B2274" s="3" t="str">
        <f>"1380814"</f>
        <v>1380814</v>
      </c>
      <c r="C2274" s="3">
        <v>87853</v>
      </c>
      <c r="D2274" s="3" t="s">
        <v>8478</v>
      </c>
      <c r="E2274" s="3">
        <v>20250459981</v>
      </c>
      <c r="F2274" s="3" t="s">
        <v>1351</v>
      </c>
      <c r="G2274" s="3" t="s">
        <v>8479</v>
      </c>
      <c r="H2274" s="3" t="s">
        <v>56</v>
      </c>
      <c r="I2274" s="3" t="s">
        <v>56</v>
      </c>
      <c r="J2274" s="3" t="s">
        <v>273</v>
      </c>
      <c r="K2274" s="3" t="s">
        <v>8480</v>
      </c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  <c r="AD2274" s="3"/>
      <c r="AE2274" s="3"/>
      <c r="AF2274" s="3"/>
      <c r="AG2274" s="3"/>
      <c r="AH2274" s="3"/>
      <c r="AI2274" s="3"/>
      <c r="AJ2274" s="3"/>
      <c r="AK2274" s="3" t="s">
        <v>8481</v>
      </c>
      <c r="AL2274" s="4">
        <v>40378</v>
      </c>
      <c r="AM2274" s="3"/>
      <c r="AN2274" s="3" t="s">
        <v>1355</v>
      </c>
    </row>
    <row r="2275" spans="1:40" x14ac:dyDescent="0.3">
      <c r="A2275" s="3">
        <v>2269</v>
      </c>
      <c r="B2275" s="3" t="str">
        <f>"201800183222"</f>
        <v>201800183222</v>
      </c>
      <c r="C2275" s="3">
        <v>139469</v>
      </c>
      <c r="D2275" s="3" t="s">
        <v>8482</v>
      </c>
      <c r="E2275" s="3">
        <v>10292830292</v>
      </c>
      <c r="F2275" s="3" t="s">
        <v>8483</v>
      </c>
      <c r="G2275" s="3" t="s">
        <v>8484</v>
      </c>
      <c r="H2275" s="3" t="s">
        <v>97</v>
      </c>
      <c r="I2275" s="3" t="s">
        <v>97</v>
      </c>
      <c r="J2275" s="3" t="s">
        <v>144</v>
      </c>
      <c r="K2275" s="3" t="s">
        <v>8485</v>
      </c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C2275" s="3"/>
      <c r="AD2275" s="3"/>
      <c r="AE2275" s="3"/>
      <c r="AF2275" s="3"/>
      <c r="AG2275" s="3"/>
      <c r="AH2275" s="3"/>
      <c r="AI2275" s="3"/>
      <c r="AJ2275" s="3"/>
      <c r="AK2275" s="3" t="s">
        <v>241</v>
      </c>
      <c r="AL2275" s="4">
        <v>43412</v>
      </c>
      <c r="AM2275" s="3"/>
      <c r="AN2275" s="3" t="s">
        <v>8483</v>
      </c>
    </row>
    <row r="2276" spans="1:40" x14ac:dyDescent="0.3">
      <c r="A2276" s="3">
        <v>2270</v>
      </c>
      <c r="B2276" s="3" t="str">
        <f>"1416036"</f>
        <v>1416036</v>
      </c>
      <c r="C2276" s="3">
        <v>34818</v>
      </c>
      <c r="D2276" s="3" t="s">
        <v>8486</v>
      </c>
      <c r="E2276" s="3">
        <v>20100366747</v>
      </c>
      <c r="F2276" s="3" t="s">
        <v>258</v>
      </c>
      <c r="G2276" s="3" t="s">
        <v>1055</v>
      </c>
      <c r="H2276" s="3" t="s">
        <v>395</v>
      </c>
      <c r="I2276" s="3" t="s">
        <v>396</v>
      </c>
      <c r="J2276" s="3" t="s">
        <v>490</v>
      </c>
      <c r="K2276" s="3" t="s">
        <v>8487</v>
      </c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C2276" s="3"/>
      <c r="AD2276" s="3"/>
      <c r="AE2276" s="3"/>
      <c r="AF2276" s="3"/>
      <c r="AG2276" s="3"/>
      <c r="AH2276" s="3"/>
      <c r="AI2276" s="3"/>
      <c r="AJ2276" s="3"/>
      <c r="AK2276" s="3" t="s">
        <v>1626</v>
      </c>
      <c r="AL2276" s="4">
        <v>37791</v>
      </c>
      <c r="AM2276" s="3"/>
      <c r="AN2276" s="3"/>
    </row>
    <row r="2277" spans="1:40" x14ac:dyDescent="0.3">
      <c r="A2277" s="3">
        <v>2271</v>
      </c>
      <c r="B2277" s="3" t="str">
        <f>"1843450"</f>
        <v>1843450</v>
      </c>
      <c r="C2277" s="3">
        <v>37018</v>
      </c>
      <c r="D2277" s="3" t="s">
        <v>8488</v>
      </c>
      <c r="E2277" s="3">
        <v>10192055992</v>
      </c>
      <c r="F2277" s="3" t="s">
        <v>8489</v>
      </c>
      <c r="G2277" s="3" t="s">
        <v>8490</v>
      </c>
      <c r="H2277" s="3" t="s">
        <v>318</v>
      </c>
      <c r="I2277" s="3" t="s">
        <v>319</v>
      </c>
      <c r="J2277" s="3" t="s">
        <v>319</v>
      </c>
      <c r="K2277" s="3" t="s">
        <v>8491</v>
      </c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  <c r="AG2277" s="3"/>
      <c r="AH2277" s="3"/>
      <c r="AI2277" s="3"/>
      <c r="AJ2277" s="3"/>
      <c r="AK2277" s="3" t="s">
        <v>8492</v>
      </c>
      <c r="AL2277" s="4">
        <v>39780</v>
      </c>
      <c r="AM2277" s="3"/>
      <c r="AN2277" s="3"/>
    </row>
    <row r="2278" spans="1:40" x14ac:dyDescent="0.3">
      <c r="A2278" s="3">
        <v>2272</v>
      </c>
      <c r="B2278" s="3" t="str">
        <f>"1416034"</f>
        <v>1416034</v>
      </c>
      <c r="C2278" s="3">
        <v>34878</v>
      </c>
      <c r="D2278" s="3" t="s">
        <v>8493</v>
      </c>
      <c r="E2278" s="3">
        <v>20100366747</v>
      </c>
      <c r="F2278" s="3" t="s">
        <v>258</v>
      </c>
      <c r="G2278" s="3" t="s">
        <v>1055</v>
      </c>
      <c r="H2278" s="3" t="s">
        <v>56</v>
      </c>
      <c r="I2278" s="3" t="s">
        <v>56</v>
      </c>
      <c r="J2278" s="3" t="s">
        <v>185</v>
      </c>
      <c r="K2278" s="3" t="s">
        <v>8494</v>
      </c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C2278" s="3"/>
      <c r="AD2278" s="3"/>
      <c r="AE2278" s="3"/>
      <c r="AF2278" s="3"/>
      <c r="AG2278" s="3"/>
      <c r="AH2278" s="3"/>
      <c r="AI2278" s="3"/>
      <c r="AJ2278" s="3"/>
      <c r="AK2278" s="3" t="s">
        <v>525</v>
      </c>
      <c r="AL2278" s="4">
        <v>37791</v>
      </c>
      <c r="AM2278" s="3"/>
      <c r="AN2278" s="3"/>
    </row>
    <row r="2279" spans="1:40" x14ac:dyDescent="0.3">
      <c r="A2279" s="3">
        <v>2273</v>
      </c>
      <c r="B2279" s="3" t="str">
        <f>"201600034493"</f>
        <v>201600034493</v>
      </c>
      <c r="C2279" s="3">
        <v>87394</v>
      </c>
      <c r="D2279" s="3" t="s">
        <v>8495</v>
      </c>
      <c r="E2279" s="3">
        <v>20100366747</v>
      </c>
      <c r="F2279" s="3" t="s">
        <v>258</v>
      </c>
      <c r="G2279" s="3" t="s">
        <v>259</v>
      </c>
      <c r="H2279" s="3" t="s">
        <v>56</v>
      </c>
      <c r="I2279" s="3" t="s">
        <v>56</v>
      </c>
      <c r="J2279" s="3" t="s">
        <v>185</v>
      </c>
      <c r="K2279" s="3" t="s">
        <v>8496</v>
      </c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  <c r="AC2279" s="3"/>
      <c r="AD2279" s="3"/>
      <c r="AE2279" s="3"/>
      <c r="AF2279" s="3"/>
      <c r="AG2279" s="3"/>
      <c r="AH2279" s="3"/>
      <c r="AI2279" s="3"/>
      <c r="AJ2279" s="3"/>
      <c r="AK2279" s="3" t="s">
        <v>118</v>
      </c>
      <c r="AL2279" s="4">
        <v>42460</v>
      </c>
      <c r="AM2279" s="3"/>
      <c r="AN2279" s="3" t="s">
        <v>1375</v>
      </c>
    </row>
    <row r="2280" spans="1:40" x14ac:dyDescent="0.3">
      <c r="A2280" s="3">
        <v>2274</v>
      </c>
      <c r="B2280" s="3" t="str">
        <f>"201800008788"</f>
        <v>201800008788</v>
      </c>
      <c r="C2280" s="3">
        <v>134087</v>
      </c>
      <c r="D2280" s="3" t="s">
        <v>8497</v>
      </c>
      <c r="E2280" s="3">
        <v>20100366747</v>
      </c>
      <c r="F2280" s="3" t="s">
        <v>258</v>
      </c>
      <c r="G2280" s="3" t="s">
        <v>8498</v>
      </c>
      <c r="H2280" s="3" t="s">
        <v>56</v>
      </c>
      <c r="I2280" s="3" t="s">
        <v>56</v>
      </c>
      <c r="J2280" s="3" t="s">
        <v>185</v>
      </c>
      <c r="K2280" s="3" t="s">
        <v>8499</v>
      </c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C2280" s="3"/>
      <c r="AD2280" s="3"/>
      <c r="AE2280" s="3"/>
      <c r="AF2280" s="3"/>
      <c r="AG2280" s="3"/>
      <c r="AH2280" s="3"/>
      <c r="AI2280" s="3"/>
      <c r="AJ2280" s="3"/>
      <c r="AK2280" s="3" t="s">
        <v>337</v>
      </c>
      <c r="AL2280" s="4">
        <v>43125</v>
      </c>
      <c r="AM2280" s="3"/>
      <c r="AN2280" s="3" t="s">
        <v>262</v>
      </c>
    </row>
    <row r="2281" spans="1:40" x14ac:dyDescent="0.3">
      <c r="A2281" s="3">
        <v>2275</v>
      </c>
      <c r="B2281" s="3" t="str">
        <f>"1609396"</f>
        <v>1609396</v>
      </c>
      <c r="C2281" s="3">
        <v>38186</v>
      </c>
      <c r="D2281" s="3" t="s">
        <v>8500</v>
      </c>
      <c r="E2281" s="3">
        <v>10401084695</v>
      </c>
      <c r="F2281" s="3" t="s">
        <v>8501</v>
      </c>
      <c r="G2281" s="3" t="s">
        <v>8502</v>
      </c>
      <c r="H2281" s="3" t="s">
        <v>587</v>
      </c>
      <c r="I2281" s="3" t="s">
        <v>3907</v>
      </c>
      <c r="J2281" s="3" t="s">
        <v>3908</v>
      </c>
      <c r="K2281" s="3" t="s">
        <v>8503</v>
      </c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3"/>
      <c r="AF2281" s="3"/>
      <c r="AG2281" s="3"/>
      <c r="AH2281" s="3"/>
      <c r="AI2281" s="3"/>
      <c r="AJ2281" s="3"/>
      <c r="AK2281" s="3" t="s">
        <v>634</v>
      </c>
      <c r="AL2281" s="4">
        <v>38855</v>
      </c>
      <c r="AM2281" s="3"/>
      <c r="AN2281" s="3"/>
    </row>
    <row r="2282" spans="1:40" x14ac:dyDescent="0.3">
      <c r="A2282" s="3">
        <v>2276</v>
      </c>
      <c r="B2282" s="3" t="str">
        <f>"1353036"</f>
        <v>1353036</v>
      </c>
      <c r="C2282" s="3">
        <v>3685</v>
      </c>
      <c r="D2282" s="3" t="s">
        <v>8504</v>
      </c>
      <c r="E2282" s="3">
        <v>10089737988</v>
      </c>
      <c r="F2282" s="3" t="s">
        <v>8505</v>
      </c>
      <c r="G2282" s="3" t="s">
        <v>8506</v>
      </c>
      <c r="H2282" s="3" t="s">
        <v>56</v>
      </c>
      <c r="I2282" s="3" t="s">
        <v>56</v>
      </c>
      <c r="J2282" s="3" t="s">
        <v>1043</v>
      </c>
      <c r="K2282" s="3" t="s">
        <v>8507</v>
      </c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C2282" s="3"/>
      <c r="AD2282" s="3"/>
      <c r="AE2282" s="3"/>
      <c r="AF2282" s="3"/>
      <c r="AG2282" s="3"/>
      <c r="AH2282" s="3"/>
      <c r="AI2282" s="3"/>
      <c r="AJ2282" s="3"/>
      <c r="AK2282" s="3" t="s">
        <v>230</v>
      </c>
      <c r="AL2282" s="4">
        <v>37305</v>
      </c>
      <c r="AM2282" s="3"/>
      <c r="AN2282" s="3"/>
    </row>
    <row r="2283" spans="1:40" x14ac:dyDescent="0.3">
      <c r="A2283" s="3">
        <v>2277</v>
      </c>
      <c r="B2283" s="3" t="str">
        <f>"1512227"</f>
        <v>1512227</v>
      </c>
      <c r="C2283" s="3">
        <v>36797</v>
      </c>
      <c r="D2283" s="3" t="s">
        <v>8508</v>
      </c>
      <c r="E2283" s="3">
        <v>10071673249</v>
      </c>
      <c r="F2283" s="3" t="s">
        <v>7116</v>
      </c>
      <c r="G2283" s="3" t="s">
        <v>8509</v>
      </c>
      <c r="H2283" s="3" t="s">
        <v>56</v>
      </c>
      <c r="I2283" s="3" t="s">
        <v>56</v>
      </c>
      <c r="J2283" s="3" t="s">
        <v>116</v>
      </c>
      <c r="K2283" s="3" t="s">
        <v>8510</v>
      </c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  <c r="AC2283" s="3"/>
      <c r="AD2283" s="3"/>
      <c r="AE2283" s="3"/>
      <c r="AF2283" s="3"/>
      <c r="AG2283" s="3"/>
      <c r="AH2283" s="3"/>
      <c r="AI2283" s="3"/>
      <c r="AJ2283" s="3"/>
      <c r="AK2283" s="3" t="s">
        <v>574</v>
      </c>
      <c r="AL2283" s="4">
        <v>38390</v>
      </c>
      <c r="AM2283" s="3"/>
      <c r="AN2283" s="3"/>
    </row>
    <row r="2284" spans="1:40" x14ac:dyDescent="0.3">
      <c r="A2284" s="3">
        <v>2278</v>
      </c>
      <c r="B2284" s="3" t="str">
        <f>"1489523"</f>
        <v>1489523</v>
      </c>
      <c r="C2284" s="3">
        <v>92934</v>
      </c>
      <c r="D2284" s="3" t="s">
        <v>8511</v>
      </c>
      <c r="E2284" s="3">
        <v>20486107902</v>
      </c>
      <c r="F2284" s="3" t="s">
        <v>8512</v>
      </c>
      <c r="G2284" s="3" t="s">
        <v>8513</v>
      </c>
      <c r="H2284" s="3" t="s">
        <v>237</v>
      </c>
      <c r="I2284" s="3" t="s">
        <v>868</v>
      </c>
      <c r="J2284" s="3" t="s">
        <v>2537</v>
      </c>
      <c r="K2284" s="3" t="s">
        <v>8514</v>
      </c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  <c r="AC2284" s="3"/>
      <c r="AD2284" s="3"/>
      <c r="AE2284" s="3"/>
      <c r="AF2284" s="3"/>
      <c r="AG2284" s="3"/>
      <c r="AH2284" s="3"/>
      <c r="AI2284" s="3"/>
      <c r="AJ2284" s="3"/>
      <c r="AK2284" s="3" t="s">
        <v>8515</v>
      </c>
      <c r="AL2284" s="4">
        <v>40728</v>
      </c>
      <c r="AM2284" s="3"/>
      <c r="AN2284" s="3" t="s">
        <v>8516</v>
      </c>
    </row>
    <row r="2285" spans="1:40" x14ac:dyDescent="0.3">
      <c r="A2285" s="3">
        <v>2279</v>
      </c>
      <c r="B2285" s="3" t="str">
        <f>"1494373"</f>
        <v>1494373</v>
      </c>
      <c r="C2285" s="3">
        <v>83428</v>
      </c>
      <c r="D2285" s="3" t="s">
        <v>8517</v>
      </c>
      <c r="E2285" s="3">
        <v>20514300691</v>
      </c>
      <c r="F2285" s="3" t="s">
        <v>8518</v>
      </c>
      <c r="G2285" s="3" t="s">
        <v>8519</v>
      </c>
      <c r="H2285" s="3" t="s">
        <v>56</v>
      </c>
      <c r="I2285" s="3" t="s">
        <v>56</v>
      </c>
      <c r="J2285" s="3" t="s">
        <v>529</v>
      </c>
      <c r="K2285" s="3" t="s">
        <v>8520</v>
      </c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C2285" s="3"/>
      <c r="AD2285" s="3"/>
      <c r="AE2285" s="3"/>
      <c r="AF2285" s="3"/>
      <c r="AG2285" s="3"/>
      <c r="AH2285" s="3"/>
      <c r="AI2285" s="3"/>
      <c r="AJ2285" s="3"/>
      <c r="AK2285" s="3" t="s">
        <v>1888</v>
      </c>
      <c r="AL2285" s="4">
        <v>40772</v>
      </c>
      <c r="AM2285" s="3"/>
      <c r="AN2285" s="3" t="s">
        <v>8521</v>
      </c>
    </row>
    <row r="2286" spans="1:40" x14ac:dyDescent="0.3">
      <c r="A2286" s="3">
        <v>2280</v>
      </c>
      <c r="B2286" s="3" t="str">
        <f>"201800166848"</f>
        <v>201800166848</v>
      </c>
      <c r="C2286" s="3">
        <v>139011</v>
      </c>
      <c r="D2286" s="3" t="s">
        <v>8522</v>
      </c>
      <c r="E2286" s="3">
        <v>20543367720</v>
      </c>
      <c r="F2286" s="3" t="s">
        <v>576</v>
      </c>
      <c r="G2286" s="3" t="s">
        <v>577</v>
      </c>
      <c r="H2286" s="3" t="s">
        <v>56</v>
      </c>
      <c r="I2286" s="3" t="s">
        <v>56</v>
      </c>
      <c r="J2286" s="3" t="s">
        <v>380</v>
      </c>
      <c r="K2286" s="3" t="s">
        <v>8523</v>
      </c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C2286" s="3"/>
      <c r="AD2286" s="3"/>
      <c r="AE2286" s="3"/>
      <c r="AF2286" s="3"/>
      <c r="AG2286" s="3"/>
      <c r="AH2286" s="3"/>
      <c r="AI2286" s="3"/>
      <c r="AJ2286" s="3"/>
      <c r="AK2286" s="3" t="s">
        <v>65</v>
      </c>
      <c r="AL2286" s="4">
        <v>43383</v>
      </c>
      <c r="AM2286" s="3"/>
      <c r="AN2286" s="3" t="s">
        <v>382</v>
      </c>
    </row>
    <row r="2287" spans="1:40" ht="27.95" x14ac:dyDescent="0.3">
      <c r="A2287" s="3">
        <v>2281</v>
      </c>
      <c r="B2287" s="3" t="str">
        <f>"201500099464"</f>
        <v>201500099464</v>
      </c>
      <c r="C2287" s="3">
        <v>83038</v>
      </c>
      <c r="D2287" s="3" t="s">
        <v>8524</v>
      </c>
      <c r="E2287" s="3">
        <v>20492390926</v>
      </c>
      <c r="F2287" s="3" t="s">
        <v>8525</v>
      </c>
      <c r="G2287" s="3" t="s">
        <v>8526</v>
      </c>
      <c r="H2287" s="3" t="s">
        <v>56</v>
      </c>
      <c r="I2287" s="3" t="s">
        <v>56</v>
      </c>
      <c r="J2287" s="3" t="s">
        <v>363</v>
      </c>
      <c r="K2287" s="3" t="s">
        <v>8527</v>
      </c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C2287" s="3"/>
      <c r="AD2287" s="3"/>
      <c r="AE2287" s="3"/>
      <c r="AF2287" s="3"/>
      <c r="AG2287" s="3"/>
      <c r="AH2287" s="3"/>
      <c r="AI2287" s="3"/>
      <c r="AJ2287" s="3"/>
      <c r="AK2287" s="3" t="s">
        <v>5677</v>
      </c>
      <c r="AL2287" s="4">
        <v>42306</v>
      </c>
      <c r="AM2287" s="3"/>
      <c r="AN2287" s="3" t="s">
        <v>3152</v>
      </c>
    </row>
    <row r="2288" spans="1:40" x14ac:dyDescent="0.3">
      <c r="A2288" s="3">
        <v>2282</v>
      </c>
      <c r="B2288" s="3" t="str">
        <f>"201100171142"</f>
        <v>201100171142</v>
      </c>
      <c r="C2288" s="3">
        <v>94135</v>
      </c>
      <c r="D2288" s="3" t="s">
        <v>8528</v>
      </c>
      <c r="E2288" s="3">
        <v>10403111932</v>
      </c>
      <c r="F2288" s="3" t="s">
        <v>8529</v>
      </c>
      <c r="G2288" s="3" t="s">
        <v>8530</v>
      </c>
      <c r="H2288" s="3" t="s">
        <v>56</v>
      </c>
      <c r="I2288" s="3" t="s">
        <v>56</v>
      </c>
      <c r="J2288" s="3" t="s">
        <v>432</v>
      </c>
      <c r="K2288" s="3" t="s">
        <v>8531</v>
      </c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C2288" s="3"/>
      <c r="AD2288" s="3"/>
      <c r="AE2288" s="3"/>
      <c r="AF2288" s="3"/>
      <c r="AG2288" s="3"/>
      <c r="AH2288" s="3"/>
      <c r="AI2288" s="3"/>
      <c r="AJ2288" s="3"/>
      <c r="AK2288" s="3" t="s">
        <v>614</v>
      </c>
      <c r="AL2288" s="3" t="s">
        <v>290</v>
      </c>
      <c r="AM2288" s="3"/>
      <c r="AN2288" s="3" t="s">
        <v>8529</v>
      </c>
    </row>
    <row r="2289" spans="1:40" ht="27.95" x14ac:dyDescent="0.3">
      <c r="A2289" s="3">
        <v>2283</v>
      </c>
      <c r="B2289" s="3" t="str">
        <f>"1667115"</f>
        <v>1667115</v>
      </c>
      <c r="C2289" s="3">
        <v>44572</v>
      </c>
      <c r="D2289" s="3" t="s">
        <v>8532</v>
      </c>
      <c r="E2289" s="3">
        <v>10021643918</v>
      </c>
      <c r="F2289" s="3" t="s">
        <v>8533</v>
      </c>
      <c r="G2289" s="3" t="s">
        <v>8534</v>
      </c>
      <c r="H2289" s="3" t="s">
        <v>222</v>
      </c>
      <c r="I2289" s="3" t="s">
        <v>223</v>
      </c>
      <c r="J2289" s="3" t="s">
        <v>224</v>
      </c>
      <c r="K2289" s="3" t="s">
        <v>8535</v>
      </c>
      <c r="L2289" s="3" t="s">
        <v>8536</v>
      </c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C2289" s="3"/>
      <c r="AD2289" s="3"/>
      <c r="AE2289" s="3"/>
      <c r="AF2289" s="3"/>
      <c r="AG2289" s="3"/>
      <c r="AH2289" s="3"/>
      <c r="AI2289" s="3"/>
      <c r="AJ2289" s="3"/>
      <c r="AK2289" s="3" t="s">
        <v>8537</v>
      </c>
      <c r="AL2289" s="4">
        <v>39107</v>
      </c>
      <c r="AM2289" s="3"/>
      <c r="AN2289" s="3"/>
    </row>
    <row r="2290" spans="1:40" x14ac:dyDescent="0.3">
      <c r="A2290" s="3">
        <v>2284</v>
      </c>
      <c r="B2290" s="3" t="str">
        <f>"1133632"</f>
        <v>1133632</v>
      </c>
      <c r="C2290" s="3">
        <v>3404</v>
      </c>
      <c r="D2290" s="3">
        <v>1133632</v>
      </c>
      <c r="E2290" s="3">
        <v>10091886940</v>
      </c>
      <c r="F2290" s="3" t="s">
        <v>3071</v>
      </c>
      <c r="G2290" s="3" t="s">
        <v>4629</v>
      </c>
      <c r="H2290" s="3" t="s">
        <v>56</v>
      </c>
      <c r="I2290" s="3" t="s">
        <v>56</v>
      </c>
      <c r="J2290" s="3" t="s">
        <v>1043</v>
      </c>
      <c r="K2290" s="3" t="s">
        <v>8538</v>
      </c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C2290" s="3"/>
      <c r="AD2290" s="3"/>
      <c r="AE2290" s="3"/>
      <c r="AF2290" s="3"/>
      <c r="AG2290" s="3"/>
      <c r="AH2290" s="3"/>
      <c r="AI2290" s="3"/>
      <c r="AJ2290" s="3"/>
      <c r="AK2290" s="3" t="s">
        <v>546</v>
      </c>
      <c r="AL2290" s="4">
        <v>35588</v>
      </c>
      <c r="AM2290" s="3"/>
      <c r="AN2290" s="3"/>
    </row>
    <row r="2291" spans="1:40" x14ac:dyDescent="0.3">
      <c r="A2291" s="3">
        <v>2285</v>
      </c>
      <c r="B2291" s="3" t="str">
        <f>"1525041"</f>
        <v>1525041</v>
      </c>
      <c r="C2291" s="3">
        <v>39875</v>
      </c>
      <c r="D2291" s="3" t="s">
        <v>8539</v>
      </c>
      <c r="E2291" s="3">
        <v>20166717389</v>
      </c>
      <c r="F2291" s="3" t="s">
        <v>2137</v>
      </c>
      <c r="G2291" s="3" t="s">
        <v>2138</v>
      </c>
      <c r="H2291" s="3" t="s">
        <v>357</v>
      </c>
      <c r="I2291" s="3" t="s">
        <v>357</v>
      </c>
      <c r="J2291" s="3" t="s">
        <v>357</v>
      </c>
      <c r="K2291" s="3" t="s">
        <v>8540</v>
      </c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  <c r="AC2291" s="3"/>
      <c r="AD2291" s="3"/>
      <c r="AE2291" s="3"/>
      <c r="AF2291" s="3"/>
      <c r="AG2291" s="3"/>
      <c r="AH2291" s="3"/>
      <c r="AI2291" s="3"/>
      <c r="AJ2291" s="3"/>
      <c r="AK2291" s="3" t="s">
        <v>118</v>
      </c>
      <c r="AL2291" s="4">
        <v>38415</v>
      </c>
      <c r="AM2291" s="3"/>
      <c r="AN2291" s="3"/>
    </row>
    <row r="2292" spans="1:40" ht="27.95" x14ac:dyDescent="0.3">
      <c r="A2292" s="3">
        <v>2286</v>
      </c>
      <c r="B2292" s="3" t="str">
        <f>"1665794"</f>
        <v>1665794</v>
      </c>
      <c r="C2292" s="3">
        <v>37072</v>
      </c>
      <c r="D2292" s="3" t="s">
        <v>8541</v>
      </c>
      <c r="E2292" s="3">
        <v>20100076749</v>
      </c>
      <c r="F2292" s="3" t="s">
        <v>159</v>
      </c>
      <c r="G2292" s="3" t="s">
        <v>8542</v>
      </c>
      <c r="H2292" s="3" t="s">
        <v>56</v>
      </c>
      <c r="I2292" s="3" t="s">
        <v>56</v>
      </c>
      <c r="J2292" s="3" t="s">
        <v>121</v>
      </c>
      <c r="K2292" s="3" t="s">
        <v>8543</v>
      </c>
      <c r="L2292" s="3" t="s">
        <v>8544</v>
      </c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  <c r="AC2292" s="3"/>
      <c r="AD2292" s="3"/>
      <c r="AE2292" s="3"/>
      <c r="AF2292" s="3"/>
      <c r="AG2292" s="3"/>
      <c r="AH2292" s="3"/>
      <c r="AI2292" s="3"/>
      <c r="AJ2292" s="3"/>
      <c r="AK2292" s="3" t="s">
        <v>8545</v>
      </c>
      <c r="AL2292" s="4">
        <v>39115</v>
      </c>
      <c r="AM2292" s="3"/>
      <c r="AN2292" s="3"/>
    </row>
    <row r="2293" spans="1:40" ht="27.95" x14ac:dyDescent="0.3">
      <c r="A2293" s="3">
        <v>2287</v>
      </c>
      <c r="B2293" s="3" t="str">
        <f>"201900043705"</f>
        <v>201900043705</v>
      </c>
      <c r="C2293" s="3">
        <v>142002</v>
      </c>
      <c r="D2293" s="3" t="s">
        <v>8546</v>
      </c>
      <c r="E2293" s="3">
        <v>10417959781</v>
      </c>
      <c r="F2293" s="3" t="s">
        <v>8547</v>
      </c>
      <c r="G2293" s="3" t="s">
        <v>8548</v>
      </c>
      <c r="H2293" s="3" t="s">
        <v>743</v>
      </c>
      <c r="I2293" s="3" t="s">
        <v>744</v>
      </c>
      <c r="J2293" s="3" t="s">
        <v>743</v>
      </c>
      <c r="K2293" s="3" t="s">
        <v>8549</v>
      </c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C2293" s="3"/>
      <c r="AD2293" s="3"/>
      <c r="AE2293" s="3"/>
      <c r="AF2293" s="3"/>
      <c r="AG2293" s="3"/>
      <c r="AH2293" s="3"/>
      <c r="AI2293" s="3"/>
      <c r="AJ2293" s="3"/>
      <c r="AK2293" s="3" t="s">
        <v>226</v>
      </c>
      <c r="AL2293" s="4">
        <v>43546</v>
      </c>
      <c r="AM2293" s="3"/>
      <c r="AN2293" s="3" t="s">
        <v>8547</v>
      </c>
    </row>
    <row r="2294" spans="1:40" x14ac:dyDescent="0.3">
      <c r="A2294" s="3">
        <v>2288</v>
      </c>
      <c r="B2294" s="3" t="str">
        <f>"201900130596"</f>
        <v>201900130596</v>
      </c>
      <c r="C2294" s="3">
        <v>125399</v>
      </c>
      <c r="D2294" s="3" t="s">
        <v>8550</v>
      </c>
      <c r="E2294" s="3">
        <v>20605025847</v>
      </c>
      <c r="F2294" s="3" t="s">
        <v>8551</v>
      </c>
      <c r="G2294" s="3" t="s">
        <v>8552</v>
      </c>
      <c r="H2294" s="3" t="s">
        <v>271</v>
      </c>
      <c r="I2294" s="3" t="s">
        <v>8553</v>
      </c>
      <c r="J2294" s="3" t="s">
        <v>8554</v>
      </c>
      <c r="K2294" s="3" t="s">
        <v>8555</v>
      </c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C2294" s="3"/>
      <c r="AD2294" s="3"/>
      <c r="AE2294" s="3"/>
      <c r="AF2294" s="3"/>
      <c r="AG2294" s="3"/>
      <c r="AH2294" s="3"/>
      <c r="AI2294" s="3"/>
      <c r="AJ2294" s="3"/>
      <c r="AK2294" s="3" t="s">
        <v>4584</v>
      </c>
      <c r="AL2294" s="4">
        <v>43693</v>
      </c>
      <c r="AM2294" s="3"/>
      <c r="AN2294" s="3" t="s">
        <v>8556</v>
      </c>
    </row>
    <row r="2295" spans="1:40" x14ac:dyDescent="0.3">
      <c r="A2295" s="3">
        <v>2289</v>
      </c>
      <c r="B2295" s="3" t="str">
        <f>"202000082991"</f>
        <v>202000082991</v>
      </c>
      <c r="C2295" s="3">
        <v>150028</v>
      </c>
      <c r="D2295" s="3" t="s">
        <v>8557</v>
      </c>
      <c r="E2295" s="3">
        <v>10026360388</v>
      </c>
      <c r="F2295" s="3" t="s">
        <v>8558</v>
      </c>
      <c r="G2295" s="3" t="s">
        <v>8559</v>
      </c>
      <c r="H2295" s="3" t="s">
        <v>50</v>
      </c>
      <c r="I2295" s="3" t="s">
        <v>50</v>
      </c>
      <c r="J2295" s="3" t="s">
        <v>50</v>
      </c>
      <c r="K2295" s="3" t="s">
        <v>8560</v>
      </c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  <c r="AC2295" s="3"/>
      <c r="AD2295" s="3"/>
      <c r="AE2295" s="3"/>
      <c r="AF2295" s="3"/>
      <c r="AG2295" s="3"/>
      <c r="AH2295" s="3"/>
      <c r="AI2295" s="3"/>
      <c r="AJ2295" s="3"/>
      <c r="AK2295" s="3" t="s">
        <v>2587</v>
      </c>
      <c r="AL2295" s="4">
        <v>44042</v>
      </c>
      <c r="AM2295" s="3"/>
      <c r="AN2295" s="3" t="s">
        <v>8558</v>
      </c>
    </row>
    <row r="2296" spans="1:40" x14ac:dyDescent="0.3">
      <c r="A2296" s="3">
        <v>2290</v>
      </c>
      <c r="B2296" s="3" t="str">
        <f>"1410526"</f>
        <v>1410526</v>
      </c>
      <c r="C2296" s="3">
        <v>87999</v>
      </c>
      <c r="D2296" s="3" t="s">
        <v>8561</v>
      </c>
      <c r="E2296" s="3">
        <v>10013203402</v>
      </c>
      <c r="F2296" s="3" t="s">
        <v>5557</v>
      </c>
      <c r="G2296" s="3" t="s">
        <v>8562</v>
      </c>
      <c r="H2296" s="3" t="s">
        <v>743</v>
      </c>
      <c r="I2296" s="3" t="s">
        <v>1031</v>
      </c>
      <c r="J2296" s="3" t="s">
        <v>1031</v>
      </c>
      <c r="K2296" s="3" t="s">
        <v>8563</v>
      </c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  <c r="AC2296" s="3"/>
      <c r="AD2296" s="3"/>
      <c r="AE2296" s="3"/>
      <c r="AF2296" s="3"/>
      <c r="AG2296" s="3"/>
      <c r="AH2296" s="3"/>
      <c r="AI2296" s="3"/>
      <c r="AJ2296" s="3"/>
      <c r="AK2296" s="3" t="s">
        <v>614</v>
      </c>
      <c r="AL2296" s="4">
        <v>40435</v>
      </c>
      <c r="AM2296" s="3"/>
      <c r="AN2296" s="3" t="s">
        <v>5557</v>
      </c>
    </row>
    <row r="2297" spans="1:40" ht="27.95" x14ac:dyDescent="0.3">
      <c r="A2297" s="3">
        <v>2291</v>
      </c>
      <c r="B2297" s="3" t="str">
        <f>"201500153187"</f>
        <v>201500153187</v>
      </c>
      <c r="C2297" s="3">
        <v>88124</v>
      </c>
      <c r="D2297" s="3" t="s">
        <v>8564</v>
      </c>
      <c r="E2297" s="3">
        <v>20600336895</v>
      </c>
      <c r="F2297" s="3" t="s">
        <v>8565</v>
      </c>
      <c r="G2297" s="3" t="s">
        <v>463</v>
      </c>
      <c r="H2297" s="3" t="s">
        <v>56</v>
      </c>
      <c r="I2297" s="3" t="s">
        <v>56</v>
      </c>
      <c r="J2297" s="3" t="s">
        <v>57</v>
      </c>
      <c r="K2297" s="3" t="s">
        <v>8566</v>
      </c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C2297" s="3"/>
      <c r="AD2297" s="3"/>
      <c r="AE2297" s="3"/>
      <c r="AF2297" s="3"/>
      <c r="AG2297" s="3"/>
      <c r="AH2297" s="3"/>
      <c r="AI2297" s="3"/>
      <c r="AJ2297" s="3"/>
      <c r="AK2297" s="3" t="s">
        <v>1341</v>
      </c>
      <c r="AL2297" s="4">
        <v>42360</v>
      </c>
      <c r="AM2297" s="3"/>
      <c r="AN2297" s="3" t="s">
        <v>8567</v>
      </c>
    </row>
    <row r="2298" spans="1:40" x14ac:dyDescent="0.3">
      <c r="A2298" s="3">
        <v>2292</v>
      </c>
      <c r="B2298" s="3" t="str">
        <f>"1177383"</f>
        <v>1177383</v>
      </c>
      <c r="C2298" s="3">
        <v>6593</v>
      </c>
      <c r="D2298" s="3">
        <v>1177383</v>
      </c>
      <c r="E2298" s="3">
        <v>10238854551</v>
      </c>
      <c r="F2298" s="3" t="s">
        <v>8568</v>
      </c>
      <c r="G2298" s="3" t="s">
        <v>8569</v>
      </c>
      <c r="H2298" s="3" t="s">
        <v>446</v>
      </c>
      <c r="I2298" s="3" t="s">
        <v>446</v>
      </c>
      <c r="J2298" s="3" t="s">
        <v>1144</v>
      </c>
      <c r="K2298" s="3" t="s">
        <v>8570</v>
      </c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C2298" s="3"/>
      <c r="AD2298" s="3"/>
      <c r="AE2298" s="3"/>
      <c r="AF2298" s="3"/>
      <c r="AG2298" s="3"/>
      <c r="AH2298" s="3"/>
      <c r="AI2298" s="3"/>
      <c r="AJ2298" s="3"/>
      <c r="AK2298" s="3" t="s">
        <v>226</v>
      </c>
      <c r="AL2298" s="4">
        <v>35888</v>
      </c>
      <c r="AM2298" s="3"/>
      <c r="AN2298" s="3"/>
    </row>
    <row r="2299" spans="1:40" x14ac:dyDescent="0.3">
      <c r="A2299" s="3">
        <v>2293</v>
      </c>
      <c r="B2299" s="3" t="str">
        <f>"1131114"</f>
        <v>1131114</v>
      </c>
      <c r="C2299" s="3">
        <v>3512</v>
      </c>
      <c r="D2299" s="3" t="s">
        <v>8571</v>
      </c>
      <c r="E2299" s="3">
        <v>20133577735</v>
      </c>
      <c r="F2299" s="3" t="s">
        <v>5369</v>
      </c>
      <c r="G2299" s="3" t="s">
        <v>5370</v>
      </c>
      <c r="H2299" s="3" t="s">
        <v>271</v>
      </c>
      <c r="I2299" s="3" t="s">
        <v>552</v>
      </c>
      <c r="J2299" s="3" t="s">
        <v>4652</v>
      </c>
      <c r="K2299" s="3" t="s">
        <v>8572</v>
      </c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  <c r="AC2299" s="3"/>
      <c r="AD2299" s="3"/>
      <c r="AE2299" s="3"/>
      <c r="AF2299" s="3"/>
      <c r="AG2299" s="3"/>
      <c r="AH2299" s="3"/>
      <c r="AI2299" s="3"/>
      <c r="AJ2299" s="3"/>
      <c r="AK2299" s="3" t="s">
        <v>946</v>
      </c>
      <c r="AL2299" s="4">
        <v>36795</v>
      </c>
      <c r="AM2299" s="3"/>
      <c r="AN2299" s="3"/>
    </row>
    <row r="2300" spans="1:40" ht="27.95" x14ac:dyDescent="0.3">
      <c r="A2300" s="3">
        <v>2294</v>
      </c>
      <c r="B2300" s="3" t="str">
        <f>"201700087250"</f>
        <v>201700087250</v>
      </c>
      <c r="C2300" s="3">
        <v>18083</v>
      </c>
      <c r="D2300" s="3" t="s">
        <v>8573</v>
      </c>
      <c r="E2300" s="3">
        <v>10093027189</v>
      </c>
      <c r="F2300" s="3" t="s">
        <v>8574</v>
      </c>
      <c r="G2300" s="3" t="s">
        <v>8575</v>
      </c>
      <c r="H2300" s="3" t="s">
        <v>56</v>
      </c>
      <c r="I2300" s="3" t="s">
        <v>56</v>
      </c>
      <c r="J2300" s="3" t="s">
        <v>432</v>
      </c>
      <c r="K2300" s="3" t="s">
        <v>8576</v>
      </c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  <c r="AC2300" s="3"/>
      <c r="AD2300" s="3"/>
      <c r="AE2300" s="3"/>
      <c r="AF2300" s="3"/>
      <c r="AG2300" s="3"/>
      <c r="AH2300" s="3"/>
      <c r="AI2300" s="3"/>
      <c r="AJ2300" s="3"/>
      <c r="AK2300" s="3" t="s">
        <v>546</v>
      </c>
      <c r="AL2300" s="4">
        <v>42906</v>
      </c>
      <c r="AM2300" s="3"/>
      <c r="AN2300" s="3" t="s">
        <v>8574</v>
      </c>
    </row>
    <row r="2301" spans="1:40" x14ac:dyDescent="0.3">
      <c r="A2301" s="3">
        <v>2295</v>
      </c>
      <c r="B2301" s="3" t="str">
        <f>"1131112"</f>
        <v>1131112</v>
      </c>
      <c r="C2301" s="3">
        <v>3511</v>
      </c>
      <c r="D2301" s="3" t="s">
        <v>8577</v>
      </c>
      <c r="E2301" s="3">
        <v>20133577735</v>
      </c>
      <c r="F2301" s="3" t="s">
        <v>5369</v>
      </c>
      <c r="G2301" s="3" t="s">
        <v>5370</v>
      </c>
      <c r="H2301" s="3" t="s">
        <v>44</v>
      </c>
      <c r="I2301" s="3" t="s">
        <v>45</v>
      </c>
      <c r="J2301" s="3" t="s">
        <v>45</v>
      </c>
      <c r="K2301" s="3" t="s">
        <v>8578</v>
      </c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C2301" s="3"/>
      <c r="AD2301" s="3"/>
      <c r="AE2301" s="3"/>
      <c r="AF2301" s="3"/>
      <c r="AG2301" s="3"/>
      <c r="AH2301" s="3"/>
      <c r="AI2301" s="3"/>
      <c r="AJ2301" s="3"/>
      <c r="AK2301" s="3" t="s">
        <v>946</v>
      </c>
      <c r="AL2301" s="4">
        <v>36795</v>
      </c>
      <c r="AM2301" s="3"/>
      <c r="AN2301" s="3"/>
    </row>
    <row r="2302" spans="1:40" x14ac:dyDescent="0.3">
      <c r="A2302" s="3">
        <v>2296</v>
      </c>
      <c r="B2302" s="3" t="str">
        <f>"201200202152"</f>
        <v>201200202152</v>
      </c>
      <c r="C2302" s="3">
        <v>99185</v>
      </c>
      <c r="D2302" s="3" t="s">
        <v>8579</v>
      </c>
      <c r="E2302" s="3">
        <v>10022863989</v>
      </c>
      <c r="F2302" s="3" t="s">
        <v>8580</v>
      </c>
      <c r="G2302" s="3" t="s">
        <v>8581</v>
      </c>
      <c r="H2302" s="3" t="s">
        <v>222</v>
      </c>
      <c r="I2302" s="3" t="s">
        <v>1983</v>
      </c>
      <c r="J2302" s="3" t="s">
        <v>8582</v>
      </c>
      <c r="K2302" s="3" t="s">
        <v>8583</v>
      </c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C2302" s="3"/>
      <c r="AD2302" s="3"/>
      <c r="AE2302" s="3"/>
      <c r="AF2302" s="3"/>
      <c r="AG2302" s="3"/>
      <c r="AH2302" s="3"/>
      <c r="AI2302" s="3"/>
      <c r="AJ2302" s="3"/>
      <c r="AK2302" s="3" t="s">
        <v>8584</v>
      </c>
      <c r="AL2302" s="4">
        <v>41239</v>
      </c>
      <c r="AM2302" s="3"/>
      <c r="AN2302" s="3" t="s">
        <v>8580</v>
      </c>
    </row>
    <row r="2303" spans="1:40" x14ac:dyDescent="0.3">
      <c r="A2303" s="3">
        <v>2297</v>
      </c>
      <c r="B2303" s="3" t="str">
        <f>"201200219707"</f>
        <v>201200219707</v>
      </c>
      <c r="C2303" s="3">
        <v>99082</v>
      </c>
      <c r="D2303" s="3" t="s">
        <v>8585</v>
      </c>
      <c r="E2303" s="3">
        <v>20490640801</v>
      </c>
      <c r="F2303" s="3" t="s">
        <v>8586</v>
      </c>
      <c r="G2303" s="3" t="s">
        <v>8587</v>
      </c>
      <c r="H2303" s="3" t="s">
        <v>446</v>
      </c>
      <c r="I2303" s="3" t="s">
        <v>446</v>
      </c>
      <c r="J2303" s="3" t="s">
        <v>1144</v>
      </c>
      <c r="K2303" s="3" t="s">
        <v>8588</v>
      </c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  <c r="AC2303" s="3"/>
      <c r="AD2303" s="3"/>
      <c r="AE2303" s="3"/>
      <c r="AF2303" s="3"/>
      <c r="AG2303" s="3"/>
      <c r="AH2303" s="3"/>
      <c r="AI2303" s="3"/>
      <c r="AJ2303" s="3"/>
      <c r="AK2303" s="3" t="s">
        <v>8589</v>
      </c>
      <c r="AL2303" s="4">
        <v>41269</v>
      </c>
      <c r="AM2303" s="3"/>
      <c r="AN2303" s="3" t="s">
        <v>8590</v>
      </c>
    </row>
    <row r="2304" spans="1:40" x14ac:dyDescent="0.3">
      <c r="A2304" s="3">
        <v>2298</v>
      </c>
      <c r="B2304" s="3" t="str">
        <f>"1375568"</f>
        <v>1375568</v>
      </c>
      <c r="C2304" s="3">
        <v>33317</v>
      </c>
      <c r="D2304" s="3" t="s">
        <v>8591</v>
      </c>
      <c r="E2304" s="3">
        <v>20100366747</v>
      </c>
      <c r="F2304" s="3" t="s">
        <v>258</v>
      </c>
      <c r="G2304" s="3" t="s">
        <v>1055</v>
      </c>
      <c r="H2304" s="3" t="s">
        <v>56</v>
      </c>
      <c r="I2304" s="3" t="s">
        <v>56</v>
      </c>
      <c r="J2304" s="3" t="s">
        <v>185</v>
      </c>
      <c r="K2304" s="3" t="s">
        <v>8592</v>
      </c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  <c r="AC2304" s="3"/>
      <c r="AD2304" s="3"/>
      <c r="AE2304" s="3"/>
      <c r="AF2304" s="3"/>
      <c r="AG2304" s="3"/>
      <c r="AH2304" s="3"/>
      <c r="AI2304" s="3"/>
      <c r="AJ2304" s="3"/>
      <c r="AK2304" s="3" t="s">
        <v>525</v>
      </c>
      <c r="AL2304" s="4">
        <v>37475</v>
      </c>
      <c r="AM2304" s="3"/>
      <c r="AN2304" s="3"/>
    </row>
    <row r="2305" spans="1:40" x14ac:dyDescent="0.3">
      <c r="A2305" s="3">
        <v>2299</v>
      </c>
      <c r="B2305" s="3" t="str">
        <f>"201600141064"</f>
        <v>201600141064</v>
      </c>
      <c r="C2305" s="3">
        <v>124163</v>
      </c>
      <c r="D2305" s="3" t="s">
        <v>8593</v>
      </c>
      <c r="E2305" s="3">
        <v>10406873337</v>
      </c>
      <c r="F2305" s="3" t="s">
        <v>8594</v>
      </c>
      <c r="G2305" s="3" t="s">
        <v>8595</v>
      </c>
      <c r="H2305" s="3" t="s">
        <v>587</v>
      </c>
      <c r="I2305" s="3" t="s">
        <v>8596</v>
      </c>
      <c r="J2305" s="3" t="s">
        <v>8596</v>
      </c>
      <c r="K2305" s="3" t="s">
        <v>8597</v>
      </c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C2305" s="3"/>
      <c r="AD2305" s="3"/>
      <c r="AE2305" s="3"/>
      <c r="AF2305" s="3"/>
      <c r="AG2305" s="3"/>
      <c r="AH2305" s="3"/>
      <c r="AI2305" s="3"/>
      <c r="AJ2305" s="3"/>
      <c r="AK2305" s="3" t="s">
        <v>8598</v>
      </c>
      <c r="AL2305" s="4">
        <v>42654</v>
      </c>
      <c r="AM2305" s="3"/>
      <c r="AN2305" s="3" t="s">
        <v>8594</v>
      </c>
    </row>
    <row r="2306" spans="1:40" x14ac:dyDescent="0.3">
      <c r="A2306" s="3">
        <v>2300</v>
      </c>
      <c r="B2306" s="3" t="str">
        <f>"1593884"</f>
        <v>1593884</v>
      </c>
      <c r="C2306" s="3">
        <v>42450</v>
      </c>
      <c r="D2306" s="3" t="s">
        <v>8599</v>
      </c>
      <c r="E2306" s="3">
        <v>10400978153</v>
      </c>
      <c r="F2306" s="3" t="s">
        <v>2784</v>
      </c>
      <c r="G2306" s="3" t="s">
        <v>8600</v>
      </c>
      <c r="H2306" s="3" t="s">
        <v>75</v>
      </c>
      <c r="I2306" s="3" t="s">
        <v>75</v>
      </c>
      <c r="J2306" s="3" t="s">
        <v>76</v>
      </c>
      <c r="K2306" s="3" t="s">
        <v>8601</v>
      </c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C2306" s="3"/>
      <c r="AD2306" s="3"/>
      <c r="AE2306" s="3"/>
      <c r="AF2306" s="3"/>
      <c r="AG2306" s="3"/>
      <c r="AH2306" s="3"/>
      <c r="AI2306" s="3"/>
      <c r="AJ2306" s="3"/>
      <c r="AK2306" s="3" t="s">
        <v>8602</v>
      </c>
      <c r="AL2306" s="4">
        <v>38786</v>
      </c>
      <c r="AM2306" s="3"/>
      <c r="AN2306" s="3"/>
    </row>
    <row r="2307" spans="1:40" x14ac:dyDescent="0.3">
      <c r="A2307" s="3">
        <v>2301</v>
      </c>
      <c r="B2307" s="3" t="str">
        <f>"1375567"</f>
        <v>1375567</v>
      </c>
      <c r="C2307" s="3">
        <v>33321</v>
      </c>
      <c r="D2307" s="3" t="s">
        <v>8603</v>
      </c>
      <c r="E2307" s="3">
        <v>20100366747</v>
      </c>
      <c r="F2307" s="3" t="s">
        <v>258</v>
      </c>
      <c r="G2307" s="3" t="s">
        <v>1055</v>
      </c>
      <c r="H2307" s="3" t="s">
        <v>56</v>
      </c>
      <c r="I2307" s="3" t="s">
        <v>56</v>
      </c>
      <c r="J2307" s="3" t="s">
        <v>185</v>
      </c>
      <c r="K2307" s="3" t="s">
        <v>8604</v>
      </c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  <c r="AC2307" s="3"/>
      <c r="AD2307" s="3"/>
      <c r="AE2307" s="3"/>
      <c r="AF2307" s="3"/>
      <c r="AG2307" s="3"/>
      <c r="AH2307" s="3"/>
      <c r="AI2307" s="3"/>
      <c r="AJ2307" s="3"/>
      <c r="AK2307" s="3" t="s">
        <v>525</v>
      </c>
      <c r="AL2307" s="4">
        <v>37475</v>
      </c>
      <c r="AM2307" s="3"/>
      <c r="AN2307" s="3"/>
    </row>
    <row r="2308" spans="1:40" ht="41.95" x14ac:dyDescent="0.3">
      <c r="A2308" s="3">
        <v>2302</v>
      </c>
      <c r="B2308" s="3" t="str">
        <f>"201800128051"</f>
        <v>201800128051</v>
      </c>
      <c r="C2308" s="3">
        <v>137853</v>
      </c>
      <c r="D2308" s="3" t="s">
        <v>8605</v>
      </c>
      <c r="E2308" s="3">
        <v>20293658146</v>
      </c>
      <c r="F2308" s="3" t="s">
        <v>2826</v>
      </c>
      <c r="G2308" s="3" t="s">
        <v>8606</v>
      </c>
      <c r="H2308" s="3" t="s">
        <v>56</v>
      </c>
      <c r="I2308" s="3" t="s">
        <v>56</v>
      </c>
      <c r="J2308" s="3" t="s">
        <v>529</v>
      </c>
      <c r="K2308" s="3" t="s">
        <v>8607</v>
      </c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  <c r="AC2308" s="3"/>
      <c r="AD2308" s="3"/>
      <c r="AE2308" s="3"/>
      <c r="AF2308" s="3"/>
      <c r="AG2308" s="3"/>
      <c r="AH2308" s="3"/>
      <c r="AI2308" s="3"/>
      <c r="AJ2308" s="3"/>
      <c r="AK2308" s="3" t="s">
        <v>428</v>
      </c>
      <c r="AL2308" s="4">
        <v>43322</v>
      </c>
      <c r="AM2308" s="3"/>
      <c r="AN2308" s="3" t="s">
        <v>2829</v>
      </c>
    </row>
    <row r="2309" spans="1:40" x14ac:dyDescent="0.3">
      <c r="A2309" s="3">
        <v>2303</v>
      </c>
      <c r="B2309" s="3" t="str">
        <f>"1375565"</f>
        <v>1375565</v>
      </c>
      <c r="C2309" s="3">
        <v>33318</v>
      </c>
      <c r="D2309" s="3" t="s">
        <v>8608</v>
      </c>
      <c r="E2309" s="3">
        <v>20100366747</v>
      </c>
      <c r="F2309" s="3" t="s">
        <v>258</v>
      </c>
      <c r="G2309" s="3" t="s">
        <v>1055</v>
      </c>
      <c r="H2309" s="3" t="s">
        <v>56</v>
      </c>
      <c r="I2309" s="3" t="s">
        <v>56</v>
      </c>
      <c r="J2309" s="3" t="s">
        <v>185</v>
      </c>
      <c r="K2309" s="3" t="s">
        <v>8609</v>
      </c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C2309" s="3"/>
      <c r="AD2309" s="3"/>
      <c r="AE2309" s="3"/>
      <c r="AF2309" s="3"/>
      <c r="AG2309" s="3"/>
      <c r="AH2309" s="3"/>
      <c r="AI2309" s="3"/>
      <c r="AJ2309" s="3"/>
      <c r="AK2309" s="3" t="s">
        <v>2341</v>
      </c>
      <c r="AL2309" s="4">
        <v>37475</v>
      </c>
      <c r="AM2309" s="3"/>
      <c r="AN2309" s="3"/>
    </row>
    <row r="2310" spans="1:40" x14ac:dyDescent="0.3">
      <c r="A2310" s="3">
        <v>2304</v>
      </c>
      <c r="B2310" s="3" t="str">
        <f>"1507008"</f>
        <v>1507008</v>
      </c>
      <c r="C2310" s="3">
        <v>94108</v>
      </c>
      <c r="D2310" s="3" t="s">
        <v>8610</v>
      </c>
      <c r="E2310" s="3">
        <v>20467282388</v>
      </c>
      <c r="F2310" s="3" t="s">
        <v>4358</v>
      </c>
      <c r="G2310" s="3" t="s">
        <v>8611</v>
      </c>
      <c r="H2310" s="3" t="s">
        <v>97</v>
      </c>
      <c r="I2310" s="3" t="s">
        <v>97</v>
      </c>
      <c r="J2310" s="3" t="s">
        <v>1459</v>
      </c>
      <c r="K2310" s="3" t="s">
        <v>8612</v>
      </c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C2310" s="3"/>
      <c r="AD2310" s="3"/>
      <c r="AE2310" s="3"/>
      <c r="AF2310" s="3"/>
      <c r="AG2310" s="3"/>
      <c r="AH2310" s="3"/>
      <c r="AI2310" s="3"/>
      <c r="AJ2310" s="3"/>
      <c r="AK2310" s="3" t="s">
        <v>8613</v>
      </c>
      <c r="AL2310" s="4">
        <v>40856</v>
      </c>
      <c r="AM2310" s="3"/>
      <c r="AN2310" s="3" t="s">
        <v>1462</v>
      </c>
    </row>
    <row r="2311" spans="1:40" x14ac:dyDescent="0.3">
      <c r="A2311" s="3">
        <v>2305</v>
      </c>
      <c r="B2311" s="3" t="str">
        <f>"202000015468"</f>
        <v>202000015468</v>
      </c>
      <c r="C2311" s="3">
        <v>148986</v>
      </c>
      <c r="D2311" s="3" t="s">
        <v>8614</v>
      </c>
      <c r="E2311" s="3">
        <v>20602240267</v>
      </c>
      <c r="F2311" s="3" t="s">
        <v>8615</v>
      </c>
      <c r="G2311" s="3" t="s">
        <v>8616</v>
      </c>
      <c r="H2311" s="3" t="s">
        <v>318</v>
      </c>
      <c r="I2311" s="3" t="s">
        <v>319</v>
      </c>
      <c r="J2311" s="3" t="s">
        <v>313</v>
      </c>
      <c r="K2311" s="3" t="s">
        <v>8617</v>
      </c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  <c r="AC2311" s="3"/>
      <c r="AD2311" s="3"/>
      <c r="AE2311" s="3"/>
      <c r="AF2311" s="3"/>
      <c r="AG2311" s="3"/>
      <c r="AH2311" s="3"/>
      <c r="AI2311" s="3"/>
      <c r="AJ2311" s="3"/>
      <c r="AK2311" s="3" t="s">
        <v>8618</v>
      </c>
      <c r="AL2311" s="4">
        <v>43894</v>
      </c>
      <c r="AM2311" s="3"/>
      <c r="AN2311" s="3" t="s">
        <v>1759</v>
      </c>
    </row>
    <row r="2312" spans="1:40" x14ac:dyDescent="0.3">
      <c r="A2312" s="3">
        <v>2306</v>
      </c>
      <c r="B2312" s="3" t="str">
        <f>"1522339"</f>
        <v>1522339</v>
      </c>
      <c r="C2312" s="3">
        <v>39545</v>
      </c>
      <c r="D2312" s="3" t="s">
        <v>8619</v>
      </c>
      <c r="E2312" s="3">
        <v>20443435680</v>
      </c>
      <c r="F2312" s="3" t="s">
        <v>8620</v>
      </c>
      <c r="G2312" s="3" t="s">
        <v>8621</v>
      </c>
      <c r="H2312" s="3" t="s">
        <v>237</v>
      </c>
      <c r="I2312" s="3" t="s">
        <v>868</v>
      </c>
      <c r="J2312" s="3" t="s">
        <v>868</v>
      </c>
      <c r="K2312" s="3" t="s">
        <v>8622</v>
      </c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  <c r="AC2312" s="3"/>
      <c r="AD2312" s="3"/>
      <c r="AE2312" s="3"/>
      <c r="AF2312" s="3"/>
      <c r="AG2312" s="3"/>
      <c r="AH2312" s="3"/>
      <c r="AI2312" s="3"/>
      <c r="AJ2312" s="3"/>
      <c r="AK2312" s="3" t="s">
        <v>802</v>
      </c>
      <c r="AL2312" s="4">
        <v>38418</v>
      </c>
      <c r="AM2312" s="3"/>
      <c r="AN2312" s="3"/>
    </row>
    <row r="2313" spans="1:40" x14ac:dyDescent="0.3">
      <c r="A2313" s="3">
        <v>2307</v>
      </c>
      <c r="B2313" s="3" t="str">
        <f>"1512256"</f>
        <v>1512256</v>
      </c>
      <c r="C2313" s="3">
        <v>94412</v>
      </c>
      <c r="D2313" s="3" t="s">
        <v>8623</v>
      </c>
      <c r="E2313" s="3">
        <v>20520630351</v>
      </c>
      <c r="F2313" s="3" t="s">
        <v>8624</v>
      </c>
      <c r="G2313" s="3" t="s">
        <v>8625</v>
      </c>
      <c r="H2313" s="3" t="s">
        <v>56</v>
      </c>
      <c r="I2313" s="3" t="s">
        <v>56</v>
      </c>
      <c r="J2313" s="3" t="s">
        <v>56</v>
      </c>
      <c r="K2313" s="3" t="s">
        <v>8626</v>
      </c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  <c r="AG2313" s="3"/>
      <c r="AH2313" s="3"/>
      <c r="AI2313" s="3"/>
      <c r="AJ2313" s="3"/>
      <c r="AK2313" s="3" t="s">
        <v>52</v>
      </c>
      <c r="AL2313" s="4">
        <v>40865</v>
      </c>
      <c r="AM2313" s="3"/>
      <c r="AN2313" s="3" t="s">
        <v>8627</v>
      </c>
    </row>
    <row r="2314" spans="1:40" x14ac:dyDescent="0.3">
      <c r="A2314" s="3">
        <v>2308</v>
      </c>
      <c r="B2314" s="3" t="str">
        <f>"1268943"</f>
        <v>1268943</v>
      </c>
      <c r="C2314" s="3">
        <v>18086</v>
      </c>
      <c r="D2314" s="3">
        <v>1268943</v>
      </c>
      <c r="E2314" s="3">
        <v>10085696462</v>
      </c>
      <c r="F2314" s="3" t="s">
        <v>8628</v>
      </c>
      <c r="G2314" s="3" t="s">
        <v>8629</v>
      </c>
      <c r="H2314" s="3" t="s">
        <v>56</v>
      </c>
      <c r="I2314" s="3" t="s">
        <v>56</v>
      </c>
      <c r="J2314" s="3" t="s">
        <v>57</v>
      </c>
      <c r="K2314" s="3" t="s">
        <v>8630</v>
      </c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C2314" s="3"/>
      <c r="AD2314" s="3"/>
      <c r="AE2314" s="3"/>
      <c r="AF2314" s="3"/>
      <c r="AG2314" s="3"/>
      <c r="AH2314" s="3"/>
      <c r="AI2314" s="3"/>
      <c r="AJ2314" s="3"/>
      <c r="AK2314" s="3" t="s">
        <v>52</v>
      </c>
      <c r="AL2314" s="4">
        <v>36570</v>
      </c>
      <c r="AM2314" s="3"/>
      <c r="AN2314" s="3"/>
    </row>
    <row r="2315" spans="1:40" x14ac:dyDescent="0.3">
      <c r="A2315" s="3">
        <v>2309</v>
      </c>
      <c r="B2315" s="3" t="str">
        <f>"201300092596"</f>
        <v>201300092596</v>
      </c>
      <c r="C2315" s="3">
        <v>103070</v>
      </c>
      <c r="D2315" s="3" t="s">
        <v>8631</v>
      </c>
      <c r="E2315" s="3">
        <v>10106438345</v>
      </c>
      <c r="F2315" s="3" t="s">
        <v>1434</v>
      </c>
      <c r="G2315" s="3" t="s">
        <v>8632</v>
      </c>
      <c r="H2315" s="3" t="s">
        <v>97</v>
      </c>
      <c r="I2315" s="3" t="s">
        <v>1436</v>
      </c>
      <c r="J2315" s="3" t="s">
        <v>1437</v>
      </c>
      <c r="K2315" s="3" t="s">
        <v>8633</v>
      </c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  <c r="AC2315" s="3"/>
      <c r="AD2315" s="3"/>
      <c r="AE2315" s="3"/>
      <c r="AF2315" s="3"/>
      <c r="AG2315" s="3"/>
      <c r="AH2315" s="3"/>
      <c r="AI2315" s="3"/>
      <c r="AJ2315" s="3"/>
      <c r="AK2315" s="3" t="s">
        <v>583</v>
      </c>
      <c r="AL2315" s="4">
        <v>41415</v>
      </c>
      <c r="AM2315" s="3"/>
      <c r="AN2315" s="3" t="s">
        <v>1434</v>
      </c>
    </row>
    <row r="2316" spans="1:40" x14ac:dyDescent="0.3">
      <c r="A2316" s="3">
        <v>2310</v>
      </c>
      <c r="B2316" s="3" t="str">
        <f>"1302880"</f>
        <v>1302880</v>
      </c>
      <c r="C2316" s="3">
        <v>20593</v>
      </c>
      <c r="D2316" s="3">
        <v>1302880</v>
      </c>
      <c r="E2316" s="3">
        <v>10076189264</v>
      </c>
      <c r="F2316" s="3" t="s">
        <v>8634</v>
      </c>
      <c r="G2316" s="3" t="s">
        <v>8635</v>
      </c>
      <c r="H2316" s="3" t="s">
        <v>56</v>
      </c>
      <c r="I2316" s="3" t="s">
        <v>56</v>
      </c>
      <c r="J2316" s="3" t="s">
        <v>363</v>
      </c>
      <c r="K2316" s="3" t="s">
        <v>8636</v>
      </c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  <c r="AC2316" s="3"/>
      <c r="AD2316" s="3"/>
      <c r="AE2316" s="3"/>
      <c r="AF2316" s="3"/>
      <c r="AG2316" s="3"/>
      <c r="AH2316" s="3"/>
      <c r="AI2316" s="3"/>
      <c r="AJ2316" s="3"/>
      <c r="AK2316" s="3" t="s">
        <v>81</v>
      </c>
      <c r="AL2316" s="4">
        <v>36873</v>
      </c>
      <c r="AM2316" s="3"/>
      <c r="AN2316" s="3"/>
    </row>
    <row r="2317" spans="1:40" x14ac:dyDescent="0.3">
      <c r="A2317" s="3">
        <v>2311</v>
      </c>
      <c r="B2317" s="3" t="str">
        <f>"201300131503"</f>
        <v>201300131503</v>
      </c>
      <c r="C2317" s="3">
        <v>104604</v>
      </c>
      <c r="D2317" s="3" t="s">
        <v>8637</v>
      </c>
      <c r="E2317" s="3">
        <v>20454942176</v>
      </c>
      <c r="F2317" s="3" t="s">
        <v>8638</v>
      </c>
      <c r="G2317" s="3" t="s">
        <v>8639</v>
      </c>
      <c r="H2317" s="3" t="s">
        <v>97</v>
      </c>
      <c r="I2317" s="3" t="s">
        <v>97</v>
      </c>
      <c r="J2317" s="3" t="s">
        <v>144</v>
      </c>
      <c r="K2317" s="3" t="s">
        <v>8640</v>
      </c>
      <c r="L2317" s="3" t="s">
        <v>8641</v>
      </c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  <c r="AG2317" s="3"/>
      <c r="AH2317" s="3"/>
      <c r="AI2317" s="3"/>
      <c r="AJ2317" s="3"/>
      <c r="AK2317" s="3" t="s">
        <v>8642</v>
      </c>
      <c r="AL2317" s="4">
        <v>41500</v>
      </c>
      <c r="AM2317" s="3"/>
      <c r="AN2317" s="3" t="s">
        <v>8643</v>
      </c>
    </row>
    <row r="2318" spans="1:40" x14ac:dyDescent="0.3">
      <c r="A2318" s="3">
        <v>2312</v>
      </c>
      <c r="B2318" s="3" t="str">
        <f>"1750641"</f>
        <v>1750641</v>
      </c>
      <c r="C2318" s="3">
        <v>45000</v>
      </c>
      <c r="D2318" s="3" t="s">
        <v>8644</v>
      </c>
      <c r="E2318" s="3">
        <v>10295761241</v>
      </c>
      <c r="F2318" s="3" t="s">
        <v>4529</v>
      </c>
      <c r="G2318" s="3" t="s">
        <v>8645</v>
      </c>
      <c r="H2318" s="3" t="s">
        <v>97</v>
      </c>
      <c r="I2318" s="3" t="s">
        <v>97</v>
      </c>
      <c r="J2318" s="3" t="s">
        <v>341</v>
      </c>
      <c r="K2318" s="3" t="s">
        <v>8646</v>
      </c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C2318" s="3"/>
      <c r="AD2318" s="3"/>
      <c r="AE2318" s="3"/>
      <c r="AF2318" s="3"/>
      <c r="AG2318" s="3"/>
      <c r="AH2318" s="3"/>
      <c r="AI2318" s="3"/>
      <c r="AJ2318" s="3"/>
      <c r="AK2318" s="3" t="s">
        <v>1679</v>
      </c>
      <c r="AL2318" s="4">
        <v>39430</v>
      </c>
      <c r="AM2318" s="3"/>
      <c r="AN2318" s="3"/>
    </row>
    <row r="2319" spans="1:40" x14ac:dyDescent="0.3">
      <c r="A2319" s="3">
        <v>2313</v>
      </c>
      <c r="B2319" s="3" t="str">
        <f>"201400103468"</f>
        <v>201400103468</v>
      </c>
      <c r="C2319" s="3">
        <v>110985</v>
      </c>
      <c r="D2319" s="3" t="s">
        <v>8647</v>
      </c>
      <c r="E2319" s="3">
        <v>20449403453</v>
      </c>
      <c r="F2319" s="3" t="s">
        <v>7360</v>
      </c>
      <c r="G2319" s="3" t="s">
        <v>7079</v>
      </c>
      <c r="H2319" s="3" t="s">
        <v>202</v>
      </c>
      <c r="I2319" s="3" t="s">
        <v>202</v>
      </c>
      <c r="J2319" s="3" t="s">
        <v>202</v>
      </c>
      <c r="K2319" s="3" t="s">
        <v>8648</v>
      </c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  <c r="AC2319" s="3"/>
      <c r="AD2319" s="3"/>
      <c r="AE2319" s="3"/>
      <c r="AF2319" s="3"/>
      <c r="AG2319" s="3"/>
      <c r="AH2319" s="3"/>
      <c r="AI2319" s="3"/>
      <c r="AJ2319" s="3"/>
      <c r="AK2319" s="3" t="s">
        <v>1497</v>
      </c>
      <c r="AL2319" s="4">
        <v>41900</v>
      </c>
      <c r="AM2319" s="3"/>
      <c r="AN2319" s="3" t="s">
        <v>615</v>
      </c>
    </row>
    <row r="2320" spans="1:40" x14ac:dyDescent="0.3">
      <c r="A2320" s="3">
        <v>2314</v>
      </c>
      <c r="B2320" s="3" t="str">
        <f>"201400103474"</f>
        <v>201400103474</v>
      </c>
      <c r="C2320" s="3">
        <v>110986</v>
      </c>
      <c r="D2320" s="3" t="s">
        <v>8649</v>
      </c>
      <c r="E2320" s="3">
        <v>20449403453</v>
      </c>
      <c r="F2320" s="3" t="s">
        <v>7360</v>
      </c>
      <c r="G2320" s="3" t="s">
        <v>7079</v>
      </c>
      <c r="H2320" s="3" t="s">
        <v>202</v>
      </c>
      <c r="I2320" s="3" t="s">
        <v>202</v>
      </c>
      <c r="J2320" s="3" t="s">
        <v>202</v>
      </c>
      <c r="K2320" s="3" t="s">
        <v>8650</v>
      </c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  <c r="AC2320" s="3"/>
      <c r="AD2320" s="3"/>
      <c r="AE2320" s="3"/>
      <c r="AF2320" s="3"/>
      <c r="AG2320" s="3"/>
      <c r="AH2320" s="3"/>
      <c r="AI2320" s="3"/>
      <c r="AJ2320" s="3"/>
      <c r="AK2320" s="3" t="s">
        <v>707</v>
      </c>
      <c r="AL2320" s="4">
        <v>41900</v>
      </c>
      <c r="AM2320" s="3"/>
      <c r="AN2320" s="3" t="s">
        <v>615</v>
      </c>
    </row>
    <row r="2321" spans="1:40" x14ac:dyDescent="0.3">
      <c r="A2321" s="3">
        <v>2315</v>
      </c>
      <c r="B2321" s="3" t="str">
        <f>"201600035013"</f>
        <v>201600035013</v>
      </c>
      <c r="C2321" s="3">
        <v>120324</v>
      </c>
      <c r="D2321" s="3" t="s">
        <v>8651</v>
      </c>
      <c r="E2321" s="3">
        <v>20100366747</v>
      </c>
      <c r="F2321" s="3" t="s">
        <v>8652</v>
      </c>
      <c r="G2321" s="3" t="s">
        <v>8653</v>
      </c>
      <c r="H2321" s="3" t="s">
        <v>56</v>
      </c>
      <c r="I2321" s="3" t="s">
        <v>56</v>
      </c>
      <c r="J2321" s="3" t="s">
        <v>185</v>
      </c>
      <c r="K2321" s="3" t="s">
        <v>8654</v>
      </c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  <c r="AG2321" s="3"/>
      <c r="AH2321" s="3"/>
      <c r="AI2321" s="3"/>
      <c r="AJ2321" s="3"/>
      <c r="AK2321" s="3" t="s">
        <v>8055</v>
      </c>
      <c r="AL2321" s="4">
        <v>42457</v>
      </c>
      <c r="AM2321" s="3"/>
      <c r="AN2321" s="3" t="s">
        <v>262</v>
      </c>
    </row>
    <row r="2322" spans="1:40" x14ac:dyDescent="0.3">
      <c r="A2322" s="3">
        <v>2316</v>
      </c>
      <c r="B2322" s="3" t="str">
        <f>"201100160787"</f>
        <v>201100160787</v>
      </c>
      <c r="C2322" s="3">
        <v>94521</v>
      </c>
      <c r="D2322" s="3" t="s">
        <v>8655</v>
      </c>
      <c r="E2322" s="3">
        <v>10313569018</v>
      </c>
      <c r="F2322" s="3" t="s">
        <v>391</v>
      </c>
      <c r="G2322" s="3" t="s">
        <v>8656</v>
      </c>
      <c r="H2322" s="3" t="s">
        <v>386</v>
      </c>
      <c r="I2322" s="3" t="s">
        <v>387</v>
      </c>
      <c r="J2322" s="3" t="s">
        <v>388</v>
      </c>
      <c r="K2322" s="3" t="s">
        <v>8657</v>
      </c>
      <c r="L2322" s="3" t="s">
        <v>8658</v>
      </c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C2322" s="3"/>
      <c r="AD2322" s="3"/>
      <c r="AE2322" s="3"/>
      <c r="AF2322" s="3"/>
      <c r="AG2322" s="3"/>
      <c r="AH2322" s="3"/>
      <c r="AI2322" s="3"/>
      <c r="AJ2322" s="3"/>
      <c r="AK2322" s="3" t="s">
        <v>8659</v>
      </c>
      <c r="AL2322" s="3" t="s">
        <v>290</v>
      </c>
      <c r="AM2322" s="3"/>
      <c r="AN2322" s="3" t="s">
        <v>391</v>
      </c>
    </row>
    <row r="2323" spans="1:40" x14ac:dyDescent="0.3">
      <c r="A2323" s="3">
        <v>2317</v>
      </c>
      <c r="B2323" s="3" t="str">
        <f>"1422864"</f>
        <v>1422864</v>
      </c>
      <c r="C2323" s="3">
        <v>34912</v>
      </c>
      <c r="D2323" s="3" t="s">
        <v>8660</v>
      </c>
      <c r="E2323" s="3">
        <v>10096528928</v>
      </c>
      <c r="F2323" s="3" t="s">
        <v>8661</v>
      </c>
      <c r="G2323" s="3" t="s">
        <v>8662</v>
      </c>
      <c r="H2323" s="3" t="s">
        <v>56</v>
      </c>
      <c r="I2323" s="3" t="s">
        <v>56</v>
      </c>
      <c r="J2323" s="3" t="s">
        <v>277</v>
      </c>
      <c r="K2323" s="3" t="s">
        <v>8663</v>
      </c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  <c r="AC2323" s="3"/>
      <c r="AD2323" s="3"/>
      <c r="AE2323" s="3"/>
      <c r="AF2323" s="3"/>
      <c r="AG2323" s="3"/>
      <c r="AH2323" s="3"/>
      <c r="AI2323" s="3"/>
      <c r="AJ2323" s="3"/>
      <c r="AK2323" s="3" t="s">
        <v>546</v>
      </c>
      <c r="AL2323" s="4">
        <v>37851</v>
      </c>
      <c r="AM2323" s="3"/>
      <c r="AN2323" s="3"/>
    </row>
    <row r="2324" spans="1:40" x14ac:dyDescent="0.3">
      <c r="A2324" s="3">
        <v>2318</v>
      </c>
      <c r="B2324" s="3" t="str">
        <f>"201500094591"</f>
        <v>201500094591</v>
      </c>
      <c r="C2324" s="3">
        <v>116475</v>
      </c>
      <c r="D2324" s="3" t="s">
        <v>8664</v>
      </c>
      <c r="E2324" s="3">
        <v>20507840613</v>
      </c>
      <c r="F2324" s="3" t="s">
        <v>8665</v>
      </c>
      <c r="G2324" s="3" t="s">
        <v>3753</v>
      </c>
      <c r="H2324" s="3" t="s">
        <v>56</v>
      </c>
      <c r="I2324" s="3" t="s">
        <v>56</v>
      </c>
      <c r="J2324" s="3" t="s">
        <v>57</v>
      </c>
      <c r="K2324" s="3" t="s">
        <v>8666</v>
      </c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  <c r="AC2324" s="3"/>
      <c r="AD2324" s="3"/>
      <c r="AE2324" s="3"/>
      <c r="AF2324" s="3"/>
      <c r="AG2324" s="3"/>
      <c r="AH2324" s="3"/>
      <c r="AI2324" s="3"/>
      <c r="AJ2324" s="3"/>
      <c r="AK2324" s="3" t="s">
        <v>8455</v>
      </c>
      <c r="AL2324" s="4">
        <v>42230</v>
      </c>
      <c r="AM2324" s="3"/>
      <c r="AN2324" s="3" t="s">
        <v>8667</v>
      </c>
    </row>
    <row r="2325" spans="1:40" x14ac:dyDescent="0.3">
      <c r="A2325" s="3">
        <v>2319</v>
      </c>
      <c r="B2325" s="3" t="str">
        <f>"201600035018"</f>
        <v>201600035018</v>
      </c>
      <c r="C2325" s="3">
        <v>120326</v>
      </c>
      <c r="D2325" s="3" t="s">
        <v>8668</v>
      </c>
      <c r="E2325" s="3">
        <v>20100366747</v>
      </c>
      <c r="F2325" s="3" t="s">
        <v>8652</v>
      </c>
      <c r="G2325" s="3" t="s">
        <v>8669</v>
      </c>
      <c r="H2325" s="3" t="s">
        <v>56</v>
      </c>
      <c r="I2325" s="3" t="s">
        <v>56</v>
      </c>
      <c r="J2325" s="3" t="s">
        <v>185</v>
      </c>
      <c r="K2325" s="3" t="s">
        <v>8670</v>
      </c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  <c r="AG2325" s="3"/>
      <c r="AH2325" s="3"/>
      <c r="AI2325" s="3"/>
      <c r="AJ2325" s="3"/>
      <c r="AK2325" s="3" t="s">
        <v>8055</v>
      </c>
      <c r="AL2325" s="4">
        <v>42457</v>
      </c>
      <c r="AM2325" s="3"/>
      <c r="AN2325" s="3" t="s">
        <v>262</v>
      </c>
    </row>
    <row r="2326" spans="1:40" x14ac:dyDescent="0.3">
      <c r="A2326" s="3">
        <v>2320</v>
      </c>
      <c r="B2326" s="3" t="str">
        <f>"1915183"</f>
        <v>1915183</v>
      </c>
      <c r="C2326" s="3">
        <v>42502</v>
      </c>
      <c r="D2326" s="3" t="s">
        <v>8671</v>
      </c>
      <c r="E2326" s="3">
        <v>10294386900</v>
      </c>
      <c r="F2326" s="3" t="s">
        <v>8672</v>
      </c>
      <c r="G2326" s="3" t="s">
        <v>8673</v>
      </c>
      <c r="H2326" s="3" t="s">
        <v>97</v>
      </c>
      <c r="I2326" s="3" t="s">
        <v>97</v>
      </c>
      <c r="J2326" s="3" t="s">
        <v>254</v>
      </c>
      <c r="K2326" s="3" t="s">
        <v>8674</v>
      </c>
      <c r="L2326" s="3" t="s">
        <v>8675</v>
      </c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C2326" s="3"/>
      <c r="AD2326" s="3"/>
      <c r="AE2326" s="3"/>
      <c r="AF2326" s="3"/>
      <c r="AG2326" s="3"/>
      <c r="AH2326" s="3"/>
      <c r="AI2326" s="3"/>
      <c r="AJ2326" s="3"/>
      <c r="AK2326" s="3" t="s">
        <v>2659</v>
      </c>
      <c r="AL2326" s="4">
        <v>40038</v>
      </c>
      <c r="AM2326" s="3"/>
      <c r="AN2326" s="3"/>
    </row>
    <row r="2327" spans="1:40" x14ac:dyDescent="0.3">
      <c r="A2327" s="3">
        <v>2321</v>
      </c>
      <c r="B2327" s="3" t="str">
        <f>"1509545"</f>
        <v>1509545</v>
      </c>
      <c r="C2327" s="3">
        <v>39889</v>
      </c>
      <c r="D2327" s="3" t="s">
        <v>8676</v>
      </c>
      <c r="E2327" s="3">
        <v>20230557757</v>
      </c>
      <c r="F2327" s="3" t="s">
        <v>3019</v>
      </c>
      <c r="G2327" s="3" t="s">
        <v>8677</v>
      </c>
      <c r="H2327" s="3" t="s">
        <v>357</v>
      </c>
      <c r="I2327" s="3" t="s">
        <v>2569</v>
      </c>
      <c r="J2327" s="3" t="s">
        <v>2569</v>
      </c>
      <c r="K2327" s="3" t="s">
        <v>8678</v>
      </c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  <c r="AC2327" s="3"/>
      <c r="AD2327" s="3"/>
      <c r="AE2327" s="3"/>
      <c r="AF2327" s="3"/>
      <c r="AG2327" s="3"/>
      <c r="AH2327" s="3"/>
      <c r="AI2327" s="3"/>
      <c r="AJ2327" s="3"/>
      <c r="AK2327" s="3" t="s">
        <v>602</v>
      </c>
      <c r="AL2327" s="4">
        <v>38337</v>
      </c>
      <c r="AM2327" s="3"/>
      <c r="AN2327" s="3"/>
    </row>
    <row r="2328" spans="1:40" x14ac:dyDescent="0.3">
      <c r="A2328" s="3">
        <v>2322</v>
      </c>
      <c r="B2328" s="3" t="str">
        <f>"1496212"</f>
        <v>1496212</v>
      </c>
      <c r="C2328" s="3">
        <v>92857</v>
      </c>
      <c r="D2328" s="3" t="s">
        <v>8679</v>
      </c>
      <c r="E2328" s="3">
        <v>10212868634</v>
      </c>
      <c r="F2328" s="3" t="s">
        <v>8680</v>
      </c>
      <c r="G2328" s="3" t="s">
        <v>8681</v>
      </c>
      <c r="H2328" s="3" t="s">
        <v>237</v>
      </c>
      <c r="I2328" s="3" t="s">
        <v>3868</v>
      </c>
      <c r="J2328" s="3" t="s">
        <v>4387</v>
      </c>
      <c r="K2328" s="3" t="s">
        <v>8682</v>
      </c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  <c r="AC2328" s="3"/>
      <c r="AD2328" s="3"/>
      <c r="AE2328" s="3"/>
      <c r="AF2328" s="3"/>
      <c r="AG2328" s="3"/>
      <c r="AH2328" s="3"/>
      <c r="AI2328" s="3"/>
      <c r="AJ2328" s="3"/>
      <c r="AK2328" s="3" t="s">
        <v>583</v>
      </c>
      <c r="AL2328" s="4">
        <v>40767</v>
      </c>
      <c r="AM2328" s="3"/>
      <c r="AN2328" s="3" t="s">
        <v>8680</v>
      </c>
    </row>
    <row r="2329" spans="1:40" x14ac:dyDescent="0.3">
      <c r="A2329" s="3">
        <v>2323</v>
      </c>
      <c r="B2329" s="3" t="str">
        <f>"201900151130"</f>
        <v>201900151130</v>
      </c>
      <c r="C2329" s="3">
        <v>146631</v>
      </c>
      <c r="D2329" s="3" t="s">
        <v>8683</v>
      </c>
      <c r="E2329" s="3">
        <v>10441106233</v>
      </c>
      <c r="F2329" s="3" t="s">
        <v>8684</v>
      </c>
      <c r="G2329" s="3" t="s">
        <v>8685</v>
      </c>
      <c r="H2329" s="3" t="s">
        <v>318</v>
      </c>
      <c r="I2329" s="3" t="s">
        <v>319</v>
      </c>
      <c r="J2329" s="3" t="s">
        <v>319</v>
      </c>
      <c r="K2329" s="3" t="s">
        <v>8686</v>
      </c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  <c r="AG2329" s="3"/>
      <c r="AH2329" s="3"/>
      <c r="AI2329" s="3"/>
      <c r="AJ2329" s="3"/>
      <c r="AK2329" s="3" t="s">
        <v>1514</v>
      </c>
      <c r="AL2329" s="4">
        <v>43727</v>
      </c>
      <c r="AM2329" s="3"/>
      <c r="AN2329" s="3" t="s">
        <v>8684</v>
      </c>
    </row>
    <row r="2330" spans="1:40" ht="27.95" x14ac:dyDescent="0.3">
      <c r="A2330" s="3">
        <v>2324</v>
      </c>
      <c r="B2330" s="3" t="str">
        <f>"1460272"</f>
        <v>1460272</v>
      </c>
      <c r="C2330" s="3">
        <v>85185</v>
      </c>
      <c r="D2330" s="3" t="s">
        <v>8687</v>
      </c>
      <c r="E2330" s="3">
        <v>10103923254</v>
      </c>
      <c r="F2330" s="3" t="s">
        <v>8688</v>
      </c>
      <c r="G2330" s="3" t="s">
        <v>8689</v>
      </c>
      <c r="H2330" s="3" t="s">
        <v>56</v>
      </c>
      <c r="I2330" s="3" t="s">
        <v>56</v>
      </c>
      <c r="J2330" s="3" t="s">
        <v>63</v>
      </c>
      <c r="K2330" s="3" t="s">
        <v>8690</v>
      </c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C2330" s="3"/>
      <c r="AD2330" s="3"/>
      <c r="AE2330" s="3"/>
      <c r="AF2330" s="3"/>
      <c r="AG2330" s="3"/>
      <c r="AH2330" s="3"/>
      <c r="AI2330" s="3"/>
      <c r="AJ2330" s="3"/>
      <c r="AK2330" s="3" t="s">
        <v>1812</v>
      </c>
      <c r="AL2330" s="4">
        <v>40549</v>
      </c>
      <c r="AM2330" s="3"/>
      <c r="AN2330" s="3" t="s">
        <v>8688</v>
      </c>
    </row>
    <row r="2331" spans="1:40" x14ac:dyDescent="0.3">
      <c r="A2331" s="3">
        <v>2325</v>
      </c>
      <c r="B2331" s="3" t="str">
        <f>"1251681"</f>
        <v>1251681</v>
      </c>
      <c r="C2331" s="3">
        <v>16409</v>
      </c>
      <c r="D2331" s="3">
        <v>1251681</v>
      </c>
      <c r="E2331" s="3">
        <v>10061257328</v>
      </c>
      <c r="F2331" s="3" t="s">
        <v>8691</v>
      </c>
      <c r="G2331" s="3" t="s">
        <v>8692</v>
      </c>
      <c r="H2331" s="3" t="s">
        <v>56</v>
      </c>
      <c r="I2331" s="3" t="s">
        <v>56</v>
      </c>
      <c r="J2331" s="3" t="s">
        <v>84</v>
      </c>
      <c r="K2331" s="3" t="s">
        <v>8693</v>
      </c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  <c r="AC2331" s="3"/>
      <c r="AD2331" s="3"/>
      <c r="AE2331" s="3"/>
      <c r="AF2331" s="3"/>
      <c r="AG2331" s="3"/>
      <c r="AH2331" s="3"/>
      <c r="AI2331" s="3"/>
      <c r="AJ2331" s="3"/>
      <c r="AK2331" s="3" t="s">
        <v>525</v>
      </c>
      <c r="AL2331" s="4">
        <v>36423</v>
      </c>
      <c r="AM2331" s="3"/>
      <c r="AN2331" s="3"/>
    </row>
    <row r="2332" spans="1:40" x14ac:dyDescent="0.3">
      <c r="A2332" s="3">
        <v>2326</v>
      </c>
      <c r="B2332" s="3" t="str">
        <f>"1404265"</f>
        <v>1404265</v>
      </c>
      <c r="C2332" s="3">
        <v>62966</v>
      </c>
      <c r="D2332" s="3" t="s">
        <v>8694</v>
      </c>
      <c r="E2332" s="3">
        <v>20512439196</v>
      </c>
      <c r="F2332" s="3" t="s">
        <v>8695</v>
      </c>
      <c r="G2332" s="3" t="s">
        <v>8696</v>
      </c>
      <c r="H2332" s="3" t="s">
        <v>56</v>
      </c>
      <c r="I2332" s="3" t="s">
        <v>56</v>
      </c>
      <c r="J2332" s="3" t="s">
        <v>56</v>
      </c>
      <c r="K2332" s="3" t="s">
        <v>8697</v>
      </c>
      <c r="L2332" s="3" t="s">
        <v>8698</v>
      </c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  <c r="AC2332" s="3"/>
      <c r="AD2332" s="3"/>
      <c r="AE2332" s="3"/>
      <c r="AF2332" s="3"/>
      <c r="AG2332" s="3"/>
      <c r="AH2332" s="3"/>
      <c r="AI2332" s="3"/>
      <c r="AJ2332" s="3"/>
      <c r="AK2332" s="3" t="s">
        <v>371</v>
      </c>
      <c r="AL2332" s="4">
        <v>40422</v>
      </c>
      <c r="AM2332" s="3"/>
      <c r="AN2332" s="3" t="s">
        <v>6876</v>
      </c>
    </row>
    <row r="2333" spans="1:40" x14ac:dyDescent="0.3">
      <c r="A2333" s="3">
        <v>2327</v>
      </c>
      <c r="B2333" s="3" t="str">
        <f>"201600035002"</f>
        <v>201600035002</v>
      </c>
      <c r="C2333" s="3">
        <v>120322</v>
      </c>
      <c r="D2333" s="3" t="s">
        <v>8699</v>
      </c>
      <c r="E2333" s="3">
        <v>20100366747</v>
      </c>
      <c r="F2333" s="3" t="s">
        <v>8652</v>
      </c>
      <c r="G2333" s="3" t="s">
        <v>8669</v>
      </c>
      <c r="H2333" s="3" t="s">
        <v>56</v>
      </c>
      <c r="I2333" s="3" t="s">
        <v>56</v>
      </c>
      <c r="J2333" s="3" t="s">
        <v>185</v>
      </c>
      <c r="K2333" s="3" t="s">
        <v>8700</v>
      </c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  <c r="AG2333" s="3"/>
      <c r="AH2333" s="3"/>
      <c r="AI2333" s="3"/>
      <c r="AJ2333" s="3"/>
      <c r="AK2333" s="3" t="s">
        <v>8055</v>
      </c>
      <c r="AL2333" s="4">
        <v>42457</v>
      </c>
      <c r="AM2333" s="3"/>
      <c r="AN2333" s="3" t="s">
        <v>262</v>
      </c>
    </row>
    <row r="2334" spans="1:40" x14ac:dyDescent="0.3">
      <c r="A2334" s="3">
        <v>2328</v>
      </c>
      <c r="B2334" s="3" t="str">
        <f>"201600035009"</f>
        <v>201600035009</v>
      </c>
      <c r="C2334" s="3">
        <v>120323</v>
      </c>
      <c r="D2334" s="3" t="s">
        <v>8701</v>
      </c>
      <c r="E2334" s="3">
        <v>20100366747</v>
      </c>
      <c r="F2334" s="3" t="s">
        <v>8652</v>
      </c>
      <c r="G2334" s="3" t="s">
        <v>8669</v>
      </c>
      <c r="H2334" s="3" t="s">
        <v>56</v>
      </c>
      <c r="I2334" s="3" t="s">
        <v>56</v>
      </c>
      <c r="J2334" s="3" t="s">
        <v>185</v>
      </c>
      <c r="K2334" s="3" t="s">
        <v>8702</v>
      </c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C2334" s="3"/>
      <c r="AD2334" s="3"/>
      <c r="AE2334" s="3"/>
      <c r="AF2334" s="3"/>
      <c r="AG2334" s="3"/>
      <c r="AH2334" s="3"/>
      <c r="AI2334" s="3"/>
      <c r="AJ2334" s="3"/>
      <c r="AK2334" s="3" t="s">
        <v>8055</v>
      </c>
      <c r="AL2334" s="4">
        <v>42457</v>
      </c>
      <c r="AM2334" s="3"/>
      <c r="AN2334" s="3" t="s">
        <v>262</v>
      </c>
    </row>
    <row r="2335" spans="1:40" ht="27.95" x14ac:dyDescent="0.3">
      <c r="A2335" s="3">
        <v>2329</v>
      </c>
      <c r="B2335" s="3" t="str">
        <f>"201900076502"</f>
        <v>201900076502</v>
      </c>
      <c r="C2335" s="3">
        <v>143094</v>
      </c>
      <c r="D2335" s="3" t="s">
        <v>8703</v>
      </c>
      <c r="E2335" s="3">
        <v>10201084585</v>
      </c>
      <c r="F2335" s="3" t="s">
        <v>8704</v>
      </c>
      <c r="G2335" s="3" t="s">
        <v>8705</v>
      </c>
      <c r="H2335" s="3" t="s">
        <v>56</v>
      </c>
      <c r="I2335" s="3" t="s">
        <v>56</v>
      </c>
      <c r="J2335" s="3" t="s">
        <v>331</v>
      </c>
      <c r="K2335" s="3" t="s">
        <v>8706</v>
      </c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  <c r="AC2335" s="3"/>
      <c r="AD2335" s="3"/>
      <c r="AE2335" s="3"/>
      <c r="AF2335" s="3"/>
      <c r="AG2335" s="3"/>
      <c r="AH2335" s="3"/>
      <c r="AI2335" s="3"/>
      <c r="AJ2335" s="3"/>
      <c r="AK2335" s="3" t="s">
        <v>583</v>
      </c>
      <c r="AL2335" s="4">
        <v>43607</v>
      </c>
      <c r="AM2335" s="3"/>
      <c r="AN2335" s="3" t="s">
        <v>8704</v>
      </c>
    </row>
    <row r="2336" spans="1:40" ht="27.95" x14ac:dyDescent="0.3">
      <c r="A2336" s="3">
        <v>2330</v>
      </c>
      <c r="B2336" s="3" t="str">
        <f>"1560710"</f>
        <v>1560710</v>
      </c>
      <c r="C2336" s="3">
        <v>41381</v>
      </c>
      <c r="D2336" s="3" t="s">
        <v>8707</v>
      </c>
      <c r="E2336" s="3">
        <v>20100076749</v>
      </c>
      <c r="F2336" s="3" t="s">
        <v>159</v>
      </c>
      <c r="G2336" s="3" t="s">
        <v>160</v>
      </c>
      <c r="H2336" s="3" t="s">
        <v>56</v>
      </c>
      <c r="I2336" s="3" t="s">
        <v>56</v>
      </c>
      <c r="J2336" s="3" t="s">
        <v>121</v>
      </c>
      <c r="K2336" s="3" t="s">
        <v>8708</v>
      </c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  <c r="AC2336" s="3"/>
      <c r="AD2336" s="3"/>
      <c r="AE2336" s="3"/>
      <c r="AF2336" s="3"/>
      <c r="AG2336" s="3"/>
      <c r="AH2336" s="3"/>
      <c r="AI2336" s="3"/>
      <c r="AJ2336" s="3"/>
      <c r="AK2336" s="3" t="s">
        <v>157</v>
      </c>
      <c r="AL2336" s="4">
        <v>38622</v>
      </c>
      <c r="AM2336" s="3"/>
      <c r="AN2336" s="3"/>
    </row>
    <row r="2337" spans="1:40" ht="27.95" x14ac:dyDescent="0.3">
      <c r="A2337" s="3">
        <v>2331</v>
      </c>
      <c r="B2337" s="3" t="str">
        <f>"1560712"</f>
        <v>1560712</v>
      </c>
      <c r="C2337" s="3">
        <v>39263</v>
      </c>
      <c r="D2337" s="3" t="s">
        <v>8709</v>
      </c>
      <c r="E2337" s="3">
        <v>20100076749</v>
      </c>
      <c r="F2337" s="3" t="s">
        <v>159</v>
      </c>
      <c r="G2337" s="3" t="s">
        <v>160</v>
      </c>
      <c r="H2337" s="3" t="s">
        <v>44</v>
      </c>
      <c r="I2337" s="3" t="s">
        <v>45</v>
      </c>
      <c r="J2337" s="3" t="s">
        <v>726</v>
      </c>
      <c r="K2337" s="3" t="s">
        <v>8710</v>
      </c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C2337" s="3"/>
      <c r="AD2337" s="3"/>
      <c r="AE2337" s="3"/>
      <c r="AF2337" s="3"/>
      <c r="AG2337" s="3"/>
      <c r="AH2337" s="3"/>
      <c r="AI2337" s="3"/>
      <c r="AJ2337" s="3"/>
      <c r="AK2337" s="3" t="s">
        <v>157</v>
      </c>
      <c r="AL2337" s="4">
        <v>38621</v>
      </c>
      <c r="AM2337" s="3"/>
      <c r="AN2337" s="3"/>
    </row>
    <row r="2338" spans="1:40" x14ac:dyDescent="0.3">
      <c r="A2338" s="3">
        <v>2332</v>
      </c>
      <c r="B2338" s="3" t="str">
        <f>"1111218"</f>
        <v>1111218</v>
      </c>
      <c r="C2338" s="3">
        <v>6595</v>
      </c>
      <c r="D2338" s="3">
        <v>955175</v>
      </c>
      <c r="E2338" s="3">
        <v>20100170761</v>
      </c>
      <c r="F2338" s="3" t="s">
        <v>275</v>
      </c>
      <c r="G2338" s="3" t="s">
        <v>276</v>
      </c>
      <c r="H2338" s="3" t="s">
        <v>56</v>
      </c>
      <c r="I2338" s="3" t="s">
        <v>56</v>
      </c>
      <c r="J2338" s="3" t="s">
        <v>277</v>
      </c>
      <c r="K2338" s="3" t="s">
        <v>8711</v>
      </c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C2338" s="3"/>
      <c r="AD2338" s="3"/>
      <c r="AE2338" s="3"/>
      <c r="AF2338" s="3"/>
      <c r="AG2338" s="3"/>
      <c r="AH2338" s="3"/>
      <c r="AI2338" s="3"/>
      <c r="AJ2338" s="3"/>
      <c r="AK2338" s="3" t="s">
        <v>1341</v>
      </c>
      <c r="AL2338" s="4">
        <v>35501</v>
      </c>
      <c r="AM2338" s="3"/>
      <c r="AN2338" s="3"/>
    </row>
    <row r="2339" spans="1:40" x14ac:dyDescent="0.3">
      <c r="A2339" s="3">
        <v>2333</v>
      </c>
      <c r="B2339" s="3" t="str">
        <f>"1111216"</f>
        <v>1111216</v>
      </c>
      <c r="C2339" s="3">
        <v>3557</v>
      </c>
      <c r="D2339" s="3">
        <v>955166</v>
      </c>
      <c r="E2339" s="3">
        <v>20100170761</v>
      </c>
      <c r="F2339" s="3" t="s">
        <v>275</v>
      </c>
      <c r="G2339" s="3" t="s">
        <v>276</v>
      </c>
      <c r="H2339" s="3" t="s">
        <v>56</v>
      </c>
      <c r="I2339" s="3" t="s">
        <v>56</v>
      </c>
      <c r="J2339" s="3" t="s">
        <v>277</v>
      </c>
      <c r="K2339" s="3" t="s">
        <v>8712</v>
      </c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  <c r="AC2339" s="3"/>
      <c r="AD2339" s="3"/>
      <c r="AE2339" s="3"/>
      <c r="AF2339" s="3"/>
      <c r="AG2339" s="3"/>
      <c r="AH2339" s="3"/>
      <c r="AI2339" s="3"/>
      <c r="AJ2339" s="3"/>
      <c r="AK2339" s="3" t="s">
        <v>4474</v>
      </c>
      <c r="AL2339" s="4">
        <v>35501</v>
      </c>
      <c r="AM2339" s="3"/>
      <c r="AN2339" s="3"/>
    </row>
    <row r="2340" spans="1:40" ht="27.95" x14ac:dyDescent="0.3">
      <c r="A2340" s="3">
        <v>2334</v>
      </c>
      <c r="B2340" s="3" t="str">
        <f>"1434770"</f>
        <v>1434770</v>
      </c>
      <c r="C2340" s="3">
        <v>89236</v>
      </c>
      <c r="D2340" s="3" t="s">
        <v>8713</v>
      </c>
      <c r="E2340" s="3">
        <v>20404723392</v>
      </c>
      <c r="F2340" s="3" t="s">
        <v>642</v>
      </c>
      <c r="G2340" s="3" t="s">
        <v>8714</v>
      </c>
      <c r="H2340" s="3" t="s">
        <v>89</v>
      </c>
      <c r="I2340" s="3" t="s">
        <v>89</v>
      </c>
      <c r="J2340" s="3" t="s">
        <v>90</v>
      </c>
      <c r="K2340" s="3" t="s">
        <v>8715</v>
      </c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  <c r="AC2340" s="3"/>
      <c r="AD2340" s="3"/>
      <c r="AE2340" s="3"/>
      <c r="AF2340" s="3"/>
      <c r="AG2340" s="3"/>
      <c r="AH2340" s="3"/>
      <c r="AI2340" s="3"/>
      <c r="AJ2340" s="3"/>
      <c r="AK2340" s="3" t="s">
        <v>8716</v>
      </c>
      <c r="AL2340" s="4">
        <v>40479</v>
      </c>
      <c r="AM2340" s="3"/>
      <c r="AN2340" s="3" t="s">
        <v>93</v>
      </c>
    </row>
    <row r="2341" spans="1:40" x14ac:dyDescent="0.3">
      <c r="A2341" s="3">
        <v>2335</v>
      </c>
      <c r="B2341" s="3" t="str">
        <f>"202000126647"</f>
        <v>202000126647</v>
      </c>
      <c r="C2341" s="3">
        <v>151392</v>
      </c>
      <c r="D2341" s="3" t="s">
        <v>8717</v>
      </c>
      <c r="E2341" s="3">
        <v>10048286181</v>
      </c>
      <c r="F2341" s="3" t="s">
        <v>8718</v>
      </c>
      <c r="G2341" s="3" t="s">
        <v>8719</v>
      </c>
      <c r="H2341" s="3" t="s">
        <v>3837</v>
      </c>
      <c r="I2341" s="3" t="s">
        <v>3838</v>
      </c>
      <c r="J2341" s="3" t="s">
        <v>8720</v>
      </c>
      <c r="K2341" s="3" t="s">
        <v>8721</v>
      </c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C2341" s="3"/>
      <c r="AD2341" s="3"/>
      <c r="AE2341" s="3"/>
      <c r="AF2341" s="3"/>
      <c r="AG2341" s="3"/>
      <c r="AH2341" s="3"/>
      <c r="AI2341" s="3"/>
      <c r="AJ2341" s="3"/>
      <c r="AK2341" s="3" t="s">
        <v>1326</v>
      </c>
      <c r="AL2341" s="4">
        <v>44098</v>
      </c>
      <c r="AM2341" s="3"/>
      <c r="AN2341" s="3" t="s">
        <v>8718</v>
      </c>
    </row>
    <row r="2342" spans="1:40" x14ac:dyDescent="0.3">
      <c r="A2342" s="3">
        <v>2336</v>
      </c>
      <c r="B2342" s="3" t="str">
        <f>"1111213"</f>
        <v>1111213</v>
      </c>
      <c r="C2342" s="3">
        <v>3556</v>
      </c>
      <c r="D2342" s="3">
        <v>955178</v>
      </c>
      <c r="E2342" s="3">
        <v>20100170761</v>
      </c>
      <c r="F2342" s="3" t="s">
        <v>275</v>
      </c>
      <c r="G2342" s="3" t="s">
        <v>276</v>
      </c>
      <c r="H2342" s="3" t="s">
        <v>56</v>
      </c>
      <c r="I2342" s="3" t="s">
        <v>56</v>
      </c>
      <c r="J2342" s="3" t="s">
        <v>277</v>
      </c>
      <c r="K2342" s="3" t="s">
        <v>8722</v>
      </c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C2342" s="3"/>
      <c r="AD2342" s="3"/>
      <c r="AE2342" s="3"/>
      <c r="AF2342" s="3"/>
      <c r="AG2342" s="3"/>
      <c r="AH2342" s="3"/>
      <c r="AI2342" s="3"/>
      <c r="AJ2342" s="3"/>
      <c r="AK2342" s="3" t="s">
        <v>1273</v>
      </c>
      <c r="AL2342" s="4">
        <v>35501</v>
      </c>
      <c r="AM2342" s="3"/>
      <c r="AN2342" s="3"/>
    </row>
    <row r="2343" spans="1:40" x14ac:dyDescent="0.3">
      <c r="A2343" s="3">
        <v>2337</v>
      </c>
      <c r="B2343" s="3" t="str">
        <f>"1473812"</f>
        <v>1473812</v>
      </c>
      <c r="C2343" s="3">
        <v>91683</v>
      </c>
      <c r="D2343" s="3" t="s">
        <v>8723</v>
      </c>
      <c r="E2343" s="3">
        <v>20525521509</v>
      </c>
      <c r="F2343" s="3" t="s">
        <v>189</v>
      </c>
      <c r="G2343" s="3" t="s">
        <v>190</v>
      </c>
      <c r="H2343" s="3" t="s">
        <v>50</v>
      </c>
      <c r="I2343" s="3" t="s">
        <v>50</v>
      </c>
      <c r="J2343" s="3" t="s">
        <v>98</v>
      </c>
      <c r="K2343" s="3" t="s">
        <v>8724</v>
      </c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  <c r="AC2343" s="3"/>
      <c r="AD2343" s="3"/>
      <c r="AE2343" s="3"/>
      <c r="AF2343" s="3"/>
      <c r="AG2343" s="3"/>
      <c r="AH2343" s="3"/>
      <c r="AI2343" s="3"/>
      <c r="AJ2343" s="3"/>
      <c r="AK2343" s="3" t="s">
        <v>157</v>
      </c>
      <c r="AL2343" s="3" t="s">
        <v>290</v>
      </c>
      <c r="AM2343" s="3"/>
      <c r="AN2343" s="3" t="s">
        <v>885</v>
      </c>
    </row>
    <row r="2344" spans="1:40" x14ac:dyDescent="0.3">
      <c r="A2344" s="3">
        <v>2338</v>
      </c>
      <c r="B2344" s="3" t="str">
        <f>"201100167685"</f>
        <v>201100167685</v>
      </c>
      <c r="C2344" s="3">
        <v>94463</v>
      </c>
      <c r="D2344" s="3" t="s">
        <v>8725</v>
      </c>
      <c r="E2344" s="3">
        <v>20133577735</v>
      </c>
      <c r="F2344" s="3" t="s">
        <v>5369</v>
      </c>
      <c r="G2344" s="3" t="s">
        <v>5370</v>
      </c>
      <c r="H2344" s="3" t="s">
        <v>44</v>
      </c>
      <c r="I2344" s="3" t="s">
        <v>45</v>
      </c>
      <c r="J2344" s="3" t="s">
        <v>6245</v>
      </c>
      <c r="K2344" s="3" t="s">
        <v>8726</v>
      </c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  <c r="AC2344" s="3"/>
      <c r="AD2344" s="3"/>
      <c r="AE2344" s="3"/>
      <c r="AF2344" s="3"/>
      <c r="AG2344" s="3"/>
      <c r="AH2344" s="3"/>
      <c r="AI2344" s="3"/>
      <c r="AJ2344" s="3"/>
      <c r="AK2344" s="3" t="s">
        <v>8727</v>
      </c>
      <c r="AL2344" s="4">
        <v>40897</v>
      </c>
      <c r="AM2344" s="3"/>
      <c r="AN2344" s="3" t="s">
        <v>168</v>
      </c>
    </row>
    <row r="2345" spans="1:40" ht="27.95" x14ac:dyDescent="0.3">
      <c r="A2345" s="3">
        <v>2339</v>
      </c>
      <c r="B2345" s="3" t="str">
        <f>"1377290"</f>
        <v>1377290</v>
      </c>
      <c r="C2345" s="3">
        <v>87316</v>
      </c>
      <c r="D2345" s="3" t="s">
        <v>8728</v>
      </c>
      <c r="E2345" s="3">
        <v>45292817</v>
      </c>
      <c r="F2345" s="3" t="s">
        <v>8729</v>
      </c>
      <c r="G2345" s="3" t="s">
        <v>8730</v>
      </c>
      <c r="H2345" s="3" t="s">
        <v>97</v>
      </c>
      <c r="I2345" s="3" t="s">
        <v>97</v>
      </c>
      <c r="J2345" s="3" t="s">
        <v>97</v>
      </c>
      <c r="K2345" s="3" t="s">
        <v>8731</v>
      </c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C2345" s="3"/>
      <c r="AD2345" s="3"/>
      <c r="AE2345" s="3"/>
      <c r="AF2345" s="3"/>
      <c r="AG2345" s="3"/>
      <c r="AH2345" s="3"/>
      <c r="AI2345" s="3"/>
      <c r="AJ2345" s="3"/>
      <c r="AK2345" s="3" t="s">
        <v>226</v>
      </c>
      <c r="AL2345" s="4">
        <v>40370</v>
      </c>
      <c r="AM2345" s="3"/>
      <c r="AN2345" s="3" t="s">
        <v>8729</v>
      </c>
    </row>
    <row r="2346" spans="1:40" x14ac:dyDescent="0.3">
      <c r="A2346" s="3">
        <v>2340</v>
      </c>
      <c r="B2346" s="3" t="str">
        <f>"1434774"</f>
        <v>1434774</v>
      </c>
      <c r="C2346" s="3">
        <v>88778</v>
      </c>
      <c r="D2346" s="3" t="s">
        <v>8732</v>
      </c>
      <c r="E2346" s="3">
        <v>20486107902</v>
      </c>
      <c r="F2346" s="3" t="s">
        <v>8512</v>
      </c>
      <c r="G2346" s="3" t="s">
        <v>8733</v>
      </c>
      <c r="H2346" s="3" t="s">
        <v>237</v>
      </c>
      <c r="I2346" s="3" t="s">
        <v>868</v>
      </c>
      <c r="J2346" s="3" t="s">
        <v>2537</v>
      </c>
      <c r="K2346" s="3" t="s">
        <v>8734</v>
      </c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C2346" s="3"/>
      <c r="AD2346" s="3"/>
      <c r="AE2346" s="3"/>
      <c r="AF2346" s="3"/>
      <c r="AG2346" s="3"/>
      <c r="AH2346" s="3"/>
      <c r="AI2346" s="3"/>
      <c r="AJ2346" s="3"/>
      <c r="AK2346" s="3" t="s">
        <v>187</v>
      </c>
      <c r="AL2346" s="4">
        <v>40479</v>
      </c>
      <c r="AM2346" s="3"/>
      <c r="AN2346" s="3" t="s">
        <v>8516</v>
      </c>
    </row>
    <row r="2347" spans="1:40" x14ac:dyDescent="0.3">
      <c r="A2347" s="3">
        <v>2341</v>
      </c>
      <c r="B2347" s="3" t="str">
        <f>"201300177160"</f>
        <v>201300177160</v>
      </c>
      <c r="C2347" s="3">
        <v>106447</v>
      </c>
      <c r="D2347" s="3" t="s">
        <v>8735</v>
      </c>
      <c r="E2347" s="3">
        <v>20486075865</v>
      </c>
      <c r="F2347" s="3" t="s">
        <v>8736</v>
      </c>
      <c r="G2347" s="3" t="s">
        <v>8737</v>
      </c>
      <c r="H2347" s="3" t="s">
        <v>237</v>
      </c>
      <c r="I2347" s="3" t="s">
        <v>868</v>
      </c>
      <c r="J2347" s="3" t="s">
        <v>2537</v>
      </c>
      <c r="K2347" s="3" t="s">
        <v>8738</v>
      </c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  <c r="AC2347" s="3"/>
      <c r="AD2347" s="3"/>
      <c r="AE2347" s="3"/>
      <c r="AF2347" s="3"/>
      <c r="AG2347" s="3"/>
      <c r="AH2347" s="3"/>
      <c r="AI2347" s="3"/>
      <c r="AJ2347" s="3"/>
      <c r="AK2347" s="3" t="s">
        <v>3557</v>
      </c>
      <c r="AL2347" s="4">
        <v>41598</v>
      </c>
      <c r="AM2347" s="3"/>
      <c r="AN2347" s="3" t="s">
        <v>8739</v>
      </c>
    </row>
    <row r="2348" spans="1:40" x14ac:dyDescent="0.3">
      <c r="A2348" s="3">
        <v>2342</v>
      </c>
      <c r="B2348" s="3" t="str">
        <f>"1379454"</f>
        <v>1379454</v>
      </c>
      <c r="C2348" s="3">
        <v>42567</v>
      </c>
      <c r="D2348" s="3" t="s">
        <v>8740</v>
      </c>
      <c r="E2348" s="3">
        <v>10023910689</v>
      </c>
      <c r="F2348" s="3" t="s">
        <v>8741</v>
      </c>
      <c r="G2348" s="3" t="s">
        <v>8742</v>
      </c>
      <c r="H2348" s="3" t="s">
        <v>222</v>
      </c>
      <c r="I2348" s="3" t="s">
        <v>223</v>
      </c>
      <c r="J2348" s="3" t="s">
        <v>224</v>
      </c>
      <c r="K2348" s="3" t="s">
        <v>8743</v>
      </c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  <c r="AC2348" s="3"/>
      <c r="AD2348" s="3"/>
      <c r="AE2348" s="3"/>
      <c r="AF2348" s="3"/>
      <c r="AG2348" s="3"/>
      <c r="AH2348" s="3"/>
      <c r="AI2348" s="3"/>
      <c r="AJ2348" s="3"/>
      <c r="AK2348" s="3" t="s">
        <v>81</v>
      </c>
      <c r="AL2348" s="4">
        <v>37448</v>
      </c>
      <c r="AM2348" s="3"/>
      <c r="AN2348" s="3"/>
    </row>
    <row r="2349" spans="1:40" x14ac:dyDescent="0.3">
      <c r="A2349" s="3">
        <v>2343</v>
      </c>
      <c r="B2349" s="3" t="str">
        <f>"201600105617"</f>
        <v>201600105617</v>
      </c>
      <c r="C2349" s="3">
        <v>122817</v>
      </c>
      <c r="D2349" s="3" t="s">
        <v>8744</v>
      </c>
      <c r="E2349" s="3">
        <v>10252166501</v>
      </c>
      <c r="F2349" s="3" t="s">
        <v>2436</v>
      </c>
      <c r="G2349" s="3" t="s">
        <v>8745</v>
      </c>
      <c r="H2349" s="3" t="s">
        <v>446</v>
      </c>
      <c r="I2349" s="3" t="s">
        <v>446</v>
      </c>
      <c r="J2349" s="3" t="s">
        <v>447</v>
      </c>
      <c r="K2349" s="3" t="s">
        <v>8746</v>
      </c>
      <c r="L2349" s="3" t="s">
        <v>5009</v>
      </c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C2349" s="3"/>
      <c r="AD2349" s="3"/>
      <c r="AE2349" s="3"/>
      <c r="AF2349" s="3"/>
      <c r="AG2349" s="3"/>
      <c r="AH2349" s="3"/>
      <c r="AI2349" s="3"/>
      <c r="AJ2349" s="3"/>
      <c r="AK2349" s="3" t="s">
        <v>8747</v>
      </c>
      <c r="AL2349" s="4">
        <v>42570</v>
      </c>
      <c r="AM2349" s="3"/>
      <c r="AN2349" s="3" t="s">
        <v>2436</v>
      </c>
    </row>
    <row r="2350" spans="1:40" ht="27.95" x14ac:dyDescent="0.3">
      <c r="A2350" s="3">
        <v>2344</v>
      </c>
      <c r="B2350" s="3" t="str">
        <f>"1377291"</f>
        <v>1377291</v>
      </c>
      <c r="C2350" s="3">
        <v>87311</v>
      </c>
      <c r="D2350" s="3" t="s">
        <v>8748</v>
      </c>
      <c r="E2350" s="3">
        <v>45292817</v>
      </c>
      <c r="F2350" s="3" t="s">
        <v>8729</v>
      </c>
      <c r="G2350" s="3" t="s">
        <v>8749</v>
      </c>
      <c r="H2350" s="3" t="s">
        <v>97</v>
      </c>
      <c r="I2350" s="3" t="s">
        <v>97</v>
      </c>
      <c r="J2350" s="3" t="s">
        <v>341</v>
      </c>
      <c r="K2350" s="3" t="s">
        <v>8750</v>
      </c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C2350" s="3"/>
      <c r="AD2350" s="3"/>
      <c r="AE2350" s="3"/>
      <c r="AF2350" s="3"/>
      <c r="AG2350" s="3"/>
      <c r="AH2350" s="3"/>
      <c r="AI2350" s="3"/>
      <c r="AJ2350" s="3"/>
      <c r="AK2350" s="3" t="s">
        <v>226</v>
      </c>
      <c r="AL2350" s="4">
        <v>40370</v>
      </c>
      <c r="AM2350" s="3"/>
      <c r="AN2350" s="3" t="s">
        <v>8751</v>
      </c>
    </row>
    <row r="2351" spans="1:40" ht="27.95" x14ac:dyDescent="0.3">
      <c r="A2351" s="3">
        <v>2345</v>
      </c>
      <c r="B2351" s="3" t="str">
        <f>"1560708"</f>
        <v>1560708</v>
      </c>
      <c r="C2351" s="3">
        <v>41296</v>
      </c>
      <c r="D2351" s="3" t="s">
        <v>8752</v>
      </c>
      <c r="E2351" s="3">
        <v>20100076749</v>
      </c>
      <c r="F2351" s="3" t="s">
        <v>159</v>
      </c>
      <c r="G2351" s="3" t="s">
        <v>160</v>
      </c>
      <c r="H2351" s="3" t="s">
        <v>56</v>
      </c>
      <c r="I2351" s="3" t="s">
        <v>56</v>
      </c>
      <c r="J2351" s="3" t="s">
        <v>277</v>
      </c>
      <c r="K2351" s="3" t="s">
        <v>8753</v>
      </c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  <c r="AC2351" s="3"/>
      <c r="AD2351" s="3"/>
      <c r="AE2351" s="3"/>
      <c r="AF2351" s="3"/>
      <c r="AG2351" s="3"/>
      <c r="AH2351" s="3"/>
      <c r="AI2351" s="3"/>
      <c r="AJ2351" s="3"/>
      <c r="AK2351" s="3" t="s">
        <v>525</v>
      </c>
      <c r="AL2351" s="4">
        <v>38622</v>
      </c>
      <c r="AM2351" s="3"/>
      <c r="AN2351" s="3"/>
    </row>
    <row r="2352" spans="1:40" ht="27.95" x14ac:dyDescent="0.3">
      <c r="A2352" s="3">
        <v>2346</v>
      </c>
      <c r="B2352" s="3" t="str">
        <f>"201600189024"</f>
        <v>201600189024</v>
      </c>
      <c r="C2352" s="3">
        <v>125641</v>
      </c>
      <c r="D2352" s="3" t="s">
        <v>8754</v>
      </c>
      <c r="E2352" s="3">
        <v>20536236202</v>
      </c>
      <c r="F2352" s="3" t="s">
        <v>1826</v>
      </c>
      <c r="G2352" s="3" t="s">
        <v>8755</v>
      </c>
      <c r="H2352" s="3" t="s">
        <v>216</v>
      </c>
      <c r="I2352" s="3" t="s">
        <v>216</v>
      </c>
      <c r="J2352" s="3" t="s">
        <v>216</v>
      </c>
      <c r="K2352" s="3" t="s">
        <v>8756</v>
      </c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  <c r="AC2352" s="3"/>
      <c r="AD2352" s="3"/>
      <c r="AE2352" s="3"/>
      <c r="AF2352" s="3"/>
      <c r="AG2352" s="3"/>
      <c r="AH2352" s="3"/>
      <c r="AI2352" s="3"/>
      <c r="AJ2352" s="3"/>
      <c r="AK2352" s="3" t="s">
        <v>525</v>
      </c>
      <c r="AL2352" s="4">
        <v>42731</v>
      </c>
      <c r="AM2352" s="3"/>
      <c r="AN2352" s="3" t="s">
        <v>1830</v>
      </c>
    </row>
    <row r="2353" spans="1:40" ht="27.95" x14ac:dyDescent="0.3">
      <c r="A2353" s="3">
        <v>2347</v>
      </c>
      <c r="B2353" s="3" t="str">
        <f>"201200177815"</f>
        <v>201200177815</v>
      </c>
      <c r="C2353" s="3">
        <v>98529</v>
      </c>
      <c r="D2353" s="3" t="s">
        <v>8757</v>
      </c>
      <c r="E2353" s="3">
        <v>20539568231</v>
      </c>
      <c r="F2353" s="3" t="s">
        <v>8758</v>
      </c>
      <c r="G2353" s="3" t="s">
        <v>8759</v>
      </c>
      <c r="H2353" s="3" t="s">
        <v>97</v>
      </c>
      <c r="I2353" s="3" t="s">
        <v>97</v>
      </c>
      <c r="J2353" s="3" t="s">
        <v>341</v>
      </c>
      <c r="K2353" s="3" t="s">
        <v>8760</v>
      </c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C2353" s="3"/>
      <c r="AD2353" s="3"/>
      <c r="AE2353" s="3"/>
      <c r="AF2353" s="3"/>
      <c r="AG2353" s="3"/>
      <c r="AH2353" s="3"/>
      <c r="AI2353" s="3"/>
      <c r="AJ2353" s="3"/>
      <c r="AK2353" s="3" t="s">
        <v>8761</v>
      </c>
      <c r="AL2353" s="4">
        <v>41193</v>
      </c>
      <c r="AM2353" s="3"/>
      <c r="AN2353" s="3" t="s">
        <v>8762</v>
      </c>
    </row>
    <row r="2354" spans="1:40" x14ac:dyDescent="0.3">
      <c r="A2354" s="3">
        <v>2348</v>
      </c>
      <c r="B2354" s="3" t="str">
        <f>"201600105620"</f>
        <v>201600105620</v>
      </c>
      <c r="C2354" s="3">
        <v>122816</v>
      </c>
      <c r="D2354" s="3" t="s">
        <v>8763</v>
      </c>
      <c r="E2354" s="3">
        <v>10252166501</v>
      </c>
      <c r="F2354" s="3" t="s">
        <v>2436</v>
      </c>
      <c r="G2354" s="3" t="s">
        <v>8745</v>
      </c>
      <c r="H2354" s="3" t="s">
        <v>446</v>
      </c>
      <c r="I2354" s="3" t="s">
        <v>446</v>
      </c>
      <c r="J2354" s="3" t="s">
        <v>447</v>
      </c>
      <c r="K2354" s="3" t="s">
        <v>8764</v>
      </c>
      <c r="L2354" s="3" t="s">
        <v>5009</v>
      </c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C2354" s="3"/>
      <c r="AD2354" s="3"/>
      <c r="AE2354" s="3"/>
      <c r="AF2354" s="3"/>
      <c r="AG2354" s="3"/>
      <c r="AH2354" s="3"/>
      <c r="AI2354" s="3"/>
      <c r="AJ2354" s="3"/>
      <c r="AK2354" s="3" t="s">
        <v>7829</v>
      </c>
      <c r="AL2354" s="4">
        <v>42570</v>
      </c>
      <c r="AM2354" s="3"/>
      <c r="AN2354" s="3" t="s">
        <v>2436</v>
      </c>
    </row>
    <row r="2355" spans="1:40" x14ac:dyDescent="0.3">
      <c r="A2355" s="3">
        <v>2349</v>
      </c>
      <c r="B2355" s="3" t="str">
        <f>"201300112409"</f>
        <v>201300112409</v>
      </c>
      <c r="C2355" s="3">
        <v>36683</v>
      </c>
      <c r="D2355" s="3" t="s">
        <v>8765</v>
      </c>
      <c r="E2355" s="3">
        <v>20534832240</v>
      </c>
      <c r="F2355" s="3" t="s">
        <v>8766</v>
      </c>
      <c r="G2355" s="3" t="s">
        <v>8767</v>
      </c>
      <c r="H2355" s="3" t="s">
        <v>216</v>
      </c>
      <c r="I2355" s="3" t="s">
        <v>216</v>
      </c>
      <c r="J2355" s="3" t="s">
        <v>216</v>
      </c>
      <c r="K2355" s="3" t="s">
        <v>8768</v>
      </c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  <c r="AC2355" s="3"/>
      <c r="AD2355" s="3"/>
      <c r="AE2355" s="3"/>
      <c r="AF2355" s="3"/>
      <c r="AG2355" s="3"/>
      <c r="AH2355" s="3"/>
      <c r="AI2355" s="3"/>
      <c r="AJ2355" s="3"/>
      <c r="AK2355" s="3" t="s">
        <v>538</v>
      </c>
      <c r="AL2355" s="3" t="s">
        <v>290</v>
      </c>
      <c r="AM2355" s="3"/>
      <c r="AN2355" s="3" t="s">
        <v>8769</v>
      </c>
    </row>
    <row r="2356" spans="1:40" x14ac:dyDescent="0.3">
      <c r="A2356" s="3">
        <v>2350</v>
      </c>
      <c r="B2356" s="3" t="str">
        <f>"201900138003"</f>
        <v>201900138003</v>
      </c>
      <c r="C2356" s="3">
        <v>146149</v>
      </c>
      <c r="D2356" s="3" t="s">
        <v>8770</v>
      </c>
      <c r="E2356" s="3">
        <v>20541678817</v>
      </c>
      <c r="F2356" s="3" t="s">
        <v>550</v>
      </c>
      <c r="G2356" s="3" t="s">
        <v>8771</v>
      </c>
      <c r="H2356" s="3" t="s">
        <v>97</v>
      </c>
      <c r="I2356" s="3" t="s">
        <v>97</v>
      </c>
      <c r="J2356" s="3" t="s">
        <v>144</v>
      </c>
      <c r="K2356" s="3" t="s">
        <v>8772</v>
      </c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  <c r="AC2356" s="3"/>
      <c r="AD2356" s="3"/>
      <c r="AE2356" s="3"/>
      <c r="AF2356" s="3"/>
      <c r="AG2356" s="3"/>
      <c r="AH2356" s="3"/>
      <c r="AI2356" s="3"/>
      <c r="AJ2356" s="3"/>
      <c r="AK2356" s="3" t="s">
        <v>2372</v>
      </c>
      <c r="AL2356" s="4">
        <v>43705</v>
      </c>
      <c r="AM2356" s="3"/>
      <c r="AN2356" s="3" t="s">
        <v>556</v>
      </c>
    </row>
    <row r="2357" spans="1:40" x14ac:dyDescent="0.3">
      <c r="A2357" s="3">
        <v>2351</v>
      </c>
      <c r="B2357" s="3" t="str">
        <f>"201500158824"</f>
        <v>201500158824</v>
      </c>
      <c r="C2357" s="3">
        <v>118341</v>
      </c>
      <c r="D2357" s="3" t="s">
        <v>8773</v>
      </c>
      <c r="E2357" s="3">
        <v>20539524888</v>
      </c>
      <c r="F2357" s="3" t="s">
        <v>4510</v>
      </c>
      <c r="G2357" s="3" t="s">
        <v>8774</v>
      </c>
      <c r="H2357" s="3" t="s">
        <v>97</v>
      </c>
      <c r="I2357" s="3" t="s">
        <v>97</v>
      </c>
      <c r="J2357" s="3" t="s">
        <v>705</v>
      </c>
      <c r="K2357" s="3" t="s">
        <v>8775</v>
      </c>
      <c r="L2357" s="3" t="s">
        <v>8776</v>
      </c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3"/>
      <c r="AF2357" s="3"/>
      <c r="AG2357" s="3"/>
      <c r="AH2357" s="3"/>
      <c r="AI2357" s="3"/>
      <c r="AJ2357" s="3"/>
      <c r="AK2357" s="3" t="s">
        <v>8777</v>
      </c>
      <c r="AL2357" s="4">
        <v>42333</v>
      </c>
      <c r="AM2357" s="3"/>
      <c r="AN2357" s="3" t="s">
        <v>4513</v>
      </c>
    </row>
    <row r="2358" spans="1:40" ht="27.95" x14ac:dyDescent="0.3">
      <c r="A2358" s="3">
        <v>2352</v>
      </c>
      <c r="B2358" s="3" t="str">
        <f>"201200158748"</f>
        <v>201200158748</v>
      </c>
      <c r="C2358" s="3">
        <v>21591</v>
      </c>
      <c r="D2358" s="3" t="s">
        <v>8778</v>
      </c>
      <c r="E2358" s="3">
        <v>10102339831</v>
      </c>
      <c r="F2358" s="3" t="s">
        <v>8779</v>
      </c>
      <c r="G2358" s="3" t="s">
        <v>8780</v>
      </c>
      <c r="H2358" s="3" t="s">
        <v>56</v>
      </c>
      <c r="I2358" s="3" t="s">
        <v>56</v>
      </c>
      <c r="J2358" s="3" t="s">
        <v>331</v>
      </c>
      <c r="K2358" s="3" t="s">
        <v>8781</v>
      </c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C2358" s="3"/>
      <c r="AD2358" s="3"/>
      <c r="AE2358" s="3"/>
      <c r="AF2358" s="3"/>
      <c r="AG2358" s="3"/>
      <c r="AH2358" s="3"/>
      <c r="AI2358" s="3"/>
      <c r="AJ2358" s="3"/>
      <c r="AK2358" s="3" t="s">
        <v>1586</v>
      </c>
      <c r="AL2358" s="4">
        <v>41143</v>
      </c>
      <c r="AM2358" s="3"/>
      <c r="AN2358" s="3" t="s">
        <v>8779</v>
      </c>
    </row>
    <row r="2359" spans="1:40" x14ac:dyDescent="0.3">
      <c r="A2359" s="3">
        <v>2353</v>
      </c>
      <c r="B2359" s="3" t="str">
        <f>"201700168368"</f>
        <v>201700168368</v>
      </c>
      <c r="C2359" s="3">
        <v>132292</v>
      </c>
      <c r="D2359" s="3" t="s">
        <v>8782</v>
      </c>
      <c r="E2359" s="3">
        <v>20601865760</v>
      </c>
      <c r="F2359" s="3" t="s">
        <v>8783</v>
      </c>
      <c r="G2359" s="3" t="s">
        <v>8784</v>
      </c>
      <c r="H2359" s="3" t="s">
        <v>56</v>
      </c>
      <c r="I2359" s="3" t="s">
        <v>56</v>
      </c>
      <c r="J2359" s="3" t="s">
        <v>2927</v>
      </c>
      <c r="K2359" s="3" t="s">
        <v>8785</v>
      </c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  <c r="AC2359" s="3"/>
      <c r="AD2359" s="3"/>
      <c r="AE2359" s="3"/>
      <c r="AF2359" s="3"/>
      <c r="AG2359" s="3"/>
      <c r="AH2359" s="3"/>
      <c r="AI2359" s="3"/>
      <c r="AJ2359" s="3"/>
      <c r="AK2359" s="3" t="s">
        <v>8786</v>
      </c>
      <c r="AL2359" s="4">
        <v>43032</v>
      </c>
      <c r="AM2359" s="3"/>
      <c r="AN2359" s="3" t="s">
        <v>8787</v>
      </c>
    </row>
    <row r="2360" spans="1:40" ht="27.95" x14ac:dyDescent="0.3">
      <c r="A2360" s="3">
        <v>2354</v>
      </c>
      <c r="B2360" s="3" t="str">
        <f>"1510060"</f>
        <v>1510060</v>
      </c>
      <c r="C2360" s="3">
        <v>93077</v>
      </c>
      <c r="D2360" s="3" t="s">
        <v>8788</v>
      </c>
      <c r="E2360" s="3">
        <v>10294500231</v>
      </c>
      <c r="F2360" s="3" t="s">
        <v>8789</v>
      </c>
      <c r="G2360" s="3" t="s">
        <v>8790</v>
      </c>
      <c r="H2360" s="3" t="s">
        <v>97</v>
      </c>
      <c r="I2360" s="3" t="s">
        <v>97</v>
      </c>
      <c r="J2360" s="3" t="s">
        <v>970</v>
      </c>
      <c r="K2360" s="3" t="s">
        <v>8791</v>
      </c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C2360" s="3"/>
      <c r="AD2360" s="3"/>
      <c r="AE2360" s="3"/>
      <c r="AF2360" s="3"/>
      <c r="AG2360" s="3"/>
      <c r="AH2360" s="3"/>
      <c r="AI2360" s="3"/>
      <c r="AJ2360" s="3"/>
      <c r="AK2360" s="3" t="s">
        <v>6685</v>
      </c>
      <c r="AL2360" s="4">
        <v>40856</v>
      </c>
      <c r="AM2360" s="3"/>
      <c r="AN2360" s="3" t="s">
        <v>8789</v>
      </c>
    </row>
    <row r="2361" spans="1:40" x14ac:dyDescent="0.3">
      <c r="A2361" s="3">
        <v>2355</v>
      </c>
      <c r="B2361" s="3" t="str">
        <f>"1319170"</f>
        <v>1319170</v>
      </c>
      <c r="C2361" s="3">
        <v>20835</v>
      </c>
      <c r="D2361" s="3" t="s">
        <v>8792</v>
      </c>
      <c r="E2361" s="3">
        <v>20183716183</v>
      </c>
      <c r="F2361" s="3" t="s">
        <v>4161</v>
      </c>
      <c r="G2361" s="3" t="s">
        <v>8793</v>
      </c>
      <c r="H2361" s="3" t="s">
        <v>56</v>
      </c>
      <c r="I2361" s="3" t="s">
        <v>56</v>
      </c>
      <c r="J2361" s="3" t="s">
        <v>56</v>
      </c>
      <c r="K2361" s="3" t="s">
        <v>8794</v>
      </c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  <c r="AG2361" s="3"/>
      <c r="AH2361" s="3"/>
      <c r="AI2361" s="3"/>
      <c r="AJ2361" s="3"/>
      <c r="AK2361" s="3" t="s">
        <v>1994</v>
      </c>
      <c r="AL2361" s="4">
        <v>37022</v>
      </c>
      <c r="AM2361" s="3"/>
      <c r="AN2361" s="3"/>
    </row>
    <row r="2362" spans="1:40" ht="27.95" x14ac:dyDescent="0.3">
      <c r="A2362" s="3">
        <v>2356</v>
      </c>
      <c r="B2362" s="3" t="str">
        <f>"1413971"</f>
        <v>1413971</v>
      </c>
      <c r="C2362" s="3">
        <v>85811</v>
      </c>
      <c r="D2362" s="3" t="s">
        <v>8795</v>
      </c>
      <c r="E2362" s="3">
        <v>10096364755</v>
      </c>
      <c r="F2362" s="3" t="s">
        <v>8796</v>
      </c>
      <c r="G2362" s="3" t="s">
        <v>8797</v>
      </c>
      <c r="H2362" s="3" t="s">
        <v>56</v>
      </c>
      <c r="I2362" s="3" t="s">
        <v>56</v>
      </c>
      <c r="J2362" s="3" t="s">
        <v>481</v>
      </c>
      <c r="K2362" s="3" t="s">
        <v>8798</v>
      </c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C2362" s="3"/>
      <c r="AD2362" s="3"/>
      <c r="AE2362" s="3"/>
      <c r="AF2362" s="3"/>
      <c r="AG2362" s="3"/>
      <c r="AH2362" s="3"/>
      <c r="AI2362" s="3"/>
      <c r="AJ2362" s="3"/>
      <c r="AK2362" s="3" t="s">
        <v>218</v>
      </c>
      <c r="AL2362" s="4">
        <v>40442</v>
      </c>
      <c r="AM2362" s="3"/>
      <c r="AN2362" s="3" t="s">
        <v>8796</v>
      </c>
    </row>
    <row r="2363" spans="1:40" x14ac:dyDescent="0.3">
      <c r="A2363" s="3">
        <v>2357</v>
      </c>
      <c r="B2363" s="3" t="str">
        <f>"1499695"</f>
        <v>1499695</v>
      </c>
      <c r="C2363" s="3">
        <v>93091</v>
      </c>
      <c r="D2363" s="3" t="s">
        <v>8799</v>
      </c>
      <c r="E2363" s="3">
        <v>10430477337</v>
      </c>
      <c r="F2363" s="3" t="s">
        <v>8800</v>
      </c>
      <c r="G2363" s="3" t="s">
        <v>8801</v>
      </c>
      <c r="H2363" s="3" t="s">
        <v>97</v>
      </c>
      <c r="I2363" s="3" t="s">
        <v>97</v>
      </c>
      <c r="J2363" s="3" t="s">
        <v>326</v>
      </c>
      <c r="K2363" s="3" t="s">
        <v>8802</v>
      </c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C2363" s="3"/>
      <c r="AD2363" s="3"/>
      <c r="AE2363" s="3"/>
      <c r="AF2363" s="3"/>
      <c r="AG2363" s="3"/>
      <c r="AH2363" s="3"/>
      <c r="AI2363" s="3"/>
      <c r="AJ2363" s="3"/>
      <c r="AK2363" s="3" t="s">
        <v>81</v>
      </c>
      <c r="AL2363" s="4">
        <v>40791</v>
      </c>
      <c r="AM2363" s="3"/>
      <c r="AN2363" s="3" t="s">
        <v>8800</v>
      </c>
    </row>
    <row r="2364" spans="1:40" x14ac:dyDescent="0.3">
      <c r="A2364" s="3">
        <v>2358</v>
      </c>
      <c r="B2364" s="3" t="str">
        <f>"201800008824"</f>
        <v>201800008824</v>
      </c>
      <c r="C2364" s="3">
        <v>134091</v>
      </c>
      <c r="D2364" s="3" t="s">
        <v>8803</v>
      </c>
      <c r="E2364" s="3">
        <v>20100366747</v>
      </c>
      <c r="F2364" s="3" t="s">
        <v>258</v>
      </c>
      <c r="G2364" s="3" t="s">
        <v>451</v>
      </c>
      <c r="H2364" s="3" t="s">
        <v>56</v>
      </c>
      <c r="I2364" s="3" t="s">
        <v>56</v>
      </c>
      <c r="J2364" s="3" t="s">
        <v>185</v>
      </c>
      <c r="K2364" s="3" t="s">
        <v>8804</v>
      </c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C2364" s="3"/>
      <c r="AD2364" s="3"/>
      <c r="AE2364" s="3"/>
      <c r="AF2364" s="3"/>
      <c r="AG2364" s="3"/>
      <c r="AH2364" s="3"/>
      <c r="AI2364" s="3"/>
      <c r="AJ2364" s="3"/>
      <c r="AK2364" s="3" t="s">
        <v>6487</v>
      </c>
      <c r="AL2364" s="4">
        <v>43125</v>
      </c>
      <c r="AM2364" s="3"/>
      <c r="AN2364" s="3" t="s">
        <v>262</v>
      </c>
    </row>
    <row r="2365" spans="1:40" x14ac:dyDescent="0.3">
      <c r="A2365" s="3">
        <v>2359</v>
      </c>
      <c r="B2365" s="3" t="str">
        <f>"201800122309"</f>
        <v>201800122309</v>
      </c>
      <c r="C2365" s="3">
        <v>137649</v>
      </c>
      <c r="D2365" s="3" t="s">
        <v>8805</v>
      </c>
      <c r="E2365" s="3">
        <v>10214937919</v>
      </c>
      <c r="F2365" s="3" t="s">
        <v>5080</v>
      </c>
      <c r="G2365" s="3" t="s">
        <v>6661</v>
      </c>
      <c r="H2365" s="3" t="s">
        <v>56</v>
      </c>
      <c r="I2365" s="3" t="s">
        <v>56</v>
      </c>
      <c r="J2365" s="3" t="s">
        <v>363</v>
      </c>
      <c r="K2365" s="3" t="s">
        <v>8806</v>
      </c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  <c r="AG2365" s="3"/>
      <c r="AH2365" s="3"/>
      <c r="AI2365" s="3"/>
      <c r="AJ2365" s="3"/>
      <c r="AK2365" s="3" t="s">
        <v>1341</v>
      </c>
      <c r="AL2365" s="4">
        <v>43313</v>
      </c>
      <c r="AM2365" s="3"/>
      <c r="AN2365" s="3" t="s">
        <v>8807</v>
      </c>
    </row>
    <row r="2366" spans="1:40" x14ac:dyDescent="0.3">
      <c r="A2366" s="3">
        <v>2360</v>
      </c>
      <c r="B2366" s="3" t="str">
        <f>"201400050607"</f>
        <v>201400050607</v>
      </c>
      <c r="C2366" s="3">
        <v>108236</v>
      </c>
      <c r="D2366" s="3" t="s">
        <v>8808</v>
      </c>
      <c r="E2366" s="3">
        <v>10209765107</v>
      </c>
      <c r="F2366" s="3" t="s">
        <v>8809</v>
      </c>
      <c r="G2366" s="3" t="s">
        <v>8810</v>
      </c>
      <c r="H2366" s="3" t="s">
        <v>237</v>
      </c>
      <c r="I2366" s="3" t="s">
        <v>238</v>
      </c>
      <c r="J2366" s="3" t="s">
        <v>238</v>
      </c>
      <c r="K2366" s="3" t="s">
        <v>8811</v>
      </c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C2366" s="3"/>
      <c r="AD2366" s="3"/>
      <c r="AE2366" s="3"/>
      <c r="AF2366" s="3"/>
      <c r="AG2366" s="3"/>
      <c r="AH2366" s="3"/>
      <c r="AI2366" s="3"/>
      <c r="AJ2366" s="3"/>
      <c r="AK2366" s="3" t="s">
        <v>81</v>
      </c>
      <c r="AL2366" s="4">
        <v>41781</v>
      </c>
      <c r="AM2366" s="3"/>
      <c r="AN2366" s="3" t="s">
        <v>8809</v>
      </c>
    </row>
    <row r="2367" spans="1:40" ht="27.95" x14ac:dyDescent="0.3">
      <c r="A2367" s="3">
        <v>2361</v>
      </c>
      <c r="B2367" s="3" t="str">
        <f>"201600118789"</f>
        <v>201600118789</v>
      </c>
      <c r="C2367" s="3">
        <v>123310</v>
      </c>
      <c r="D2367" s="3" t="s">
        <v>8812</v>
      </c>
      <c r="E2367" s="3">
        <v>20532873283</v>
      </c>
      <c r="F2367" s="3" t="s">
        <v>8813</v>
      </c>
      <c r="G2367" s="3" t="s">
        <v>8814</v>
      </c>
      <c r="H2367" s="3" t="s">
        <v>216</v>
      </c>
      <c r="I2367" s="3" t="s">
        <v>216</v>
      </c>
      <c r="J2367" s="3" t="s">
        <v>216</v>
      </c>
      <c r="K2367" s="3" t="s">
        <v>8815</v>
      </c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C2367" s="3"/>
      <c r="AD2367" s="3"/>
      <c r="AE2367" s="3"/>
      <c r="AF2367" s="3"/>
      <c r="AG2367" s="3"/>
      <c r="AH2367" s="3"/>
      <c r="AI2367" s="3"/>
      <c r="AJ2367" s="3"/>
      <c r="AK2367" s="3" t="s">
        <v>8816</v>
      </c>
      <c r="AL2367" s="4">
        <v>42600</v>
      </c>
      <c r="AM2367" s="3"/>
      <c r="AN2367" s="3" t="s">
        <v>8817</v>
      </c>
    </row>
    <row r="2368" spans="1:40" x14ac:dyDescent="0.3">
      <c r="A2368" s="3">
        <v>2362</v>
      </c>
      <c r="B2368" s="3" t="str">
        <f>"1944246"</f>
        <v>1944246</v>
      </c>
      <c r="C2368" s="3">
        <v>43713</v>
      </c>
      <c r="D2368" s="3" t="s">
        <v>8818</v>
      </c>
      <c r="E2368" s="3">
        <v>20479710806</v>
      </c>
      <c r="F2368" s="3" t="s">
        <v>8819</v>
      </c>
      <c r="G2368" s="3" t="s">
        <v>8820</v>
      </c>
      <c r="H2368" s="3" t="s">
        <v>318</v>
      </c>
      <c r="I2368" s="3" t="s">
        <v>319</v>
      </c>
      <c r="J2368" s="3" t="s">
        <v>319</v>
      </c>
      <c r="K2368" s="3" t="s">
        <v>8821</v>
      </c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C2368" s="3"/>
      <c r="AD2368" s="3"/>
      <c r="AE2368" s="3"/>
      <c r="AF2368" s="3"/>
      <c r="AG2368" s="3"/>
      <c r="AH2368" s="3"/>
      <c r="AI2368" s="3"/>
      <c r="AJ2368" s="3"/>
      <c r="AK2368" s="3" t="s">
        <v>81</v>
      </c>
      <c r="AL2368" s="4">
        <v>40144</v>
      </c>
      <c r="AM2368" s="3"/>
      <c r="AN2368" s="3"/>
    </row>
    <row r="2369" spans="1:40" x14ac:dyDescent="0.3">
      <c r="A2369" s="3">
        <v>2363</v>
      </c>
      <c r="B2369" s="3" t="str">
        <f>"1602155"</f>
        <v>1602155</v>
      </c>
      <c r="C2369" s="3">
        <v>35765</v>
      </c>
      <c r="D2369" s="3" t="s">
        <v>8822</v>
      </c>
      <c r="E2369" s="3">
        <v>10153760581</v>
      </c>
      <c r="F2369" s="3" t="s">
        <v>8823</v>
      </c>
      <c r="G2369" s="3" t="s">
        <v>8824</v>
      </c>
      <c r="H2369" s="3" t="s">
        <v>56</v>
      </c>
      <c r="I2369" s="3" t="s">
        <v>56</v>
      </c>
      <c r="J2369" s="3" t="s">
        <v>313</v>
      </c>
      <c r="K2369" s="3" t="s">
        <v>8825</v>
      </c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  <c r="AG2369" s="3"/>
      <c r="AH2369" s="3"/>
      <c r="AI2369" s="3"/>
      <c r="AJ2369" s="3"/>
      <c r="AK2369" s="3" t="s">
        <v>353</v>
      </c>
      <c r="AL2369" s="4">
        <v>38918</v>
      </c>
      <c r="AM2369" s="3"/>
      <c r="AN2369" s="3"/>
    </row>
    <row r="2370" spans="1:40" x14ac:dyDescent="0.3">
      <c r="A2370" s="3">
        <v>2364</v>
      </c>
      <c r="B2370" s="3" t="str">
        <f>"1159568"</f>
        <v>1159568</v>
      </c>
      <c r="C2370" s="3">
        <v>6134</v>
      </c>
      <c r="D2370" s="3">
        <v>1156564</v>
      </c>
      <c r="E2370" s="3">
        <v>10154279704</v>
      </c>
      <c r="F2370" s="3" t="s">
        <v>8826</v>
      </c>
      <c r="G2370" s="3" t="s">
        <v>8827</v>
      </c>
      <c r="H2370" s="3" t="s">
        <v>56</v>
      </c>
      <c r="I2370" s="3" t="s">
        <v>56</v>
      </c>
      <c r="J2370" s="3" t="s">
        <v>185</v>
      </c>
      <c r="K2370" s="3" t="s">
        <v>8828</v>
      </c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C2370" s="3"/>
      <c r="AD2370" s="3"/>
      <c r="AE2370" s="3"/>
      <c r="AF2370" s="3"/>
      <c r="AG2370" s="3"/>
      <c r="AH2370" s="3"/>
      <c r="AI2370" s="3"/>
      <c r="AJ2370" s="3"/>
      <c r="AK2370" s="3" t="s">
        <v>65</v>
      </c>
      <c r="AL2370" s="4">
        <v>35751</v>
      </c>
      <c r="AM2370" s="3"/>
      <c r="AN2370" s="3"/>
    </row>
    <row r="2371" spans="1:40" ht="27.95" x14ac:dyDescent="0.3">
      <c r="A2371" s="3">
        <v>2365</v>
      </c>
      <c r="B2371" s="3" t="str">
        <f>"1722674"</f>
        <v>1722674</v>
      </c>
      <c r="C2371" s="3">
        <v>61571</v>
      </c>
      <c r="D2371" s="3" t="s">
        <v>8829</v>
      </c>
      <c r="E2371" s="3">
        <v>20476130604</v>
      </c>
      <c r="F2371" s="3" t="s">
        <v>5142</v>
      </c>
      <c r="G2371" s="3" t="s">
        <v>8830</v>
      </c>
      <c r="H2371" s="3" t="s">
        <v>56</v>
      </c>
      <c r="I2371" s="3" t="s">
        <v>56</v>
      </c>
      <c r="J2371" s="3" t="s">
        <v>481</v>
      </c>
      <c r="K2371" s="3" t="s">
        <v>8831</v>
      </c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  <c r="AC2371" s="3"/>
      <c r="AD2371" s="3"/>
      <c r="AE2371" s="3"/>
      <c r="AF2371" s="3"/>
      <c r="AG2371" s="3"/>
      <c r="AH2371" s="3"/>
      <c r="AI2371" s="3"/>
      <c r="AJ2371" s="3"/>
      <c r="AK2371" s="3" t="s">
        <v>1341</v>
      </c>
      <c r="AL2371" s="4">
        <v>39356</v>
      </c>
      <c r="AM2371" s="3"/>
      <c r="AN2371" s="3"/>
    </row>
    <row r="2372" spans="1:40" x14ac:dyDescent="0.3">
      <c r="A2372" s="3">
        <v>2366</v>
      </c>
      <c r="B2372" s="3" t="str">
        <f>"1470909"</f>
        <v>1470909</v>
      </c>
      <c r="C2372" s="3">
        <v>38226</v>
      </c>
      <c r="D2372" s="3" t="s">
        <v>8832</v>
      </c>
      <c r="E2372" s="3">
        <v>10158441832</v>
      </c>
      <c r="F2372" s="3" t="s">
        <v>8833</v>
      </c>
      <c r="G2372" s="3" t="s">
        <v>8834</v>
      </c>
      <c r="H2372" s="3" t="s">
        <v>56</v>
      </c>
      <c r="I2372" s="3" t="s">
        <v>3997</v>
      </c>
      <c r="J2372" s="3" t="s">
        <v>8835</v>
      </c>
      <c r="K2372" s="3" t="s">
        <v>8836</v>
      </c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  <c r="AC2372" s="3"/>
      <c r="AD2372" s="3"/>
      <c r="AE2372" s="3"/>
      <c r="AF2372" s="3"/>
      <c r="AG2372" s="3"/>
      <c r="AH2372" s="3"/>
      <c r="AI2372" s="3"/>
      <c r="AJ2372" s="3"/>
      <c r="AK2372" s="3" t="s">
        <v>167</v>
      </c>
      <c r="AL2372" s="4">
        <v>38156</v>
      </c>
      <c r="AM2372" s="3"/>
      <c r="AN2372" s="3"/>
    </row>
    <row r="2373" spans="1:40" x14ac:dyDescent="0.3">
      <c r="A2373" s="3">
        <v>2367</v>
      </c>
      <c r="B2373" s="3" t="str">
        <f>"201600057765"</f>
        <v>201600057765</v>
      </c>
      <c r="C2373" s="3">
        <v>61592</v>
      </c>
      <c r="D2373" s="3" t="s">
        <v>8837</v>
      </c>
      <c r="E2373" s="3">
        <v>20262254268</v>
      </c>
      <c r="F2373" s="3" t="s">
        <v>103</v>
      </c>
      <c r="G2373" s="3" t="s">
        <v>8838</v>
      </c>
      <c r="H2373" s="3" t="s">
        <v>56</v>
      </c>
      <c r="I2373" s="3" t="s">
        <v>56</v>
      </c>
      <c r="J2373" s="3" t="s">
        <v>105</v>
      </c>
      <c r="K2373" s="3" t="s">
        <v>8839</v>
      </c>
      <c r="L2373" s="3" t="s">
        <v>111</v>
      </c>
      <c r="M2373" s="3" t="s">
        <v>109</v>
      </c>
      <c r="N2373" s="3" t="s">
        <v>1075</v>
      </c>
      <c r="O2373" s="3" t="s">
        <v>1074</v>
      </c>
      <c r="P2373" s="3" t="s">
        <v>1076</v>
      </c>
      <c r="Q2373" s="3" t="s">
        <v>1072</v>
      </c>
      <c r="R2373" s="3" t="s">
        <v>863</v>
      </c>
      <c r="S2373" s="3" t="s">
        <v>1078</v>
      </c>
      <c r="T2373" s="3" t="s">
        <v>1079</v>
      </c>
      <c r="U2373" s="3" t="s">
        <v>1073</v>
      </c>
      <c r="V2373" s="3"/>
      <c r="W2373" s="3"/>
      <c r="X2373" s="3"/>
      <c r="Y2373" s="3"/>
      <c r="Z2373" s="3"/>
      <c r="AA2373" s="3"/>
      <c r="AB2373" s="3"/>
      <c r="AC2373" s="3"/>
      <c r="AD2373" s="3"/>
      <c r="AE2373" s="3"/>
      <c r="AF2373" s="3"/>
      <c r="AG2373" s="3"/>
      <c r="AH2373" s="3"/>
      <c r="AI2373" s="3"/>
      <c r="AJ2373" s="3"/>
      <c r="AK2373" s="3" t="s">
        <v>864</v>
      </c>
      <c r="AL2373" s="4">
        <v>42499</v>
      </c>
      <c r="AM2373" s="3"/>
      <c r="AN2373" s="3" t="s">
        <v>113</v>
      </c>
    </row>
    <row r="2374" spans="1:40" x14ac:dyDescent="0.3">
      <c r="A2374" s="3">
        <v>2368</v>
      </c>
      <c r="B2374" s="3" t="str">
        <f>"1652005"</f>
        <v>1652005</v>
      </c>
      <c r="C2374" s="3">
        <v>44271</v>
      </c>
      <c r="D2374" s="3" t="s">
        <v>8840</v>
      </c>
      <c r="E2374" s="3">
        <v>20313996531</v>
      </c>
      <c r="F2374" s="3" t="s">
        <v>8841</v>
      </c>
      <c r="G2374" s="3" t="s">
        <v>8842</v>
      </c>
      <c r="H2374" s="3" t="s">
        <v>318</v>
      </c>
      <c r="I2374" s="3" t="s">
        <v>319</v>
      </c>
      <c r="J2374" s="3" t="s">
        <v>8843</v>
      </c>
      <c r="K2374" s="3" t="s">
        <v>8844</v>
      </c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C2374" s="3"/>
      <c r="AD2374" s="3"/>
      <c r="AE2374" s="3"/>
      <c r="AF2374" s="3"/>
      <c r="AG2374" s="3"/>
      <c r="AH2374" s="3"/>
      <c r="AI2374" s="3"/>
      <c r="AJ2374" s="3"/>
      <c r="AK2374" s="3" t="s">
        <v>906</v>
      </c>
      <c r="AL2374" s="4">
        <v>39038</v>
      </c>
      <c r="AM2374" s="3"/>
      <c r="AN2374" s="3"/>
    </row>
    <row r="2375" spans="1:40" ht="27.95" x14ac:dyDescent="0.3">
      <c r="A2375" s="3">
        <v>2369</v>
      </c>
      <c r="B2375" s="3" t="str">
        <f>"201600118798"</f>
        <v>201600118798</v>
      </c>
      <c r="C2375" s="3">
        <v>123308</v>
      </c>
      <c r="D2375" s="3" t="s">
        <v>8845</v>
      </c>
      <c r="E2375" s="3">
        <v>20532873283</v>
      </c>
      <c r="F2375" s="3" t="s">
        <v>8813</v>
      </c>
      <c r="G2375" s="3" t="s">
        <v>8814</v>
      </c>
      <c r="H2375" s="3" t="s">
        <v>216</v>
      </c>
      <c r="I2375" s="3" t="s">
        <v>216</v>
      </c>
      <c r="J2375" s="3" t="s">
        <v>216</v>
      </c>
      <c r="K2375" s="3" t="s">
        <v>8846</v>
      </c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  <c r="AC2375" s="3"/>
      <c r="AD2375" s="3"/>
      <c r="AE2375" s="3"/>
      <c r="AF2375" s="3"/>
      <c r="AG2375" s="3"/>
      <c r="AH2375" s="3"/>
      <c r="AI2375" s="3"/>
      <c r="AJ2375" s="3"/>
      <c r="AK2375" s="3" t="s">
        <v>1497</v>
      </c>
      <c r="AL2375" s="4">
        <v>42600</v>
      </c>
      <c r="AM2375" s="3"/>
      <c r="AN2375" s="3" t="s">
        <v>8817</v>
      </c>
    </row>
    <row r="2376" spans="1:40" x14ac:dyDescent="0.3">
      <c r="A2376" s="3">
        <v>2370</v>
      </c>
      <c r="B2376" s="3" t="str">
        <f>"1336406"</f>
        <v>1336406</v>
      </c>
      <c r="C2376" s="3">
        <v>21279</v>
      </c>
      <c r="D2376" s="3" t="s">
        <v>8847</v>
      </c>
      <c r="E2376" s="3">
        <v>10070098135</v>
      </c>
      <c r="F2376" s="3" t="s">
        <v>4612</v>
      </c>
      <c r="G2376" s="3" t="s">
        <v>8848</v>
      </c>
      <c r="H2376" s="3" t="s">
        <v>56</v>
      </c>
      <c r="I2376" s="3" t="s">
        <v>56</v>
      </c>
      <c r="J2376" s="3" t="s">
        <v>121</v>
      </c>
      <c r="K2376" s="3" t="s">
        <v>8849</v>
      </c>
      <c r="L2376" s="3" t="s">
        <v>8850</v>
      </c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  <c r="AC2376" s="3"/>
      <c r="AD2376" s="3"/>
      <c r="AE2376" s="3"/>
      <c r="AF2376" s="3"/>
      <c r="AG2376" s="3"/>
      <c r="AH2376" s="3"/>
      <c r="AI2376" s="3"/>
      <c r="AJ2376" s="3"/>
      <c r="AK2376" s="3" t="s">
        <v>8659</v>
      </c>
      <c r="AL2376" s="4">
        <v>37161</v>
      </c>
      <c r="AM2376" s="3"/>
      <c r="AN2376" s="3"/>
    </row>
    <row r="2377" spans="1:40" x14ac:dyDescent="0.3">
      <c r="A2377" s="3">
        <v>2371</v>
      </c>
      <c r="B2377" s="3" t="str">
        <f>"201300194031"</f>
        <v>201300194031</v>
      </c>
      <c r="C2377" s="3">
        <v>107105</v>
      </c>
      <c r="D2377" s="3" t="s">
        <v>8851</v>
      </c>
      <c r="E2377" s="3">
        <v>20408003106</v>
      </c>
      <c r="F2377" s="3" t="s">
        <v>3183</v>
      </c>
      <c r="G2377" s="3" t="s">
        <v>5033</v>
      </c>
      <c r="H2377" s="3" t="s">
        <v>271</v>
      </c>
      <c r="I2377" s="3" t="s">
        <v>272</v>
      </c>
      <c r="J2377" s="3" t="s">
        <v>272</v>
      </c>
      <c r="K2377" s="3" t="s">
        <v>8852</v>
      </c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C2377" s="3"/>
      <c r="AD2377" s="3"/>
      <c r="AE2377" s="3"/>
      <c r="AF2377" s="3"/>
      <c r="AG2377" s="3"/>
      <c r="AH2377" s="3"/>
      <c r="AI2377" s="3"/>
      <c r="AJ2377" s="3"/>
      <c r="AK2377" s="3" t="s">
        <v>52</v>
      </c>
      <c r="AL2377" s="4">
        <v>41648</v>
      </c>
      <c r="AM2377" s="3"/>
      <c r="AN2377" s="3" t="s">
        <v>8853</v>
      </c>
    </row>
    <row r="2378" spans="1:40" x14ac:dyDescent="0.3">
      <c r="A2378" s="3">
        <v>2372</v>
      </c>
      <c r="B2378" s="3" t="str">
        <f>"1345061"</f>
        <v>1345061</v>
      </c>
      <c r="C2378" s="3">
        <v>3595</v>
      </c>
      <c r="D2378" s="3" t="s">
        <v>8854</v>
      </c>
      <c r="E2378" s="3">
        <v>10089502336</v>
      </c>
      <c r="F2378" s="3" t="s">
        <v>535</v>
      </c>
      <c r="G2378" s="3" t="s">
        <v>8855</v>
      </c>
      <c r="H2378" s="3" t="s">
        <v>56</v>
      </c>
      <c r="I2378" s="3" t="s">
        <v>56</v>
      </c>
      <c r="J2378" s="3" t="s">
        <v>331</v>
      </c>
      <c r="K2378" s="3" t="s">
        <v>8856</v>
      </c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C2378" s="3"/>
      <c r="AD2378" s="3"/>
      <c r="AE2378" s="3"/>
      <c r="AF2378" s="3"/>
      <c r="AG2378" s="3"/>
      <c r="AH2378" s="3"/>
      <c r="AI2378" s="3"/>
      <c r="AJ2378" s="3"/>
      <c r="AK2378" s="3" t="s">
        <v>1626</v>
      </c>
      <c r="AL2378" s="4">
        <v>37242</v>
      </c>
      <c r="AM2378" s="3"/>
      <c r="AN2378" s="3"/>
    </row>
    <row r="2379" spans="1:40" ht="27.95" x14ac:dyDescent="0.3">
      <c r="A2379" s="3">
        <v>2373</v>
      </c>
      <c r="B2379" s="3" t="str">
        <f>"1735718"</f>
        <v>1735718</v>
      </c>
      <c r="C2379" s="3">
        <v>61559</v>
      </c>
      <c r="D2379" s="3" t="s">
        <v>8857</v>
      </c>
      <c r="E2379" s="3">
        <v>20498201513</v>
      </c>
      <c r="F2379" s="3" t="s">
        <v>8858</v>
      </c>
      <c r="G2379" s="3" t="s">
        <v>8859</v>
      </c>
      <c r="H2379" s="3" t="s">
        <v>97</v>
      </c>
      <c r="I2379" s="3" t="s">
        <v>97</v>
      </c>
      <c r="J2379" s="3" t="s">
        <v>97</v>
      </c>
      <c r="K2379" s="3" t="s">
        <v>8860</v>
      </c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  <c r="AC2379" s="3"/>
      <c r="AD2379" s="3"/>
      <c r="AE2379" s="3"/>
      <c r="AF2379" s="3"/>
      <c r="AG2379" s="3"/>
      <c r="AH2379" s="3"/>
      <c r="AI2379" s="3"/>
      <c r="AJ2379" s="3"/>
      <c r="AK2379" s="3" t="s">
        <v>233</v>
      </c>
      <c r="AL2379" s="4">
        <v>39393</v>
      </c>
      <c r="AM2379" s="3"/>
      <c r="AN2379" s="3"/>
    </row>
    <row r="2380" spans="1:40" x14ac:dyDescent="0.3">
      <c r="A2380" s="3">
        <v>2374</v>
      </c>
      <c r="B2380" s="3" t="str">
        <f>"1380577"</f>
        <v>1380577</v>
      </c>
      <c r="C2380" s="3">
        <v>87542</v>
      </c>
      <c r="D2380" s="3" t="s">
        <v>8861</v>
      </c>
      <c r="E2380" s="3">
        <v>20443435680</v>
      </c>
      <c r="F2380" s="3" t="s">
        <v>8862</v>
      </c>
      <c r="G2380" s="3" t="s">
        <v>8863</v>
      </c>
      <c r="H2380" s="3" t="s">
        <v>237</v>
      </c>
      <c r="I2380" s="3" t="s">
        <v>868</v>
      </c>
      <c r="J2380" s="3" t="s">
        <v>868</v>
      </c>
      <c r="K2380" s="3" t="s">
        <v>8864</v>
      </c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  <c r="AC2380" s="3"/>
      <c r="AD2380" s="3"/>
      <c r="AE2380" s="3"/>
      <c r="AF2380" s="3"/>
      <c r="AG2380" s="3"/>
      <c r="AH2380" s="3"/>
      <c r="AI2380" s="3"/>
      <c r="AJ2380" s="3"/>
      <c r="AK2380" s="3" t="s">
        <v>8865</v>
      </c>
      <c r="AL2380" s="4">
        <v>40375</v>
      </c>
      <c r="AM2380" s="3"/>
      <c r="AN2380" s="3" t="s">
        <v>8866</v>
      </c>
    </row>
    <row r="2381" spans="1:40" x14ac:dyDescent="0.3">
      <c r="A2381" s="3">
        <v>2375</v>
      </c>
      <c r="B2381" s="3" t="str">
        <f>"1496249"</f>
        <v>1496249</v>
      </c>
      <c r="C2381" s="3">
        <v>93454</v>
      </c>
      <c r="D2381" s="3" t="s">
        <v>8867</v>
      </c>
      <c r="E2381" s="3">
        <v>20543992942</v>
      </c>
      <c r="F2381" s="3" t="s">
        <v>540</v>
      </c>
      <c r="G2381" s="3" t="s">
        <v>8868</v>
      </c>
      <c r="H2381" s="3" t="s">
        <v>56</v>
      </c>
      <c r="I2381" s="3" t="s">
        <v>56</v>
      </c>
      <c r="J2381" s="3" t="s">
        <v>380</v>
      </c>
      <c r="K2381" s="3" t="s">
        <v>8869</v>
      </c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C2381" s="3"/>
      <c r="AD2381" s="3"/>
      <c r="AE2381" s="3"/>
      <c r="AF2381" s="3"/>
      <c r="AG2381" s="3"/>
      <c r="AH2381" s="3"/>
      <c r="AI2381" s="3"/>
      <c r="AJ2381" s="3"/>
      <c r="AK2381" s="3" t="s">
        <v>1341</v>
      </c>
      <c r="AL2381" s="4">
        <v>40773</v>
      </c>
      <c r="AM2381" s="3"/>
      <c r="AN2381" s="3" t="s">
        <v>543</v>
      </c>
    </row>
    <row r="2382" spans="1:40" x14ac:dyDescent="0.3">
      <c r="A2382" s="3">
        <v>2376</v>
      </c>
      <c r="B2382" s="3" t="str">
        <f>"202000145459"</f>
        <v>202000145459</v>
      </c>
      <c r="C2382" s="3">
        <v>151930</v>
      </c>
      <c r="D2382" s="3" t="s">
        <v>8870</v>
      </c>
      <c r="E2382" s="3">
        <v>10027450968</v>
      </c>
      <c r="F2382" s="3" t="s">
        <v>8871</v>
      </c>
      <c r="G2382" s="3" t="s">
        <v>8872</v>
      </c>
      <c r="H2382" s="3" t="s">
        <v>50</v>
      </c>
      <c r="I2382" s="3" t="s">
        <v>50</v>
      </c>
      <c r="J2382" s="3" t="s">
        <v>8873</v>
      </c>
      <c r="K2382" s="3" t="s">
        <v>8874</v>
      </c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C2382" s="3"/>
      <c r="AD2382" s="3"/>
      <c r="AE2382" s="3"/>
      <c r="AF2382" s="3"/>
      <c r="AG2382" s="3"/>
      <c r="AH2382" s="3"/>
      <c r="AI2382" s="3"/>
      <c r="AJ2382" s="3"/>
      <c r="AK2382" s="3" t="s">
        <v>679</v>
      </c>
      <c r="AL2382" s="4">
        <v>44127</v>
      </c>
      <c r="AM2382" s="3"/>
      <c r="AN2382" s="3" t="s">
        <v>8871</v>
      </c>
    </row>
    <row r="2383" spans="1:40" x14ac:dyDescent="0.3">
      <c r="A2383" s="3">
        <v>2377</v>
      </c>
      <c r="B2383" s="3" t="str">
        <f>"1496243"</f>
        <v>1496243</v>
      </c>
      <c r="C2383" s="3">
        <v>93451</v>
      </c>
      <c r="D2383" s="3" t="s">
        <v>8875</v>
      </c>
      <c r="E2383" s="3">
        <v>20543992942</v>
      </c>
      <c r="F2383" s="3" t="s">
        <v>540</v>
      </c>
      <c r="G2383" s="3" t="s">
        <v>8868</v>
      </c>
      <c r="H2383" s="3" t="s">
        <v>56</v>
      </c>
      <c r="I2383" s="3" t="s">
        <v>56</v>
      </c>
      <c r="J2383" s="3" t="s">
        <v>380</v>
      </c>
      <c r="K2383" s="3" t="s">
        <v>8876</v>
      </c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  <c r="AC2383" s="3"/>
      <c r="AD2383" s="3"/>
      <c r="AE2383" s="3"/>
      <c r="AF2383" s="3"/>
      <c r="AG2383" s="3"/>
      <c r="AH2383" s="3"/>
      <c r="AI2383" s="3"/>
      <c r="AJ2383" s="3"/>
      <c r="AK2383" s="3" t="s">
        <v>1341</v>
      </c>
      <c r="AL2383" s="4">
        <v>40773</v>
      </c>
      <c r="AM2383" s="3"/>
      <c r="AN2383" s="3" t="s">
        <v>543</v>
      </c>
    </row>
    <row r="2384" spans="1:40" x14ac:dyDescent="0.3">
      <c r="A2384" s="3">
        <v>2378</v>
      </c>
      <c r="B2384" s="3" t="str">
        <f>"201900073810"</f>
        <v>201900073810</v>
      </c>
      <c r="C2384" s="3">
        <v>62034</v>
      </c>
      <c r="D2384" s="3" t="s">
        <v>8877</v>
      </c>
      <c r="E2384" s="3">
        <v>20351516560</v>
      </c>
      <c r="F2384" s="3" t="s">
        <v>5567</v>
      </c>
      <c r="G2384" s="3" t="s">
        <v>8878</v>
      </c>
      <c r="H2384" s="3" t="s">
        <v>395</v>
      </c>
      <c r="I2384" s="3" t="s">
        <v>396</v>
      </c>
      <c r="J2384" s="3" t="s">
        <v>397</v>
      </c>
      <c r="K2384" s="3" t="s">
        <v>8879</v>
      </c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  <c r="AC2384" s="3"/>
      <c r="AD2384" s="3"/>
      <c r="AE2384" s="3"/>
      <c r="AF2384" s="3"/>
      <c r="AG2384" s="3"/>
      <c r="AH2384" s="3"/>
      <c r="AI2384" s="3"/>
      <c r="AJ2384" s="3"/>
      <c r="AK2384" s="3" t="s">
        <v>157</v>
      </c>
      <c r="AL2384" s="4">
        <v>43598</v>
      </c>
      <c r="AM2384" s="3"/>
      <c r="AN2384" s="3" t="s">
        <v>8880</v>
      </c>
    </row>
    <row r="2385" spans="1:40" x14ac:dyDescent="0.3">
      <c r="A2385" s="3">
        <v>2379</v>
      </c>
      <c r="B2385" s="3" t="str">
        <f>"1657408"</f>
        <v>1657408</v>
      </c>
      <c r="C2385" s="3">
        <v>44767</v>
      </c>
      <c r="D2385" s="3" t="s">
        <v>8881</v>
      </c>
      <c r="E2385" s="3">
        <v>20510348304</v>
      </c>
      <c r="F2385" s="3" t="s">
        <v>8882</v>
      </c>
      <c r="G2385" s="3" t="s">
        <v>8883</v>
      </c>
      <c r="H2385" s="3" t="s">
        <v>56</v>
      </c>
      <c r="I2385" s="3" t="s">
        <v>56</v>
      </c>
      <c r="J2385" s="3" t="s">
        <v>432</v>
      </c>
      <c r="K2385" s="3" t="s">
        <v>8884</v>
      </c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C2385" s="3"/>
      <c r="AD2385" s="3"/>
      <c r="AE2385" s="3"/>
      <c r="AF2385" s="3"/>
      <c r="AG2385" s="3"/>
      <c r="AH2385" s="3"/>
      <c r="AI2385" s="3"/>
      <c r="AJ2385" s="3"/>
      <c r="AK2385" s="3" t="s">
        <v>434</v>
      </c>
      <c r="AL2385" s="4">
        <v>39073</v>
      </c>
      <c r="AM2385" s="3"/>
      <c r="AN2385" s="3"/>
    </row>
    <row r="2386" spans="1:40" x14ac:dyDescent="0.3">
      <c r="A2386" s="3">
        <v>2380</v>
      </c>
      <c r="B2386" s="3" t="str">
        <f>"1410601"</f>
        <v>1410601</v>
      </c>
      <c r="C2386" s="3">
        <v>31973</v>
      </c>
      <c r="D2386" s="3" t="s">
        <v>8885</v>
      </c>
      <c r="E2386" s="3">
        <v>20440337041</v>
      </c>
      <c r="F2386" s="3" t="s">
        <v>8886</v>
      </c>
      <c r="G2386" s="3" t="s">
        <v>950</v>
      </c>
      <c r="H2386" s="3" t="s">
        <v>44</v>
      </c>
      <c r="I2386" s="3" t="s">
        <v>45</v>
      </c>
      <c r="J2386" s="3" t="s">
        <v>45</v>
      </c>
      <c r="K2386" s="3" t="s">
        <v>8887</v>
      </c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C2386" s="3"/>
      <c r="AD2386" s="3"/>
      <c r="AE2386" s="3"/>
      <c r="AF2386" s="3"/>
      <c r="AG2386" s="3"/>
      <c r="AH2386" s="3"/>
      <c r="AI2386" s="3"/>
      <c r="AJ2386" s="3"/>
      <c r="AK2386" s="3" t="s">
        <v>802</v>
      </c>
      <c r="AL2386" s="4">
        <v>37725</v>
      </c>
      <c r="AM2386" s="3"/>
      <c r="AN2386" s="3"/>
    </row>
    <row r="2387" spans="1:40" x14ac:dyDescent="0.3">
      <c r="A2387" s="3">
        <v>2381</v>
      </c>
      <c r="B2387" s="3" t="str">
        <f>"1410604"</f>
        <v>1410604</v>
      </c>
      <c r="C2387" s="3">
        <v>31968</v>
      </c>
      <c r="D2387" s="3" t="s">
        <v>8888</v>
      </c>
      <c r="E2387" s="3">
        <v>20440337041</v>
      </c>
      <c r="F2387" s="3" t="s">
        <v>8886</v>
      </c>
      <c r="G2387" s="3" t="s">
        <v>950</v>
      </c>
      <c r="H2387" s="3" t="s">
        <v>44</v>
      </c>
      <c r="I2387" s="3" t="s">
        <v>45</v>
      </c>
      <c r="J2387" s="3" t="s">
        <v>45</v>
      </c>
      <c r="K2387" s="3" t="s">
        <v>8889</v>
      </c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C2387" s="3"/>
      <c r="AD2387" s="3"/>
      <c r="AE2387" s="3"/>
      <c r="AF2387" s="3"/>
      <c r="AG2387" s="3"/>
      <c r="AH2387" s="3"/>
      <c r="AI2387" s="3"/>
      <c r="AJ2387" s="3"/>
      <c r="AK2387" s="3" t="s">
        <v>47</v>
      </c>
      <c r="AL2387" s="4">
        <v>37725</v>
      </c>
      <c r="AM2387" s="3"/>
      <c r="AN2387" s="3"/>
    </row>
    <row r="2388" spans="1:40" x14ac:dyDescent="0.3">
      <c r="A2388" s="3">
        <v>2382</v>
      </c>
      <c r="B2388" s="3" t="str">
        <f>"201600035033"</f>
        <v>201600035033</v>
      </c>
      <c r="C2388" s="3">
        <v>120330</v>
      </c>
      <c r="D2388" s="3" t="s">
        <v>8890</v>
      </c>
      <c r="E2388" s="3">
        <v>20100366747</v>
      </c>
      <c r="F2388" s="3" t="s">
        <v>8891</v>
      </c>
      <c r="G2388" s="3" t="s">
        <v>8892</v>
      </c>
      <c r="H2388" s="3" t="s">
        <v>56</v>
      </c>
      <c r="I2388" s="3" t="s">
        <v>56</v>
      </c>
      <c r="J2388" s="3" t="s">
        <v>185</v>
      </c>
      <c r="K2388" s="3" t="s">
        <v>8893</v>
      </c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  <c r="AC2388" s="3"/>
      <c r="AD2388" s="3"/>
      <c r="AE2388" s="3"/>
      <c r="AF2388" s="3"/>
      <c r="AG2388" s="3"/>
      <c r="AH2388" s="3"/>
      <c r="AI2388" s="3"/>
      <c r="AJ2388" s="3"/>
      <c r="AK2388" s="3" t="s">
        <v>8055</v>
      </c>
      <c r="AL2388" s="4">
        <v>42457</v>
      </c>
      <c r="AM2388" s="3"/>
      <c r="AN2388" s="3" t="s">
        <v>262</v>
      </c>
    </row>
    <row r="2389" spans="1:40" x14ac:dyDescent="0.3">
      <c r="A2389" s="3">
        <v>2383</v>
      </c>
      <c r="B2389" s="3" t="str">
        <f>"1911614"</f>
        <v>1911614</v>
      </c>
      <c r="C2389" s="3">
        <v>82538</v>
      </c>
      <c r="D2389" s="3" t="s">
        <v>8894</v>
      </c>
      <c r="E2389" s="3">
        <v>20349264413</v>
      </c>
      <c r="F2389" s="3" t="s">
        <v>287</v>
      </c>
      <c r="G2389" s="3" t="s">
        <v>8895</v>
      </c>
      <c r="H2389" s="3" t="s">
        <v>44</v>
      </c>
      <c r="I2389" s="3" t="s">
        <v>45</v>
      </c>
      <c r="J2389" s="3" t="s">
        <v>726</v>
      </c>
      <c r="K2389" s="3" t="s">
        <v>8896</v>
      </c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C2389" s="3"/>
      <c r="AD2389" s="3"/>
      <c r="AE2389" s="3"/>
      <c r="AF2389" s="3"/>
      <c r="AG2389" s="3"/>
      <c r="AH2389" s="3"/>
      <c r="AI2389" s="3"/>
      <c r="AJ2389" s="3"/>
      <c r="AK2389" s="3" t="s">
        <v>1467</v>
      </c>
      <c r="AL2389" s="4">
        <v>40035</v>
      </c>
      <c r="AM2389" s="3"/>
      <c r="AN2389" s="3"/>
    </row>
    <row r="2390" spans="1:40" ht="27.95" x14ac:dyDescent="0.3">
      <c r="A2390" s="3">
        <v>2384</v>
      </c>
      <c r="B2390" s="3" t="str">
        <f>"201700207827"</f>
        <v>201700207827</v>
      </c>
      <c r="C2390" s="3">
        <v>63032</v>
      </c>
      <c r="D2390" s="3" t="s">
        <v>8897</v>
      </c>
      <c r="E2390" s="3">
        <v>20511283389</v>
      </c>
      <c r="F2390" s="3" t="s">
        <v>8898</v>
      </c>
      <c r="G2390" s="3" t="s">
        <v>8899</v>
      </c>
      <c r="H2390" s="3" t="s">
        <v>75</v>
      </c>
      <c r="I2390" s="3" t="s">
        <v>75</v>
      </c>
      <c r="J2390" s="3" t="s">
        <v>76</v>
      </c>
      <c r="K2390" s="3" t="s">
        <v>8900</v>
      </c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C2390" s="3"/>
      <c r="AD2390" s="3"/>
      <c r="AE2390" s="3"/>
      <c r="AF2390" s="3"/>
      <c r="AG2390" s="3"/>
      <c r="AH2390" s="3"/>
      <c r="AI2390" s="3"/>
      <c r="AJ2390" s="3"/>
      <c r="AK2390" s="3" t="s">
        <v>518</v>
      </c>
      <c r="AL2390" s="4">
        <v>43076</v>
      </c>
      <c r="AM2390" s="3"/>
      <c r="AN2390" s="3" t="s">
        <v>8901</v>
      </c>
    </row>
    <row r="2391" spans="1:40" ht="27.95" x14ac:dyDescent="0.3">
      <c r="A2391" s="3">
        <v>2385</v>
      </c>
      <c r="B2391" s="3" t="str">
        <f>"201400045013"</f>
        <v>201400045013</v>
      </c>
      <c r="C2391" s="3">
        <v>108871</v>
      </c>
      <c r="D2391" s="3" t="s">
        <v>8902</v>
      </c>
      <c r="E2391" s="3">
        <v>20404723392</v>
      </c>
      <c r="F2391" s="3" t="s">
        <v>87</v>
      </c>
      <c r="G2391" s="3" t="s">
        <v>8903</v>
      </c>
      <c r="H2391" s="3" t="s">
        <v>89</v>
      </c>
      <c r="I2391" s="3" t="s">
        <v>89</v>
      </c>
      <c r="J2391" s="3" t="s">
        <v>90</v>
      </c>
      <c r="K2391" s="3" t="s">
        <v>8904</v>
      </c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C2391" s="3"/>
      <c r="AD2391" s="3"/>
      <c r="AE2391" s="3"/>
      <c r="AF2391" s="3"/>
      <c r="AG2391" s="3"/>
      <c r="AH2391" s="3"/>
      <c r="AI2391" s="3"/>
      <c r="AJ2391" s="3"/>
      <c r="AK2391" s="3" t="s">
        <v>92</v>
      </c>
      <c r="AL2391" s="4">
        <v>41810</v>
      </c>
      <c r="AM2391" s="3"/>
      <c r="AN2391" s="3" t="s">
        <v>93</v>
      </c>
    </row>
    <row r="2392" spans="1:40" ht="27.95" x14ac:dyDescent="0.3">
      <c r="A2392" s="3">
        <v>2386</v>
      </c>
      <c r="B2392" s="3" t="str">
        <f>"201600118784"</f>
        <v>201600118784</v>
      </c>
      <c r="C2392" s="3">
        <v>123311</v>
      </c>
      <c r="D2392" s="3" t="s">
        <v>8905</v>
      </c>
      <c r="E2392" s="3">
        <v>20532873283</v>
      </c>
      <c r="F2392" s="3" t="s">
        <v>8813</v>
      </c>
      <c r="G2392" s="3" t="s">
        <v>8814</v>
      </c>
      <c r="H2392" s="3" t="s">
        <v>216</v>
      </c>
      <c r="I2392" s="3" t="s">
        <v>216</v>
      </c>
      <c r="J2392" s="3" t="s">
        <v>216</v>
      </c>
      <c r="K2392" s="3" t="s">
        <v>8906</v>
      </c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  <c r="AC2392" s="3"/>
      <c r="AD2392" s="3"/>
      <c r="AE2392" s="3"/>
      <c r="AF2392" s="3"/>
      <c r="AG2392" s="3"/>
      <c r="AH2392" s="3"/>
      <c r="AI2392" s="3"/>
      <c r="AJ2392" s="3"/>
      <c r="AK2392" s="3" t="s">
        <v>583</v>
      </c>
      <c r="AL2392" s="4">
        <v>42600</v>
      </c>
      <c r="AM2392" s="3"/>
      <c r="AN2392" s="3" t="s">
        <v>8817</v>
      </c>
    </row>
    <row r="2393" spans="1:40" x14ac:dyDescent="0.3">
      <c r="A2393" s="3">
        <v>2387</v>
      </c>
      <c r="B2393" s="3" t="str">
        <f>"1116269"</f>
        <v>1116269</v>
      </c>
      <c r="C2393" s="3">
        <v>2571</v>
      </c>
      <c r="D2393" s="3">
        <v>1051234</v>
      </c>
      <c r="E2393" s="3">
        <v>10073043498</v>
      </c>
      <c r="F2393" s="3" t="s">
        <v>8907</v>
      </c>
      <c r="G2393" s="3" t="s">
        <v>8908</v>
      </c>
      <c r="H2393" s="3" t="s">
        <v>56</v>
      </c>
      <c r="I2393" s="3" t="s">
        <v>56</v>
      </c>
      <c r="J2393" s="3" t="s">
        <v>313</v>
      </c>
      <c r="K2393" s="3" t="s">
        <v>8909</v>
      </c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C2393" s="3"/>
      <c r="AD2393" s="3"/>
      <c r="AE2393" s="3"/>
      <c r="AF2393" s="3"/>
      <c r="AG2393" s="3"/>
      <c r="AH2393" s="3"/>
      <c r="AI2393" s="3"/>
      <c r="AJ2393" s="3"/>
      <c r="AK2393" s="3" t="s">
        <v>65</v>
      </c>
      <c r="AL2393" s="4">
        <v>35523</v>
      </c>
      <c r="AM2393" s="3"/>
      <c r="AN2393" s="3"/>
    </row>
    <row r="2394" spans="1:40" x14ac:dyDescent="0.3">
      <c r="A2394" s="3">
        <v>2388</v>
      </c>
      <c r="B2394" s="3" t="str">
        <f>"201300132256"</f>
        <v>201300132256</v>
      </c>
      <c r="C2394" s="3">
        <v>104632</v>
      </c>
      <c r="D2394" s="3" t="s">
        <v>8910</v>
      </c>
      <c r="E2394" s="3">
        <v>10040500052</v>
      </c>
      <c r="F2394" s="3" t="s">
        <v>8911</v>
      </c>
      <c r="G2394" s="3" t="s">
        <v>8912</v>
      </c>
      <c r="H2394" s="3" t="s">
        <v>56</v>
      </c>
      <c r="I2394" s="3" t="s">
        <v>56</v>
      </c>
      <c r="J2394" s="3" t="s">
        <v>363</v>
      </c>
      <c r="K2394" s="3" t="s">
        <v>8913</v>
      </c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C2394" s="3"/>
      <c r="AD2394" s="3"/>
      <c r="AE2394" s="3"/>
      <c r="AF2394" s="3"/>
      <c r="AG2394" s="3"/>
      <c r="AH2394" s="3"/>
      <c r="AI2394" s="3"/>
      <c r="AJ2394" s="3"/>
      <c r="AK2394" s="3" t="s">
        <v>2856</v>
      </c>
      <c r="AL2394" s="3" t="s">
        <v>290</v>
      </c>
      <c r="AM2394" s="3"/>
      <c r="AN2394" s="3" t="s">
        <v>8911</v>
      </c>
    </row>
    <row r="2395" spans="1:40" x14ac:dyDescent="0.3">
      <c r="A2395" s="3">
        <v>2389</v>
      </c>
      <c r="B2395" s="3" t="str">
        <f>"201600063079"</f>
        <v>201600063079</v>
      </c>
      <c r="C2395" s="3">
        <v>121165</v>
      </c>
      <c r="D2395" s="3" t="s">
        <v>8914</v>
      </c>
      <c r="E2395" s="3">
        <v>20525521509</v>
      </c>
      <c r="F2395" s="3" t="s">
        <v>189</v>
      </c>
      <c r="G2395" s="3" t="s">
        <v>874</v>
      </c>
      <c r="H2395" s="3" t="s">
        <v>50</v>
      </c>
      <c r="I2395" s="3" t="s">
        <v>50</v>
      </c>
      <c r="J2395" s="3" t="s">
        <v>50</v>
      </c>
      <c r="K2395" s="3" t="s">
        <v>8915</v>
      </c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  <c r="AC2395" s="3"/>
      <c r="AD2395" s="3"/>
      <c r="AE2395" s="3"/>
      <c r="AF2395" s="3"/>
      <c r="AG2395" s="3"/>
      <c r="AH2395" s="3"/>
      <c r="AI2395" s="3"/>
      <c r="AJ2395" s="3"/>
      <c r="AK2395" s="3" t="s">
        <v>915</v>
      </c>
      <c r="AL2395" s="4">
        <v>42494</v>
      </c>
      <c r="AM2395" s="3"/>
      <c r="AN2395" s="3" t="s">
        <v>885</v>
      </c>
    </row>
    <row r="2396" spans="1:40" x14ac:dyDescent="0.3">
      <c r="A2396" s="3">
        <v>2390</v>
      </c>
      <c r="B2396" s="3" t="str">
        <f>"201600035028"</f>
        <v>201600035028</v>
      </c>
      <c r="C2396" s="3">
        <v>120329</v>
      </c>
      <c r="D2396" s="3" t="s">
        <v>8916</v>
      </c>
      <c r="E2396" s="3">
        <v>20100366747</v>
      </c>
      <c r="F2396" s="3" t="s">
        <v>8652</v>
      </c>
      <c r="G2396" s="3" t="s">
        <v>8892</v>
      </c>
      <c r="H2396" s="3" t="s">
        <v>56</v>
      </c>
      <c r="I2396" s="3" t="s">
        <v>56</v>
      </c>
      <c r="J2396" s="3" t="s">
        <v>185</v>
      </c>
      <c r="K2396" s="3" t="s">
        <v>8917</v>
      </c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  <c r="AC2396" s="3"/>
      <c r="AD2396" s="3"/>
      <c r="AE2396" s="3"/>
      <c r="AF2396" s="3"/>
      <c r="AG2396" s="3"/>
      <c r="AH2396" s="3"/>
      <c r="AI2396" s="3"/>
      <c r="AJ2396" s="3"/>
      <c r="AK2396" s="3" t="s">
        <v>8055</v>
      </c>
      <c r="AL2396" s="4">
        <v>42457</v>
      </c>
      <c r="AM2396" s="3"/>
      <c r="AN2396" s="3" t="s">
        <v>262</v>
      </c>
    </row>
    <row r="2397" spans="1:40" x14ac:dyDescent="0.3">
      <c r="A2397" s="3">
        <v>2391</v>
      </c>
      <c r="B2397" s="3" t="str">
        <f>"201800095534"</f>
        <v>201800095534</v>
      </c>
      <c r="C2397" s="3">
        <v>136818</v>
      </c>
      <c r="D2397" s="3" t="s">
        <v>8918</v>
      </c>
      <c r="E2397" s="3">
        <v>10106811054</v>
      </c>
      <c r="F2397" s="3" t="s">
        <v>8919</v>
      </c>
      <c r="G2397" s="3" t="s">
        <v>8920</v>
      </c>
      <c r="H2397" s="3" t="s">
        <v>56</v>
      </c>
      <c r="I2397" s="3" t="s">
        <v>56</v>
      </c>
      <c r="J2397" s="3" t="s">
        <v>363</v>
      </c>
      <c r="K2397" s="3" t="s">
        <v>8921</v>
      </c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C2397" s="3"/>
      <c r="AD2397" s="3"/>
      <c r="AE2397" s="3"/>
      <c r="AF2397" s="3"/>
      <c r="AG2397" s="3"/>
      <c r="AH2397" s="3"/>
      <c r="AI2397" s="3"/>
      <c r="AJ2397" s="3"/>
      <c r="AK2397" s="3" t="s">
        <v>3028</v>
      </c>
      <c r="AL2397" s="4">
        <v>43269</v>
      </c>
      <c r="AM2397" s="3"/>
      <c r="AN2397" s="3" t="s">
        <v>8919</v>
      </c>
    </row>
    <row r="2398" spans="1:40" x14ac:dyDescent="0.3">
      <c r="A2398" s="3">
        <v>2392</v>
      </c>
      <c r="B2398" s="3" t="str">
        <f>"201600035025"</f>
        <v>201600035025</v>
      </c>
      <c r="C2398" s="3">
        <v>120328</v>
      </c>
      <c r="D2398" s="3" t="s">
        <v>8922</v>
      </c>
      <c r="E2398" s="3">
        <v>20100366747</v>
      </c>
      <c r="F2398" s="3" t="s">
        <v>8652</v>
      </c>
      <c r="G2398" s="3" t="s">
        <v>8892</v>
      </c>
      <c r="H2398" s="3" t="s">
        <v>56</v>
      </c>
      <c r="I2398" s="3" t="s">
        <v>56</v>
      </c>
      <c r="J2398" s="3" t="s">
        <v>185</v>
      </c>
      <c r="K2398" s="3" t="s">
        <v>8923</v>
      </c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C2398" s="3"/>
      <c r="AD2398" s="3"/>
      <c r="AE2398" s="3"/>
      <c r="AF2398" s="3"/>
      <c r="AG2398" s="3"/>
      <c r="AH2398" s="3"/>
      <c r="AI2398" s="3"/>
      <c r="AJ2398" s="3"/>
      <c r="AK2398" s="3" t="s">
        <v>8055</v>
      </c>
      <c r="AL2398" s="4">
        <v>42458</v>
      </c>
      <c r="AM2398" s="3"/>
      <c r="AN2398" s="3" t="s">
        <v>262</v>
      </c>
    </row>
    <row r="2399" spans="1:40" x14ac:dyDescent="0.3">
      <c r="A2399" s="3">
        <v>2393</v>
      </c>
      <c r="B2399" s="3" t="str">
        <f>"201600035023"</f>
        <v>201600035023</v>
      </c>
      <c r="C2399" s="3">
        <v>120327</v>
      </c>
      <c r="D2399" s="3" t="s">
        <v>8924</v>
      </c>
      <c r="E2399" s="3">
        <v>20100366747</v>
      </c>
      <c r="F2399" s="3" t="s">
        <v>8652</v>
      </c>
      <c r="G2399" s="3" t="s">
        <v>8892</v>
      </c>
      <c r="H2399" s="3" t="s">
        <v>56</v>
      </c>
      <c r="I2399" s="3" t="s">
        <v>56</v>
      </c>
      <c r="J2399" s="3" t="s">
        <v>185</v>
      </c>
      <c r="K2399" s="3" t="s">
        <v>8925</v>
      </c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C2399" s="3"/>
      <c r="AD2399" s="3"/>
      <c r="AE2399" s="3"/>
      <c r="AF2399" s="3"/>
      <c r="AG2399" s="3"/>
      <c r="AH2399" s="3"/>
      <c r="AI2399" s="3"/>
      <c r="AJ2399" s="3"/>
      <c r="AK2399" s="3" t="s">
        <v>8055</v>
      </c>
      <c r="AL2399" s="4">
        <v>42457</v>
      </c>
      <c r="AM2399" s="3"/>
      <c r="AN2399" s="3" t="s">
        <v>262</v>
      </c>
    </row>
    <row r="2400" spans="1:40" x14ac:dyDescent="0.3">
      <c r="A2400" s="3">
        <v>2394</v>
      </c>
      <c r="B2400" s="3" t="str">
        <f>"201800008834"</f>
        <v>201800008834</v>
      </c>
      <c r="C2400" s="3">
        <v>134092</v>
      </c>
      <c r="D2400" s="3" t="s">
        <v>8926</v>
      </c>
      <c r="E2400" s="3">
        <v>20100366747</v>
      </c>
      <c r="F2400" s="3" t="s">
        <v>258</v>
      </c>
      <c r="G2400" s="3" t="s">
        <v>451</v>
      </c>
      <c r="H2400" s="3" t="s">
        <v>56</v>
      </c>
      <c r="I2400" s="3" t="s">
        <v>56</v>
      </c>
      <c r="J2400" s="3" t="s">
        <v>185</v>
      </c>
      <c r="K2400" s="3" t="s">
        <v>8927</v>
      </c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  <c r="AC2400" s="3"/>
      <c r="AD2400" s="3"/>
      <c r="AE2400" s="3"/>
      <c r="AF2400" s="3"/>
      <c r="AG2400" s="3"/>
      <c r="AH2400" s="3"/>
      <c r="AI2400" s="3"/>
      <c r="AJ2400" s="3"/>
      <c r="AK2400" s="3" t="s">
        <v>1467</v>
      </c>
      <c r="AL2400" s="4">
        <v>43125</v>
      </c>
      <c r="AM2400" s="3"/>
      <c r="AN2400" s="3" t="s">
        <v>262</v>
      </c>
    </row>
    <row r="2401" spans="1:40" x14ac:dyDescent="0.3">
      <c r="A2401" s="3">
        <v>2395</v>
      </c>
      <c r="B2401" s="3" t="str">
        <f>"1937873"</f>
        <v>1937873</v>
      </c>
      <c r="C2401" s="3">
        <v>34442</v>
      </c>
      <c r="D2401" s="3" t="s">
        <v>8928</v>
      </c>
      <c r="E2401" s="3">
        <v>10402425194</v>
      </c>
      <c r="F2401" s="3" t="s">
        <v>8929</v>
      </c>
      <c r="G2401" s="3" t="s">
        <v>8930</v>
      </c>
      <c r="H2401" s="3" t="s">
        <v>56</v>
      </c>
      <c r="I2401" s="3" t="s">
        <v>56</v>
      </c>
      <c r="J2401" s="3" t="s">
        <v>1043</v>
      </c>
      <c r="K2401" s="3" t="s">
        <v>8931</v>
      </c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C2401" s="3"/>
      <c r="AD2401" s="3"/>
      <c r="AE2401" s="3"/>
      <c r="AF2401" s="3"/>
      <c r="AG2401" s="3"/>
      <c r="AH2401" s="3"/>
      <c r="AI2401" s="3"/>
      <c r="AJ2401" s="3"/>
      <c r="AK2401" s="3" t="s">
        <v>583</v>
      </c>
      <c r="AL2401" s="4">
        <v>40204</v>
      </c>
      <c r="AM2401" s="3"/>
      <c r="AN2401" s="3"/>
    </row>
    <row r="2402" spans="1:40" x14ac:dyDescent="0.3">
      <c r="A2402" s="3">
        <v>2396</v>
      </c>
      <c r="B2402" s="3" t="str">
        <f>"201800080252"</f>
        <v>201800080252</v>
      </c>
      <c r="C2402" s="3">
        <v>136151</v>
      </c>
      <c r="D2402" s="3" t="s">
        <v>8932</v>
      </c>
      <c r="E2402" s="3">
        <v>20600014286</v>
      </c>
      <c r="F2402" s="3" t="s">
        <v>8933</v>
      </c>
      <c r="G2402" s="3" t="s">
        <v>6661</v>
      </c>
      <c r="H2402" s="3" t="s">
        <v>56</v>
      </c>
      <c r="I2402" s="3" t="s">
        <v>56</v>
      </c>
      <c r="J2402" s="3" t="s">
        <v>363</v>
      </c>
      <c r="K2402" s="3" t="s">
        <v>8934</v>
      </c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C2402" s="3"/>
      <c r="AD2402" s="3"/>
      <c r="AE2402" s="3"/>
      <c r="AF2402" s="3"/>
      <c r="AG2402" s="3"/>
      <c r="AH2402" s="3"/>
      <c r="AI2402" s="3"/>
      <c r="AJ2402" s="3"/>
      <c r="AK2402" s="3" t="s">
        <v>4252</v>
      </c>
      <c r="AL2402" s="4">
        <v>43241</v>
      </c>
      <c r="AM2402" s="3"/>
      <c r="AN2402" s="3" t="s">
        <v>8935</v>
      </c>
    </row>
    <row r="2403" spans="1:40" x14ac:dyDescent="0.3">
      <c r="A2403" s="3">
        <v>2397</v>
      </c>
      <c r="B2403" s="3" t="str">
        <f>"1811726"</f>
        <v>1811726</v>
      </c>
      <c r="C2403" s="3">
        <v>63785</v>
      </c>
      <c r="D2403" s="3" t="s">
        <v>8936</v>
      </c>
      <c r="E2403" s="3">
        <v>10250170250</v>
      </c>
      <c r="F2403" s="3" t="s">
        <v>8937</v>
      </c>
      <c r="G2403" s="3" t="s">
        <v>8938</v>
      </c>
      <c r="H2403" s="3" t="s">
        <v>446</v>
      </c>
      <c r="I2403" s="3" t="s">
        <v>3236</v>
      </c>
      <c r="J2403" s="3" t="s">
        <v>3236</v>
      </c>
      <c r="K2403" s="3" t="s">
        <v>8939</v>
      </c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  <c r="AC2403" s="3"/>
      <c r="AD2403" s="3"/>
      <c r="AE2403" s="3"/>
      <c r="AF2403" s="3"/>
      <c r="AG2403" s="3"/>
      <c r="AH2403" s="3"/>
      <c r="AI2403" s="3"/>
      <c r="AJ2403" s="3"/>
      <c r="AK2403" s="3" t="s">
        <v>602</v>
      </c>
      <c r="AL2403" s="4">
        <v>39640</v>
      </c>
      <c r="AM2403" s="3"/>
      <c r="AN2403" s="3"/>
    </row>
    <row r="2404" spans="1:40" ht="27.95" x14ac:dyDescent="0.3">
      <c r="A2404" s="3">
        <v>2398</v>
      </c>
      <c r="B2404" s="3" t="str">
        <f>"201800126058"</f>
        <v>201800126058</v>
      </c>
      <c r="C2404" s="3">
        <v>42917</v>
      </c>
      <c r="D2404" s="3" t="s">
        <v>8940</v>
      </c>
      <c r="E2404" s="3">
        <v>10098264120</v>
      </c>
      <c r="F2404" s="3" t="s">
        <v>3216</v>
      </c>
      <c r="G2404" s="3" t="s">
        <v>8941</v>
      </c>
      <c r="H2404" s="3" t="s">
        <v>56</v>
      </c>
      <c r="I2404" s="3" t="s">
        <v>56</v>
      </c>
      <c r="J2404" s="3" t="s">
        <v>277</v>
      </c>
      <c r="K2404" s="3" t="s">
        <v>8942</v>
      </c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  <c r="AC2404" s="3"/>
      <c r="AD2404" s="3"/>
      <c r="AE2404" s="3"/>
      <c r="AF2404" s="3"/>
      <c r="AG2404" s="3"/>
      <c r="AH2404" s="3"/>
      <c r="AI2404" s="3"/>
      <c r="AJ2404" s="3"/>
      <c r="AK2404" s="3" t="s">
        <v>8943</v>
      </c>
      <c r="AL2404" s="4">
        <v>43313</v>
      </c>
      <c r="AM2404" s="3"/>
      <c r="AN2404" s="3" t="s">
        <v>3216</v>
      </c>
    </row>
    <row r="2405" spans="1:40" x14ac:dyDescent="0.3">
      <c r="A2405" s="3">
        <v>2399</v>
      </c>
      <c r="B2405" s="3" t="str">
        <f>"201200040293"</f>
        <v>201200040293</v>
      </c>
      <c r="C2405" s="3">
        <v>96252</v>
      </c>
      <c r="D2405" s="3" t="s">
        <v>8944</v>
      </c>
      <c r="E2405" s="3">
        <v>20229089103</v>
      </c>
      <c r="F2405" s="3" t="s">
        <v>703</v>
      </c>
      <c r="G2405" s="3" t="s">
        <v>8945</v>
      </c>
      <c r="H2405" s="3" t="s">
        <v>97</v>
      </c>
      <c r="I2405" s="3" t="s">
        <v>97</v>
      </c>
      <c r="J2405" s="3" t="s">
        <v>417</v>
      </c>
      <c r="K2405" s="3" t="s">
        <v>8946</v>
      </c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C2405" s="3"/>
      <c r="AD2405" s="3"/>
      <c r="AE2405" s="3"/>
      <c r="AF2405" s="3"/>
      <c r="AG2405" s="3"/>
      <c r="AH2405" s="3"/>
      <c r="AI2405" s="3"/>
      <c r="AJ2405" s="3"/>
      <c r="AK2405" s="3" t="s">
        <v>2386</v>
      </c>
      <c r="AL2405" s="3" t="s">
        <v>290</v>
      </c>
      <c r="AM2405" s="3"/>
      <c r="AN2405" s="3" t="s">
        <v>8947</v>
      </c>
    </row>
    <row r="2406" spans="1:40" x14ac:dyDescent="0.3">
      <c r="A2406" s="3">
        <v>2400</v>
      </c>
      <c r="B2406" s="3" t="str">
        <f>"201400106445"</f>
        <v>201400106445</v>
      </c>
      <c r="C2406" s="3">
        <v>111097</v>
      </c>
      <c r="D2406" s="3" t="s">
        <v>8948</v>
      </c>
      <c r="E2406" s="3">
        <v>20250459981</v>
      </c>
      <c r="F2406" s="3" t="s">
        <v>1351</v>
      </c>
      <c r="G2406" s="3" t="s">
        <v>2858</v>
      </c>
      <c r="H2406" s="3" t="s">
        <v>56</v>
      </c>
      <c r="I2406" s="3" t="s">
        <v>56</v>
      </c>
      <c r="J2406" s="3" t="s">
        <v>273</v>
      </c>
      <c r="K2406" s="3" t="s">
        <v>8949</v>
      </c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C2406" s="3"/>
      <c r="AD2406" s="3"/>
      <c r="AE2406" s="3"/>
      <c r="AF2406" s="3"/>
      <c r="AG2406" s="3"/>
      <c r="AH2406" s="3"/>
      <c r="AI2406" s="3"/>
      <c r="AJ2406" s="3"/>
      <c r="AK2406" s="3" t="s">
        <v>1273</v>
      </c>
      <c r="AL2406" s="4">
        <v>41872</v>
      </c>
      <c r="AM2406" s="3"/>
      <c r="AN2406" s="3" t="s">
        <v>1355</v>
      </c>
    </row>
    <row r="2407" spans="1:40" x14ac:dyDescent="0.3">
      <c r="A2407" s="3">
        <v>2401</v>
      </c>
      <c r="B2407" s="3" t="str">
        <f>"201500143537"</f>
        <v>201500143537</v>
      </c>
      <c r="C2407" s="3">
        <v>118187</v>
      </c>
      <c r="D2407" s="3" t="s">
        <v>8950</v>
      </c>
      <c r="E2407" s="3">
        <v>20600399960</v>
      </c>
      <c r="F2407" s="3" t="s">
        <v>8951</v>
      </c>
      <c r="G2407" s="3" t="s">
        <v>8952</v>
      </c>
      <c r="H2407" s="3" t="s">
        <v>89</v>
      </c>
      <c r="I2407" s="3" t="s">
        <v>2601</v>
      </c>
      <c r="J2407" s="3" t="s">
        <v>2602</v>
      </c>
      <c r="K2407" s="3" t="s">
        <v>8953</v>
      </c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  <c r="AC2407" s="3"/>
      <c r="AD2407" s="3"/>
      <c r="AE2407" s="3"/>
      <c r="AF2407" s="3"/>
      <c r="AG2407" s="3"/>
      <c r="AH2407" s="3"/>
      <c r="AI2407" s="3"/>
      <c r="AJ2407" s="3"/>
      <c r="AK2407" s="3" t="s">
        <v>1087</v>
      </c>
      <c r="AL2407" s="4">
        <v>42311</v>
      </c>
      <c r="AM2407" s="3"/>
      <c r="AN2407" s="3" t="s">
        <v>8954</v>
      </c>
    </row>
    <row r="2408" spans="1:40" ht="27.95" x14ac:dyDescent="0.3">
      <c r="A2408" s="3">
        <v>2402</v>
      </c>
      <c r="B2408" s="3" t="str">
        <f>"201800182872"</f>
        <v>201800182872</v>
      </c>
      <c r="C2408" s="3">
        <v>130929</v>
      </c>
      <c r="D2408" s="3" t="s">
        <v>8955</v>
      </c>
      <c r="E2408" s="3">
        <v>10336680196</v>
      </c>
      <c r="F2408" s="3" t="s">
        <v>3488</v>
      </c>
      <c r="G2408" s="3" t="s">
        <v>8956</v>
      </c>
      <c r="H2408" s="3" t="s">
        <v>318</v>
      </c>
      <c r="I2408" s="3" t="s">
        <v>319</v>
      </c>
      <c r="J2408" s="3" t="s">
        <v>495</v>
      </c>
      <c r="K2408" s="3" t="s">
        <v>8957</v>
      </c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  <c r="AC2408" s="3"/>
      <c r="AD2408" s="3"/>
      <c r="AE2408" s="3"/>
      <c r="AF2408" s="3"/>
      <c r="AG2408" s="3"/>
      <c r="AH2408" s="3"/>
      <c r="AI2408" s="3"/>
      <c r="AJ2408" s="3"/>
      <c r="AK2408" s="3" t="s">
        <v>3865</v>
      </c>
      <c r="AL2408" s="4">
        <v>43424</v>
      </c>
      <c r="AM2408" s="3"/>
      <c r="AN2408" s="3" t="s">
        <v>3488</v>
      </c>
    </row>
    <row r="2409" spans="1:40" x14ac:dyDescent="0.3">
      <c r="A2409" s="3">
        <v>2403</v>
      </c>
      <c r="B2409" s="3" t="str">
        <f>"1494834"</f>
        <v>1494834</v>
      </c>
      <c r="C2409" s="3">
        <v>38045</v>
      </c>
      <c r="D2409" s="3" t="s">
        <v>8958</v>
      </c>
      <c r="E2409" s="3">
        <v>10295697224</v>
      </c>
      <c r="F2409" s="3" t="s">
        <v>8959</v>
      </c>
      <c r="G2409" s="3" t="s">
        <v>8960</v>
      </c>
      <c r="H2409" s="3" t="s">
        <v>97</v>
      </c>
      <c r="I2409" s="3" t="s">
        <v>97</v>
      </c>
      <c r="J2409" s="3" t="s">
        <v>3210</v>
      </c>
      <c r="K2409" s="3" t="s">
        <v>8961</v>
      </c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C2409" s="3"/>
      <c r="AD2409" s="3"/>
      <c r="AE2409" s="3"/>
      <c r="AF2409" s="3"/>
      <c r="AG2409" s="3"/>
      <c r="AH2409" s="3"/>
      <c r="AI2409" s="3"/>
      <c r="AJ2409" s="3"/>
      <c r="AK2409" s="3" t="s">
        <v>187</v>
      </c>
      <c r="AL2409" s="4">
        <v>40774</v>
      </c>
      <c r="AM2409" s="3"/>
      <c r="AN2409" s="3" t="s">
        <v>8959</v>
      </c>
    </row>
    <row r="2410" spans="1:40" x14ac:dyDescent="0.3">
      <c r="A2410" s="3">
        <v>2404</v>
      </c>
      <c r="B2410" s="3" t="str">
        <f>"201600165277"</f>
        <v>201600165277</v>
      </c>
      <c r="C2410" s="3">
        <v>124927</v>
      </c>
      <c r="D2410" s="3" t="s">
        <v>8962</v>
      </c>
      <c r="E2410" s="3">
        <v>10181878571</v>
      </c>
      <c r="F2410" s="3" t="s">
        <v>8963</v>
      </c>
      <c r="G2410" s="3" t="s">
        <v>8964</v>
      </c>
      <c r="H2410" s="3" t="s">
        <v>44</v>
      </c>
      <c r="I2410" s="3" t="s">
        <v>6716</v>
      </c>
      <c r="J2410" s="3" t="s">
        <v>6716</v>
      </c>
      <c r="K2410" s="3" t="s">
        <v>8965</v>
      </c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C2410" s="3"/>
      <c r="AD2410" s="3"/>
      <c r="AE2410" s="3"/>
      <c r="AF2410" s="3"/>
      <c r="AG2410" s="3"/>
      <c r="AH2410" s="3"/>
      <c r="AI2410" s="3"/>
      <c r="AJ2410" s="3"/>
      <c r="AK2410" s="3" t="s">
        <v>52</v>
      </c>
      <c r="AL2410" s="4">
        <v>42702</v>
      </c>
      <c r="AM2410" s="3"/>
      <c r="AN2410" s="3" t="s">
        <v>8963</v>
      </c>
    </row>
    <row r="2411" spans="1:40" x14ac:dyDescent="0.3">
      <c r="A2411" s="3">
        <v>2405</v>
      </c>
      <c r="B2411" s="3" t="str">
        <f>"201800079638"</f>
        <v>201800079638</v>
      </c>
      <c r="C2411" s="3">
        <v>136168</v>
      </c>
      <c r="D2411" s="3" t="s">
        <v>8966</v>
      </c>
      <c r="E2411" s="3">
        <v>20419694747</v>
      </c>
      <c r="F2411" s="3" t="s">
        <v>8967</v>
      </c>
      <c r="G2411" s="3" t="s">
        <v>8968</v>
      </c>
      <c r="H2411" s="3" t="s">
        <v>56</v>
      </c>
      <c r="I2411" s="3" t="s">
        <v>56</v>
      </c>
      <c r="J2411" s="3" t="s">
        <v>380</v>
      </c>
      <c r="K2411" s="3" t="s">
        <v>8969</v>
      </c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  <c r="AC2411" s="3"/>
      <c r="AD2411" s="3"/>
      <c r="AE2411" s="3"/>
      <c r="AF2411" s="3"/>
      <c r="AG2411" s="3"/>
      <c r="AH2411" s="3"/>
      <c r="AI2411" s="3"/>
      <c r="AJ2411" s="3"/>
      <c r="AK2411" s="3" t="s">
        <v>306</v>
      </c>
      <c r="AL2411" s="4">
        <v>43237</v>
      </c>
      <c r="AM2411" s="3"/>
      <c r="AN2411" s="3" t="s">
        <v>8970</v>
      </c>
    </row>
    <row r="2412" spans="1:40" ht="27.95" x14ac:dyDescent="0.3">
      <c r="A2412" s="3">
        <v>2406</v>
      </c>
      <c r="B2412" s="3" t="str">
        <f>"1663992"</f>
        <v>1663992</v>
      </c>
      <c r="C2412" s="3">
        <v>41903</v>
      </c>
      <c r="D2412" s="3" t="s">
        <v>8971</v>
      </c>
      <c r="E2412" s="3">
        <v>10040035465</v>
      </c>
      <c r="F2412" s="3" t="s">
        <v>7727</v>
      </c>
      <c r="G2412" s="3" t="s">
        <v>8972</v>
      </c>
      <c r="H2412" s="3" t="s">
        <v>56</v>
      </c>
      <c r="I2412" s="3" t="s">
        <v>56</v>
      </c>
      <c r="J2412" s="3" t="s">
        <v>131</v>
      </c>
      <c r="K2412" s="3" t="s">
        <v>8973</v>
      </c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C2412" s="3"/>
      <c r="AD2412" s="3"/>
      <c r="AE2412" s="3"/>
      <c r="AF2412" s="3"/>
      <c r="AG2412" s="3"/>
      <c r="AH2412" s="3"/>
      <c r="AI2412" s="3"/>
      <c r="AJ2412" s="3"/>
      <c r="AK2412" s="3" t="s">
        <v>2355</v>
      </c>
      <c r="AL2412" s="4">
        <v>39120</v>
      </c>
      <c r="AM2412" s="3"/>
      <c r="AN2412" s="3"/>
    </row>
    <row r="2413" spans="1:40" x14ac:dyDescent="0.3">
      <c r="A2413" s="3">
        <v>2407</v>
      </c>
      <c r="B2413" s="3" t="str">
        <f>"201900110567"</f>
        <v>201900110567</v>
      </c>
      <c r="C2413" s="3">
        <v>145126</v>
      </c>
      <c r="D2413" s="3" t="s">
        <v>8974</v>
      </c>
      <c r="E2413" s="3">
        <v>20450509125</v>
      </c>
      <c r="F2413" s="3" t="s">
        <v>1862</v>
      </c>
      <c r="G2413" s="3" t="s">
        <v>8975</v>
      </c>
      <c r="H2413" s="3" t="s">
        <v>446</v>
      </c>
      <c r="I2413" s="3" t="s">
        <v>895</v>
      </c>
      <c r="J2413" s="3" t="s">
        <v>896</v>
      </c>
      <c r="K2413" s="3" t="s">
        <v>8976</v>
      </c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C2413" s="3"/>
      <c r="AD2413" s="3"/>
      <c r="AE2413" s="3"/>
      <c r="AF2413" s="3"/>
      <c r="AG2413" s="3"/>
      <c r="AH2413" s="3"/>
      <c r="AI2413" s="3"/>
      <c r="AJ2413" s="3"/>
      <c r="AK2413" s="3" t="s">
        <v>6597</v>
      </c>
      <c r="AL2413" s="4">
        <v>43661</v>
      </c>
      <c r="AM2413" s="3"/>
      <c r="AN2413" s="3" t="s">
        <v>8977</v>
      </c>
    </row>
    <row r="2414" spans="1:40" ht="27.95" x14ac:dyDescent="0.3">
      <c r="A2414" s="3">
        <v>2408</v>
      </c>
      <c r="B2414" s="3" t="str">
        <f>"1172645"</f>
        <v>1172645</v>
      </c>
      <c r="C2414" s="3">
        <v>6457</v>
      </c>
      <c r="D2414" s="3">
        <v>1165609</v>
      </c>
      <c r="E2414" s="3">
        <v>20100076749</v>
      </c>
      <c r="F2414" s="3" t="s">
        <v>159</v>
      </c>
      <c r="G2414" s="3" t="s">
        <v>8978</v>
      </c>
      <c r="H2414" s="3" t="s">
        <v>56</v>
      </c>
      <c r="I2414" s="3" t="s">
        <v>56</v>
      </c>
      <c r="J2414" s="3" t="s">
        <v>121</v>
      </c>
      <c r="K2414" s="3" t="s">
        <v>8979</v>
      </c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C2414" s="3"/>
      <c r="AD2414" s="3"/>
      <c r="AE2414" s="3"/>
      <c r="AF2414" s="3"/>
      <c r="AG2414" s="3"/>
      <c r="AH2414" s="3"/>
      <c r="AI2414" s="3"/>
      <c r="AJ2414" s="3"/>
      <c r="AK2414" s="3" t="s">
        <v>1514</v>
      </c>
      <c r="AL2414" s="4">
        <v>35850</v>
      </c>
      <c r="AM2414" s="3"/>
      <c r="AN2414" s="3"/>
    </row>
    <row r="2415" spans="1:40" ht="27.95" x14ac:dyDescent="0.3">
      <c r="A2415" s="3">
        <v>2409</v>
      </c>
      <c r="B2415" s="3" t="str">
        <f>"1280545"</f>
        <v>1280545</v>
      </c>
      <c r="C2415" s="3">
        <v>19555</v>
      </c>
      <c r="D2415" s="3">
        <v>1280545</v>
      </c>
      <c r="E2415" s="3">
        <v>10096631320</v>
      </c>
      <c r="F2415" s="3" t="s">
        <v>1136</v>
      </c>
      <c r="G2415" s="3" t="s">
        <v>8980</v>
      </c>
      <c r="H2415" s="3" t="s">
        <v>56</v>
      </c>
      <c r="I2415" s="3" t="s">
        <v>56</v>
      </c>
      <c r="J2415" s="3" t="s">
        <v>277</v>
      </c>
      <c r="K2415" s="3" t="s">
        <v>8981</v>
      </c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  <c r="AC2415" s="3"/>
      <c r="AD2415" s="3"/>
      <c r="AE2415" s="3"/>
      <c r="AF2415" s="3"/>
      <c r="AG2415" s="3"/>
      <c r="AH2415" s="3"/>
      <c r="AI2415" s="3"/>
      <c r="AJ2415" s="3"/>
      <c r="AK2415" s="3" t="s">
        <v>81</v>
      </c>
      <c r="AL2415" s="4">
        <v>36677</v>
      </c>
      <c r="AM2415" s="3"/>
      <c r="AN2415" s="3"/>
    </row>
    <row r="2416" spans="1:40" x14ac:dyDescent="0.3">
      <c r="A2416" s="3">
        <v>2410</v>
      </c>
      <c r="B2416" s="3" t="str">
        <f>"1764343"</f>
        <v>1764343</v>
      </c>
      <c r="C2416" s="3">
        <v>3701</v>
      </c>
      <c r="D2416" s="3" t="s">
        <v>8982</v>
      </c>
      <c r="E2416" s="3">
        <v>20534841079</v>
      </c>
      <c r="F2416" s="3" t="s">
        <v>709</v>
      </c>
      <c r="G2416" s="3" t="s">
        <v>8983</v>
      </c>
      <c r="H2416" s="3" t="s">
        <v>97</v>
      </c>
      <c r="I2416" s="3" t="s">
        <v>97</v>
      </c>
      <c r="J2416" s="3" t="s">
        <v>2039</v>
      </c>
      <c r="K2416" s="3" t="s">
        <v>8984</v>
      </c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  <c r="AC2416" s="3"/>
      <c r="AD2416" s="3"/>
      <c r="AE2416" s="3"/>
      <c r="AF2416" s="3"/>
      <c r="AG2416" s="3"/>
      <c r="AH2416" s="3"/>
      <c r="AI2416" s="3"/>
      <c r="AJ2416" s="3"/>
      <c r="AK2416" s="3" t="s">
        <v>157</v>
      </c>
      <c r="AL2416" s="4">
        <v>39497</v>
      </c>
      <c r="AM2416" s="3"/>
      <c r="AN2416" s="3"/>
    </row>
    <row r="2417" spans="1:40" x14ac:dyDescent="0.3">
      <c r="A2417" s="3">
        <v>2411</v>
      </c>
      <c r="B2417" s="3" t="str">
        <f>"1511169"</f>
        <v>1511169</v>
      </c>
      <c r="C2417" s="3">
        <v>37785</v>
      </c>
      <c r="D2417" s="3" t="s">
        <v>8985</v>
      </c>
      <c r="E2417" s="3">
        <v>10229636435</v>
      </c>
      <c r="F2417" s="3" t="s">
        <v>8986</v>
      </c>
      <c r="G2417" s="3" t="s">
        <v>8987</v>
      </c>
      <c r="H2417" s="3" t="s">
        <v>216</v>
      </c>
      <c r="I2417" s="3" t="s">
        <v>216</v>
      </c>
      <c r="J2417" s="3" t="s">
        <v>216</v>
      </c>
      <c r="K2417" s="3" t="s">
        <v>8988</v>
      </c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C2417" s="3"/>
      <c r="AD2417" s="3"/>
      <c r="AE2417" s="3"/>
      <c r="AF2417" s="3"/>
      <c r="AG2417" s="3"/>
      <c r="AH2417" s="3"/>
      <c r="AI2417" s="3"/>
      <c r="AJ2417" s="3"/>
      <c r="AK2417" s="3" t="s">
        <v>81</v>
      </c>
      <c r="AL2417" s="4">
        <v>38336</v>
      </c>
      <c r="AM2417" s="3"/>
      <c r="AN2417" s="3"/>
    </row>
    <row r="2418" spans="1:40" x14ac:dyDescent="0.3">
      <c r="A2418" s="3">
        <v>2412</v>
      </c>
      <c r="B2418" s="3" t="str">
        <f>"202000146561"</f>
        <v>202000146561</v>
      </c>
      <c r="C2418" s="3">
        <v>152009</v>
      </c>
      <c r="D2418" s="3" t="s">
        <v>8989</v>
      </c>
      <c r="E2418" s="3">
        <v>20166717389</v>
      </c>
      <c r="F2418" s="3" t="s">
        <v>2137</v>
      </c>
      <c r="G2418" s="3" t="s">
        <v>8990</v>
      </c>
      <c r="H2418" s="3" t="s">
        <v>357</v>
      </c>
      <c r="I2418" s="3" t="s">
        <v>357</v>
      </c>
      <c r="J2418" s="3" t="s">
        <v>357</v>
      </c>
      <c r="K2418" s="3" t="s">
        <v>8991</v>
      </c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C2418" s="3"/>
      <c r="AD2418" s="3"/>
      <c r="AE2418" s="3"/>
      <c r="AF2418" s="3"/>
      <c r="AG2418" s="3"/>
      <c r="AH2418" s="3"/>
      <c r="AI2418" s="3"/>
      <c r="AJ2418" s="3"/>
      <c r="AK2418" s="3" t="s">
        <v>525</v>
      </c>
      <c r="AL2418" s="4">
        <v>44130</v>
      </c>
      <c r="AM2418" s="3"/>
      <c r="AN2418" s="3" t="s">
        <v>8992</v>
      </c>
    </row>
    <row r="2419" spans="1:40" ht="27.95" x14ac:dyDescent="0.3">
      <c r="A2419" s="3">
        <v>2413</v>
      </c>
      <c r="B2419" s="3" t="str">
        <f>"1495164"</f>
        <v>1495164</v>
      </c>
      <c r="C2419" s="3">
        <v>82338</v>
      </c>
      <c r="D2419" s="3" t="s">
        <v>8993</v>
      </c>
      <c r="E2419" s="3">
        <v>20462279991</v>
      </c>
      <c r="F2419" s="3" t="s">
        <v>3543</v>
      </c>
      <c r="G2419" s="3" t="s">
        <v>8994</v>
      </c>
      <c r="H2419" s="3" t="s">
        <v>56</v>
      </c>
      <c r="I2419" s="3" t="s">
        <v>56</v>
      </c>
      <c r="J2419" s="3" t="s">
        <v>432</v>
      </c>
      <c r="K2419" s="3" t="s">
        <v>8995</v>
      </c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  <c r="AC2419" s="3"/>
      <c r="AD2419" s="3"/>
      <c r="AE2419" s="3"/>
      <c r="AF2419" s="3"/>
      <c r="AG2419" s="3"/>
      <c r="AH2419" s="3"/>
      <c r="AI2419" s="3"/>
      <c r="AJ2419" s="3"/>
      <c r="AK2419" s="3" t="s">
        <v>2766</v>
      </c>
      <c r="AL2419" s="3" t="s">
        <v>290</v>
      </c>
      <c r="AM2419" s="3"/>
      <c r="AN2419" s="3" t="s">
        <v>3547</v>
      </c>
    </row>
    <row r="2420" spans="1:40" x14ac:dyDescent="0.3">
      <c r="A2420" s="3">
        <v>2414</v>
      </c>
      <c r="B2420" s="3" t="str">
        <f>"1315834"</f>
        <v>1315834</v>
      </c>
      <c r="C2420" s="3">
        <v>20638</v>
      </c>
      <c r="D2420" s="3" t="s">
        <v>8996</v>
      </c>
      <c r="E2420" s="3">
        <v>20100572649</v>
      </c>
      <c r="F2420" s="3" t="s">
        <v>1316</v>
      </c>
      <c r="G2420" s="3" t="s">
        <v>1317</v>
      </c>
      <c r="H2420" s="3" t="s">
        <v>56</v>
      </c>
      <c r="I2420" s="3" t="s">
        <v>56</v>
      </c>
      <c r="J2420" s="3" t="s">
        <v>56</v>
      </c>
      <c r="K2420" s="3" t="s">
        <v>8997</v>
      </c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  <c r="AC2420" s="3"/>
      <c r="AD2420" s="3"/>
      <c r="AE2420" s="3"/>
      <c r="AF2420" s="3"/>
      <c r="AG2420" s="3"/>
      <c r="AH2420" s="3"/>
      <c r="AI2420" s="3"/>
      <c r="AJ2420" s="3"/>
      <c r="AK2420" s="3" t="s">
        <v>546</v>
      </c>
      <c r="AL2420" s="4">
        <v>36985</v>
      </c>
      <c r="AM2420" s="3"/>
      <c r="AN2420" s="3"/>
    </row>
    <row r="2421" spans="1:40" x14ac:dyDescent="0.3">
      <c r="A2421" s="3">
        <v>2415</v>
      </c>
      <c r="B2421" s="3" t="str">
        <f>"1374426"</f>
        <v>1374426</v>
      </c>
      <c r="C2421" s="3">
        <v>87253</v>
      </c>
      <c r="D2421" s="3" t="s">
        <v>8998</v>
      </c>
      <c r="E2421" s="3">
        <v>10419228473</v>
      </c>
      <c r="F2421" s="3" t="s">
        <v>8999</v>
      </c>
      <c r="G2421" s="3" t="s">
        <v>9000</v>
      </c>
      <c r="H2421" s="3" t="s">
        <v>97</v>
      </c>
      <c r="I2421" s="3" t="s">
        <v>97</v>
      </c>
      <c r="J2421" s="3" t="s">
        <v>105</v>
      </c>
      <c r="K2421" s="3" t="s">
        <v>9001</v>
      </c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C2421" s="3"/>
      <c r="AD2421" s="3"/>
      <c r="AE2421" s="3"/>
      <c r="AF2421" s="3"/>
      <c r="AG2421" s="3"/>
      <c r="AH2421" s="3"/>
      <c r="AI2421" s="3"/>
      <c r="AJ2421" s="3"/>
      <c r="AK2421" s="3" t="s">
        <v>9002</v>
      </c>
      <c r="AL2421" s="4">
        <v>40364</v>
      </c>
      <c r="AM2421" s="3"/>
      <c r="AN2421" s="3" t="s">
        <v>8999</v>
      </c>
    </row>
    <row r="2422" spans="1:40" x14ac:dyDescent="0.3">
      <c r="A2422" s="3">
        <v>2416</v>
      </c>
      <c r="B2422" s="3" t="str">
        <f>"1380584"</f>
        <v>1380584</v>
      </c>
      <c r="C2422" s="3">
        <v>87602</v>
      </c>
      <c r="D2422" s="3" t="s">
        <v>9003</v>
      </c>
      <c r="E2422" s="3">
        <v>20443435680</v>
      </c>
      <c r="F2422" s="3" t="s">
        <v>8862</v>
      </c>
      <c r="G2422" s="3" t="s">
        <v>8863</v>
      </c>
      <c r="H2422" s="3" t="s">
        <v>237</v>
      </c>
      <c r="I2422" s="3" t="s">
        <v>868</v>
      </c>
      <c r="J2422" s="3" t="s">
        <v>868</v>
      </c>
      <c r="K2422" s="3" t="s">
        <v>9004</v>
      </c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C2422" s="3"/>
      <c r="AD2422" s="3"/>
      <c r="AE2422" s="3"/>
      <c r="AF2422" s="3"/>
      <c r="AG2422" s="3"/>
      <c r="AH2422" s="3"/>
      <c r="AI2422" s="3"/>
      <c r="AJ2422" s="3"/>
      <c r="AK2422" s="3" t="s">
        <v>8865</v>
      </c>
      <c r="AL2422" s="4">
        <v>40375</v>
      </c>
      <c r="AM2422" s="3"/>
      <c r="AN2422" s="3" t="s">
        <v>8866</v>
      </c>
    </row>
    <row r="2423" spans="1:40" x14ac:dyDescent="0.3">
      <c r="A2423" s="3">
        <v>2417</v>
      </c>
      <c r="B2423" s="3" t="str">
        <f>"1380580"</f>
        <v>1380580</v>
      </c>
      <c r="C2423" s="3">
        <v>87601</v>
      </c>
      <c r="D2423" s="3" t="s">
        <v>9005</v>
      </c>
      <c r="E2423" s="3">
        <v>20443435680</v>
      </c>
      <c r="F2423" s="3" t="s">
        <v>8862</v>
      </c>
      <c r="G2423" s="3" t="s">
        <v>8863</v>
      </c>
      <c r="H2423" s="3" t="s">
        <v>237</v>
      </c>
      <c r="I2423" s="3" t="s">
        <v>868</v>
      </c>
      <c r="J2423" s="3" t="s">
        <v>868</v>
      </c>
      <c r="K2423" s="3" t="s">
        <v>9006</v>
      </c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  <c r="AC2423" s="3"/>
      <c r="AD2423" s="3"/>
      <c r="AE2423" s="3"/>
      <c r="AF2423" s="3"/>
      <c r="AG2423" s="3"/>
      <c r="AH2423" s="3"/>
      <c r="AI2423" s="3"/>
      <c r="AJ2423" s="3"/>
      <c r="AK2423" s="3" t="s">
        <v>8865</v>
      </c>
      <c r="AL2423" s="4">
        <v>40375</v>
      </c>
      <c r="AM2423" s="3"/>
      <c r="AN2423" s="3" t="s">
        <v>8866</v>
      </c>
    </row>
    <row r="2424" spans="1:40" x14ac:dyDescent="0.3">
      <c r="A2424" s="3">
        <v>2418</v>
      </c>
      <c r="B2424" s="3" t="str">
        <f>"201400163990"</f>
        <v>201400163990</v>
      </c>
      <c r="C2424" s="3">
        <v>112901</v>
      </c>
      <c r="D2424" s="3" t="s">
        <v>9007</v>
      </c>
      <c r="E2424" s="3">
        <v>15113363964</v>
      </c>
      <c r="F2424" s="3" t="s">
        <v>3152</v>
      </c>
      <c r="G2424" s="3" t="s">
        <v>9008</v>
      </c>
      <c r="H2424" s="3" t="s">
        <v>56</v>
      </c>
      <c r="I2424" s="3" t="s">
        <v>56</v>
      </c>
      <c r="J2424" s="3" t="s">
        <v>363</v>
      </c>
      <c r="K2424" s="3" t="s">
        <v>9009</v>
      </c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  <c r="AC2424" s="3"/>
      <c r="AD2424" s="3"/>
      <c r="AE2424" s="3"/>
      <c r="AF2424" s="3"/>
      <c r="AG2424" s="3"/>
      <c r="AH2424" s="3"/>
      <c r="AI2424" s="3"/>
      <c r="AJ2424" s="3"/>
      <c r="AK2424" s="3" t="s">
        <v>3589</v>
      </c>
      <c r="AL2424" s="4">
        <v>41991</v>
      </c>
      <c r="AM2424" s="3"/>
      <c r="AN2424" s="3" t="s">
        <v>3152</v>
      </c>
    </row>
    <row r="2425" spans="1:40" x14ac:dyDescent="0.3">
      <c r="A2425" s="3">
        <v>2419</v>
      </c>
      <c r="B2425" s="3" t="str">
        <f>"201400077290"</f>
        <v>201400077290</v>
      </c>
      <c r="C2425" s="3">
        <v>110051</v>
      </c>
      <c r="D2425" s="3" t="s">
        <v>9010</v>
      </c>
      <c r="E2425" s="3">
        <v>20454626258</v>
      </c>
      <c r="F2425" s="3" t="s">
        <v>7858</v>
      </c>
      <c r="G2425" s="3" t="s">
        <v>9011</v>
      </c>
      <c r="H2425" s="3" t="s">
        <v>97</v>
      </c>
      <c r="I2425" s="3" t="s">
        <v>97</v>
      </c>
      <c r="J2425" s="3" t="s">
        <v>144</v>
      </c>
      <c r="K2425" s="3" t="s">
        <v>9012</v>
      </c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C2425" s="3"/>
      <c r="AD2425" s="3"/>
      <c r="AE2425" s="3"/>
      <c r="AF2425" s="3"/>
      <c r="AG2425" s="3"/>
      <c r="AH2425" s="3"/>
      <c r="AI2425" s="3"/>
      <c r="AJ2425" s="3"/>
      <c r="AK2425" s="3" t="s">
        <v>4148</v>
      </c>
      <c r="AL2425" s="4">
        <v>41810</v>
      </c>
      <c r="AM2425" s="3"/>
      <c r="AN2425" s="3" t="s">
        <v>7464</v>
      </c>
    </row>
    <row r="2426" spans="1:40" x14ac:dyDescent="0.3">
      <c r="A2426" s="3">
        <v>2420</v>
      </c>
      <c r="B2426" s="3" t="str">
        <f>"1511908"</f>
        <v>1511908</v>
      </c>
      <c r="C2426" s="3">
        <v>94648</v>
      </c>
      <c r="D2426" s="3" t="s">
        <v>9013</v>
      </c>
      <c r="E2426" s="3">
        <v>10277469150</v>
      </c>
      <c r="F2426" s="3" t="s">
        <v>9014</v>
      </c>
      <c r="G2426" s="3" t="s">
        <v>9015</v>
      </c>
      <c r="H2426" s="3" t="s">
        <v>357</v>
      </c>
      <c r="I2426" s="3" t="s">
        <v>2569</v>
      </c>
      <c r="J2426" s="3" t="s">
        <v>2569</v>
      </c>
      <c r="K2426" s="3" t="s">
        <v>9016</v>
      </c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C2426" s="3"/>
      <c r="AD2426" s="3"/>
      <c r="AE2426" s="3"/>
      <c r="AF2426" s="3"/>
      <c r="AG2426" s="3"/>
      <c r="AH2426" s="3"/>
      <c r="AI2426" s="3"/>
      <c r="AJ2426" s="3"/>
      <c r="AK2426" s="3" t="s">
        <v>3449</v>
      </c>
      <c r="AL2426" s="4">
        <v>40857</v>
      </c>
      <c r="AM2426" s="3"/>
      <c r="AN2426" s="3" t="s">
        <v>9014</v>
      </c>
    </row>
    <row r="2427" spans="1:40" x14ac:dyDescent="0.3">
      <c r="A2427" s="3">
        <v>2421</v>
      </c>
      <c r="B2427" s="3" t="str">
        <f>"201400089617"</f>
        <v>201400089617</v>
      </c>
      <c r="C2427" s="3">
        <v>84921</v>
      </c>
      <c r="D2427" s="3" t="s">
        <v>9017</v>
      </c>
      <c r="E2427" s="3">
        <v>20174640514</v>
      </c>
      <c r="F2427" s="3" t="s">
        <v>3043</v>
      </c>
      <c r="G2427" s="3" t="s">
        <v>9018</v>
      </c>
      <c r="H2427" s="3" t="s">
        <v>75</v>
      </c>
      <c r="I2427" s="3" t="s">
        <v>75</v>
      </c>
      <c r="J2427" s="3" t="s">
        <v>76</v>
      </c>
      <c r="K2427" s="3" t="s">
        <v>9019</v>
      </c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  <c r="AC2427" s="3"/>
      <c r="AD2427" s="3"/>
      <c r="AE2427" s="3"/>
      <c r="AF2427" s="3"/>
      <c r="AG2427" s="3"/>
      <c r="AH2427" s="3"/>
      <c r="AI2427" s="3"/>
      <c r="AJ2427" s="3"/>
      <c r="AK2427" s="3" t="s">
        <v>3539</v>
      </c>
      <c r="AL2427" s="4">
        <v>41831</v>
      </c>
      <c r="AM2427" s="3"/>
      <c r="AN2427" s="3" t="s">
        <v>3046</v>
      </c>
    </row>
    <row r="2428" spans="1:40" x14ac:dyDescent="0.3">
      <c r="A2428" s="3">
        <v>2422</v>
      </c>
      <c r="B2428" s="3" t="str">
        <f>"201800117933"</f>
        <v>201800117933</v>
      </c>
      <c r="C2428" s="3">
        <v>137497</v>
      </c>
      <c r="D2428" s="3" t="s">
        <v>9020</v>
      </c>
      <c r="E2428" s="3">
        <v>10212598840</v>
      </c>
      <c r="F2428" s="3" t="s">
        <v>1558</v>
      </c>
      <c r="G2428" s="3" t="s">
        <v>3506</v>
      </c>
      <c r="H2428" s="3" t="s">
        <v>56</v>
      </c>
      <c r="I2428" s="3" t="s">
        <v>56</v>
      </c>
      <c r="J2428" s="3" t="s">
        <v>363</v>
      </c>
      <c r="K2428" s="3" t="s">
        <v>9021</v>
      </c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  <c r="AC2428" s="3"/>
      <c r="AD2428" s="3"/>
      <c r="AE2428" s="3"/>
      <c r="AF2428" s="3"/>
      <c r="AG2428" s="3"/>
      <c r="AH2428" s="3"/>
      <c r="AI2428" s="3"/>
      <c r="AJ2428" s="3"/>
      <c r="AK2428" s="3" t="s">
        <v>218</v>
      </c>
      <c r="AL2428" s="4">
        <v>43300</v>
      </c>
      <c r="AM2428" s="3"/>
      <c r="AN2428" s="3" t="s">
        <v>1561</v>
      </c>
    </row>
    <row r="2429" spans="1:40" x14ac:dyDescent="0.3">
      <c r="A2429" s="3">
        <v>2423</v>
      </c>
      <c r="B2429" s="3" t="str">
        <f>"201800008808"</f>
        <v>201800008808</v>
      </c>
      <c r="C2429" s="3">
        <v>134089</v>
      </c>
      <c r="D2429" s="3" t="s">
        <v>9022</v>
      </c>
      <c r="E2429" s="3">
        <v>20100366747</v>
      </c>
      <c r="F2429" s="3" t="s">
        <v>4697</v>
      </c>
      <c r="G2429" s="3" t="s">
        <v>451</v>
      </c>
      <c r="H2429" s="3" t="s">
        <v>56</v>
      </c>
      <c r="I2429" s="3" t="s">
        <v>56</v>
      </c>
      <c r="J2429" s="3" t="s">
        <v>185</v>
      </c>
      <c r="K2429" s="3" t="s">
        <v>9023</v>
      </c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C2429" s="3"/>
      <c r="AD2429" s="3"/>
      <c r="AE2429" s="3"/>
      <c r="AF2429" s="3"/>
      <c r="AG2429" s="3"/>
      <c r="AH2429" s="3"/>
      <c r="AI2429" s="3"/>
      <c r="AJ2429" s="3"/>
      <c r="AK2429" s="3" t="s">
        <v>337</v>
      </c>
      <c r="AL2429" s="4">
        <v>43125</v>
      </c>
      <c r="AM2429" s="3"/>
      <c r="AN2429" s="3" t="s">
        <v>262</v>
      </c>
    </row>
    <row r="2430" spans="1:40" x14ac:dyDescent="0.3">
      <c r="A2430" s="3">
        <v>2424</v>
      </c>
      <c r="B2430" s="3" t="str">
        <f>"202000136871"</f>
        <v>202000136871</v>
      </c>
      <c r="C2430" s="3">
        <v>151696</v>
      </c>
      <c r="D2430" s="3" t="s">
        <v>9024</v>
      </c>
      <c r="E2430" s="3">
        <v>20600593090</v>
      </c>
      <c r="F2430" s="3" t="s">
        <v>9025</v>
      </c>
      <c r="G2430" s="3" t="s">
        <v>9026</v>
      </c>
      <c r="H2430" s="3" t="s">
        <v>56</v>
      </c>
      <c r="I2430" s="3" t="s">
        <v>56</v>
      </c>
      <c r="J2430" s="3" t="s">
        <v>3942</v>
      </c>
      <c r="K2430" s="3" t="s">
        <v>9027</v>
      </c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C2430" s="3"/>
      <c r="AD2430" s="3"/>
      <c r="AE2430" s="3"/>
      <c r="AF2430" s="3"/>
      <c r="AG2430" s="3"/>
      <c r="AH2430" s="3"/>
      <c r="AI2430" s="3"/>
      <c r="AJ2430" s="3"/>
      <c r="AK2430" s="3" t="s">
        <v>5132</v>
      </c>
      <c r="AL2430" s="4">
        <v>44125</v>
      </c>
      <c r="AM2430" s="3"/>
      <c r="AN2430" s="3" t="s">
        <v>1355</v>
      </c>
    </row>
    <row r="2431" spans="1:40" ht="27.95" x14ac:dyDescent="0.3">
      <c r="A2431" s="3">
        <v>2425</v>
      </c>
      <c r="B2431" s="3" t="str">
        <f>"201300090007"</f>
        <v>201300090007</v>
      </c>
      <c r="C2431" s="3">
        <v>102979</v>
      </c>
      <c r="D2431" s="3" t="s">
        <v>9028</v>
      </c>
      <c r="E2431" s="3">
        <v>20490156403</v>
      </c>
      <c r="F2431" s="3" t="s">
        <v>9029</v>
      </c>
      <c r="G2431" s="3" t="s">
        <v>9030</v>
      </c>
      <c r="H2431" s="3" t="s">
        <v>446</v>
      </c>
      <c r="I2431" s="3" t="s">
        <v>446</v>
      </c>
      <c r="J2431" s="3" t="s">
        <v>2611</v>
      </c>
      <c r="K2431" s="3" t="s">
        <v>9031</v>
      </c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  <c r="AC2431" s="3"/>
      <c r="AD2431" s="3"/>
      <c r="AE2431" s="3"/>
      <c r="AF2431" s="3"/>
      <c r="AG2431" s="3"/>
      <c r="AH2431" s="3"/>
      <c r="AI2431" s="3"/>
      <c r="AJ2431" s="3"/>
      <c r="AK2431" s="3" t="s">
        <v>428</v>
      </c>
      <c r="AL2431" s="3" t="s">
        <v>290</v>
      </c>
      <c r="AM2431" s="3"/>
      <c r="AN2431" s="3" t="s">
        <v>9032</v>
      </c>
    </row>
    <row r="2432" spans="1:40" ht="41.95" x14ac:dyDescent="0.3">
      <c r="A2432" s="3">
        <v>2426</v>
      </c>
      <c r="B2432" s="3" t="str">
        <f>"202000136869"</f>
        <v>202000136869</v>
      </c>
      <c r="C2432" s="3">
        <v>151688</v>
      </c>
      <c r="D2432" s="3" t="s">
        <v>9033</v>
      </c>
      <c r="E2432" s="3">
        <v>20478005289</v>
      </c>
      <c r="F2432" s="3" t="s">
        <v>957</v>
      </c>
      <c r="G2432" s="3" t="s">
        <v>9034</v>
      </c>
      <c r="H2432" s="3" t="s">
        <v>56</v>
      </c>
      <c r="I2432" s="3" t="s">
        <v>56</v>
      </c>
      <c r="J2432" s="3" t="s">
        <v>363</v>
      </c>
      <c r="K2432" s="3" t="s">
        <v>9035</v>
      </c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  <c r="AC2432" s="3"/>
      <c r="AD2432" s="3"/>
      <c r="AE2432" s="3"/>
      <c r="AF2432" s="3"/>
      <c r="AG2432" s="3"/>
      <c r="AH2432" s="3"/>
      <c r="AI2432" s="3"/>
      <c r="AJ2432" s="3"/>
      <c r="AK2432" s="3" t="s">
        <v>47</v>
      </c>
      <c r="AL2432" s="4">
        <v>44118</v>
      </c>
      <c r="AM2432" s="3"/>
      <c r="AN2432" s="3" t="s">
        <v>372</v>
      </c>
    </row>
    <row r="2433" spans="1:40" ht="41.95" x14ac:dyDescent="0.3">
      <c r="A2433" s="3">
        <v>2427</v>
      </c>
      <c r="B2433" s="3" t="str">
        <f>"202000136868"</f>
        <v>202000136868</v>
      </c>
      <c r="C2433" s="3">
        <v>151685</v>
      </c>
      <c r="D2433" s="3" t="s">
        <v>9036</v>
      </c>
      <c r="E2433" s="3">
        <v>20478005289</v>
      </c>
      <c r="F2433" s="3" t="s">
        <v>957</v>
      </c>
      <c r="G2433" s="3" t="s">
        <v>7317</v>
      </c>
      <c r="H2433" s="3" t="s">
        <v>56</v>
      </c>
      <c r="I2433" s="3" t="s">
        <v>56</v>
      </c>
      <c r="J2433" s="3" t="s">
        <v>363</v>
      </c>
      <c r="K2433" s="3" t="s">
        <v>9037</v>
      </c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C2433" s="3"/>
      <c r="AD2433" s="3"/>
      <c r="AE2433" s="3"/>
      <c r="AF2433" s="3"/>
      <c r="AG2433" s="3"/>
      <c r="AH2433" s="3"/>
      <c r="AI2433" s="3"/>
      <c r="AJ2433" s="3"/>
      <c r="AK2433" s="3" t="s">
        <v>47</v>
      </c>
      <c r="AL2433" s="4">
        <v>44118</v>
      </c>
      <c r="AM2433" s="3"/>
      <c r="AN2433" s="3" t="s">
        <v>372</v>
      </c>
    </row>
    <row r="2434" spans="1:40" x14ac:dyDescent="0.3">
      <c r="A2434" s="3">
        <v>2428</v>
      </c>
      <c r="B2434" s="3" t="str">
        <f>"201200121209"</f>
        <v>201200121209</v>
      </c>
      <c r="C2434" s="3">
        <v>97157</v>
      </c>
      <c r="D2434" s="3" t="s">
        <v>9038</v>
      </c>
      <c r="E2434" s="3">
        <v>10252166501</v>
      </c>
      <c r="F2434" s="3" t="s">
        <v>2436</v>
      </c>
      <c r="G2434" s="3" t="s">
        <v>6291</v>
      </c>
      <c r="H2434" s="3" t="s">
        <v>446</v>
      </c>
      <c r="I2434" s="3" t="s">
        <v>446</v>
      </c>
      <c r="J2434" s="3" t="s">
        <v>447</v>
      </c>
      <c r="K2434" s="3" t="s">
        <v>9039</v>
      </c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C2434" s="3"/>
      <c r="AD2434" s="3"/>
      <c r="AE2434" s="3"/>
      <c r="AF2434" s="3"/>
      <c r="AG2434" s="3"/>
      <c r="AH2434" s="3"/>
      <c r="AI2434" s="3"/>
      <c r="AJ2434" s="3"/>
      <c r="AK2434" s="3" t="s">
        <v>525</v>
      </c>
      <c r="AL2434" s="4">
        <v>41071</v>
      </c>
      <c r="AM2434" s="3"/>
      <c r="AN2434" s="3" t="s">
        <v>2436</v>
      </c>
    </row>
    <row r="2435" spans="1:40" x14ac:dyDescent="0.3">
      <c r="A2435" s="3">
        <v>2429</v>
      </c>
      <c r="B2435" s="3" t="str">
        <f>"201600165254"</f>
        <v>201600165254</v>
      </c>
      <c r="C2435" s="3">
        <v>124924</v>
      </c>
      <c r="D2435" s="3" t="s">
        <v>9040</v>
      </c>
      <c r="E2435" s="3">
        <v>10181878571</v>
      </c>
      <c r="F2435" s="3" t="s">
        <v>8963</v>
      </c>
      <c r="G2435" s="3" t="s">
        <v>8964</v>
      </c>
      <c r="H2435" s="3" t="s">
        <v>44</v>
      </c>
      <c r="I2435" s="3" t="s">
        <v>6716</v>
      </c>
      <c r="J2435" s="3" t="s">
        <v>6716</v>
      </c>
      <c r="K2435" s="3" t="s">
        <v>9041</v>
      </c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  <c r="AC2435" s="3"/>
      <c r="AD2435" s="3"/>
      <c r="AE2435" s="3"/>
      <c r="AF2435" s="3"/>
      <c r="AG2435" s="3"/>
      <c r="AH2435" s="3"/>
      <c r="AI2435" s="3"/>
      <c r="AJ2435" s="3"/>
      <c r="AK2435" s="3" t="s">
        <v>52</v>
      </c>
      <c r="AL2435" s="4">
        <v>42702</v>
      </c>
      <c r="AM2435" s="3"/>
      <c r="AN2435" s="3" t="s">
        <v>8963</v>
      </c>
    </row>
    <row r="2436" spans="1:40" x14ac:dyDescent="0.3">
      <c r="A2436" s="3">
        <v>2430</v>
      </c>
      <c r="B2436" s="3" t="str">
        <f>"1848438"</f>
        <v>1848438</v>
      </c>
      <c r="C2436" s="3">
        <v>82391</v>
      </c>
      <c r="D2436" s="3" t="s">
        <v>9042</v>
      </c>
      <c r="E2436" s="3">
        <v>20113539594</v>
      </c>
      <c r="F2436" s="3" t="s">
        <v>7629</v>
      </c>
      <c r="G2436" s="3" t="s">
        <v>9043</v>
      </c>
      <c r="H2436" s="3" t="s">
        <v>50</v>
      </c>
      <c r="I2436" s="3" t="s">
        <v>50</v>
      </c>
      <c r="J2436" s="3" t="s">
        <v>50</v>
      </c>
      <c r="K2436" s="3" t="s">
        <v>9044</v>
      </c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  <c r="AC2436" s="3"/>
      <c r="AD2436" s="3"/>
      <c r="AE2436" s="3"/>
      <c r="AF2436" s="3"/>
      <c r="AG2436" s="3"/>
      <c r="AH2436" s="3"/>
      <c r="AI2436" s="3"/>
      <c r="AJ2436" s="3"/>
      <c r="AK2436" s="3" t="s">
        <v>9045</v>
      </c>
      <c r="AL2436" s="4">
        <v>39804</v>
      </c>
      <c r="AM2436" s="3"/>
      <c r="AN2436" s="3"/>
    </row>
    <row r="2437" spans="1:40" ht="27.95" x14ac:dyDescent="0.3">
      <c r="A2437" s="3">
        <v>2431</v>
      </c>
      <c r="B2437" s="3" t="str">
        <f>"201300167079"</f>
        <v>201300167079</v>
      </c>
      <c r="C2437" s="3">
        <v>87227</v>
      </c>
      <c r="D2437" s="3" t="s">
        <v>9046</v>
      </c>
      <c r="E2437" s="3">
        <v>20546205275</v>
      </c>
      <c r="F2437" s="3" t="s">
        <v>9047</v>
      </c>
      <c r="G2437" s="3" t="s">
        <v>9048</v>
      </c>
      <c r="H2437" s="3" t="s">
        <v>56</v>
      </c>
      <c r="I2437" s="3" t="s">
        <v>56</v>
      </c>
      <c r="J2437" s="3" t="s">
        <v>715</v>
      </c>
      <c r="K2437" s="3" t="s">
        <v>9049</v>
      </c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C2437" s="3"/>
      <c r="AD2437" s="3"/>
      <c r="AE2437" s="3"/>
      <c r="AF2437" s="3"/>
      <c r="AG2437" s="3"/>
      <c r="AH2437" s="3"/>
      <c r="AI2437" s="3"/>
      <c r="AJ2437" s="3"/>
      <c r="AK2437" s="3" t="s">
        <v>230</v>
      </c>
      <c r="AL2437" s="3" t="s">
        <v>290</v>
      </c>
      <c r="AM2437" s="3"/>
      <c r="AN2437" s="3" t="s">
        <v>2350</v>
      </c>
    </row>
    <row r="2438" spans="1:40" x14ac:dyDescent="0.3">
      <c r="A2438" s="3">
        <v>2432</v>
      </c>
      <c r="B2438" s="3" t="str">
        <f>"201200006884"</f>
        <v>201200006884</v>
      </c>
      <c r="C2438" s="3">
        <v>94764</v>
      </c>
      <c r="D2438" s="3" t="s">
        <v>9050</v>
      </c>
      <c r="E2438" s="3">
        <v>20452790069</v>
      </c>
      <c r="F2438" s="3" t="s">
        <v>9051</v>
      </c>
      <c r="G2438" s="3" t="s">
        <v>9052</v>
      </c>
      <c r="H2438" s="3" t="s">
        <v>386</v>
      </c>
      <c r="I2438" s="3" t="s">
        <v>5876</v>
      </c>
      <c r="J2438" s="3" t="s">
        <v>380</v>
      </c>
      <c r="K2438" s="3" t="s">
        <v>9053</v>
      </c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C2438" s="3"/>
      <c r="AD2438" s="3"/>
      <c r="AE2438" s="3"/>
      <c r="AF2438" s="3"/>
      <c r="AG2438" s="3"/>
      <c r="AH2438" s="3"/>
      <c r="AI2438" s="3"/>
      <c r="AJ2438" s="3"/>
      <c r="AK2438" s="3" t="s">
        <v>9054</v>
      </c>
      <c r="AL2438" s="4">
        <v>40960</v>
      </c>
      <c r="AM2438" s="3"/>
      <c r="AN2438" s="3" t="s">
        <v>9055</v>
      </c>
    </row>
    <row r="2439" spans="1:40" x14ac:dyDescent="0.3">
      <c r="A2439" s="3">
        <v>2433</v>
      </c>
      <c r="B2439" s="3" t="str">
        <f>"1503270"</f>
        <v>1503270</v>
      </c>
      <c r="C2439" s="3">
        <v>94018</v>
      </c>
      <c r="D2439" s="3" t="s">
        <v>9056</v>
      </c>
      <c r="E2439" s="3">
        <v>20530817891</v>
      </c>
      <c r="F2439" s="3" t="s">
        <v>2759</v>
      </c>
      <c r="G2439" s="3" t="s">
        <v>9057</v>
      </c>
      <c r="H2439" s="3" t="s">
        <v>271</v>
      </c>
      <c r="I2439" s="3" t="s">
        <v>272</v>
      </c>
      <c r="J2439" s="3" t="s">
        <v>272</v>
      </c>
      <c r="K2439" s="3" t="s">
        <v>9058</v>
      </c>
      <c r="L2439" s="3" t="s">
        <v>9059</v>
      </c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  <c r="AC2439" s="3"/>
      <c r="AD2439" s="3"/>
      <c r="AE2439" s="3"/>
      <c r="AF2439" s="3"/>
      <c r="AG2439" s="3"/>
      <c r="AH2439" s="3"/>
      <c r="AI2439" s="3"/>
      <c r="AJ2439" s="3"/>
      <c r="AK2439" s="3" t="s">
        <v>470</v>
      </c>
      <c r="AL2439" s="4">
        <v>40828</v>
      </c>
      <c r="AM2439" s="3"/>
      <c r="AN2439" s="3" t="s">
        <v>2762</v>
      </c>
    </row>
    <row r="2440" spans="1:40" x14ac:dyDescent="0.3">
      <c r="A2440" s="3">
        <v>2434</v>
      </c>
      <c r="B2440" s="3" t="str">
        <f>"201400106454"</f>
        <v>201400106454</v>
      </c>
      <c r="C2440" s="3">
        <v>111098</v>
      </c>
      <c r="D2440" s="3" t="s">
        <v>9060</v>
      </c>
      <c r="E2440" s="3">
        <v>20250459981</v>
      </c>
      <c r="F2440" s="3" t="s">
        <v>1351</v>
      </c>
      <c r="G2440" s="3" t="s">
        <v>1352</v>
      </c>
      <c r="H2440" s="3" t="s">
        <v>56</v>
      </c>
      <c r="I2440" s="3" t="s">
        <v>56</v>
      </c>
      <c r="J2440" s="3" t="s">
        <v>273</v>
      </c>
      <c r="K2440" s="3" t="s">
        <v>9061</v>
      </c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  <c r="AC2440" s="3"/>
      <c r="AD2440" s="3"/>
      <c r="AE2440" s="3"/>
      <c r="AF2440" s="3"/>
      <c r="AG2440" s="3"/>
      <c r="AH2440" s="3"/>
      <c r="AI2440" s="3"/>
      <c r="AJ2440" s="3"/>
      <c r="AK2440" s="3" t="s">
        <v>3539</v>
      </c>
      <c r="AL2440" s="4">
        <v>41872</v>
      </c>
      <c r="AM2440" s="3"/>
      <c r="AN2440" s="3" t="s">
        <v>1355</v>
      </c>
    </row>
    <row r="2441" spans="1:40" x14ac:dyDescent="0.3">
      <c r="A2441" s="3">
        <v>2435</v>
      </c>
      <c r="B2441" s="3" t="str">
        <f>"201700099588"</f>
        <v>201700099588</v>
      </c>
      <c r="C2441" s="3">
        <v>130234</v>
      </c>
      <c r="D2441" s="3" t="s">
        <v>9062</v>
      </c>
      <c r="E2441" s="3">
        <v>10275637590</v>
      </c>
      <c r="F2441" s="3" t="s">
        <v>9063</v>
      </c>
      <c r="G2441" s="3" t="s">
        <v>9064</v>
      </c>
      <c r="H2441" s="3" t="s">
        <v>357</v>
      </c>
      <c r="I2441" s="3" t="s">
        <v>358</v>
      </c>
      <c r="J2441" s="3" t="s">
        <v>358</v>
      </c>
      <c r="K2441" s="3" t="s">
        <v>9065</v>
      </c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C2441" s="3"/>
      <c r="AD2441" s="3"/>
      <c r="AE2441" s="3"/>
      <c r="AF2441" s="3"/>
      <c r="AG2441" s="3"/>
      <c r="AH2441" s="3"/>
      <c r="AI2441" s="3"/>
      <c r="AJ2441" s="3"/>
      <c r="AK2441" s="3" t="s">
        <v>701</v>
      </c>
      <c r="AL2441" s="4">
        <v>42920</v>
      </c>
      <c r="AM2441" s="3"/>
      <c r="AN2441" s="3" t="s">
        <v>9063</v>
      </c>
    </row>
    <row r="2442" spans="1:40" ht="27.95" x14ac:dyDescent="0.3">
      <c r="A2442" s="3">
        <v>2436</v>
      </c>
      <c r="B2442" s="3" t="str">
        <f>"1575974"</f>
        <v>1575974</v>
      </c>
      <c r="C2442" s="3">
        <v>42030</v>
      </c>
      <c r="D2442" s="3" t="s">
        <v>9066</v>
      </c>
      <c r="E2442" s="3">
        <v>10096631320</v>
      </c>
      <c r="F2442" s="3" t="s">
        <v>1136</v>
      </c>
      <c r="G2442" s="3" t="s">
        <v>9067</v>
      </c>
      <c r="H2442" s="3" t="s">
        <v>56</v>
      </c>
      <c r="I2442" s="3" t="s">
        <v>56</v>
      </c>
      <c r="J2442" s="3" t="s">
        <v>277</v>
      </c>
      <c r="K2442" s="3" t="s">
        <v>9068</v>
      </c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C2442" s="3"/>
      <c r="AD2442" s="3"/>
      <c r="AE2442" s="3"/>
      <c r="AF2442" s="3"/>
      <c r="AG2442" s="3"/>
      <c r="AH2442" s="3"/>
      <c r="AI2442" s="3"/>
      <c r="AJ2442" s="3"/>
      <c r="AK2442" s="3" t="s">
        <v>9069</v>
      </c>
      <c r="AL2442" s="4">
        <v>38693</v>
      </c>
      <c r="AM2442" s="3"/>
      <c r="AN2442" s="3"/>
    </row>
    <row r="2443" spans="1:40" x14ac:dyDescent="0.3">
      <c r="A2443" s="3">
        <v>2437</v>
      </c>
      <c r="B2443" s="3" t="str">
        <f>"201700006259"</f>
        <v>201700006259</v>
      </c>
      <c r="C2443" s="3">
        <v>126028</v>
      </c>
      <c r="D2443" s="3" t="s">
        <v>9070</v>
      </c>
      <c r="E2443" s="3">
        <v>10096237966</v>
      </c>
      <c r="F2443" s="3" t="s">
        <v>9071</v>
      </c>
      <c r="G2443" s="3" t="s">
        <v>9072</v>
      </c>
      <c r="H2443" s="3" t="s">
        <v>56</v>
      </c>
      <c r="I2443" s="3" t="s">
        <v>56</v>
      </c>
      <c r="J2443" s="3" t="s">
        <v>57</v>
      </c>
      <c r="K2443" s="3" t="s">
        <v>9073</v>
      </c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  <c r="AC2443" s="3"/>
      <c r="AD2443" s="3"/>
      <c r="AE2443" s="3"/>
      <c r="AF2443" s="3"/>
      <c r="AG2443" s="3"/>
      <c r="AH2443" s="3"/>
      <c r="AI2443" s="3"/>
      <c r="AJ2443" s="3"/>
      <c r="AK2443" s="3" t="s">
        <v>157</v>
      </c>
      <c r="AL2443" s="4">
        <v>42768</v>
      </c>
      <c r="AM2443" s="3"/>
      <c r="AN2443" s="3" t="s">
        <v>9071</v>
      </c>
    </row>
    <row r="2444" spans="1:40" x14ac:dyDescent="0.3">
      <c r="A2444" s="3">
        <v>2438</v>
      </c>
      <c r="B2444" s="3" t="str">
        <f>"201700108691"</f>
        <v>201700108691</v>
      </c>
      <c r="C2444" s="3">
        <v>83445</v>
      </c>
      <c r="D2444" s="3" t="s">
        <v>9074</v>
      </c>
      <c r="E2444" s="3">
        <v>10292917177</v>
      </c>
      <c r="F2444" s="3" t="s">
        <v>444</v>
      </c>
      <c r="G2444" s="3" t="s">
        <v>9075</v>
      </c>
      <c r="H2444" s="3" t="s">
        <v>446</v>
      </c>
      <c r="I2444" s="3" t="s">
        <v>446</v>
      </c>
      <c r="J2444" s="3" t="s">
        <v>447</v>
      </c>
      <c r="K2444" s="3" t="s">
        <v>9076</v>
      </c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  <c r="AC2444" s="3"/>
      <c r="AD2444" s="3"/>
      <c r="AE2444" s="3"/>
      <c r="AF2444" s="3"/>
      <c r="AG2444" s="3"/>
      <c r="AH2444" s="3"/>
      <c r="AI2444" s="3"/>
      <c r="AJ2444" s="3"/>
      <c r="AK2444" s="3" t="s">
        <v>1064</v>
      </c>
      <c r="AL2444" s="4">
        <v>42933</v>
      </c>
      <c r="AM2444" s="3"/>
      <c r="AN2444" s="3"/>
    </row>
    <row r="2445" spans="1:40" x14ac:dyDescent="0.3">
      <c r="A2445" s="3">
        <v>2439</v>
      </c>
      <c r="B2445" s="3" t="str">
        <f>"201700108693"</f>
        <v>201700108693</v>
      </c>
      <c r="C2445" s="3">
        <v>62688</v>
      </c>
      <c r="D2445" s="3" t="s">
        <v>9077</v>
      </c>
      <c r="E2445" s="3">
        <v>10292917177</v>
      </c>
      <c r="F2445" s="3" t="s">
        <v>444</v>
      </c>
      <c r="G2445" s="3" t="s">
        <v>4673</v>
      </c>
      <c r="H2445" s="3" t="s">
        <v>97</v>
      </c>
      <c r="I2445" s="3" t="s">
        <v>97</v>
      </c>
      <c r="J2445" s="3" t="s">
        <v>326</v>
      </c>
      <c r="K2445" s="3" t="s">
        <v>9078</v>
      </c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C2445" s="3"/>
      <c r="AD2445" s="3"/>
      <c r="AE2445" s="3"/>
      <c r="AF2445" s="3"/>
      <c r="AG2445" s="3"/>
      <c r="AH2445" s="3"/>
      <c r="AI2445" s="3"/>
      <c r="AJ2445" s="3"/>
      <c r="AK2445" s="3" t="s">
        <v>3574</v>
      </c>
      <c r="AL2445" s="4">
        <v>42933</v>
      </c>
      <c r="AM2445" s="3"/>
      <c r="AN2445" s="3" t="s">
        <v>444</v>
      </c>
    </row>
    <row r="2446" spans="1:40" x14ac:dyDescent="0.3">
      <c r="A2446" s="3">
        <v>2440</v>
      </c>
      <c r="B2446" s="3" t="str">
        <f>"201200061761"</f>
        <v>201200061761</v>
      </c>
      <c r="C2446" s="3">
        <v>96737</v>
      </c>
      <c r="D2446" s="3" t="s">
        <v>9079</v>
      </c>
      <c r="E2446" s="3">
        <v>10252166501</v>
      </c>
      <c r="F2446" s="3" t="s">
        <v>2436</v>
      </c>
      <c r="G2446" s="3" t="s">
        <v>9080</v>
      </c>
      <c r="H2446" s="3" t="s">
        <v>446</v>
      </c>
      <c r="I2446" s="3" t="s">
        <v>446</v>
      </c>
      <c r="J2446" s="3" t="s">
        <v>447</v>
      </c>
      <c r="K2446" s="3" t="s">
        <v>9081</v>
      </c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C2446" s="3"/>
      <c r="AD2446" s="3"/>
      <c r="AE2446" s="3"/>
      <c r="AF2446" s="3"/>
      <c r="AG2446" s="3"/>
      <c r="AH2446" s="3"/>
      <c r="AI2446" s="3"/>
      <c r="AJ2446" s="3"/>
      <c r="AK2446" s="3" t="s">
        <v>226</v>
      </c>
      <c r="AL2446" s="4">
        <v>41038</v>
      </c>
      <c r="AM2446" s="3"/>
      <c r="AN2446" s="3" t="s">
        <v>2436</v>
      </c>
    </row>
    <row r="2447" spans="1:40" x14ac:dyDescent="0.3">
      <c r="A2447" s="3">
        <v>2441</v>
      </c>
      <c r="B2447" s="3" t="str">
        <f>"1584981"</f>
        <v>1584981</v>
      </c>
      <c r="C2447" s="3">
        <v>42554</v>
      </c>
      <c r="D2447" s="3" t="s">
        <v>9082</v>
      </c>
      <c r="E2447" s="3">
        <v>20100366747</v>
      </c>
      <c r="F2447" s="3" t="s">
        <v>258</v>
      </c>
      <c r="G2447" s="3" t="s">
        <v>9083</v>
      </c>
      <c r="H2447" s="3" t="s">
        <v>56</v>
      </c>
      <c r="I2447" s="3" t="s">
        <v>56</v>
      </c>
      <c r="J2447" s="3" t="s">
        <v>273</v>
      </c>
      <c r="K2447" s="3" t="s">
        <v>9084</v>
      </c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  <c r="AC2447" s="3"/>
      <c r="AD2447" s="3"/>
      <c r="AE2447" s="3"/>
      <c r="AF2447" s="3"/>
      <c r="AG2447" s="3"/>
      <c r="AH2447" s="3"/>
      <c r="AI2447" s="3"/>
      <c r="AJ2447" s="3"/>
      <c r="AK2447" s="3" t="s">
        <v>81</v>
      </c>
      <c r="AL2447" s="4">
        <v>38742</v>
      </c>
      <c r="AM2447" s="3"/>
      <c r="AN2447" s="3"/>
    </row>
    <row r="2448" spans="1:40" x14ac:dyDescent="0.3">
      <c r="A2448" s="3">
        <v>2442</v>
      </c>
      <c r="B2448" s="3" t="str">
        <f>"201200061763"</f>
        <v>201200061763</v>
      </c>
      <c r="C2448" s="3">
        <v>96736</v>
      </c>
      <c r="D2448" s="3" t="s">
        <v>9085</v>
      </c>
      <c r="E2448" s="3">
        <v>10252166501</v>
      </c>
      <c r="F2448" s="3" t="s">
        <v>2436</v>
      </c>
      <c r="G2448" s="3" t="s">
        <v>9080</v>
      </c>
      <c r="H2448" s="3" t="s">
        <v>446</v>
      </c>
      <c r="I2448" s="3" t="s">
        <v>446</v>
      </c>
      <c r="J2448" s="3" t="s">
        <v>447</v>
      </c>
      <c r="K2448" s="3" t="s">
        <v>9086</v>
      </c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  <c r="AC2448" s="3"/>
      <c r="AD2448" s="3"/>
      <c r="AE2448" s="3"/>
      <c r="AF2448" s="3"/>
      <c r="AG2448" s="3"/>
      <c r="AH2448" s="3"/>
      <c r="AI2448" s="3"/>
      <c r="AJ2448" s="3"/>
      <c r="AK2448" s="3" t="s">
        <v>3432</v>
      </c>
      <c r="AL2448" s="4">
        <v>41038</v>
      </c>
      <c r="AM2448" s="3"/>
      <c r="AN2448" s="3" t="s">
        <v>2436</v>
      </c>
    </row>
    <row r="2449" spans="1:40" x14ac:dyDescent="0.3">
      <c r="A2449" s="3">
        <v>2443</v>
      </c>
      <c r="B2449" s="3" t="str">
        <f>"201400077297"</f>
        <v>201400077297</v>
      </c>
      <c r="C2449" s="3">
        <v>110052</v>
      </c>
      <c r="D2449" s="3" t="s">
        <v>9087</v>
      </c>
      <c r="E2449" s="3">
        <v>20454626258</v>
      </c>
      <c r="F2449" s="3" t="s">
        <v>7858</v>
      </c>
      <c r="G2449" s="3" t="s">
        <v>7859</v>
      </c>
      <c r="H2449" s="3" t="s">
        <v>97</v>
      </c>
      <c r="I2449" s="3" t="s">
        <v>97</v>
      </c>
      <c r="J2449" s="3" t="s">
        <v>144</v>
      </c>
      <c r="K2449" s="3" t="s">
        <v>9088</v>
      </c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C2449" s="3"/>
      <c r="AD2449" s="3"/>
      <c r="AE2449" s="3"/>
      <c r="AF2449" s="3"/>
      <c r="AG2449" s="3"/>
      <c r="AH2449" s="3"/>
      <c r="AI2449" s="3"/>
      <c r="AJ2449" s="3"/>
      <c r="AK2449" s="3" t="s">
        <v>4148</v>
      </c>
      <c r="AL2449" s="4">
        <v>41810</v>
      </c>
      <c r="AM2449" s="3"/>
      <c r="AN2449" s="3" t="s">
        <v>7464</v>
      </c>
    </row>
    <row r="2450" spans="1:40" x14ac:dyDescent="0.3">
      <c r="A2450" s="3">
        <v>2444</v>
      </c>
      <c r="B2450" s="3" t="str">
        <f>"201600165265"</f>
        <v>201600165265</v>
      </c>
      <c r="C2450" s="3">
        <v>124926</v>
      </c>
      <c r="D2450" s="3" t="s">
        <v>9089</v>
      </c>
      <c r="E2450" s="3">
        <v>10181878571</v>
      </c>
      <c r="F2450" s="3" t="s">
        <v>8963</v>
      </c>
      <c r="G2450" s="3" t="s">
        <v>8964</v>
      </c>
      <c r="H2450" s="3" t="s">
        <v>44</v>
      </c>
      <c r="I2450" s="3" t="s">
        <v>6716</v>
      </c>
      <c r="J2450" s="3" t="s">
        <v>6716</v>
      </c>
      <c r="K2450" s="3" t="s">
        <v>9090</v>
      </c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C2450" s="3"/>
      <c r="AD2450" s="3"/>
      <c r="AE2450" s="3"/>
      <c r="AF2450" s="3"/>
      <c r="AG2450" s="3"/>
      <c r="AH2450" s="3"/>
      <c r="AI2450" s="3"/>
      <c r="AJ2450" s="3"/>
      <c r="AK2450" s="3" t="s">
        <v>52</v>
      </c>
      <c r="AL2450" s="4">
        <v>42702</v>
      </c>
      <c r="AM2450" s="3"/>
      <c r="AN2450" s="3" t="s">
        <v>8963</v>
      </c>
    </row>
    <row r="2451" spans="1:40" x14ac:dyDescent="0.3">
      <c r="A2451" s="3">
        <v>2445</v>
      </c>
      <c r="B2451" s="3" t="str">
        <f>"1942828"</f>
        <v>1942828</v>
      </c>
      <c r="C2451" s="3">
        <v>83931</v>
      </c>
      <c r="D2451" s="3" t="s">
        <v>9091</v>
      </c>
      <c r="E2451" s="3">
        <v>10199456739</v>
      </c>
      <c r="F2451" s="3" t="s">
        <v>9092</v>
      </c>
      <c r="G2451" s="3" t="s">
        <v>9093</v>
      </c>
      <c r="H2451" s="3" t="s">
        <v>56</v>
      </c>
      <c r="I2451" s="3" t="s">
        <v>56</v>
      </c>
      <c r="J2451" s="3" t="s">
        <v>715</v>
      </c>
      <c r="K2451" s="3" t="s">
        <v>9094</v>
      </c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  <c r="AC2451" s="3"/>
      <c r="AD2451" s="3"/>
      <c r="AE2451" s="3"/>
      <c r="AF2451" s="3"/>
      <c r="AG2451" s="3"/>
      <c r="AH2451" s="3"/>
      <c r="AI2451" s="3"/>
      <c r="AJ2451" s="3"/>
      <c r="AK2451" s="3" t="s">
        <v>9095</v>
      </c>
      <c r="AL2451" s="4">
        <v>40151</v>
      </c>
      <c r="AM2451" s="3"/>
      <c r="AN2451" s="3"/>
    </row>
    <row r="2452" spans="1:40" x14ac:dyDescent="0.3">
      <c r="A2452" s="3">
        <v>2446</v>
      </c>
      <c r="B2452" s="3" t="str">
        <f>"201600178341"</f>
        <v>201600178341</v>
      </c>
      <c r="C2452" s="3">
        <v>34759</v>
      </c>
      <c r="D2452" s="3" t="s">
        <v>9096</v>
      </c>
      <c r="E2452" s="3">
        <v>20100366747</v>
      </c>
      <c r="F2452" s="3" t="s">
        <v>258</v>
      </c>
      <c r="G2452" s="3" t="s">
        <v>259</v>
      </c>
      <c r="H2452" s="3" t="s">
        <v>56</v>
      </c>
      <c r="I2452" s="3" t="s">
        <v>56</v>
      </c>
      <c r="J2452" s="3" t="s">
        <v>185</v>
      </c>
      <c r="K2452" s="3" t="s">
        <v>9097</v>
      </c>
      <c r="L2452" s="3" t="s">
        <v>9098</v>
      </c>
      <c r="M2452" s="3" t="s">
        <v>4702</v>
      </c>
      <c r="N2452" s="3" t="s">
        <v>9099</v>
      </c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  <c r="AC2452" s="3"/>
      <c r="AD2452" s="3"/>
      <c r="AE2452" s="3"/>
      <c r="AF2452" s="3"/>
      <c r="AG2452" s="3"/>
      <c r="AH2452" s="3"/>
      <c r="AI2452" s="3"/>
      <c r="AJ2452" s="3"/>
      <c r="AK2452" s="3" t="s">
        <v>371</v>
      </c>
      <c r="AL2452" s="4">
        <v>42741</v>
      </c>
      <c r="AM2452" s="3"/>
      <c r="AN2452" s="3" t="s">
        <v>262</v>
      </c>
    </row>
    <row r="2453" spans="1:40" x14ac:dyDescent="0.3">
      <c r="A2453" s="3">
        <v>2447</v>
      </c>
      <c r="B2453" s="3" t="str">
        <f>"201600034700"</f>
        <v>201600034700</v>
      </c>
      <c r="C2453" s="3">
        <v>104760</v>
      </c>
      <c r="D2453" s="3" t="s">
        <v>9100</v>
      </c>
      <c r="E2453" s="3">
        <v>20100366747</v>
      </c>
      <c r="F2453" s="3" t="s">
        <v>334</v>
      </c>
      <c r="G2453" s="3" t="s">
        <v>451</v>
      </c>
      <c r="H2453" s="3" t="s">
        <v>56</v>
      </c>
      <c r="I2453" s="3" t="s">
        <v>56</v>
      </c>
      <c r="J2453" s="3" t="s">
        <v>185</v>
      </c>
      <c r="K2453" s="3" t="s">
        <v>9101</v>
      </c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C2453" s="3"/>
      <c r="AD2453" s="3"/>
      <c r="AE2453" s="3"/>
      <c r="AF2453" s="3"/>
      <c r="AG2453" s="3"/>
      <c r="AH2453" s="3"/>
      <c r="AI2453" s="3"/>
      <c r="AJ2453" s="3"/>
      <c r="AK2453" s="3" t="s">
        <v>118</v>
      </c>
      <c r="AL2453" s="4">
        <v>42471</v>
      </c>
      <c r="AM2453" s="3"/>
      <c r="AN2453" s="3" t="s">
        <v>262</v>
      </c>
    </row>
    <row r="2454" spans="1:40" x14ac:dyDescent="0.3">
      <c r="A2454" s="3">
        <v>2448</v>
      </c>
      <c r="B2454" s="3" t="str">
        <f>"201200203012"</f>
        <v>201200203012</v>
      </c>
      <c r="C2454" s="3">
        <v>84340</v>
      </c>
      <c r="D2454" s="3" t="s">
        <v>9102</v>
      </c>
      <c r="E2454" s="3">
        <v>10292593398</v>
      </c>
      <c r="F2454" s="3" t="s">
        <v>1000</v>
      </c>
      <c r="G2454" s="3" t="s">
        <v>9103</v>
      </c>
      <c r="H2454" s="3" t="s">
        <v>97</v>
      </c>
      <c r="I2454" s="3" t="s">
        <v>97</v>
      </c>
      <c r="J2454" s="3" t="s">
        <v>97</v>
      </c>
      <c r="K2454" s="3" t="s">
        <v>9104</v>
      </c>
      <c r="L2454" s="3" t="s">
        <v>9105</v>
      </c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C2454" s="3"/>
      <c r="AD2454" s="3"/>
      <c r="AE2454" s="3"/>
      <c r="AF2454" s="3"/>
      <c r="AG2454" s="3"/>
      <c r="AH2454" s="3"/>
      <c r="AI2454" s="3"/>
      <c r="AJ2454" s="3"/>
      <c r="AK2454" s="3" t="s">
        <v>9106</v>
      </c>
      <c r="AL2454" s="4">
        <v>41239</v>
      </c>
      <c r="AM2454" s="3"/>
      <c r="AN2454" s="3" t="s">
        <v>1000</v>
      </c>
    </row>
    <row r="2455" spans="1:40" x14ac:dyDescent="0.3">
      <c r="A2455" s="3">
        <v>2449</v>
      </c>
      <c r="B2455" s="3" t="str">
        <f>"201900147833"</f>
        <v>201900147833</v>
      </c>
      <c r="C2455" s="3">
        <v>146516</v>
      </c>
      <c r="D2455" s="3" t="s">
        <v>9107</v>
      </c>
      <c r="E2455" s="3">
        <v>20502846206</v>
      </c>
      <c r="F2455" s="3" t="s">
        <v>1174</v>
      </c>
      <c r="G2455" s="3" t="s">
        <v>3945</v>
      </c>
      <c r="H2455" s="3" t="s">
        <v>56</v>
      </c>
      <c r="I2455" s="3" t="s">
        <v>56</v>
      </c>
      <c r="J2455" s="3" t="s">
        <v>715</v>
      </c>
      <c r="K2455" s="3" t="s">
        <v>9108</v>
      </c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  <c r="AC2455" s="3"/>
      <c r="AD2455" s="3"/>
      <c r="AE2455" s="3"/>
      <c r="AF2455" s="3"/>
      <c r="AG2455" s="3"/>
      <c r="AH2455" s="3"/>
      <c r="AI2455" s="3"/>
      <c r="AJ2455" s="3"/>
      <c r="AK2455" s="3" t="s">
        <v>4641</v>
      </c>
      <c r="AL2455" s="4">
        <v>43725</v>
      </c>
      <c r="AM2455" s="3"/>
      <c r="AN2455" s="3" t="s">
        <v>1177</v>
      </c>
    </row>
    <row r="2456" spans="1:40" x14ac:dyDescent="0.3">
      <c r="A2456" s="3">
        <v>2450</v>
      </c>
      <c r="B2456" s="3" t="str">
        <f>"201900147838"</f>
        <v>201900147838</v>
      </c>
      <c r="C2456" s="3">
        <v>146517</v>
      </c>
      <c r="D2456" s="3" t="s">
        <v>9109</v>
      </c>
      <c r="E2456" s="3">
        <v>20502846206</v>
      </c>
      <c r="F2456" s="3" t="s">
        <v>1174</v>
      </c>
      <c r="G2456" s="3" t="s">
        <v>3945</v>
      </c>
      <c r="H2456" s="3" t="s">
        <v>56</v>
      </c>
      <c r="I2456" s="3" t="s">
        <v>56</v>
      </c>
      <c r="J2456" s="3" t="s">
        <v>715</v>
      </c>
      <c r="K2456" s="3" t="s">
        <v>9110</v>
      </c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  <c r="AC2456" s="3"/>
      <c r="AD2456" s="3"/>
      <c r="AE2456" s="3"/>
      <c r="AF2456" s="3"/>
      <c r="AG2456" s="3"/>
      <c r="AH2456" s="3"/>
      <c r="AI2456" s="3"/>
      <c r="AJ2456" s="3"/>
      <c r="AK2456" s="3" t="s">
        <v>9111</v>
      </c>
      <c r="AL2456" s="4">
        <v>43725</v>
      </c>
      <c r="AM2456" s="3"/>
      <c r="AN2456" s="3" t="s">
        <v>1177</v>
      </c>
    </row>
    <row r="2457" spans="1:40" x14ac:dyDescent="0.3">
      <c r="A2457" s="3">
        <v>2451</v>
      </c>
      <c r="B2457" s="3" t="str">
        <f>"1441299"</f>
        <v>1441299</v>
      </c>
      <c r="C2457" s="3">
        <v>44012</v>
      </c>
      <c r="D2457" s="3" t="s">
        <v>9112</v>
      </c>
      <c r="E2457" s="3">
        <v>20491700417</v>
      </c>
      <c r="F2457" s="3" t="s">
        <v>9113</v>
      </c>
      <c r="G2457" s="3" t="s">
        <v>9114</v>
      </c>
      <c r="H2457" s="3" t="s">
        <v>357</v>
      </c>
      <c r="I2457" s="3" t="s">
        <v>566</v>
      </c>
      <c r="J2457" s="3" t="s">
        <v>566</v>
      </c>
      <c r="K2457" s="3" t="s">
        <v>9115</v>
      </c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C2457" s="3"/>
      <c r="AD2457" s="3"/>
      <c r="AE2457" s="3"/>
      <c r="AF2457" s="3"/>
      <c r="AG2457" s="3"/>
      <c r="AH2457" s="3"/>
      <c r="AI2457" s="3"/>
      <c r="AJ2457" s="3"/>
      <c r="AK2457" s="3" t="s">
        <v>218</v>
      </c>
      <c r="AL2457" s="4">
        <v>40492</v>
      </c>
      <c r="AM2457" s="3"/>
      <c r="AN2457" s="3" t="s">
        <v>569</v>
      </c>
    </row>
    <row r="2458" spans="1:40" x14ac:dyDescent="0.3">
      <c r="A2458" s="3">
        <v>2452</v>
      </c>
      <c r="B2458" s="3" t="str">
        <f>"201400073332"</f>
        <v>201400073332</v>
      </c>
      <c r="C2458" s="3">
        <v>86630</v>
      </c>
      <c r="D2458" s="3" t="s">
        <v>9116</v>
      </c>
      <c r="E2458" s="3">
        <v>20509227668</v>
      </c>
      <c r="F2458" s="3" t="s">
        <v>4382</v>
      </c>
      <c r="G2458" s="3" t="s">
        <v>259</v>
      </c>
      <c r="H2458" s="3" t="s">
        <v>56</v>
      </c>
      <c r="I2458" s="3" t="s">
        <v>56</v>
      </c>
      <c r="J2458" s="3" t="s">
        <v>185</v>
      </c>
      <c r="K2458" s="3" t="s">
        <v>9117</v>
      </c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C2458" s="3"/>
      <c r="AD2458" s="3"/>
      <c r="AE2458" s="3"/>
      <c r="AF2458" s="3"/>
      <c r="AG2458" s="3"/>
      <c r="AH2458" s="3"/>
      <c r="AI2458" s="3"/>
      <c r="AJ2458" s="3"/>
      <c r="AK2458" s="3" t="s">
        <v>118</v>
      </c>
      <c r="AL2458" s="4">
        <v>41800</v>
      </c>
      <c r="AM2458" s="3"/>
      <c r="AN2458" s="3" t="s">
        <v>9118</v>
      </c>
    </row>
    <row r="2459" spans="1:40" x14ac:dyDescent="0.3">
      <c r="A2459" s="3">
        <v>2453</v>
      </c>
      <c r="B2459" s="3" t="str">
        <f>"1276456"</f>
        <v>1276456</v>
      </c>
      <c r="C2459" s="3">
        <v>18188</v>
      </c>
      <c r="D2459" s="3">
        <v>1276456</v>
      </c>
      <c r="E2459" s="3">
        <v>10153883110</v>
      </c>
      <c r="F2459" s="3" t="s">
        <v>9119</v>
      </c>
      <c r="G2459" s="3" t="s">
        <v>9120</v>
      </c>
      <c r="H2459" s="3" t="s">
        <v>56</v>
      </c>
      <c r="I2459" s="3" t="s">
        <v>422</v>
      </c>
      <c r="J2459" s="3" t="s">
        <v>6793</v>
      </c>
      <c r="K2459" s="3" t="s">
        <v>9121</v>
      </c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  <c r="AC2459" s="3"/>
      <c r="AD2459" s="3"/>
      <c r="AE2459" s="3"/>
      <c r="AF2459" s="3"/>
      <c r="AG2459" s="3"/>
      <c r="AH2459" s="3"/>
      <c r="AI2459" s="3"/>
      <c r="AJ2459" s="3"/>
      <c r="AK2459" s="3" t="s">
        <v>167</v>
      </c>
      <c r="AL2459" s="4">
        <v>36633</v>
      </c>
      <c r="AM2459" s="3"/>
      <c r="AN2459" s="3"/>
    </row>
    <row r="2460" spans="1:40" x14ac:dyDescent="0.3">
      <c r="A2460" s="3">
        <v>2454</v>
      </c>
      <c r="B2460" s="3" t="str">
        <f>"201200203007"</f>
        <v>201200203007</v>
      </c>
      <c r="C2460" s="3">
        <v>99232</v>
      </c>
      <c r="D2460" s="3" t="s">
        <v>9122</v>
      </c>
      <c r="E2460" s="3">
        <v>10405620061</v>
      </c>
      <c r="F2460" s="3" t="s">
        <v>9123</v>
      </c>
      <c r="G2460" s="3" t="s">
        <v>9124</v>
      </c>
      <c r="H2460" s="3" t="s">
        <v>97</v>
      </c>
      <c r="I2460" s="3" t="s">
        <v>97</v>
      </c>
      <c r="J2460" s="3" t="s">
        <v>144</v>
      </c>
      <c r="K2460" s="3" t="s">
        <v>9125</v>
      </c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  <c r="AC2460" s="3"/>
      <c r="AD2460" s="3"/>
      <c r="AE2460" s="3"/>
      <c r="AF2460" s="3"/>
      <c r="AG2460" s="3"/>
      <c r="AH2460" s="3"/>
      <c r="AI2460" s="3"/>
      <c r="AJ2460" s="3"/>
      <c r="AK2460" s="3" t="s">
        <v>226</v>
      </c>
      <c r="AL2460" s="4">
        <v>41239</v>
      </c>
      <c r="AM2460" s="3"/>
      <c r="AN2460" s="3" t="s">
        <v>9123</v>
      </c>
    </row>
    <row r="2461" spans="1:40" x14ac:dyDescent="0.3">
      <c r="A2461" s="3">
        <v>2455</v>
      </c>
      <c r="B2461" s="3" t="str">
        <f>"1932646"</f>
        <v>1932646</v>
      </c>
      <c r="C2461" s="3">
        <v>83832</v>
      </c>
      <c r="D2461" s="3" t="s">
        <v>9126</v>
      </c>
      <c r="E2461" s="3">
        <v>10106438345</v>
      </c>
      <c r="F2461" s="3" t="s">
        <v>1434</v>
      </c>
      <c r="G2461" s="3" t="s">
        <v>1435</v>
      </c>
      <c r="H2461" s="3" t="s">
        <v>97</v>
      </c>
      <c r="I2461" s="3" t="s">
        <v>1436</v>
      </c>
      <c r="J2461" s="3" t="s">
        <v>1437</v>
      </c>
      <c r="K2461" s="3" t="s">
        <v>9127</v>
      </c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C2461" s="3"/>
      <c r="AD2461" s="3"/>
      <c r="AE2461" s="3"/>
      <c r="AF2461" s="3"/>
      <c r="AG2461" s="3"/>
      <c r="AH2461" s="3"/>
      <c r="AI2461" s="3"/>
      <c r="AJ2461" s="3"/>
      <c r="AK2461" s="3" t="s">
        <v>321</v>
      </c>
      <c r="AL2461" s="4">
        <v>40099</v>
      </c>
      <c r="AM2461" s="3"/>
      <c r="AN2461" s="3"/>
    </row>
    <row r="2462" spans="1:40" ht="27.95" x14ac:dyDescent="0.3">
      <c r="A2462" s="3">
        <v>2456</v>
      </c>
      <c r="B2462" s="3" t="str">
        <f>"201300036031"</f>
        <v>201300036031</v>
      </c>
      <c r="C2462" s="3">
        <v>101032</v>
      </c>
      <c r="D2462" s="3" t="s">
        <v>9128</v>
      </c>
      <c r="E2462" s="3">
        <v>20100076749</v>
      </c>
      <c r="F2462" s="3" t="s">
        <v>159</v>
      </c>
      <c r="G2462" s="3" t="s">
        <v>9129</v>
      </c>
      <c r="H2462" s="3" t="s">
        <v>56</v>
      </c>
      <c r="I2462" s="3" t="s">
        <v>56</v>
      </c>
      <c r="J2462" s="3" t="s">
        <v>121</v>
      </c>
      <c r="K2462" s="3" t="s">
        <v>9130</v>
      </c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C2462" s="3"/>
      <c r="AD2462" s="3"/>
      <c r="AE2462" s="3"/>
      <c r="AF2462" s="3"/>
      <c r="AG2462" s="3"/>
      <c r="AH2462" s="3"/>
      <c r="AI2462" s="3"/>
      <c r="AJ2462" s="3"/>
      <c r="AK2462" s="3" t="s">
        <v>9131</v>
      </c>
      <c r="AL2462" s="4">
        <v>41319</v>
      </c>
      <c r="AM2462" s="3"/>
      <c r="AN2462" s="3" t="s">
        <v>1177</v>
      </c>
    </row>
    <row r="2463" spans="1:40" x14ac:dyDescent="0.3">
      <c r="A2463" s="3">
        <v>2457</v>
      </c>
      <c r="B2463" s="3" t="str">
        <f>"1420179"</f>
        <v>1420179</v>
      </c>
      <c r="C2463" s="3">
        <v>34017</v>
      </c>
      <c r="D2463" s="3" t="s">
        <v>9132</v>
      </c>
      <c r="E2463" s="3">
        <v>10157636699</v>
      </c>
      <c r="F2463" s="3" t="s">
        <v>9133</v>
      </c>
      <c r="G2463" s="3" t="s">
        <v>9134</v>
      </c>
      <c r="H2463" s="3" t="s">
        <v>56</v>
      </c>
      <c r="I2463" s="3" t="s">
        <v>3997</v>
      </c>
      <c r="J2463" s="3" t="s">
        <v>3997</v>
      </c>
      <c r="K2463" s="3" t="s">
        <v>9135</v>
      </c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  <c r="AC2463" s="3"/>
      <c r="AD2463" s="3"/>
      <c r="AE2463" s="3"/>
      <c r="AF2463" s="3"/>
      <c r="AG2463" s="3"/>
      <c r="AH2463" s="3"/>
      <c r="AI2463" s="3"/>
      <c r="AJ2463" s="3"/>
      <c r="AK2463" s="3" t="s">
        <v>9136</v>
      </c>
      <c r="AL2463" s="4">
        <v>37824</v>
      </c>
      <c r="AM2463" s="3"/>
      <c r="AN2463" s="3"/>
    </row>
    <row r="2464" spans="1:40" x14ac:dyDescent="0.3">
      <c r="A2464" s="3">
        <v>2458</v>
      </c>
      <c r="B2464" s="3" t="str">
        <f>"201200173268"</f>
        <v>201200173268</v>
      </c>
      <c r="C2464" s="3">
        <v>97786</v>
      </c>
      <c r="D2464" s="3" t="s">
        <v>9137</v>
      </c>
      <c r="E2464" s="3">
        <v>20480024711</v>
      </c>
      <c r="F2464" s="3" t="s">
        <v>1755</v>
      </c>
      <c r="G2464" s="3" t="s">
        <v>9138</v>
      </c>
      <c r="H2464" s="3" t="s">
        <v>587</v>
      </c>
      <c r="I2464" s="3" t="s">
        <v>588</v>
      </c>
      <c r="J2464" s="3" t="s">
        <v>588</v>
      </c>
      <c r="K2464" s="3" t="s">
        <v>9139</v>
      </c>
      <c r="L2464" s="3" t="s">
        <v>9140</v>
      </c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  <c r="AC2464" s="3"/>
      <c r="AD2464" s="3"/>
      <c r="AE2464" s="3"/>
      <c r="AF2464" s="3"/>
      <c r="AG2464" s="3"/>
      <c r="AH2464" s="3"/>
      <c r="AI2464" s="3"/>
      <c r="AJ2464" s="3"/>
      <c r="AK2464" s="3" t="s">
        <v>9141</v>
      </c>
      <c r="AL2464" s="4">
        <v>41170</v>
      </c>
      <c r="AM2464" s="3"/>
      <c r="AN2464" s="3" t="s">
        <v>1759</v>
      </c>
    </row>
    <row r="2465" spans="1:40" ht="27.95" x14ac:dyDescent="0.3">
      <c r="A2465" s="3">
        <v>2459</v>
      </c>
      <c r="B2465" s="3" t="str">
        <f>"1452236"</f>
        <v>1452236</v>
      </c>
      <c r="C2465" s="3">
        <v>37247</v>
      </c>
      <c r="D2465" s="3" t="s">
        <v>9142</v>
      </c>
      <c r="E2465" s="3">
        <v>10065573321</v>
      </c>
      <c r="F2465" s="3" t="s">
        <v>9143</v>
      </c>
      <c r="G2465" s="3" t="s">
        <v>9144</v>
      </c>
      <c r="H2465" s="3" t="s">
        <v>56</v>
      </c>
      <c r="I2465" s="3" t="s">
        <v>56</v>
      </c>
      <c r="J2465" s="3" t="s">
        <v>363</v>
      </c>
      <c r="K2465" s="3" t="s">
        <v>9145</v>
      </c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C2465" s="3"/>
      <c r="AD2465" s="3"/>
      <c r="AE2465" s="3"/>
      <c r="AF2465" s="3"/>
      <c r="AG2465" s="3"/>
      <c r="AH2465" s="3"/>
      <c r="AI2465" s="3"/>
      <c r="AJ2465" s="3"/>
      <c r="AK2465" s="3" t="s">
        <v>1461</v>
      </c>
      <c r="AL2465" s="4">
        <v>38028</v>
      </c>
      <c r="AM2465" s="3"/>
      <c r="AN2465" s="3"/>
    </row>
    <row r="2466" spans="1:40" x14ac:dyDescent="0.3">
      <c r="A2466" s="3">
        <v>2460</v>
      </c>
      <c r="B2466" s="3" t="str">
        <f>"1259237"</f>
        <v>1259237</v>
      </c>
      <c r="C2466" s="3">
        <v>17964</v>
      </c>
      <c r="D2466" s="3">
        <v>1259237</v>
      </c>
      <c r="E2466" s="3">
        <v>10098670713</v>
      </c>
      <c r="F2466" s="3" t="s">
        <v>9146</v>
      </c>
      <c r="G2466" s="3" t="s">
        <v>9147</v>
      </c>
      <c r="H2466" s="3" t="s">
        <v>56</v>
      </c>
      <c r="I2466" s="3" t="s">
        <v>56</v>
      </c>
      <c r="J2466" s="3" t="s">
        <v>185</v>
      </c>
      <c r="K2466" s="3" t="s">
        <v>9148</v>
      </c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C2466" s="3"/>
      <c r="AD2466" s="3"/>
      <c r="AE2466" s="3"/>
      <c r="AF2466" s="3"/>
      <c r="AG2466" s="3"/>
      <c r="AH2466" s="3"/>
      <c r="AI2466" s="3"/>
      <c r="AJ2466" s="3"/>
      <c r="AK2466" s="3" t="s">
        <v>118</v>
      </c>
      <c r="AL2466" s="4">
        <v>36445</v>
      </c>
      <c r="AM2466" s="3"/>
      <c r="AN2466" s="3"/>
    </row>
    <row r="2467" spans="1:40" x14ac:dyDescent="0.3">
      <c r="A2467" s="3">
        <v>2461</v>
      </c>
      <c r="B2467" s="3" t="str">
        <f>"201300111319"</f>
        <v>201300111319</v>
      </c>
      <c r="C2467" s="3">
        <v>103790</v>
      </c>
      <c r="D2467" s="3" t="s">
        <v>9149</v>
      </c>
      <c r="E2467" s="3">
        <v>10296948590</v>
      </c>
      <c r="F2467" s="3" t="s">
        <v>9150</v>
      </c>
      <c r="G2467" s="3" t="s">
        <v>9151</v>
      </c>
      <c r="H2467" s="3" t="s">
        <v>97</v>
      </c>
      <c r="I2467" s="3" t="s">
        <v>97</v>
      </c>
      <c r="J2467" s="3" t="s">
        <v>2039</v>
      </c>
      <c r="K2467" s="3" t="s">
        <v>9152</v>
      </c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  <c r="AC2467" s="3"/>
      <c r="AD2467" s="3"/>
      <c r="AE2467" s="3"/>
      <c r="AF2467" s="3"/>
      <c r="AG2467" s="3"/>
      <c r="AH2467" s="3"/>
      <c r="AI2467" s="3"/>
      <c r="AJ2467" s="3"/>
      <c r="AK2467" s="3" t="s">
        <v>353</v>
      </c>
      <c r="AL2467" s="4">
        <v>41458</v>
      </c>
      <c r="AM2467" s="3"/>
      <c r="AN2467" s="3" t="s">
        <v>9150</v>
      </c>
    </row>
    <row r="2468" spans="1:40" x14ac:dyDescent="0.3">
      <c r="A2468" s="3">
        <v>2462</v>
      </c>
      <c r="B2468" s="3" t="str">
        <f>"1452243"</f>
        <v>1452243</v>
      </c>
      <c r="C2468" s="3">
        <v>42626</v>
      </c>
      <c r="D2468" s="3" t="s">
        <v>9153</v>
      </c>
      <c r="E2468" s="3">
        <v>10433174076</v>
      </c>
      <c r="F2468" s="3" t="s">
        <v>9154</v>
      </c>
      <c r="G2468" s="3" t="s">
        <v>9155</v>
      </c>
      <c r="H2468" s="3" t="s">
        <v>56</v>
      </c>
      <c r="I2468" s="3" t="s">
        <v>56</v>
      </c>
      <c r="J2468" s="3" t="s">
        <v>277</v>
      </c>
      <c r="K2468" s="3" t="s">
        <v>9156</v>
      </c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  <c r="AC2468" s="3"/>
      <c r="AD2468" s="3"/>
      <c r="AE2468" s="3"/>
      <c r="AF2468" s="3"/>
      <c r="AG2468" s="3"/>
      <c r="AH2468" s="3"/>
      <c r="AI2468" s="3"/>
      <c r="AJ2468" s="3"/>
      <c r="AK2468" s="3" t="s">
        <v>52</v>
      </c>
      <c r="AL2468" s="4">
        <v>38028</v>
      </c>
      <c r="AM2468" s="3"/>
      <c r="AN2468" s="3"/>
    </row>
    <row r="2469" spans="1:40" x14ac:dyDescent="0.3">
      <c r="A2469" s="3">
        <v>2463</v>
      </c>
      <c r="B2469" s="3" t="str">
        <f>"201500137248"</f>
        <v>201500137248</v>
      </c>
      <c r="C2469" s="3">
        <v>82906</v>
      </c>
      <c r="D2469" s="3" t="s">
        <v>9157</v>
      </c>
      <c r="E2469" s="3">
        <v>10238979655</v>
      </c>
      <c r="F2469" s="3" t="s">
        <v>9158</v>
      </c>
      <c r="G2469" s="3" t="s">
        <v>9159</v>
      </c>
      <c r="H2469" s="3" t="s">
        <v>446</v>
      </c>
      <c r="I2469" s="3" t="s">
        <v>446</v>
      </c>
      <c r="J2469" s="3" t="s">
        <v>1144</v>
      </c>
      <c r="K2469" s="3" t="s">
        <v>9160</v>
      </c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C2469" s="3"/>
      <c r="AD2469" s="3"/>
      <c r="AE2469" s="3"/>
      <c r="AF2469" s="3"/>
      <c r="AG2469" s="3"/>
      <c r="AH2469" s="3"/>
      <c r="AI2469" s="3"/>
      <c r="AJ2469" s="3"/>
      <c r="AK2469" s="3" t="s">
        <v>9161</v>
      </c>
      <c r="AL2469" s="4">
        <v>42312</v>
      </c>
      <c r="AM2469" s="3"/>
      <c r="AN2469" s="3" t="s">
        <v>9158</v>
      </c>
    </row>
    <row r="2470" spans="1:40" x14ac:dyDescent="0.3">
      <c r="A2470" s="3">
        <v>2464</v>
      </c>
      <c r="B2470" s="3" t="str">
        <f>"1869568"</f>
        <v>1869568</v>
      </c>
      <c r="C2470" s="3">
        <v>41123</v>
      </c>
      <c r="D2470" s="3" t="s">
        <v>9162</v>
      </c>
      <c r="E2470" s="3">
        <v>20321379975</v>
      </c>
      <c r="F2470" s="3" t="s">
        <v>9163</v>
      </c>
      <c r="G2470" s="3" t="s">
        <v>9164</v>
      </c>
      <c r="H2470" s="3" t="s">
        <v>89</v>
      </c>
      <c r="I2470" s="3" t="s">
        <v>2601</v>
      </c>
      <c r="J2470" s="3" t="s">
        <v>2602</v>
      </c>
      <c r="K2470" s="3" t="s">
        <v>9165</v>
      </c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C2470" s="3"/>
      <c r="AD2470" s="3"/>
      <c r="AE2470" s="3"/>
      <c r="AF2470" s="3"/>
      <c r="AG2470" s="3"/>
      <c r="AH2470" s="3"/>
      <c r="AI2470" s="3"/>
      <c r="AJ2470" s="3"/>
      <c r="AK2470" s="3" t="s">
        <v>5733</v>
      </c>
      <c r="AL2470" s="4">
        <v>39870</v>
      </c>
      <c r="AM2470" s="3"/>
      <c r="AN2470" s="3"/>
    </row>
    <row r="2471" spans="1:40" x14ac:dyDescent="0.3">
      <c r="A2471" s="3">
        <v>2465</v>
      </c>
      <c r="B2471" s="3" t="str">
        <f>"201400145670"</f>
        <v>201400145670</v>
      </c>
      <c r="C2471" s="3">
        <v>37186</v>
      </c>
      <c r="D2471" s="3" t="s">
        <v>9166</v>
      </c>
      <c r="E2471" s="3">
        <v>20100873681</v>
      </c>
      <c r="F2471" s="3" t="s">
        <v>1241</v>
      </c>
      <c r="G2471" s="3" t="s">
        <v>9167</v>
      </c>
      <c r="H2471" s="3" t="s">
        <v>56</v>
      </c>
      <c r="I2471" s="3" t="s">
        <v>56</v>
      </c>
      <c r="J2471" s="3" t="s">
        <v>715</v>
      </c>
      <c r="K2471" s="3" t="s">
        <v>9168</v>
      </c>
      <c r="L2471" s="3" t="s">
        <v>9169</v>
      </c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  <c r="AC2471" s="3"/>
      <c r="AD2471" s="3"/>
      <c r="AE2471" s="3"/>
      <c r="AF2471" s="3"/>
      <c r="AG2471" s="3"/>
      <c r="AH2471" s="3"/>
      <c r="AI2471" s="3"/>
      <c r="AJ2471" s="3"/>
      <c r="AK2471" s="3" t="s">
        <v>9170</v>
      </c>
      <c r="AL2471" s="4">
        <v>41961</v>
      </c>
      <c r="AM2471" s="3"/>
      <c r="AN2471" s="3" t="s">
        <v>5872</v>
      </c>
    </row>
    <row r="2472" spans="1:40" x14ac:dyDescent="0.3">
      <c r="A2472" s="3">
        <v>2466</v>
      </c>
      <c r="B2472" s="3" t="str">
        <f>"1475954"</f>
        <v>1475954</v>
      </c>
      <c r="C2472" s="3">
        <v>91752</v>
      </c>
      <c r="D2472" s="3" t="s">
        <v>9171</v>
      </c>
      <c r="E2472" s="3">
        <v>20506727783</v>
      </c>
      <c r="F2472" s="3" t="s">
        <v>1440</v>
      </c>
      <c r="G2472" s="3" t="s">
        <v>9172</v>
      </c>
      <c r="H2472" s="3" t="s">
        <v>56</v>
      </c>
      <c r="I2472" s="3" t="s">
        <v>56</v>
      </c>
      <c r="J2472" s="3" t="s">
        <v>131</v>
      </c>
      <c r="K2472" s="3" t="s">
        <v>9173</v>
      </c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  <c r="AC2472" s="3"/>
      <c r="AD2472" s="3"/>
      <c r="AE2472" s="3"/>
      <c r="AF2472" s="3"/>
      <c r="AG2472" s="3"/>
      <c r="AH2472" s="3"/>
      <c r="AI2472" s="3"/>
      <c r="AJ2472" s="3"/>
      <c r="AK2472" s="3" t="s">
        <v>1354</v>
      </c>
      <c r="AL2472" s="4">
        <v>40631</v>
      </c>
      <c r="AM2472" s="3"/>
      <c r="AN2472" s="3" t="s">
        <v>2634</v>
      </c>
    </row>
    <row r="2473" spans="1:40" ht="27.95" x14ac:dyDescent="0.3">
      <c r="A2473" s="3">
        <v>2467</v>
      </c>
      <c r="B2473" s="3" t="str">
        <f>"1512979"</f>
        <v>1512979</v>
      </c>
      <c r="C2473" s="3">
        <v>94383</v>
      </c>
      <c r="D2473" s="3" t="s">
        <v>9174</v>
      </c>
      <c r="E2473" s="3">
        <v>10292653897</v>
      </c>
      <c r="F2473" s="3" t="s">
        <v>9175</v>
      </c>
      <c r="G2473" s="3" t="s">
        <v>9176</v>
      </c>
      <c r="H2473" s="3" t="s">
        <v>97</v>
      </c>
      <c r="I2473" s="3" t="s">
        <v>97</v>
      </c>
      <c r="J2473" s="3" t="s">
        <v>144</v>
      </c>
      <c r="K2473" s="3" t="s">
        <v>9177</v>
      </c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C2473" s="3"/>
      <c r="AD2473" s="3"/>
      <c r="AE2473" s="3"/>
      <c r="AF2473" s="3"/>
      <c r="AG2473" s="3"/>
      <c r="AH2473" s="3"/>
      <c r="AI2473" s="3"/>
      <c r="AJ2473" s="3"/>
      <c r="AK2473" s="3" t="s">
        <v>655</v>
      </c>
      <c r="AL2473" s="4">
        <v>40877</v>
      </c>
      <c r="AM2473" s="3"/>
      <c r="AN2473" s="3" t="s">
        <v>9175</v>
      </c>
    </row>
    <row r="2474" spans="1:40" x14ac:dyDescent="0.3">
      <c r="A2474" s="3">
        <v>2468</v>
      </c>
      <c r="B2474" s="3" t="str">
        <f>"201900038254"</f>
        <v>201900038254</v>
      </c>
      <c r="C2474" s="3">
        <v>121671</v>
      </c>
      <c r="D2474" s="3" t="s">
        <v>9178</v>
      </c>
      <c r="E2474" s="3">
        <v>20603677103</v>
      </c>
      <c r="F2474" s="3" t="s">
        <v>9179</v>
      </c>
      <c r="G2474" s="3" t="s">
        <v>9180</v>
      </c>
      <c r="H2474" s="3" t="s">
        <v>446</v>
      </c>
      <c r="I2474" s="3" t="s">
        <v>446</v>
      </c>
      <c r="J2474" s="3" t="s">
        <v>446</v>
      </c>
      <c r="K2474" s="3" t="s">
        <v>9181</v>
      </c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C2474" s="3"/>
      <c r="AD2474" s="3"/>
      <c r="AE2474" s="3"/>
      <c r="AF2474" s="3"/>
      <c r="AG2474" s="3"/>
      <c r="AH2474" s="3"/>
      <c r="AI2474" s="3"/>
      <c r="AJ2474" s="3"/>
      <c r="AK2474" s="3" t="s">
        <v>9182</v>
      </c>
      <c r="AL2474" s="4">
        <v>43579</v>
      </c>
      <c r="AM2474" s="3"/>
      <c r="AN2474" s="3" t="s">
        <v>9183</v>
      </c>
    </row>
    <row r="2475" spans="1:40" x14ac:dyDescent="0.3">
      <c r="A2475" s="3">
        <v>2469</v>
      </c>
      <c r="B2475" s="3" t="str">
        <f>"1679399"</f>
        <v>1679399</v>
      </c>
      <c r="C2475" s="3">
        <v>45247</v>
      </c>
      <c r="D2475" s="3" t="s">
        <v>9184</v>
      </c>
      <c r="E2475" s="3">
        <v>20512439196</v>
      </c>
      <c r="F2475" s="3" t="s">
        <v>436</v>
      </c>
      <c r="G2475" s="3" t="s">
        <v>9185</v>
      </c>
      <c r="H2475" s="3" t="s">
        <v>56</v>
      </c>
      <c r="I2475" s="3" t="s">
        <v>56</v>
      </c>
      <c r="J2475" s="3" t="s">
        <v>56</v>
      </c>
      <c r="K2475" s="3" t="s">
        <v>9186</v>
      </c>
      <c r="L2475" s="3" t="s">
        <v>9187</v>
      </c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  <c r="AC2475" s="3"/>
      <c r="AD2475" s="3"/>
      <c r="AE2475" s="3"/>
      <c r="AF2475" s="3"/>
      <c r="AG2475" s="3"/>
      <c r="AH2475" s="3"/>
      <c r="AI2475" s="3"/>
      <c r="AJ2475" s="3"/>
      <c r="AK2475" s="3" t="s">
        <v>371</v>
      </c>
      <c r="AL2475" s="4">
        <v>39210</v>
      </c>
      <c r="AM2475" s="3"/>
      <c r="AN2475" s="3"/>
    </row>
    <row r="2476" spans="1:40" x14ac:dyDescent="0.3">
      <c r="A2476" s="3">
        <v>2470</v>
      </c>
      <c r="B2476" s="3" t="str">
        <f>"201900072173"</f>
        <v>201900072173</v>
      </c>
      <c r="C2476" s="3">
        <v>134093</v>
      </c>
      <c r="D2476" s="3" t="s">
        <v>9188</v>
      </c>
      <c r="E2476" s="3">
        <v>20100366747</v>
      </c>
      <c r="F2476" s="3" t="s">
        <v>258</v>
      </c>
      <c r="G2476" s="3" t="s">
        <v>451</v>
      </c>
      <c r="H2476" s="3" t="s">
        <v>56</v>
      </c>
      <c r="I2476" s="3" t="s">
        <v>56</v>
      </c>
      <c r="J2476" s="3" t="s">
        <v>185</v>
      </c>
      <c r="K2476" s="3" t="s">
        <v>9189</v>
      </c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  <c r="AC2476" s="3"/>
      <c r="AD2476" s="3"/>
      <c r="AE2476" s="3"/>
      <c r="AF2476" s="3"/>
      <c r="AG2476" s="3"/>
      <c r="AH2476" s="3"/>
      <c r="AI2476" s="3"/>
      <c r="AJ2476" s="3"/>
      <c r="AK2476" s="3" t="s">
        <v>337</v>
      </c>
      <c r="AL2476" s="4">
        <v>43598</v>
      </c>
      <c r="AM2476" s="3"/>
      <c r="AN2476" s="3" t="s">
        <v>2728</v>
      </c>
    </row>
    <row r="2477" spans="1:40" x14ac:dyDescent="0.3">
      <c r="A2477" s="3">
        <v>2471</v>
      </c>
      <c r="B2477" s="3" t="str">
        <f>"1663061"</f>
        <v>1663061</v>
      </c>
      <c r="C2477" s="3">
        <v>38788</v>
      </c>
      <c r="D2477" s="3" t="s">
        <v>9190</v>
      </c>
      <c r="E2477" s="3">
        <v>10255375852</v>
      </c>
      <c r="F2477" s="3" t="s">
        <v>9191</v>
      </c>
      <c r="G2477" s="3" t="s">
        <v>9192</v>
      </c>
      <c r="H2477" s="3" t="s">
        <v>75</v>
      </c>
      <c r="I2477" s="3" t="s">
        <v>75</v>
      </c>
      <c r="J2477" s="3" t="s">
        <v>76</v>
      </c>
      <c r="K2477" s="3" t="s">
        <v>9193</v>
      </c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C2477" s="3"/>
      <c r="AD2477" s="3"/>
      <c r="AE2477" s="3"/>
      <c r="AF2477" s="3"/>
      <c r="AG2477" s="3"/>
      <c r="AH2477" s="3"/>
      <c r="AI2477" s="3"/>
      <c r="AJ2477" s="3"/>
      <c r="AK2477" s="3" t="s">
        <v>81</v>
      </c>
      <c r="AL2477" s="4">
        <v>39104</v>
      </c>
      <c r="AM2477" s="3"/>
      <c r="AN2477" s="3"/>
    </row>
    <row r="2478" spans="1:40" ht="27.95" x14ac:dyDescent="0.3">
      <c r="A2478" s="3">
        <v>2472</v>
      </c>
      <c r="B2478" s="3" t="str">
        <f>"201900038257"</f>
        <v>201900038257</v>
      </c>
      <c r="C2478" s="3">
        <v>125859</v>
      </c>
      <c r="D2478" s="3" t="s">
        <v>9194</v>
      </c>
      <c r="E2478" s="3">
        <v>20603677103</v>
      </c>
      <c r="F2478" s="3" t="s">
        <v>9195</v>
      </c>
      <c r="G2478" s="3" t="s">
        <v>9196</v>
      </c>
      <c r="H2478" s="3" t="s">
        <v>446</v>
      </c>
      <c r="I2478" s="3" t="s">
        <v>446</v>
      </c>
      <c r="J2478" s="3" t="s">
        <v>446</v>
      </c>
      <c r="K2478" s="3" t="s">
        <v>9197</v>
      </c>
      <c r="L2478" s="3" t="s">
        <v>9198</v>
      </c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C2478" s="3"/>
      <c r="AD2478" s="3"/>
      <c r="AE2478" s="3"/>
      <c r="AF2478" s="3"/>
      <c r="AG2478" s="3"/>
      <c r="AH2478" s="3"/>
      <c r="AI2478" s="3"/>
      <c r="AJ2478" s="3"/>
      <c r="AK2478" s="3" t="s">
        <v>5010</v>
      </c>
      <c r="AL2478" s="4">
        <v>43538</v>
      </c>
      <c r="AM2478" s="3"/>
      <c r="AN2478" s="3" t="s">
        <v>9183</v>
      </c>
    </row>
    <row r="2479" spans="1:40" x14ac:dyDescent="0.3">
      <c r="A2479" s="3">
        <v>2473</v>
      </c>
      <c r="B2479" s="3" t="str">
        <f>"201800001869"</f>
        <v>201800001869</v>
      </c>
      <c r="C2479" s="3">
        <v>83005</v>
      </c>
      <c r="D2479" s="3" t="s">
        <v>9199</v>
      </c>
      <c r="E2479" s="3">
        <v>20351516560</v>
      </c>
      <c r="F2479" s="3" t="s">
        <v>5567</v>
      </c>
      <c r="G2479" s="3" t="s">
        <v>9200</v>
      </c>
      <c r="H2479" s="3" t="s">
        <v>395</v>
      </c>
      <c r="I2479" s="3" t="s">
        <v>396</v>
      </c>
      <c r="J2479" s="3" t="s">
        <v>397</v>
      </c>
      <c r="K2479" s="3" t="s">
        <v>9201</v>
      </c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  <c r="AC2479" s="3"/>
      <c r="AD2479" s="3"/>
      <c r="AE2479" s="3"/>
      <c r="AF2479" s="3"/>
      <c r="AG2479" s="3"/>
      <c r="AH2479" s="3"/>
      <c r="AI2479" s="3"/>
      <c r="AJ2479" s="3"/>
      <c r="AK2479" s="3" t="s">
        <v>518</v>
      </c>
      <c r="AL2479" s="4">
        <v>43116</v>
      </c>
      <c r="AM2479" s="3"/>
      <c r="AN2479" s="3" t="s">
        <v>262</v>
      </c>
    </row>
    <row r="2480" spans="1:40" x14ac:dyDescent="0.3">
      <c r="A2480" s="3">
        <v>2474</v>
      </c>
      <c r="B2480" s="3" t="str">
        <f>"1106657"</f>
        <v>1106657</v>
      </c>
      <c r="C2480" s="3">
        <v>2347</v>
      </c>
      <c r="D2480" s="3">
        <v>974286</v>
      </c>
      <c r="E2480" s="3">
        <v>10082065330</v>
      </c>
      <c r="F2480" s="3" t="s">
        <v>9202</v>
      </c>
      <c r="G2480" s="3" t="s">
        <v>9203</v>
      </c>
      <c r="H2480" s="3" t="s">
        <v>56</v>
      </c>
      <c r="I2480" s="3" t="s">
        <v>56</v>
      </c>
      <c r="J2480" s="3" t="s">
        <v>331</v>
      </c>
      <c r="K2480" s="3" t="s">
        <v>9204</v>
      </c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  <c r="AC2480" s="3"/>
      <c r="AD2480" s="3"/>
      <c r="AE2480" s="3"/>
      <c r="AF2480" s="3"/>
      <c r="AG2480" s="3"/>
      <c r="AH2480" s="3"/>
      <c r="AI2480" s="3"/>
      <c r="AJ2480" s="3"/>
      <c r="AK2480" s="3" t="s">
        <v>81</v>
      </c>
      <c r="AL2480" s="4">
        <v>35467</v>
      </c>
      <c r="AM2480" s="3"/>
      <c r="AN2480" s="3"/>
    </row>
    <row r="2481" spans="1:40" x14ac:dyDescent="0.3">
      <c r="A2481" s="3">
        <v>2475</v>
      </c>
      <c r="B2481" s="3" t="str">
        <f>"1887480"</f>
        <v>1887480</v>
      </c>
      <c r="C2481" s="3">
        <v>83215</v>
      </c>
      <c r="D2481" s="3" t="s">
        <v>9205</v>
      </c>
      <c r="E2481" s="3">
        <v>10023071369</v>
      </c>
      <c r="F2481" s="3" t="s">
        <v>9206</v>
      </c>
      <c r="G2481" s="3" t="s">
        <v>9207</v>
      </c>
      <c r="H2481" s="3" t="s">
        <v>97</v>
      </c>
      <c r="I2481" s="3" t="s">
        <v>97</v>
      </c>
      <c r="J2481" s="3" t="s">
        <v>254</v>
      </c>
      <c r="K2481" s="3" t="s">
        <v>9208</v>
      </c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C2481" s="3"/>
      <c r="AD2481" s="3"/>
      <c r="AE2481" s="3"/>
      <c r="AF2481" s="3"/>
      <c r="AG2481" s="3"/>
      <c r="AH2481" s="3"/>
      <c r="AI2481" s="3"/>
      <c r="AJ2481" s="3"/>
      <c r="AK2481" s="3" t="s">
        <v>9002</v>
      </c>
      <c r="AL2481" s="4">
        <v>39954</v>
      </c>
      <c r="AM2481" s="3"/>
      <c r="AN2481" s="3"/>
    </row>
    <row r="2482" spans="1:40" ht="27.95" x14ac:dyDescent="0.3">
      <c r="A2482" s="3">
        <v>2476</v>
      </c>
      <c r="B2482" s="3" t="str">
        <f>"201700156457"</f>
        <v>201700156457</v>
      </c>
      <c r="C2482" s="3">
        <v>104648</v>
      </c>
      <c r="D2482" s="3" t="s">
        <v>9209</v>
      </c>
      <c r="E2482" s="3">
        <v>20349366330</v>
      </c>
      <c r="F2482" s="3" t="s">
        <v>3977</v>
      </c>
      <c r="G2482" s="3" t="s">
        <v>9210</v>
      </c>
      <c r="H2482" s="3" t="s">
        <v>56</v>
      </c>
      <c r="I2482" s="3" t="s">
        <v>56</v>
      </c>
      <c r="J2482" s="3" t="s">
        <v>331</v>
      </c>
      <c r="K2482" s="3" t="s">
        <v>9211</v>
      </c>
      <c r="L2482" s="3" t="s">
        <v>9212</v>
      </c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C2482" s="3"/>
      <c r="AD2482" s="3"/>
      <c r="AE2482" s="3"/>
      <c r="AF2482" s="3"/>
      <c r="AG2482" s="3"/>
      <c r="AH2482" s="3"/>
      <c r="AI2482" s="3"/>
      <c r="AJ2482" s="3"/>
      <c r="AK2482" s="3" t="s">
        <v>4028</v>
      </c>
      <c r="AL2482" s="4">
        <v>43019</v>
      </c>
      <c r="AM2482" s="3"/>
      <c r="AN2482" s="3" t="s">
        <v>3980</v>
      </c>
    </row>
    <row r="2483" spans="1:40" x14ac:dyDescent="0.3">
      <c r="A2483" s="3">
        <v>2477</v>
      </c>
      <c r="B2483" s="3" t="str">
        <f>"201800071668"</f>
        <v>201800071668</v>
      </c>
      <c r="C2483" s="3">
        <v>135910</v>
      </c>
      <c r="D2483" s="3" t="s">
        <v>9213</v>
      </c>
      <c r="E2483" s="3">
        <v>10215769815</v>
      </c>
      <c r="F2483" s="3" t="s">
        <v>9214</v>
      </c>
      <c r="G2483" s="3" t="s">
        <v>9215</v>
      </c>
      <c r="H2483" s="3" t="s">
        <v>56</v>
      </c>
      <c r="I2483" s="3" t="s">
        <v>56</v>
      </c>
      <c r="J2483" s="3" t="s">
        <v>363</v>
      </c>
      <c r="K2483" s="3" t="s">
        <v>9216</v>
      </c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  <c r="AC2483" s="3"/>
      <c r="AD2483" s="3"/>
      <c r="AE2483" s="3"/>
      <c r="AF2483" s="3"/>
      <c r="AG2483" s="3"/>
      <c r="AH2483" s="3"/>
      <c r="AI2483" s="3"/>
      <c r="AJ2483" s="3"/>
      <c r="AK2483" s="3" t="s">
        <v>9217</v>
      </c>
      <c r="AL2483" s="4">
        <v>43224</v>
      </c>
      <c r="AM2483" s="3"/>
      <c r="AN2483" s="3" t="s">
        <v>9214</v>
      </c>
    </row>
    <row r="2484" spans="1:40" x14ac:dyDescent="0.3">
      <c r="A2484" s="3">
        <v>2478</v>
      </c>
      <c r="B2484" s="3" t="str">
        <f>"1577360"</f>
        <v>1577360</v>
      </c>
      <c r="C2484" s="3">
        <v>36692</v>
      </c>
      <c r="D2484" s="3" t="s">
        <v>9218</v>
      </c>
      <c r="E2484" s="3">
        <v>20161902684</v>
      </c>
      <c r="F2484" s="3" t="s">
        <v>9219</v>
      </c>
      <c r="G2484" s="3" t="s">
        <v>9220</v>
      </c>
      <c r="H2484" s="3" t="s">
        <v>75</v>
      </c>
      <c r="I2484" s="3" t="s">
        <v>75</v>
      </c>
      <c r="J2484" s="3" t="s">
        <v>76</v>
      </c>
      <c r="K2484" s="3" t="s">
        <v>9221</v>
      </c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  <c r="AC2484" s="3"/>
      <c r="AD2484" s="3"/>
      <c r="AE2484" s="3"/>
      <c r="AF2484" s="3"/>
      <c r="AG2484" s="3"/>
      <c r="AH2484" s="3"/>
      <c r="AI2484" s="3"/>
      <c r="AJ2484" s="3"/>
      <c r="AK2484" s="3" t="s">
        <v>802</v>
      </c>
      <c r="AL2484" s="4">
        <v>38700</v>
      </c>
      <c r="AM2484" s="3"/>
      <c r="AN2484" s="3"/>
    </row>
    <row r="2485" spans="1:40" x14ac:dyDescent="0.3">
      <c r="A2485" s="3">
        <v>2479</v>
      </c>
      <c r="B2485" s="3" t="str">
        <f>"201700156451"</f>
        <v>201700156451</v>
      </c>
      <c r="C2485" s="3">
        <v>82612</v>
      </c>
      <c r="D2485" s="3" t="s">
        <v>9222</v>
      </c>
      <c r="E2485" s="3">
        <v>20486744295</v>
      </c>
      <c r="F2485" s="3" t="s">
        <v>9223</v>
      </c>
      <c r="G2485" s="3" t="s">
        <v>9224</v>
      </c>
      <c r="H2485" s="3" t="s">
        <v>237</v>
      </c>
      <c r="I2485" s="3" t="s">
        <v>2842</v>
      </c>
      <c r="J2485" s="3" t="s">
        <v>2842</v>
      </c>
      <c r="K2485" s="3" t="s">
        <v>9225</v>
      </c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C2485" s="3"/>
      <c r="AD2485" s="3"/>
      <c r="AE2485" s="3"/>
      <c r="AF2485" s="3"/>
      <c r="AG2485" s="3"/>
      <c r="AH2485" s="3"/>
      <c r="AI2485" s="3"/>
      <c r="AJ2485" s="3"/>
      <c r="AK2485" s="3" t="s">
        <v>4904</v>
      </c>
      <c r="AL2485" s="4">
        <v>43010</v>
      </c>
      <c r="AM2485" s="3"/>
      <c r="AN2485" s="3" t="s">
        <v>9226</v>
      </c>
    </row>
    <row r="2486" spans="1:40" x14ac:dyDescent="0.3">
      <c r="A2486" s="3">
        <v>2480</v>
      </c>
      <c r="B2486" s="3" t="str">
        <f>"201500091583"</f>
        <v>201500091583</v>
      </c>
      <c r="C2486" s="3">
        <v>116400</v>
      </c>
      <c r="D2486" s="3" t="s">
        <v>9227</v>
      </c>
      <c r="E2486" s="3">
        <v>10413078208</v>
      </c>
      <c r="F2486" s="3" t="s">
        <v>9228</v>
      </c>
      <c r="G2486" s="3" t="s">
        <v>9229</v>
      </c>
      <c r="H2486" s="3" t="s">
        <v>202</v>
      </c>
      <c r="I2486" s="3" t="s">
        <v>202</v>
      </c>
      <c r="J2486" s="3" t="s">
        <v>202</v>
      </c>
      <c r="K2486" s="3" t="s">
        <v>9230</v>
      </c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C2486" s="3"/>
      <c r="AD2486" s="3"/>
      <c r="AE2486" s="3"/>
      <c r="AF2486" s="3"/>
      <c r="AG2486" s="3"/>
      <c r="AH2486" s="3"/>
      <c r="AI2486" s="3"/>
      <c r="AJ2486" s="3"/>
      <c r="AK2486" s="3" t="s">
        <v>81</v>
      </c>
      <c r="AL2486" s="4">
        <v>42446</v>
      </c>
      <c r="AM2486" s="3"/>
      <c r="AN2486" s="3" t="s">
        <v>9228</v>
      </c>
    </row>
    <row r="2487" spans="1:40" x14ac:dyDescent="0.3">
      <c r="A2487" s="3">
        <v>2481</v>
      </c>
      <c r="B2487" s="3" t="str">
        <f>"1567477"</f>
        <v>1567477</v>
      </c>
      <c r="C2487" s="3">
        <v>14839</v>
      </c>
      <c r="D2487" s="3" t="s">
        <v>9231</v>
      </c>
      <c r="E2487" s="3">
        <v>20519962081</v>
      </c>
      <c r="F2487" s="3" t="s">
        <v>9232</v>
      </c>
      <c r="G2487" s="3" t="s">
        <v>9233</v>
      </c>
      <c r="H2487" s="3" t="s">
        <v>202</v>
      </c>
      <c r="I2487" s="3" t="s">
        <v>202</v>
      </c>
      <c r="J2487" s="3" t="s">
        <v>202</v>
      </c>
      <c r="K2487" s="3" t="s">
        <v>9234</v>
      </c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  <c r="AC2487" s="3"/>
      <c r="AD2487" s="3"/>
      <c r="AE2487" s="3"/>
      <c r="AF2487" s="3"/>
      <c r="AG2487" s="3"/>
      <c r="AH2487" s="3"/>
      <c r="AI2487" s="3"/>
      <c r="AJ2487" s="3"/>
      <c r="AK2487" s="3" t="s">
        <v>614</v>
      </c>
      <c r="AL2487" s="4">
        <v>38644</v>
      </c>
      <c r="AM2487" s="3"/>
      <c r="AN2487" s="3"/>
    </row>
    <row r="2488" spans="1:40" x14ac:dyDescent="0.3">
      <c r="A2488" s="3">
        <v>2482</v>
      </c>
      <c r="B2488" s="3" t="str">
        <f>"201300164574"</f>
        <v>201300164574</v>
      </c>
      <c r="C2488" s="3">
        <v>105923</v>
      </c>
      <c r="D2488" s="3" t="s">
        <v>9235</v>
      </c>
      <c r="E2488" s="3">
        <v>10238332805</v>
      </c>
      <c r="F2488" s="3" t="s">
        <v>9236</v>
      </c>
      <c r="G2488" s="3" t="s">
        <v>9237</v>
      </c>
      <c r="H2488" s="3" t="s">
        <v>3837</v>
      </c>
      <c r="I2488" s="3" t="s">
        <v>4994</v>
      </c>
      <c r="J2488" s="3" t="s">
        <v>4994</v>
      </c>
      <c r="K2488" s="3" t="s">
        <v>9238</v>
      </c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  <c r="AC2488" s="3"/>
      <c r="AD2488" s="3"/>
      <c r="AE2488" s="3"/>
      <c r="AF2488" s="3"/>
      <c r="AG2488" s="3"/>
      <c r="AH2488" s="3"/>
      <c r="AI2488" s="3"/>
      <c r="AJ2488" s="3"/>
      <c r="AK2488" s="3" t="s">
        <v>9239</v>
      </c>
      <c r="AL2488" s="3" t="s">
        <v>290</v>
      </c>
      <c r="AM2488" s="3"/>
      <c r="AN2488" s="3" t="s">
        <v>9236</v>
      </c>
    </row>
    <row r="2489" spans="1:40" x14ac:dyDescent="0.3">
      <c r="A2489" s="3">
        <v>2483</v>
      </c>
      <c r="B2489" s="3" t="str">
        <f>"201300128807"</f>
        <v>201300128807</v>
      </c>
      <c r="C2489" s="3">
        <v>6718</v>
      </c>
      <c r="D2489" s="3" t="s">
        <v>9240</v>
      </c>
      <c r="E2489" s="3">
        <v>20113539594</v>
      </c>
      <c r="F2489" s="3" t="s">
        <v>164</v>
      </c>
      <c r="G2489" s="3" t="s">
        <v>2506</v>
      </c>
      <c r="H2489" s="3" t="s">
        <v>50</v>
      </c>
      <c r="I2489" s="3" t="s">
        <v>50</v>
      </c>
      <c r="J2489" s="3" t="s">
        <v>50</v>
      </c>
      <c r="K2489" s="3" t="s">
        <v>9241</v>
      </c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C2489" s="3"/>
      <c r="AD2489" s="3"/>
      <c r="AE2489" s="3"/>
      <c r="AF2489" s="3"/>
      <c r="AG2489" s="3"/>
      <c r="AH2489" s="3"/>
      <c r="AI2489" s="3"/>
      <c r="AJ2489" s="3"/>
      <c r="AK2489" s="3" t="s">
        <v>2508</v>
      </c>
      <c r="AL2489" s="4">
        <v>41492</v>
      </c>
      <c r="AM2489" s="3"/>
      <c r="AN2489" s="3" t="s">
        <v>626</v>
      </c>
    </row>
    <row r="2490" spans="1:40" x14ac:dyDescent="0.3">
      <c r="A2490" s="3">
        <v>2484</v>
      </c>
      <c r="B2490" s="3" t="str">
        <f>"201300128805"</f>
        <v>201300128805</v>
      </c>
      <c r="C2490" s="3">
        <v>82394</v>
      </c>
      <c r="D2490" s="3" t="s">
        <v>9242</v>
      </c>
      <c r="E2490" s="3">
        <v>20113539594</v>
      </c>
      <c r="F2490" s="3" t="s">
        <v>164</v>
      </c>
      <c r="G2490" s="3" t="s">
        <v>9243</v>
      </c>
      <c r="H2490" s="3" t="s">
        <v>50</v>
      </c>
      <c r="I2490" s="3" t="s">
        <v>50</v>
      </c>
      <c r="J2490" s="3" t="s">
        <v>50</v>
      </c>
      <c r="K2490" s="3" t="s">
        <v>9244</v>
      </c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C2490" s="3"/>
      <c r="AD2490" s="3"/>
      <c r="AE2490" s="3"/>
      <c r="AF2490" s="3"/>
      <c r="AG2490" s="3"/>
      <c r="AH2490" s="3"/>
      <c r="AI2490" s="3"/>
      <c r="AJ2490" s="3"/>
      <c r="AK2490" s="3" t="s">
        <v>9045</v>
      </c>
      <c r="AL2490" s="4">
        <v>41495</v>
      </c>
      <c r="AM2490" s="3"/>
      <c r="AN2490" s="3" t="s">
        <v>626</v>
      </c>
    </row>
    <row r="2491" spans="1:40" x14ac:dyDescent="0.3">
      <c r="A2491" s="3">
        <v>2485</v>
      </c>
      <c r="B2491" s="3" t="str">
        <f>"1104761"</f>
        <v>1104761</v>
      </c>
      <c r="C2491" s="3">
        <v>2327</v>
      </c>
      <c r="D2491" s="3">
        <v>956131</v>
      </c>
      <c r="E2491" s="3">
        <v>20154657194</v>
      </c>
      <c r="F2491" s="3" t="s">
        <v>2287</v>
      </c>
      <c r="G2491" s="3" t="s">
        <v>2288</v>
      </c>
      <c r="H2491" s="3" t="s">
        <v>56</v>
      </c>
      <c r="I2491" s="3" t="s">
        <v>56</v>
      </c>
      <c r="J2491" s="3" t="s">
        <v>331</v>
      </c>
      <c r="K2491" s="3" t="s">
        <v>9245</v>
      </c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  <c r="AC2491" s="3"/>
      <c r="AD2491" s="3"/>
      <c r="AE2491" s="3"/>
      <c r="AF2491" s="3"/>
      <c r="AG2491" s="3"/>
      <c r="AH2491" s="3"/>
      <c r="AI2491" s="3"/>
      <c r="AJ2491" s="3"/>
      <c r="AK2491" s="3" t="s">
        <v>1341</v>
      </c>
      <c r="AL2491" s="4">
        <v>35487</v>
      </c>
      <c r="AM2491" s="3"/>
      <c r="AN2491" s="3"/>
    </row>
    <row r="2492" spans="1:40" ht="27.95" x14ac:dyDescent="0.3">
      <c r="A2492" s="3">
        <v>2486</v>
      </c>
      <c r="B2492" s="3" t="str">
        <f>"201800018125"</f>
        <v>201800018125</v>
      </c>
      <c r="C2492" s="3">
        <v>134341</v>
      </c>
      <c r="D2492" s="3" t="s">
        <v>9246</v>
      </c>
      <c r="E2492" s="3">
        <v>10001250405</v>
      </c>
      <c r="F2492" s="3" t="s">
        <v>9247</v>
      </c>
      <c r="G2492" s="3" t="s">
        <v>9248</v>
      </c>
      <c r="H2492" s="3" t="s">
        <v>395</v>
      </c>
      <c r="I2492" s="3" t="s">
        <v>396</v>
      </c>
      <c r="J2492" s="3" t="s">
        <v>1998</v>
      </c>
      <c r="K2492" s="3" t="s">
        <v>9249</v>
      </c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  <c r="AC2492" s="3"/>
      <c r="AD2492" s="3"/>
      <c r="AE2492" s="3"/>
      <c r="AF2492" s="3"/>
      <c r="AG2492" s="3"/>
      <c r="AH2492" s="3"/>
      <c r="AI2492" s="3"/>
      <c r="AJ2492" s="3"/>
      <c r="AK2492" s="3" t="s">
        <v>1341</v>
      </c>
      <c r="AL2492" s="4">
        <v>43151</v>
      </c>
      <c r="AM2492" s="3"/>
      <c r="AN2492" s="3" t="s">
        <v>9247</v>
      </c>
    </row>
    <row r="2493" spans="1:40" x14ac:dyDescent="0.3">
      <c r="A2493" s="3">
        <v>2487</v>
      </c>
      <c r="B2493" s="3" t="str">
        <f>"1107195"</f>
        <v>1107195</v>
      </c>
      <c r="C2493" s="3">
        <v>6425</v>
      </c>
      <c r="D2493" s="3">
        <v>955188</v>
      </c>
      <c r="E2493" s="3">
        <v>20154657194</v>
      </c>
      <c r="F2493" s="3" t="s">
        <v>2287</v>
      </c>
      <c r="G2493" s="3" t="s">
        <v>2288</v>
      </c>
      <c r="H2493" s="3" t="s">
        <v>56</v>
      </c>
      <c r="I2493" s="3" t="s">
        <v>56</v>
      </c>
      <c r="J2493" s="3" t="s">
        <v>331</v>
      </c>
      <c r="K2493" s="3" t="s">
        <v>9250</v>
      </c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C2493" s="3"/>
      <c r="AD2493" s="3"/>
      <c r="AE2493" s="3"/>
      <c r="AF2493" s="3"/>
      <c r="AG2493" s="3"/>
      <c r="AH2493" s="3"/>
      <c r="AI2493" s="3"/>
      <c r="AJ2493" s="3"/>
      <c r="AK2493" s="3" t="s">
        <v>65</v>
      </c>
      <c r="AL2493" s="4">
        <v>35487</v>
      </c>
      <c r="AM2493" s="3"/>
      <c r="AN2493" s="3"/>
    </row>
    <row r="2494" spans="1:40" ht="27.95" x14ac:dyDescent="0.3">
      <c r="A2494" s="3">
        <v>2488</v>
      </c>
      <c r="B2494" s="3" t="str">
        <f>"201600131240"</f>
        <v>201600131240</v>
      </c>
      <c r="C2494" s="3">
        <v>122813</v>
      </c>
      <c r="D2494" s="3" t="s">
        <v>9251</v>
      </c>
      <c r="E2494" s="3">
        <v>10296954077</v>
      </c>
      <c r="F2494" s="3" t="s">
        <v>1131</v>
      </c>
      <c r="G2494" s="3" t="s">
        <v>9252</v>
      </c>
      <c r="H2494" s="3" t="s">
        <v>97</v>
      </c>
      <c r="I2494" s="3" t="s">
        <v>97</v>
      </c>
      <c r="J2494" s="3" t="s">
        <v>254</v>
      </c>
      <c r="K2494" s="3" t="s">
        <v>9253</v>
      </c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C2494" s="3"/>
      <c r="AD2494" s="3"/>
      <c r="AE2494" s="3"/>
      <c r="AF2494" s="3"/>
      <c r="AG2494" s="3"/>
      <c r="AH2494" s="3"/>
      <c r="AI2494" s="3"/>
      <c r="AJ2494" s="3"/>
      <c r="AK2494" s="3" t="s">
        <v>306</v>
      </c>
      <c r="AL2494" s="4">
        <v>42646</v>
      </c>
      <c r="AM2494" s="3"/>
      <c r="AN2494" s="3" t="s">
        <v>1131</v>
      </c>
    </row>
    <row r="2495" spans="1:40" x14ac:dyDescent="0.3">
      <c r="A2495" s="3">
        <v>2489</v>
      </c>
      <c r="B2495" s="3" t="str">
        <f>"201600043106"</f>
        <v>201600043106</v>
      </c>
      <c r="C2495" s="3">
        <v>92549</v>
      </c>
      <c r="D2495" s="3" t="s">
        <v>9254</v>
      </c>
      <c r="E2495" s="3">
        <v>20100366747</v>
      </c>
      <c r="F2495" s="3" t="s">
        <v>334</v>
      </c>
      <c r="G2495" s="3" t="s">
        <v>451</v>
      </c>
      <c r="H2495" s="3" t="s">
        <v>56</v>
      </c>
      <c r="I2495" s="3" t="s">
        <v>56</v>
      </c>
      <c r="J2495" s="3" t="s">
        <v>185</v>
      </c>
      <c r="K2495" s="3" t="s">
        <v>9255</v>
      </c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  <c r="AC2495" s="3"/>
      <c r="AD2495" s="3"/>
      <c r="AE2495" s="3"/>
      <c r="AF2495" s="3"/>
      <c r="AG2495" s="3"/>
      <c r="AH2495" s="3"/>
      <c r="AI2495" s="3"/>
      <c r="AJ2495" s="3"/>
      <c r="AK2495" s="3" t="s">
        <v>1297</v>
      </c>
      <c r="AL2495" s="4">
        <v>42481</v>
      </c>
      <c r="AM2495" s="3"/>
      <c r="AN2495" s="3" t="s">
        <v>262</v>
      </c>
    </row>
    <row r="2496" spans="1:40" x14ac:dyDescent="0.3">
      <c r="A2496" s="3">
        <v>2490</v>
      </c>
      <c r="B2496" s="3" t="str">
        <f>"1863749"</f>
        <v>1863749</v>
      </c>
      <c r="C2496" s="3">
        <v>44989</v>
      </c>
      <c r="D2496" s="3" t="s">
        <v>9256</v>
      </c>
      <c r="E2496" s="3">
        <v>20480861010</v>
      </c>
      <c r="F2496" s="3" t="s">
        <v>42</v>
      </c>
      <c r="G2496" s="3" t="s">
        <v>9257</v>
      </c>
      <c r="H2496" s="3" t="s">
        <v>44</v>
      </c>
      <c r="I2496" s="3" t="s">
        <v>45</v>
      </c>
      <c r="J2496" s="3" t="s">
        <v>45</v>
      </c>
      <c r="K2496" s="3" t="s">
        <v>9258</v>
      </c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  <c r="AC2496" s="3"/>
      <c r="AD2496" s="3"/>
      <c r="AE2496" s="3"/>
      <c r="AF2496" s="3"/>
      <c r="AG2496" s="3"/>
      <c r="AH2496" s="3"/>
      <c r="AI2496" s="3"/>
      <c r="AJ2496" s="3"/>
      <c r="AK2496" s="3" t="s">
        <v>5688</v>
      </c>
      <c r="AL2496" s="4">
        <v>39869</v>
      </c>
      <c r="AM2496" s="3"/>
      <c r="AN2496" s="3"/>
    </row>
    <row r="2497" spans="1:40" x14ac:dyDescent="0.3">
      <c r="A2497" s="3">
        <v>2491</v>
      </c>
      <c r="B2497" s="3" t="str">
        <f>"201400157790"</f>
        <v>201400157790</v>
      </c>
      <c r="C2497" s="3">
        <v>112476</v>
      </c>
      <c r="D2497" s="3" t="s">
        <v>9259</v>
      </c>
      <c r="E2497" s="3">
        <v>10087407697</v>
      </c>
      <c r="F2497" s="3" t="s">
        <v>9260</v>
      </c>
      <c r="G2497" s="3" t="s">
        <v>9261</v>
      </c>
      <c r="H2497" s="3" t="s">
        <v>56</v>
      </c>
      <c r="I2497" s="3" t="s">
        <v>56</v>
      </c>
      <c r="J2497" s="3" t="s">
        <v>4324</v>
      </c>
      <c r="K2497" s="3" t="s">
        <v>9262</v>
      </c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C2497" s="3"/>
      <c r="AD2497" s="3"/>
      <c r="AE2497" s="3"/>
      <c r="AF2497" s="3"/>
      <c r="AG2497" s="3"/>
      <c r="AH2497" s="3"/>
      <c r="AI2497" s="3"/>
      <c r="AJ2497" s="3"/>
      <c r="AK2497" s="3" t="s">
        <v>6235</v>
      </c>
      <c r="AL2497" s="4">
        <v>41977</v>
      </c>
      <c r="AM2497" s="3"/>
      <c r="AN2497" s="3" t="s">
        <v>9263</v>
      </c>
    </row>
    <row r="2498" spans="1:40" x14ac:dyDescent="0.3">
      <c r="A2498" s="3">
        <v>2492</v>
      </c>
      <c r="B2498" s="3" t="str">
        <f>"1590150"</f>
        <v>1590150</v>
      </c>
      <c r="C2498" s="3">
        <v>41282</v>
      </c>
      <c r="D2498" s="3" t="s">
        <v>9264</v>
      </c>
      <c r="E2498" s="3">
        <v>10026894099</v>
      </c>
      <c r="F2498" s="3" t="s">
        <v>532</v>
      </c>
      <c r="G2498" s="3" t="s">
        <v>9265</v>
      </c>
      <c r="H2498" s="3" t="s">
        <v>50</v>
      </c>
      <c r="I2498" s="3" t="s">
        <v>50</v>
      </c>
      <c r="J2498" s="3" t="s">
        <v>98</v>
      </c>
      <c r="K2498" s="3" t="s">
        <v>9266</v>
      </c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C2498" s="3"/>
      <c r="AD2498" s="3"/>
      <c r="AE2498" s="3"/>
      <c r="AF2498" s="3"/>
      <c r="AG2498" s="3"/>
      <c r="AH2498" s="3"/>
      <c r="AI2498" s="3"/>
      <c r="AJ2498" s="3"/>
      <c r="AK2498" s="3" t="s">
        <v>1341</v>
      </c>
      <c r="AL2498" s="4">
        <v>38688</v>
      </c>
      <c r="AM2498" s="3"/>
      <c r="AN2498" s="3"/>
    </row>
    <row r="2499" spans="1:40" ht="41.95" x14ac:dyDescent="0.3">
      <c r="A2499" s="3">
        <v>2493</v>
      </c>
      <c r="B2499" s="3" t="str">
        <f>"1448316"</f>
        <v>1448316</v>
      </c>
      <c r="C2499" s="3">
        <v>20630</v>
      </c>
      <c r="D2499" s="3" t="s">
        <v>9267</v>
      </c>
      <c r="E2499" s="3">
        <v>20507312277</v>
      </c>
      <c r="F2499" s="3" t="s">
        <v>9268</v>
      </c>
      <c r="G2499" s="3" t="s">
        <v>9269</v>
      </c>
      <c r="H2499" s="3" t="s">
        <v>56</v>
      </c>
      <c r="I2499" s="3" t="s">
        <v>56</v>
      </c>
      <c r="J2499" s="3" t="s">
        <v>69</v>
      </c>
      <c r="K2499" s="3" t="s">
        <v>9270</v>
      </c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  <c r="AC2499" s="3"/>
      <c r="AD2499" s="3"/>
      <c r="AE2499" s="3"/>
      <c r="AF2499" s="3"/>
      <c r="AG2499" s="3"/>
      <c r="AH2499" s="3"/>
      <c r="AI2499" s="3"/>
      <c r="AJ2499" s="3"/>
      <c r="AK2499" s="3" t="s">
        <v>81</v>
      </c>
      <c r="AL2499" s="4">
        <v>38023</v>
      </c>
      <c r="AM2499" s="3"/>
      <c r="AN2499" s="3"/>
    </row>
    <row r="2500" spans="1:40" x14ac:dyDescent="0.3">
      <c r="A2500" s="3">
        <v>2494</v>
      </c>
      <c r="B2500" s="3" t="str">
        <f>"201900091605"</f>
        <v>201900091605</v>
      </c>
      <c r="C2500" s="3">
        <v>144559</v>
      </c>
      <c r="D2500" s="3" t="s">
        <v>9271</v>
      </c>
      <c r="E2500" s="3">
        <v>20603285337</v>
      </c>
      <c r="F2500" s="3" t="s">
        <v>9272</v>
      </c>
      <c r="G2500" s="3" t="s">
        <v>9273</v>
      </c>
      <c r="H2500" s="3" t="s">
        <v>56</v>
      </c>
      <c r="I2500" s="3" t="s">
        <v>56</v>
      </c>
      <c r="J2500" s="3" t="s">
        <v>185</v>
      </c>
      <c r="K2500" s="3" t="s">
        <v>9274</v>
      </c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C2500" s="3"/>
      <c r="AD2500" s="3"/>
      <c r="AE2500" s="3"/>
      <c r="AF2500" s="3"/>
      <c r="AG2500" s="3"/>
      <c r="AH2500" s="3"/>
      <c r="AI2500" s="3"/>
      <c r="AJ2500" s="3"/>
      <c r="AK2500" s="3" t="s">
        <v>9275</v>
      </c>
      <c r="AL2500" s="4">
        <v>43633</v>
      </c>
      <c r="AM2500" s="3"/>
      <c r="AN2500" s="3" t="s">
        <v>9276</v>
      </c>
    </row>
    <row r="2501" spans="1:40" x14ac:dyDescent="0.3">
      <c r="A2501" s="3">
        <v>2495</v>
      </c>
      <c r="B2501" s="3" t="str">
        <f>"1669869"</f>
        <v>1669869</v>
      </c>
      <c r="C2501" s="3">
        <v>39915</v>
      </c>
      <c r="D2501" s="3" t="s">
        <v>9277</v>
      </c>
      <c r="E2501" s="3">
        <v>10296799462</v>
      </c>
      <c r="F2501" s="3" t="s">
        <v>324</v>
      </c>
      <c r="G2501" s="3" t="s">
        <v>4673</v>
      </c>
      <c r="H2501" s="3" t="s">
        <v>97</v>
      </c>
      <c r="I2501" s="3" t="s">
        <v>97</v>
      </c>
      <c r="J2501" s="3" t="s">
        <v>326</v>
      </c>
      <c r="K2501" s="3" t="s">
        <v>9278</v>
      </c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C2501" s="3"/>
      <c r="AD2501" s="3"/>
      <c r="AE2501" s="3"/>
      <c r="AF2501" s="3"/>
      <c r="AG2501" s="3"/>
      <c r="AH2501" s="3"/>
      <c r="AI2501" s="3"/>
      <c r="AJ2501" s="3"/>
      <c r="AK2501" s="3" t="s">
        <v>3604</v>
      </c>
      <c r="AL2501" s="4">
        <v>39114</v>
      </c>
      <c r="AM2501" s="3"/>
      <c r="AN2501" s="3"/>
    </row>
    <row r="2502" spans="1:40" x14ac:dyDescent="0.3">
      <c r="A2502" s="3">
        <v>2496</v>
      </c>
      <c r="B2502" s="3" t="str">
        <f>"1485206"</f>
        <v>1485206</v>
      </c>
      <c r="C2502" s="3">
        <v>83551</v>
      </c>
      <c r="D2502" s="3" t="s">
        <v>9279</v>
      </c>
      <c r="E2502" s="3">
        <v>10252166501</v>
      </c>
      <c r="F2502" s="3" t="s">
        <v>2436</v>
      </c>
      <c r="G2502" s="3" t="s">
        <v>8284</v>
      </c>
      <c r="H2502" s="3" t="s">
        <v>446</v>
      </c>
      <c r="I2502" s="3" t="s">
        <v>446</v>
      </c>
      <c r="J2502" s="3" t="s">
        <v>447</v>
      </c>
      <c r="K2502" s="3" t="s">
        <v>9280</v>
      </c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C2502" s="3"/>
      <c r="AD2502" s="3"/>
      <c r="AE2502" s="3"/>
      <c r="AF2502" s="3"/>
      <c r="AG2502" s="3"/>
      <c r="AH2502" s="3"/>
      <c r="AI2502" s="3"/>
      <c r="AJ2502" s="3"/>
      <c r="AK2502" s="3" t="s">
        <v>81</v>
      </c>
      <c r="AL2502" s="4">
        <v>40690</v>
      </c>
      <c r="AM2502" s="3"/>
      <c r="AN2502" s="3" t="s">
        <v>2436</v>
      </c>
    </row>
    <row r="2503" spans="1:40" x14ac:dyDescent="0.3">
      <c r="A2503" s="3">
        <v>2497</v>
      </c>
      <c r="B2503" s="3" t="str">
        <f>"1104795"</f>
        <v>1104795</v>
      </c>
      <c r="C2503" s="3">
        <v>2305</v>
      </c>
      <c r="D2503" s="3" t="s">
        <v>9281</v>
      </c>
      <c r="E2503" s="3">
        <v>20100007348</v>
      </c>
      <c r="F2503" s="3" t="s">
        <v>929</v>
      </c>
      <c r="G2503" s="3" t="s">
        <v>930</v>
      </c>
      <c r="H2503" s="3" t="s">
        <v>75</v>
      </c>
      <c r="I2503" s="3" t="s">
        <v>75</v>
      </c>
      <c r="J2503" s="3" t="s">
        <v>76</v>
      </c>
      <c r="K2503" s="3" t="s">
        <v>9282</v>
      </c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C2503" s="3"/>
      <c r="AD2503" s="3"/>
      <c r="AE2503" s="3"/>
      <c r="AF2503" s="3"/>
      <c r="AG2503" s="3"/>
      <c r="AH2503" s="3"/>
      <c r="AI2503" s="3"/>
      <c r="AJ2503" s="3"/>
      <c r="AK2503" s="3" t="s">
        <v>81</v>
      </c>
      <c r="AL2503" s="4">
        <v>36795</v>
      </c>
      <c r="AM2503" s="3"/>
      <c r="AN2503" s="3"/>
    </row>
    <row r="2504" spans="1:40" ht="27.95" x14ac:dyDescent="0.3">
      <c r="A2504" s="3">
        <v>2498</v>
      </c>
      <c r="B2504" s="3" t="str">
        <f>"201900002088"</f>
        <v>201900002088</v>
      </c>
      <c r="C2504" s="3">
        <v>140657</v>
      </c>
      <c r="D2504" s="3" t="s">
        <v>9283</v>
      </c>
      <c r="E2504" s="3">
        <v>20542038536</v>
      </c>
      <c r="F2504" s="3" t="s">
        <v>9284</v>
      </c>
      <c r="G2504" s="3" t="s">
        <v>9285</v>
      </c>
      <c r="H2504" s="3" t="s">
        <v>271</v>
      </c>
      <c r="I2504" s="3" t="s">
        <v>9286</v>
      </c>
      <c r="J2504" s="3" t="s">
        <v>9287</v>
      </c>
      <c r="K2504" s="3" t="s">
        <v>9288</v>
      </c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C2504" s="3"/>
      <c r="AD2504" s="3"/>
      <c r="AE2504" s="3"/>
      <c r="AF2504" s="3"/>
      <c r="AG2504" s="3"/>
      <c r="AH2504" s="3"/>
      <c r="AI2504" s="3"/>
      <c r="AJ2504" s="3"/>
      <c r="AK2504" s="3" t="s">
        <v>4314</v>
      </c>
      <c r="AL2504" s="4">
        <v>43475</v>
      </c>
      <c r="AM2504" s="3"/>
      <c r="AN2504" s="3" t="s">
        <v>9289</v>
      </c>
    </row>
    <row r="2505" spans="1:40" x14ac:dyDescent="0.3">
      <c r="A2505" s="3">
        <v>2499</v>
      </c>
      <c r="B2505" s="3" t="str">
        <f>"201800071692"</f>
        <v>201800071692</v>
      </c>
      <c r="C2505" s="3">
        <v>135917</v>
      </c>
      <c r="D2505" s="3" t="s">
        <v>9290</v>
      </c>
      <c r="E2505" s="3">
        <v>10210066719</v>
      </c>
      <c r="F2505" s="3" t="s">
        <v>9291</v>
      </c>
      <c r="G2505" s="3" t="s">
        <v>9292</v>
      </c>
      <c r="H2505" s="3" t="s">
        <v>44</v>
      </c>
      <c r="I2505" s="3" t="s">
        <v>45</v>
      </c>
      <c r="J2505" s="3" t="s">
        <v>45</v>
      </c>
      <c r="K2505" s="3" t="s">
        <v>9293</v>
      </c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C2505" s="3"/>
      <c r="AD2505" s="3"/>
      <c r="AE2505" s="3"/>
      <c r="AF2505" s="3"/>
      <c r="AG2505" s="3"/>
      <c r="AH2505" s="3"/>
      <c r="AI2505" s="3"/>
      <c r="AJ2505" s="3"/>
      <c r="AK2505" s="3" t="s">
        <v>187</v>
      </c>
      <c r="AL2505" s="4">
        <v>43228</v>
      </c>
      <c r="AM2505" s="3"/>
      <c r="AN2505" s="3" t="s">
        <v>9291</v>
      </c>
    </row>
    <row r="2506" spans="1:40" ht="41.95" x14ac:dyDescent="0.3">
      <c r="A2506" s="3">
        <v>2500</v>
      </c>
      <c r="B2506" s="3" t="str">
        <f>"1448323"</f>
        <v>1448323</v>
      </c>
      <c r="C2506" s="3">
        <v>3287</v>
      </c>
      <c r="D2506" s="3" t="s">
        <v>9294</v>
      </c>
      <c r="E2506" s="3">
        <v>20507312277</v>
      </c>
      <c r="F2506" s="3" t="s">
        <v>9268</v>
      </c>
      <c r="G2506" s="3" t="s">
        <v>9295</v>
      </c>
      <c r="H2506" s="3" t="s">
        <v>56</v>
      </c>
      <c r="I2506" s="3" t="s">
        <v>56</v>
      </c>
      <c r="J2506" s="3" t="s">
        <v>69</v>
      </c>
      <c r="K2506" s="3" t="s">
        <v>9296</v>
      </c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C2506" s="3"/>
      <c r="AD2506" s="3"/>
      <c r="AE2506" s="3"/>
      <c r="AF2506" s="3"/>
      <c r="AG2506" s="3"/>
      <c r="AH2506" s="3"/>
      <c r="AI2506" s="3"/>
      <c r="AJ2506" s="3"/>
      <c r="AK2506" s="3" t="s">
        <v>1053</v>
      </c>
      <c r="AL2506" s="4">
        <v>38023</v>
      </c>
      <c r="AM2506" s="3"/>
      <c r="AN2506" s="3"/>
    </row>
    <row r="2507" spans="1:40" ht="27.95" x14ac:dyDescent="0.3">
      <c r="A2507" s="3">
        <v>2501</v>
      </c>
      <c r="B2507" s="3" t="str">
        <f>"201900203931"</f>
        <v>201900203931</v>
      </c>
      <c r="C2507" s="3">
        <v>83457</v>
      </c>
      <c r="D2507" s="3" t="s">
        <v>9297</v>
      </c>
      <c r="E2507" s="3">
        <v>20516511975</v>
      </c>
      <c r="F2507" s="3" t="s">
        <v>9298</v>
      </c>
      <c r="G2507" s="3" t="s">
        <v>9299</v>
      </c>
      <c r="H2507" s="3" t="s">
        <v>97</v>
      </c>
      <c r="I2507" s="3" t="s">
        <v>97</v>
      </c>
      <c r="J2507" s="3" t="s">
        <v>417</v>
      </c>
      <c r="K2507" s="3" t="s">
        <v>9300</v>
      </c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  <c r="AC2507" s="3"/>
      <c r="AD2507" s="3"/>
      <c r="AE2507" s="3"/>
      <c r="AF2507" s="3"/>
      <c r="AG2507" s="3"/>
      <c r="AH2507" s="3"/>
      <c r="AI2507" s="3"/>
      <c r="AJ2507" s="3"/>
      <c r="AK2507" s="3" t="s">
        <v>4244</v>
      </c>
      <c r="AL2507" s="4">
        <v>43811</v>
      </c>
      <c r="AM2507" s="3"/>
      <c r="AN2507" s="3" t="s">
        <v>1396</v>
      </c>
    </row>
    <row r="2508" spans="1:40" x14ac:dyDescent="0.3">
      <c r="A2508" s="3">
        <v>2502</v>
      </c>
      <c r="B2508" s="3" t="str">
        <f>"1596571"</f>
        <v>1596571</v>
      </c>
      <c r="C2508" s="3">
        <v>42791</v>
      </c>
      <c r="D2508" s="3" t="s">
        <v>9301</v>
      </c>
      <c r="E2508" s="3">
        <v>10026894099</v>
      </c>
      <c r="F2508" s="3" t="s">
        <v>532</v>
      </c>
      <c r="G2508" s="3" t="s">
        <v>6844</v>
      </c>
      <c r="H2508" s="3" t="s">
        <v>50</v>
      </c>
      <c r="I2508" s="3" t="s">
        <v>50</v>
      </c>
      <c r="J2508" s="3" t="s">
        <v>98</v>
      </c>
      <c r="K2508" s="3" t="s">
        <v>9302</v>
      </c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C2508" s="3"/>
      <c r="AD2508" s="3"/>
      <c r="AE2508" s="3"/>
      <c r="AF2508" s="3"/>
      <c r="AG2508" s="3"/>
      <c r="AH2508" s="3"/>
      <c r="AI2508" s="3"/>
      <c r="AJ2508" s="3"/>
      <c r="AK2508" s="3" t="s">
        <v>546</v>
      </c>
      <c r="AL2508" s="4">
        <v>38770</v>
      </c>
      <c r="AM2508" s="3"/>
      <c r="AN2508" s="3"/>
    </row>
    <row r="2509" spans="1:40" x14ac:dyDescent="0.3">
      <c r="A2509" s="3">
        <v>2503</v>
      </c>
      <c r="B2509" s="3" t="str">
        <f>"1283734"</f>
        <v>1283734</v>
      </c>
      <c r="C2509" s="3">
        <v>19544</v>
      </c>
      <c r="D2509" s="3">
        <v>1283734</v>
      </c>
      <c r="E2509" s="3">
        <v>10154047382</v>
      </c>
      <c r="F2509" s="3" t="s">
        <v>9303</v>
      </c>
      <c r="G2509" s="3" t="s">
        <v>9304</v>
      </c>
      <c r="H2509" s="3" t="s">
        <v>56</v>
      </c>
      <c r="I2509" s="3" t="s">
        <v>422</v>
      </c>
      <c r="J2509" s="3" t="s">
        <v>9305</v>
      </c>
      <c r="K2509" s="3" t="s">
        <v>9306</v>
      </c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C2509" s="3"/>
      <c r="AD2509" s="3"/>
      <c r="AE2509" s="3"/>
      <c r="AF2509" s="3"/>
      <c r="AG2509" s="3"/>
      <c r="AH2509" s="3"/>
      <c r="AI2509" s="3"/>
      <c r="AJ2509" s="3"/>
      <c r="AK2509" s="3" t="s">
        <v>614</v>
      </c>
      <c r="AL2509" s="4">
        <v>36705</v>
      </c>
      <c r="AM2509" s="3"/>
      <c r="AN2509" s="3"/>
    </row>
    <row r="2510" spans="1:40" x14ac:dyDescent="0.3">
      <c r="A2510" s="3">
        <v>2504</v>
      </c>
      <c r="B2510" s="3" t="str">
        <f>"201100162750"</f>
        <v>201100162750</v>
      </c>
      <c r="C2510" s="3">
        <v>39866</v>
      </c>
      <c r="D2510" s="3" t="s">
        <v>9307</v>
      </c>
      <c r="E2510" s="3">
        <v>10316578514</v>
      </c>
      <c r="F2510" s="3" t="s">
        <v>9308</v>
      </c>
      <c r="G2510" s="3" t="s">
        <v>9309</v>
      </c>
      <c r="H2510" s="3" t="s">
        <v>271</v>
      </c>
      <c r="I2510" s="3" t="s">
        <v>272</v>
      </c>
      <c r="J2510" s="3" t="s">
        <v>273</v>
      </c>
      <c r="K2510" s="3" t="s">
        <v>9310</v>
      </c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C2510" s="3"/>
      <c r="AD2510" s="3"/>
      <c r="AE2510" s="3"/>
      <c r="AF2510" s="3"/>
      <c r="AG2510" s="3"/>
      <c r="AH2510" s="3"/>
      <c r="AI2510" s="3"/>
      <c r="AJ2510" s="3"/>
      <c r="AK2510" s="3" t="s">
        <v>1481</v>
      </c>
      <c r="AL2510" s="4">
        <v>40920</v>
      </c>
      <c r="AM2510" s="3"/>
      <c r="AN2510" s="3" t="s">
        <v>1114</v>
      </c>
    </row>
    <row r="2511" spans="1:40" ht="27.95" x14ac:dyDescent="0.3">
      <c r="A2511" s="3">
        <v>2505</v>
      </c>
      <c r="B2511" s="3" t="str">
        <f>"201800137983"</f>
        <v>201800137983</v>
      </c>
      <c r="C2511" s="3">
        <v>138137</v>
      </c>
      <c r="D2511" s="3" t="s">
        <v>9311</v>
      </c>
      <c r="E2511" s="3">
        <v>20525521509</v>
      </c>
      <c r="F2511" s="3" t="s">
        <v>189</v>
      </c>
      <c r="G2511" s="3" t="s">
        <v>815</v>
      </c>
      <c r="H2511" s="3" t="s">
        <v>50</v>
      </c>
      <c r="I2511" s="3" t="s">
        <v>50</v>
      </c>
      <c r="J2511" s="3" t="s">
        <v>50</v>
      </c>
      <c r="K2511" s="3" t="s">
        <v>9312</v>
      </c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  <c r="AC2511" s="3"/>
      <c r="AD2511" s="3"/>
      <c r="AE2511" s="3"/>
      <c r="AF2511" s="3"/>
      <c r="AG2511" s="3"/>
      <c r="AH2511" s="3"/>
      <c r="AI2511" s="3"/>
      <c r="AJ2511" s="3"/>
      <c r="AK2511" s="3" t="s">
        <v>602</v>
      </c>
      <c r="AL2511" s="4">
        <v>43339</v>
      </c>
      <c r="AM2511" s="3"/>
      <c r="AN2511" s="3" t="s">
        <v>817</v>
      </c>
    </row>
    <row r="2512" spans="1:40" x14ac:dyDescent="0.3">
      <c r="A2512" s="3">
        <v>2506</v>
      </c>
      <c r="B2512" s="3" t="str">
        <f>"1890476"</f>
        <v>1890476</v>
      </c>
      <c r="C2512" s="3">
        <v>83284</v>
      </c>
      <c r="D2512" s="3" t="s">
        <v>9313</v>
      </c>
      <c r="E2512" s="3">
        <v>20100366747</v>
      </c>
      <c r="F2512" s="3" t="s">
        <v>258</v>
      </c>
      <c r="G2512" s="3" t="s">
        <v>2673</v>
      </c>
      <c r="H2512" s="3" t="s">
        <v>56</v>
      </c>
      <c r="I2512" s="3" t="s">
        <v>56</v>
      </c>
      <c r="J2512" s="3" t="s">
        <v>185</v>
      </c>
      <c r="K2512" s="3" t="s">
        <v>9314</v>
      </c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  <c r="AC2512" s="3"/>
      <c r="AD2512" s="3"/>
      <c r="AE2512" s="3"/>
      <c r="AF2512" s="3"/>
      <c r="AG2512" s="3"/>
      <c r="AH2512" s="3"/>
      <c r="AI2512" s="3"/>
      <c r="AJ2512" s="3"/>
      <c r="AK2512" s="3" t="s">
        <v>6770</v>
      </c>
      <c r="AL2512" s="4">
        <v>39974</v>
      </c>
      <c r="AM2512" s="3"/>
      <c r="AN2512" s="3"/>
    </row>
    <row r="2513" spans="1:40" x14ac:dyDescent="0.3">
      <c r="A2513" s="3">
        <v>2507</v>
      </c>
      <c r="B2513" s="3" t="str">
        <f>"201600137236"</f>
        <v>201600137236</v>
      </c>
      <c r="C2513" s="3">
        <v>123984</v>
      </c>
      <c r="D2513" s="3" t="s">
        <v>9315</v>
      </c>
      <c r="E2513" s="3">
        <v>20454521588</v>
      </c>
      <c r="F2513" s="3" t="s">
        <v>9316</v>
      </c>
      <c r="G2513" s="3" t="s">
        <v>9317</v>
      </c>
      <c r="H2513" s="3" t="s">
        <v>97</v>
      </c>
      <c r="I2513" s="3" t="s">
        <v>97</v>
      </c>
      <c r="J2513" s="3" t="s">
        <v>97</v>
      </c>
      <c r="K2513" s="3" t="s">
        <v>9318</v>
      </c>
      <c r="L2513" s="3" t="s">
        <v>9319</v>
      </c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C2513" s="3"/>
      <c r="AD2513" s="3"/>
      <c r="AE2513" s="3"/>
      <c r="AF2513" s="3"/>
      <c r="AG2513" s="3"/>
      <c r="AH2513" s="3"/>
      <c r="AI2513" s="3"/>
      <c r="AJ2513" s="3"/>
      <c r="AK2513" s="3" t="s">
        <v>150</v>
      </c>
      <c r="AL2513" s="4">
        <v>42670</v>
      </c>
      <c r="AM2513" s="3"/>
      <c r="AN2513" s="3" t="s">
        <v>5461</v>
      </c>
    </row>
    <row r="2514" spans="1:40" x14ac:dyDescent="0.3">
      <c r="A2514" s="3">
        <v>2508</v>
      </c>
      <c r="B2514" s="3" t="str">
        <f>"1104738"</f>
        <v>1104738</v>
      </c>
      <c r="C2514" s="3">
        <v>2271</v>
      </c>
      <c r="D2514" s="3">
        <v>954961</v>
      </c>
      <c r="E2514" s="3">
        <v>10157156140</v>
      </c>
      <c r="F2514" s="3" t="s">
        <v>9320</v>
      </c>
      <c r="G2514" s="3" t="s">
        <v>9321</v>
      </c>
      <c r="H2514" s="3" t="s">
        <v>56</v>
      </c>
      <c r="I2514" s="3" t="s">
        <v>663</v>
      </c>
      <c r="J2514" s="3" t="s">
        <v>664</v>
      </c>
      <c r="K2514" s="3" t="s">
        <v>9322</v>
      </c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C2514" s="3"/>
      <c r="AD2514" s="3"/>
      <c r="AE2514" s="3"/>
      <c r="AF2514" s="3"/>
      <c r="AG2514" s="3"/>
      <c r="AH2514" s="3"/>
      <c r="AI2514" s="3"/>
      <c r="AJ2514" s="3"/>
      <c r="AK2514" s="3" t="s">
        <v>602</v>
      </c>
      <c r="AL2514" s="4">
        <v>35467</v>
      </c>
      <c r="AM2514" s="3"/>
      <c r="AN2514" s="3"/>
    </row>
    <row r="2515" spans="1:40" x14ac:dyDescent="0.3">
      <c r="A2515" s="3">
        <v>2509</v>
      </c>
      <c r="B2515" s="3" t="str">
        <f>"1368158"</f>
        <v>1368158</v>
      </c>
      <c r="C2515" s="3">
        <v>14686</v>
      </c>
      <c r="D2515" s="3" t="s">
        <v>9323</v>
      </c>
      <c r="E2515" s="3">
        <v>10066014822</v>
      </c>
      <c r="F2515" s="3" t="s">
        <v>9324</v>
      </c>
      <c r="G2515" s="3" t="s">
        <v>9325</v>
      </c>
      <c r="H2515" s="3" t="s">
        <v>56</v>
      </c>
      <c r="I2515" s="3" t="s">
        <v>56</v>
      </c>
      <c r="J2515" s="3" t="s">
        <v>1339</v>
      </c>
      <c r="K2515" s="3" t="s">
        <v>9326</v>
      </c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  <c r="AC2515" s="3"/>
      <c r="AD2515" s="3"/>
      <c r="AE2515" s="3"/>
      <c r="AF2515" s="3"/>
      <c r="AG2515" s="3"/>
      <c r="AH2515" s="3"/>
      <c r="AI2515" s="3"/>
      <c r="AJ2515" s="3"/>
      <c r="AK2515" s="3" t="s">
        <v>842</v>
      </c>
      <c r="AL2515" s="4">
        <v>37427</v>
      </c>
      <c r="AM2515" s="3"/>
      <c r="AN2515" s="3"/>
    </row>
    <row r="2516" spans="1:40" x14ac:dyDescent="0.3">
      <c r="A2516" s="3">
        <v>2510</v>
      </c>
      <c r="B2516" s="3" t="str">
        <f>"1474871"</f>
        <v>1474871</v>
      </c>
      <c r="C2516" s="3">
        <v>38031</v>
      </c>
      <c r="D2516" s="3" t="s">
        <v>9327</v>
      </c>
      <c r="E2516" s="3">
        <v>10021652275</v>
      </c>
      <c r="F2516" s="3" t="s">
        <v>9328</v>
      </c>
      <c r="G2516" s="3" t="s">
        <v>9329</v>
      </c>
      <c r="H2516" s="3" t="s">
        <v>222</v>
      </c>
      <c r="I2516" s="3" t="s">
        <v>223</v>
      </c>
      <c r="J2516" s="3" t="s">
        <v>224</v>
      </c>
      <c r="K2516" s="3" t="s">
        <v>9330</v>
      </c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  <c r="AC2516" s="3"/>
      <c r="AD2516" s="3"/>
      <c r="AE2516" s="3"/>
      <c r="AF2516" s="3"/>
      <c r="AG2516" s="3"/>
      <c r="AH2516" s="3"/>
      <c r="AI2516" s="3"/>
      <c r="AJ2516" s="3"/>
      <c r="AK2516" s="3" t="s">
        <v>321</v>
      </c>
      <c r="AL2516" s="4">
        <v>38128</v>
      </c>
      <c r="AM2516" s="3"/>
      <c r="AN2516" s="3"/>
    </row>
    <row r="2517" spans="1:40" x14ac:dyDescent="0.3">
      <c r="A2517" s="3">
        <v>2511</v>
      </c>
      <c r="B2517" s="3" t="str">
        <f>"201800181415"</f>
        <v>201800181415</v>
      </c>
      <c r="C2517" s="3">
        <v>92276</v>
      </c>
      <c r="D2517" s="3" t="s">
        <v>9331</v>
      </c>
      <c r="E2517" s="3">
        <v>10292917177</v>
      </c>
      <c r="F2517" s="3" t="s">
        <v>444</v>
      </c>
      <c r="G2517" s="3" t="s">
        <v>9332</v>
      </c>
      <c r="H2517" s="3" t="s">
        <v>97</v>
      </c>
      <c r="I2517" s="3" t="s">
        <v>97</v>
      </c>
      <c r="J2517" s="3" t="s">
        <v>326</v>
      </c>
      <c r="K2517" s="3" t="s">
        <v>9333</v>
      </c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C2517" s="3"/>
      <c r="AD2517" s="3"/>
      <c r="AE2517" s="3"/>
      <c r="AF2517" s="3"/>
      <c r="AG2517" s="3"/>
      <c r="AH2517" s="3"/>
      <c r="AI2517" s="3"/>
      <c r="AJ2517" s="3"/>
      <c r="AK2517" s="3" t="s">
        <v>1812</v>
      </c>
      <c r="AL2517" s="4">
        <v>43439</v>
      </c>
      <c r="AM2517" s="3"/>
      <c r="AN2517" s="3" t="s">
        <v>444</v>
      </c>
    </row>
    <row r="2518" spans="1:40" x14ac:dyDescent="0.3">
      <c r="A2518" s="3">
        <v>2512</v>
      </c>
      <c r="B2518" s="3" t="str">
        <f>"201500028322"</f>
        <v>201500028322</v>
      </c>
      <c r="C2518" s="3">
        <v>114198</v>
      </c>
      <c r="D2518" s="3" t="s">
        <v>9334</v>
      </c>
      <c r="E2518" s="3">
        <v>20565208561</v>
      </c>
      <c r="F2518" s="3" t="s">
        <v>3518</v>
      </c>
      <c r="G2518" s="3" t="s">
        <v>9335</v>
      </c>
      <c r="H2518" s="3" t="s">
        <v>56</v>
      </c>
      <c r="I2518" s="3" t="s">
        <v>56</v>
      </c>
      <c r="J2518" s="3" t="s">
        <v>1778</v>
      </c>
      <c r="K2518" s="3" t="s">
        <v>9336</v>
      </c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C2518" s="3"/>
      <c r="AD2518" s="3"/>
      <c r="AE2518" s="3"/>
      <c r="AF2518" s="3"/>
      <c r="AG2518" s="3"/>
      <c r="AH2518" s="3"/>
      <c r="AI2518" s="3"/>
      <c r="AJ2518" s="3"/>
      <c r="AK2518" s="3" t="s">
        <v>9337</v>
      </c>
      <c r="AL2518" s="4">
        <v>42105</v>
      </c>
      <c r="AM2518" s="3"/>
      <c r="AN2518" s="3" t="s">
        <v>1781</v>
      </c>
    </row>
    <row r="2519" spans="1:40" ht="27.95" x14ac:dyDescent="0.3">
      <c r="A2519" s="3">
        <v>2513</v>
      </c>
      <c r="B2519" s="3" t="str">
        <f>"201800137997"</f>
        <v>201800137997</v>
      </c>
      <c r="C2519" s="3">
        <v>138138</v>
      </c>
      <c r="D2519" s="3" t="s">
        <v>9338</v>
      </c>
      <c r="E2519" s="3">
        <v>20525521509</v>
      </c>
      <c r="F2519" s="3" t="s">
        <v>189</v>
      </c>
      <c r="G2519" s="3" t="s">
        <v>815</v>
      </c>
      <c r="H2519" s="3" t="s">
        <v>50</v>
      </c>
      <c r="I2519" s="3" t="s">
        <v>50</v>
      </c>
      <c r="J2519" s="3" t="s">
        <v>50</v>
      </c>
      <c r="K2519" s="3" t="s">
        <v>9339</v>
      </c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  <c r="AC2519" s="3"/>
      <c r="AD2519" s="3"/>
      <c r="AE2519" s="3"/>
      <c r="AF2519" s="3"/>
      <c r="AG2519" s="3"/>
      <c r="AH2519" s="3"/>
      <c r="AI2519" s="3"/>
      <c r="AJ2519" s="3"/>
      <c r="AK2519" s="3" t="s">
        <v>602</v>
      </c>
      <c r="AL2519" s="4">
        <v>43339</v>
      </c>
      <c r="AM2519" s="3"/>
      <c r="AN2519" s="3" t="s">
        <v>817</v>
      </c>
    </row>
    <row r="2520" spans="1:40" x14ac:dyDescent="0.3">
      <c r="A2520" s="3">
        <v>2514</v>
      </c>
      <c r="B2520" s="3" t="str">
        <f>"201400089625"</f>
        <v>201400089625</v>
      </c>
      <c r="C2520" s="3">
        <v>3469</v>
      </c>
      <c r="D2520" s="3" t="s">
        <v>9340</v>
      </c>
      <c r="E2520" s="3">
        <v>20174640514</v>
      </c>
      <c r="F2520" s="3" t="s">
        <v>3043</v>
      </c>
      <c r="G2520" s="3" t="s">
        <v>5018</v>
      </c>
      <c r="H2520" s="3" t="s">
        <v>75</v>
      </c>
      <c r="I2520" s="3" t="s">
        <v>75</v>
      </c>
      <c r="J2520" s="3" t="s">
        <v>76</v>
      </c>
      <c r="K2520" s="3" t="s">
        <v>9341</v>
      </c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  <c r="AC2520" s="3"/>
      <c r="AD2520" s="3"/>
      <c r="AE2520" s="3"/>
      <c r="AF2520" s="3"/>
      <c r="AG2520" s="3"/>
      <c r="AH2520" s="3"/>
      <c r="AI2520" s="3"/>
      <c r="AJ2520" s="3"/>
      <c r="AK2520" s="3" t="s">
        <v>81</v>
      </c>
      <c r="AL2520" s="4">
        <v>41831</v>
      </c>
      <c r="AM2520" s="3"/>
      <c r="AN2520" s="3" t="s">
        <v>9342</v>
      </c>
    </row>
    <row r="2521" spans="1:40" x14ac:dyDescent="0.3">
      <c r="A2521" s="3">
        <v>2515</v>
      </c>
      <c r="B2521" s="3" t="str">
        <f>"201300167071"</f>
        <v>201300167071</v>
      </c>
      <c r="C2521" s="3">
        <v>106004</v>
      </c>
      <c r="D2521" s="3" t="s">
        <v>9343</v>
      </c>
      <c r="E2521" s="3">
        <v>10708012012</v>
      </c>
      <c r="F2521" s="3" t="s">
        <v>9344</v>
      </c>
      <c r="G2521" s="3" t="s">
        <v>9345</v>
      </c>
      <c r="H2521" s="3" t="s">
        <v>44</v>
      </c>
      <c r="I2521" s="3" t="s">
        <v>9346</v>
      </c>
      <c r="J2521" s="3" t="s">
        <v>9347</v>
      </c>
      <c r="K2521" s="3" t="s">
        <v>9348</v>
      </c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C2521" s="3"/>
      <c r="AD2521" s="3"/>
      <c r="AE2521" s="3"/>
      <c r="AF2521" s="3"/>
      <c r="AG2521" s="3"/>
      <c r="AH2521" s="3"/>
      <c r="AI2521" s="3"/>
      <c r="AJ2521" s="3"/>
      <c r="AK2521" s="3" t="s">
        <v>9349</v>
      </c>
      <c r="AL2521" s="3" t="s">
        <v>290</v>
      </c>
      <c r="AM2521" s="3"/>
      <c r="AN2521" s="3" t="s">
        <v>9344</v>
      </c>
    </row>
    <row r="2522" spans="1:40" x14ac:dyDescent="0.3">
      <c r="A2522" s="3">
        <v>2516</v>
      </c>
      <c r="B2522" s="3" t="str">
        <f>"1436946"</f>
        <v>1436946</v>
      </c>
      <c r="C2522" s="3">
        <v>37201</v>
      </c>
      <c r="D2522" s="3" t="s">
        <v>9350</v>
      </c>
      <c r="E2522" s="3">
        <v>20102314698</v>
      </c>
      <c r="F2522" s="3" t="s">
        <v>1185</v>
      </c>
      <c r="G2522" s="3" t="s">
        <v>9351</v>
      </c>
      <c r="H2522" s="3" t="s">
        <v>50</v>
      </c>
      <c r="I2522" s="3" t="s">
        <v>50</v>
      </c>
      <c r="J2522" s="3" t="s">
        <v>50</v>
      </c>
      <c r="K2522" s="3" t="s">
        <v>9352</v>
      </c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C2522" s="3"/>
      <c r="AD2522" s="3"/>
      <c r="AE2522" s="3"/>
      <c r="AF2522" s="3"/>
      <c r="AG2522" s="3"/>
      <c r="AH2522" s="3"/>
      <c r="AI2522" s="3"/>
      <c r="AJ2522" s="3"/>
      <c r="AK2522" s="3" t="s">
        <v>9353</v>
      </c>
      <c r="AL2522" s="4">
        <v>40484</v>
      </c>
      <c r="AM2522" s="3"/>
      <c r="AN2522" s="3" t="s">
        <v>2834</v>
      </c>
    </row>
    <row r="2523" spans="1:40" x14ac:dyDescent="0.3">
      <c r="A2523" s="3">
        <v>2517</v>
      </c>
      <c r="B2523" s="3" t="str">
        <f>"1578849"</f>
        <v>1578849</v>
      </c>
      <c r="C2523" s="3">
        <v>42302</v>
      </c>
      <c r="D2523" s="3" t="s">
        <v>9354</v>
      </c>
      <c r="E2523" s="3">
        <v>20100366747</v>
      </c>
      <c r="F2523" s="3" t="s">
        <v>258</v>
      </c>
      <c r="G2523" s="3" t="s">
        <v>4582</v>
      </c>
      <c r="H2523" s="3" t="s">
        <v>56</v>
      </c>
      <c r="I2523" s="3" t="s">
        <v>56</v>
      </c>
      <c r="J2523" s="3" t="s">
        <v>273</v>
      </c>
      <c r="K2523" s="3" t="s">
        <v>9355</v>
      </c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  <c r="AC2523" s="3"/>
      <c r="AD2523" s="3"/>
      <c r="AE2523" s="3"/>
      <c r="AF2523" s="3"/>
      <c r="AG2523" s="3"/>
      <c r="AH2523" s="3"/>
      <c r="AI2523" s="3"/>
      <c r="AJ2523" s="3"/>
      <c r="AK2523" s="3" t="s">
        <v>81</v>
      </c>
      <c r="AL2523" s="4">
        <v>38701</v>
      </c>
      <c r="AM2523" s="3"/>
      <c r="AN2523" s="3"/>
    </row>
    <row r="2524" spans="1:40" ht="27.95" x14ac:dyDescent="0.3">
      <c r="A2524" s="3">
        <v>2518</v>
      </c>
      <c r="B2524" s="3" t="str">
        <f>"201900085259"</f>
        <v>201900085259</v>
      </c>
      <c r="C2524" s="3">
        <v>88189</v>
      </c>
      <c r="D2524" s="3" t="s">
        <v>9356</v>
      </c>
      <c r="E2524" s="3">
        <v>20528083243</v>
      </c>
      <c r="F2524" s="3" t="s">
        <v>9357</v>
      </c>
      <c r="G2524" s="3" t="s">
        <v>9358</v>
      </c>
      <c r="H2524" s="3" t="s">
        <v>446</v>
      </c>
      <c r="I2524" s="3" t="s">
        <v>446</v>
      </c>
      <c r="J2524" s="3" t="s">
        <v>830</v>
      </c>
      <c r="K2524" s="3" t="s">
        <v>9359</v>
      </c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  <c r="AC2524" s="3"/>
      <c r="AD2524" s="3"/>
      <c r="AE2524" s="3"/>
      <c r="AF2524" s="3"/>
      <c r="AG2524" s="3"/>
      <c r="AH2524" s="3"/>
      <c r="AI2524" s="3"/>
      <c r="AJ2524" s="3"/>
      <c r="AK2524" s="3" t="s">
        <v>9360</v>
      </c>
      <c r="AL2524" s="4">
        <v>43623</v>
      </c>
      <c r="AM2524" s="3"/>
      <c r="AN2524" s="3" t="s">
        <v>9361</v>
      </c>
    </row>
    <row r="2525" spans="1:40" ht="27.95" x14ac:dyDescent="0.3">
      <c r="A2525" s="3">
        <v>2519</v>
      </c>
      <c r="B2525" s="3" t="str">
        <f>"1352900"</f>
        <v>1352900</v>
      </c>
      <c r="C2525" s="3">
        <v>86800</v>
      </c>
      <c r="D2525" s="3" t="s">
        <v>9362</v>
      </c>
      <c r="E2525" s="3">
        <v>20100076749</v>
      </c>
      <c r="F2525" s="3" t="s">
        <v>159</v>
      </c>
      <c r="G2525" s="3" t="s">
        <v>9363</v>
      </c>
      <c r="H2525" s="3" t="s">
        <v>56</v>
      </c>
      <c r="I2525" s="3" t="s">
        <v>56</v>
      </c>
      <c r="J2525" s="3" t="s">
        <v>121</v>
      </c>
      <c r="K2525" s="3" t="s">
        <v>9364</v>
      </c>
      <c r="L2525" s="3" t="s">
        <v>9365</v>
      </c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C2525" s="3"/>
      <c r="AD2525" s="3"/>
      <c r="AE2525" s="3"/>
      <c r="AF2525" s="3"/>
      <c r="AG2525" s="3"/>
      <c r="AH2525" s="3"/>
      <c r="AI2525" s="3"/>
      <c r="AJ2525" s="3"/>
      <c r="AK2525" s="3" t="s">
        <v>470</v>
      </c>
      <c r="AL2525" s="4">
        <v>40317</v>
      </c>
      <c r="AM2525" s="3"/>
      <c r="AN2525" s="3" t="s">
        <v>9366</v>
      </c>
    </row>
    <row r="2526" spans="1:40" x14ac:dyDescent="0.3">
      <c r="A2526" s="3">
        <v>2520</v>
      </c>
      <c r="B2526" s="3" t="str">
        <f>"1745008"</f>
        <v>1745008</v>
      </c>
      <c r="C2526" s="3">
        <v>61950</v>
      </c>
      <c r="D2526" s="3" t="s">
        <v>9367</v>
      </c>
      <c r="E2526" s="3">
        <v>20531446161</v>
      </c>
      <c r="F2526" s="3" t="s">
        <v>9368</v>
      </c>
      <c r="G2526" s="3" t="s">
        <v>9369</v>
      </c>
      <c r="H2526" s="3" t="s">
        <v>245</v>
      </c>
      <c r="I2526" s="3" t="s">
        <v>1819</v>
      </c>
      <c r="J2526" s="3" t="s">
        <v>1820</v>
      </c>
      <c r="K2526" s="3" t="s">
        <v>9370</v>
      </c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C2526" s="3"/>
      <c r="AD2526" s="3"/>
      <c r="AE2526" s="3"/>
      <c r="AF2526" s="3"/>
      <c r="AG2526" s="3"/>
      <c r="AH2526" s="3"/>
      <c r="AI2526" s="3"/>
      <c r="AJ2526" s="3"/>
      <c r="AK2526" s="3" t="s">
        <v>562</v>
      </c>
      <c r="AL2526" s="4">
        <v>39433</v>
      </c>
      <c r="AM2526" s="3"/>
      <c r="AN2526" s="3"/>
    </row>
    <row r="2527" spans="1:40" ht="27.95" x14ac:dyDescent="0.3">
      <c r="A2527" s="3">
        <v>2521</v>
      </c>
      <c r="B2527" s="3" t="str">
        <f>"1958021"</f>
        <v>1958021</v>
      </c>
      <c r="C2527" s="3">
        <v>85046</v>
      </c>
      <c r="D2527" s="3" t="s">
        <v>9371</v>
      </c>
      <c r="E2527" s="3">
        <v>10102560782</v>
      </c>
      <c r="F2527" s="3" t="s">
        <v>2853</v>
      </c>
      <c r="G2527" s="3" t="s">
        <v>9372</v>
      </c>
      <c r="H2527" s="3" t="s">
        <v>56</v>
      </c>
      <c r="I2527" s="3" t="s">
        <v>56</v>
      </c>
      <c r="J2527" s="3" t="s">
        <v>363</v>
      </c>
      <c r="K2527" s="3" t="s">
        <v>9373</v>
      </c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  <c r="AC2527" s="3"/>
      <c r="AD2527" s="3"/>
      <c r="AE2527" s="3"/>
      <c r="AF2527" s="3"/>
      <c r="AG2527" s="3"/>
      <c r="AH2527" s="3"/>
      <c r="AI2527" s="3"/>
      <c r="AJ2527" s="3"/>
      <c r="AK2527" s="3" t="s">
        <v>1064</v>
      </c>
      <c r="AL2527" s="4">
        <v>40239</v>
      </c>
      <c r="AM2527" s="3"/>
      <c r="AN2527" s="3"/>
    </row>
    <row r="2528" spans="1:40" x14ac:dyDescent="0.3">
      <c r="A2528" s="3">
        <v>2522</v>
      </c>
      <c r="B2528" s="3" t="str">
        <f>"201300096614"</f>
        <v>201300096614</v>
      </c>
      <c r="C2528" s="3">
        <v>36057</v>
      </c>
      <c r="D2528" s="3" t="s">
        <v>9374</v>
      </c>
      <c r="E2528" s="3">
        <v>20543992942</v>
      </c>
      <c r="F2528" s="3" t="s">
        <v>540</v>
      </c>
      <c r="G2528" s="3" t="s">
        <v>541</v>
      </c>
      <c r="H2528" s="3" t="s">
        <v>56</v>
      </c>
      <c r="I2528" s="3" t="s">
        <v>56</v>
      </c>
      <c r="J2528" s="3" t="s">
        <v>380</v>
      </c>
      <c r="K2528" s="3" t="s">
        <v>9375</v>
      </c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  <c r="AC2528" s="3"/>
      <c r="AD2528" s="3"/>
      <c r="AE2528" s="3"/>
      <c r="AF2528" s="3"/>
      <c r="AG2528" s="3"/>
      <c r="AH2528" s="3"/>
      <c r="AI2528" s="3"/>
      <c r="AJ2528" s="3"/>
      <c r="AK2528" s="3" t="s">
        <v>802</v>
      </c>
      <c r="AL2528" s="3" t="s">
        <v>290</v>
      </c>
      <c r="AM2528" s="3"/>
      <c r="AN2528" s="3" t="s">
        <v>543</v>
      </c>
    </row>
    <row r="2529" spans="1:40" x14ac:dyDescent="0.3">
      <c r="A2529" s="3">
        <v>2523</v>
      </c>
      <c r="B2529" s="3" t="str">
        <f>"201300096615"</f>
        <v>201300096615</v>
      </c>
      <c r="C2529" s="3">
        <v>62567</v>
      </c>
      <c r="D2529" s="3" t="s">
        <v>9376</v>
      </c>
      <c r="E2529" s="3">
        <v>20543992942</v>
      </c>
      <c r="F2529" s="3" t="s">
        <v>540</v>
      </c>
      <c r="G2529" s="3" t="s">
        <v>541</v>
      </c>
      <c r="H2529" s="3" t="s">
        <v>56</v>
      </c>
      <c r="I2529" s="3" t="s">
        <v>56</v>
      </c>
      <c r="J2529" s="3" t="s">
        <v>380</v>
      </c>
      <c r="K2529" s="3" t="s">
        <v>9377</v>
      </c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C2529" s="3"/>
      <c r="AD2529" s="3"/>
      <c r="AE2529" s="3"/>
      <c r="AF2529" s="3"/>
      <c r="AG2529" s="3"/>
      <c r="AH2529" s="3"/>
      <c r="AI2529" s="3"/>
      <c r="AJ2529" s="3"/>
      <c r="AK2529" s="3" t="s">
        <v>538</v>
      </c>
      <c r="AL2529" s="3" t="s">
        <v>290</v>
      </c>
      <c r="AM2529" s="3"/>
      <c r="AN2529" s="3" t="s">
        <v>543</v>
      </c>
    </row>
    <row r="2530" spans="1:40" x14ac:dyDescent="0.3">
      <c r="A2530" s="3">
        <v>2524</v>
      </c>
      <c r="B2530" s="3" t="str">
        <f>"201800042370"</f>
        <v>201800042370</v>
      </c>
      <c r="C2530" s="3">
        <v>135011</v>
      </c>
      <c r="D2530" s="3" t="s">
        <v>9378</v>
      </c>
      <c r="E2530" s="3">
        <v>20556236608</v>
      </c>
      <c r="F2530" s="3" t="s">
        <v>9379</v>
      </c>
      <c r="G2530" s="3" t="s">
        <v>9380</v>
      </c>
      <c r="H2530" s="3" t="s">
        <v>56</v>
      </c>
      <c r="I2530" s="3" t="s">
        <v>56</v>
      </c>
      <c r="J2530" s="3" t="s">
        <v>69</v>
      </c>
      <c r="K2530" s="3" t="s">
        <v>9381</v>
      </c>
      <c r="L2530" s="3" t="s">
        <v>9382</v>
      </c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C2530" s="3"/>
      <c r="AD2530" s="3"/>
      <c r="AE2530" s="3"/>
      <c r="AF2530" s="3"/>
      <c r="AG2530" s="3"/>
      <c r="AH2530" s="3"/>
      <c r="AI2530" s="3"/>
      <c r="AJ2530" s="3"/>
      <c r="AK2530" s="3" t="s">
        <v>9383</v>
      </c>
      <c r="AL2530" s="4">
        <v>43179</v>
      </c>
      <c r="AM2530" s="3"/>
      <c r="AN2530" s="3" t="s">
        <v>5978</v>
      </c>
    </row>
    <row r="2531" spans="1:40" x14ac:dyDescent="0.3">
      <c r="A2531" s="3">
        <v>2525</v>
      </c>
      <c r="B2531" s="3" t="str">
        <f>"201700116382"</f>
        <v>201700116382</v>
      </c>
      <c r="C2531" s="3">
        <v>130695</v>
      </c>
      <c r="D2531" s="3" t="s">
        <v>9384</v>
      </c>
      <c r="E2531" s="3">
        <v>20366072030</v>
      </c>
      <c r="F2531" s="3" t="s">
        <v>6551</v>
      </c>
      <c r="G2531" s="3" t="s">
        <v>9385</v>
      </c>
      <c r="H2531" s="3" t="s">
        <v>1208</v>
      </c>
      <c r="I2531" s="3" t="s">
        <v>1209</v>
      </c>
      <c r="J2531" s="3" t="s">
        <v>447</v>
      </c>
      <c r="K2531" s="3" t="s">
        <v>9386</v>
      </c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C2531" s="3"/>
      <c r="AD2531" s="3"/>
      <c r="AE2531" s="3"/>
      <c r="AF2531" s="3"/>
      <c r="AG2531" s="3"/>
      <c r="AH2531" s="3"/>
      <c r="AI2531" s="3"/>
      <c r="AJ2531" s="3"/>
      <c r="AK2531" s="3" t="s">
        <v>1341</v>
      </c>
      <c r="AL2531" s="4">
        <v>42949</v>
      </c>
      <c r="AM2531" s="3"/>
      <c r="AN2531" s="3" t="s">
        <v>6554</v>
      </c>
    </row>
    <row r="2532" spans="1:40" x14ac:dyDescent="0.3">
      <c r="A2532" s="3">
        <v>2526</v>
      </c>
      <c r="B2532" s="3" t="str">
        <f>"201400089633"</f>
        <v>201400089633</v>
      </c>
      <c r="C2532" s="3">
        <v>21111</v>
      </c>
      <c r="D2532" s="3" t="s">
        <v>9387</v>
      </c>
      <c r="E2532" s="3">
        <v>20174640514</v>
      </c>
      <c r="F2532" s="3" t="s">
        <v>3043</v>
      </c>
      <c r="G2532" s="3" t="s">
        <v>9388</v>
      </c>
      <c r="H2532" s="3" t="s">
        <v>56</v>
      </c>
      <c r="I2532" s="3" t="s">
        <v>56</v>
      </c>
      <c r="J2532" s="3" t="s">
        <v>572</v>
      </c>
      <c r="K2532" s="3" t="s">
        <v>9389</v>
      </c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C2532" s="3"/>
      <c r="AD2532" s="3"/>
      <c r="AE2532" s="3"/>
      <c r="AF2532" s="3"/>
      <c r="AG2532" s="3"/>
      <c r="AH2532" s="3"/>
      <c r="AI2532" s="3"/>
      <c r="AJ2532" s="3"/>
      <c r="AK2532" s="3" t="s">
        <v>1514</v>
      </c>
      <c r="AL2532" s="4">
        <v>41831</v>
      </c>
      <c r="AM2532" s="3"/>
      <c r="AN2532" s="3" t="s">
        <v>9342</v>
      </c>
    </row>
    <row r="2533" spans="1:40" x14ac:dyDescent="0.3">
      <c r="A2533" s="3">
        <v>2527</v>
      </c>
      <c r="B2533" s="3" t="str">
        <f>"1436936"</f>
        <v>1436936</v>
      </c>
      <c r="C2533" s="3">
        <v>37204</v>
      </c>
      <c r="D2533" s="3" t="s">
        <v>9390</v>
      </c>
      <c r="E2533" s="3">
        <v>20102314698</v>
      </c>
      <c r="F2533" s="3" t="s">
        <v>2272</v>
      </c>
      <c r="G2533" s="3" t="s">
        <v>9391</v>
      </c>
      <c r="H2533" s="3" t="s">
        <v>50</v>
      </c>
      <c r="I2533" s="3" t="s">
        <v>50</v>
      </c>
      <c r="J2533" s="3" t="s">
        <v>50</v>
      </c>
      <c r="K2533" s="3" t="s">
        <v>9392</v>
      </c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C2533" s="3"/>
      <c r="AD2533" s="3"/>
      <c r="AE2533" s="3"/>
      <c r="AF2533" s="3"/>
      <c r="AG2533" s="3"/>
      <c r="AH2533" s="3"/>
      <c r="AI2533" s="3"/>
      <c r="AJ2533" s="3"/>
      <c r="AK2533" s="3" t="s">
        <v>9353</v>
      </c>
      <c r="AL2533" s="4">
        <v>40484</v>
      </c>
      <c r="AM2533" s="3"/>
      <c r="AN2533" s="3" t="s">
        <v>9393</v>
      </c>
    </row>
    <row r="2534" spans="1:40" x14ac:dyDescent="0.3">
      <c r="A2534" s="3">
        <v>2528</v>
      </c>
      <c r="B2534" s="3" t="str">
        <f>"1533865"</f>
        <v>1533865</v>
      </c>
      <c r="C2534" s="3">
        <v>1766</v>
      </c>
      <c r="D2534" s="3" t="s">
        <v>9394</v>
      </c>
      <c r="E2534" s="3">
        <v>10103852906</v>
      </c>
      <c r="F2534" s="3" t="s">
        <v>9395</v>
      </c>
      <c r="G2534" s="3" t="s">
        <v>9396</v>
      </c>
      <c r="H2534" s="3" t="s">
        <v>56</v>
      </c>
      <c r="I2534" s="3" t="s">
        <v>56</v>
      </c>
      <c r="J2534" s="3" t="s">
        <v>56</v>
      </c>
      <c r="K2534" s="3" t="s">
        <v>9397</v>
      </c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C2534" s="3"/>
      <c r="AD2534" s="3"/>
      <c r="AE2534" s="3"/>
      <c r="AF2534" s="3"/>
      <c r="AG2534" s="3"/>
      <c r="AH2534" s="3"/>
      <c r="AI2534" s="3"/>
      <c r="AJ2534" s="3"/>
      <c r="AK2534" s="3" t="s">
        <v>226</v>
      </c>
      <c r="AL2534" s="4">
        <v>38496</v>
      </c>
      <c r="AM2534" s="3"/>
      <c r="AN2534" s="3"/>
    </row>
    <row r="2535" spans="1:40" ht="27.95" x14ac:dyDescent="0.3">
      <c r="A2535" s="3">
        <v>2529</v>
      </c>
      <c r="B2535" s="3" t="str">
        <f>"1513435"</f>
        <v>1513435</v>
      </c>
      <c r="C2535" s="3">
        <v>94315</v>
      </c>
      <c r="D2535" s="3" t="s">
        <v>9398</v>
      </c>
      <c r="E2535" s="3">
        <v>10103923251</v>
      </c>
      <c r="F2535" s="3" t="s">
        <v>2782</v>
      </c>
      <c r="G2535" s="3" t="s">
        <v>9399</v>
      </c>
      <c r="H2535" s="3" t="s">
        <v>56</v>
      </c>
      <c r="I2535" s="3" t="s">
        <v>56</v>
      </c>
      <c r="J2535" s="3" t="s">
        <v>63</v>
      </c>
      <c r="K2535" s="3" t="s">
        <v>9400</v>
      </c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  <c r="AC2535" s="3"/>
      <c r="AD2535" s="3"/>
      <c r="AE2535" s="3"/>
      <c r="AF2535" s="3"/>
      <c r="AG2535" s="3"/>
      <c r="AH2535" s="3"/>
      <c r="AI2535" s="3"/>
      <c r="AJ2535" s="3"/>
      <c r="AK2535" s="3" t="s">
        <v>9401</v>
      </c>
      <c r="AL2535" s="3" t="s">
        <v>290</v>
      </c>
      <c r="AM2535" s="3"/>
      <c r="AN2535" s="3" t="s">
        <v>2782</v>
      </c>
    </row>
    <row r="2536" spans="1:40" x14ac:dyDescent="0.3">
      <c r="A2536" s="3">
        <v>2530</v>
      </c>
      <c r="B2536" s="3" t="str">
        <f>"1464771"</f>
        <v>1464771</v>
      </c>
      <c r="C2536" s="3">
        <v>37225</v>
      </c>
      <c r="D2536" s="3" t="s">
        <v>9402</v>
      </c>
      <c r="E2536" s="3">
        <v>10215695404</v>
      </c>
      <c r="F2536" s="3" t="s">
        <v>9403</v>
      </c>
      <c r="G2536" s="3" t="s">
        <v>9404</v>
      </c>
      <c r="H2536" s="3" t="s">
        <v>216</v>
      </c>
      <c r="I2536" s="3" t="s">
        <v>216</v>
      </c>
      <c r="J2536" s="3" t="s">
        <v>216</v>
      </c>
      <c r="K2536" s="3" t="s">
        <v>9405</v>
      </c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  <c r="AC2536" s="3"/>
      <c r="AD2536" s="3"/>
      <c r="AE2536" s="3"/>
      <c r="AF2536" s="3"/>
      <c r="AG2536" s="3"/>
      <c r="AH2536" s="3"/>
      <c r="AI2536" s="3"/>
      <c r="AJ2536" s="3"/>
      <c r="AK2536" s="3" t="s">
        <v>1586</v>
      </c>
      <c r="AL2536" s="4">
        <v>38091</v>
      </c>
      <c r="AM2536" s="3"/>
      <c r="AN2536" s="3"/>
    </row>
    <row r="2537" spans="1:40" ht="27.95" x14ac:dyDescent="0.3">
      <c r="A2537" s="3">
        <v>2531</v>
      </c>
      <c r="B2537" s="3" t="str">
        <f>"1635937"</f>
        <v>1635937</v>
      </c>
      <c r="C2537" s="3">
        <v>44142</v>
      </c>
      <c r="D2537" s="3" t="s">
        <v>9406</v>
      </c>
      <c r="E2537" s="3">
        <v>20508069015</v>
      </c>
      <c r="F2537" s="3" t="s">
        <v>430</v>
      </c>
      <c r="G2537" s="3" t="s">
        <v>431</v>
      </c>
      <c r="H2537" s="3" t="s">
        <v>56</v>
      </c>
      <c r="I2537" s="3" t="s">
        <v>56</v>
      </c>
      <c r="J2537" s="3" t="s">
        <v>432</v>
      </c>
      <c r="K2537" s="3" t="s">
        <v>9407</v>
      </c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C2537" s="3"/>
      <c r="AD2537" s="3"/>
      <c r="AE2537" s="3"/>
      <c r="AF2537" s="3"/>
      <c r="AG2537" s="3"/>
      <c r="AH2537" s="3"/>
      <c r="AI2537" s="3"/>
      <c r="AJ2537" s="3"/>
      <c r="AK2537" s="3" t="s">
        <v>434</v>
      </c>
      <c r="AL2537" s="4">
        <v>38995</v>
      </c>
      <c r="AM2537" s="3"/>
      <c r="AN2537" s="3"/>
    </row>
    <row r="2538" spans="1:40" ht="27.95" x14ac:dyDescent="0.3">
      <c r="A2538" s="3">
        <v>2532</v>
      </c>
      <c r="B2538" s="3" t="str">
        <f>"201500159844"</f>
        <v>201500159844</v>
      </c>
      <c r="C2538" s="3">
        <v>118784</v>
      </c>
      <c r="D2538" s="3" t="s">
        <v>9408</v>
      </c>
      <c r="E2538" s="3">
        <v>10181826725</v>
      </c>
      <c r="F2538" s="3" t="s">
        <v>9409</v>
      </c>
      <c r="G2538" s="3" t="s">
        <v>9410</v>
      </c>
      <c r="H2538" s="3" t="s">
        <v>44</v>
      </c>
      <c r="I2538" s="3" t="s">
        <v>45</v>
      </c>
      <c r="J2538" s="3" t="s">
        <v>45</v>
      </c>
      <c r="K2538" s="3" t="s">
        <v>9411</v>
      </c>
      <c r="L2538" s="3" t="s">
        <v>9412</v>
      </c>
      <c r="M2538" s="3" t="s">
        <v>9413</v>
      </c>
      <c r="N2538" s="3" t="s">
        <v>9414</v>
      </c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C2538" s="3"/>
      <c r="AD2538" s="3"/>
      <c r="AE2538" s="3"/>
      <c r="AF2538" s="3"/>
      <c r="AG2538" s="3"/>
      <c r="AH2538" s="3"/>
      <c r="AI2538" s="3"/>
      <c r="AJ2538" s="3"/>
      <c r="AK2538" s="3" t="s">
        <v>512</v>
      </c>
      <c r="AL2538" s="4">
        <v>42348</v>
      </c>
      <c r="AM2538" s="3"/>
      <c r="AN2538" s="3" t="s">
        <v>9409</v>
      </c>
    </row>
    <row r="2539" spans="1:40" ht="27.95" x14ac:dyDescent="0.3">
      <c r="A2539" s="3">
        <v>2533</v>
      </c>
      <c r="B2539" s="3" t="str">
        <f>"1635935"</f>
        <v>1635935</v>
      </c>
      <c r="C2539" s="3">
        <v>44141</v>
      </c>
      <c r="D2539" s="3" t="s">
        <v>9415</v>
      </c>
      <c r="E2539" s="3">
        <v>20508069015</v>
      </c>
      <c r="F2539" s="3" t="s">
        <v>9416</v>
      </c>
      <c r="G2539" s="3" t="s">
        <v>9417</v>
      </c>
      <c r="H2539" s="3" t="s">
        <v>56</v>
      </c>
      <c r="I2539" s="3" t="s">
        <v>56</v>
      </c>
      <c r="J2539" s="3" t="s">
        <v>432</v>
      </c>
      <c r="K2539" s="3" t="s">
        <v>9418</v>
      </c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  <c r="AC2539" s="3"/>
      <c r="AD2539" s="3"/>
      <c r="AE2539" s="3"/>
      <c r="AF2539" s="3"/>
      <c r="AG2539" s="3"/>
      <c r="AH2539" s="3"/>
      <c r="AI2539" s="3"/>
      <c r="AJ2539" s="3"/>
      <c r="AK2539" s="3" t="s">
        <v>434</v>
      </c>
      <c r="AL2539" s="4">
        <v>38995</v>
      </c>
      <c r="AM2539" s="3"/>
      <c r="AN2539" s="3"/>
    </row>
    <row r="2540" spans="1:40" x14ac:dyDescent="0.3">
      <c r="A2540" s="3">
        <v>2534</v>
      </c>
      <c r="B2540" s="3" t="str">
        <f>"1104759"</f>
        <v>1104759</v>
      </c>
      <c r="C2540" s="3">
        <v>2287</v>
      </c>
      <c r="D2540" s="3">
        <v>955187</v>
      </c>
      <c r="E2540" s="3">
        <v>20154657194</v>
      </c>
      <c r="F2540" s="3" t="s">
        <v>2287</v>
      </c>
      <c r="G2540" s="3" t="s">
        <v>2288</v>
      </c>
      <c r="H2540" s="3" t="s">
        <v>56</v>
      </c>
      <c r="I2540" s="3" t="s">
        <v>56</v>
      </c>
      <c r="J2540" s="3" t="s">
        <v>331</v>
      </c>
      <c r="K2540" s="3" t="s">
        <v>9419</v>
      </c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  <c r="AC2540" s="3"/>
      <c r="AD2540" s="3"/>
      <c r="AE2540" s="3"/>
      <c r="AF2540" s="3"/>
      <c r="AG2540" s="3"/>
      <c r="AH2540" s="3"/>
      <c r="AI2540" s="3"/>
      <c r="AJ2540" s="3"/>
      <c r="AK2540" s="3" t="s">
        <v>187</v>
      </c>
      <c r="AL2540" s="4">
        <v>35487</v>
      </c>
      <c r="AM2540" s="3"/>
      <c r="AN2540" s="3"/>
    </row>
    <row r="2541" spans="1:40" x14ac:dyDescent="0.3">
      <c r="A2541" s="3">
        <v>2535</v>
      </c>
      <c r="B2541" s="3" t="str">
        <f>"201300076823"</f>
        <v>201300076823</v>
      </c>
      <c r="C2541" s="3">
        <v>102422</v>
      </c>
      <c r="D2541" s="3" t="s">
        <v>9420</v>
      </c>
      <c r="E2541" s="3">
        <v>10080518051</v>
      </c>
      <c r="F2541" s="3" t="s">
        <v>4445</v>
      </c>
      <c r="G2541" s="3" t="s">
        <v>9421</v>
      </c>
      <c r="H2541" s="3" t="s">
        <v>56</v>
      </c>
      <c r="I2541" s="3" t="s">
        <v>56</v>
      </c>
      <c r="J2541" s="3" t="s">
        <v>4447</v>
      </c>
      <c r="K2541" s="3" t="s">
        <v>9422</v>
      </c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C2541" s="3"/>
      <c r="AD2541" s="3"/>
      <c r="AE2541" s="3"/>
      <c r="AF2541" s="3"/>
      <c r="AG2541" s="3"/>
      <c r="AH2541" s="3"/>
      <c r="AI2541" s="3"/>
      <c r="AJ2541" s="3"/>
      <c r="AK2541" s="3" t="s">
        <v>1514</v>
      </c>
      <c r="AL2541" s="4">
        <v>41388</v>
      </c>
      <c r="AM2541" s="3"/>
      <c r="AN2541" s="3" t="s">
        <v>4445</v>
      </c>
    </row>
    <row r="2542" spans="1:40" x14ac:dyDescent="0.3">
      <c r="A2542" s="3">
        <v>2536</v>
      </c>
      <c r="B2542" s="3" t="str">
        <f>"201400154454"</f>
        <v>201400154454</v>
      </c>
      <c r="C2542" s="3">
        <v>112654</v>
      </c>
      <c r="D2542" s="3" t="s">
        <v>9423</v>
      </c>
      <c r="E2542" s="3">
        <v>20406392920</v>
      </c>
      <c r="F2542" s="3" t="s">
        <v>1281</v>
      </c>
      <c r="G2542" s="3" t="s">
        <v>9424</v>
      </c>
      <c r="H2542" s="3" t="s">
        <v>222</v>
      </c>
      <c r="I2542" s="3" t="s">
        <v>223</v>
      </c>
      <c r="J2542" s="3" t="s">
        <v>224</v>
      </c>
      <c r="K2542" s="3" t="s">
        <v>9425</v>
      </c>
      <c r="L2542" s="3" t="s">
        <v>9426</v>
      </c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C2542" s="3"/>
      <c r="AD2542" s="3"/>
      <c r="AE2542" s="3"/>
      <c r="AF2542" s="3"/>
      <c r="AG2542" s="3"/>
      <c r="AH2542" s="3"/>
      <c r="AI2542" s="3"/>
      <c r="AJ2542" s="3"/>
      <c r="AK2542" s="3" t="s">
        <v>9427</v>
      </c>
      <c r="AL2542" s="4">
        <v>41991</v>
      </c>
      <c r="AM2542" s="3"/>
      <c r="AN2542" s="3" t="s">
        <v>1285</v>
      </c>
    </row>
    <row r="2543" spans="1:40" ht="27.95" x14ac:dyDescent="0.3">
      <c r="A2543" s="3">
        <v>2537</v>
      </c>
      <c r="B2543" s="3" t="str">
        <f>"1673651"</f>
        <v>1673651</v>
      </c>
      <c r="C2543" s="3">
        <v>45236</v>
      </c>
      <c r="D2543" s="3" t="s">
        <v>9428</v>
      </c>
      <c r="E2543" s="3">
        <v>20508069015</v>
      </c>
      <c r="F2543" s="3" t="s">
        <v>5694</v>
      </c>
      <c r="G2543" s="3" t="s">
        <v>9429</v>
      </c>
      <c r="H2543" s="3" t="s">
        <v>56</v>
      </c>
      <c r="I2543" s="3" t="s">
        <v>56</v>
      </c>
      <c r="J2543" s="3" t="s">
        <v>432</v>
      </c>
      <c r="K2543" s="3" t="s">
        <v>9430</v>
      </c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  <c r="AC2543" s="3"/>
      <c r="AD2543" s="3"/>
      <c r="AE2543" s="3"/>
      <c r="AF2543" s="3"/>
      <c r="AG2543" s="3"/>
      <c r="AH2543" s="3"/>
      <c r="AI2543" s="3"/>
      <c r="AJ2543" s="3"/>
      <c r="AK2543" s="3" t="s">
        <v>434</v>
      </c>
      <c r="AL2543" s="4">
        <v>39153</v>
      </c>
      <c r="AM2543" s="3"/>
      <c r="AN2543" s="3"/>
    </row>
    <row r="2544" spans="1:40" x14ac:dyDescent="0.3">
      <c r="A2544" s="3">
        <v>2538</v>
      </c>
      <c r="B2544" s="3" t="str">
        <f>"1121997"</f>
        <v>1121997</v>
      </c>
      <c r="C2544" s="3">
        <v>3491</v>
      </c>
      <c r="D2544" s="3">
        <v>1121997</v>
      </c>
      <c r="E2544" s="3">
        <v>10304211356</v>
      </c>
      <c r="F2544" s="3" t="s">
        <v>9431</v>
      </c>
      <c r="G2544" s="3" t="s">
        <v>9432</v>
      </c>
      <c r="H2544" s="3" t="s">
        <v>97</v>
      </c>
      <c r="I2544" s="3" t="s">
        <v>9433</v>
      </c>
      <c r="J2544" s="3" t="s">
        <v>9433</v>
      </c>
      <c r="K2544" s="3" t="s">
        <v>9434</v>
      </c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  <c r="AC2544" s="3"/>
      <c r="AD2544" s="3"/>
      <c r="AE2544" s="3"/>
      <c r="AF2544" s="3"/>
      <c r="AG2544" s="3"/>
      <c r="AH2544" s="3"/>
      <c r="AI2544" s="3"/>
      <c r="AJ2544" s="3"/>
      <c r="AK2544" s="3" t="s">
        <v>583</v>
      </c>
      <c r="AL2544" s="4">
        <v>35550</v>
      </c>
      <c r="AM2544" s="3"/>
      <c r="AN2544" s="3"/>
    </row>
    <row r="2545" spans="1:40" x14ac:dyDescent="0.3">
      <c r="A2545" s="3">
        <v>2539</v>
      </c>
      <c r="B2545" s="3" t="str">
        <f>"1721687"</f>
        <v>1721687</v>
      </c>
      <c r="C2545" s="3">
        <v>61000</v>
      </c>
      <c r="D2545" s="3" t="s">
        <v>9435</v>
      </c>
      <c r="E2545" s="3">
        <v>20443435680</v>
      </c>
      <c r="F2545" s="3" t="s">
        <v>9436</v>
      </c>
      <c r="G2545" s="3" t="s">
        <v>9437</v>
      </c>
      <c r="H2545" s="3" t="s">
        <v>237</v>
      </c>
      <c r="I2545" s="3" t="s">
        <v>868</v>
      </c>
      <c r="J2545" s="3" t="s">
        <v>868</v>
      </c>
      <c r="K2545" s="3" t="s">
        <v>9438</v>
      </c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C2545" s="3"/>
      <c r="AD2545" s="3"/>
      <c r="AE2545" s="3"/>
      <c r="AF2545" s="3"/>
      <c r="AG2545" s="3"/>
      <c r="AH2545" s="3"/>
      <c r="AI2545" s="3"/>
      <c r="AJ2545" s="3"/>
      <c r="AK2545" s="3" t="s">
        <v>9439</v>
      </c>
      <c r="AL2545" s="4">
        <v>39336</v>
      </c>
      <c r="AM2545" s="3"/>
      <c r="AN2545" s="3"/>
    </row>
    <row r="2546" spans="1:40" x14ac:dyDescent="0.3">
      <c r="A2546" s="3">
        <v>2540</v>
      </c>
      <c r="B2546" s="3" t="str">
        <f>"1331824"</f>
        <v>1331824</v>
      </c>
      <c r="C2546" s="3">
        <v>21236</v>
      </c>
      <c r="D2546" s="3" t="s">
        <v>9440</v>
      </c>
      <c r="E2546" s="3">
        <v>10070861033</v>
      </c>
      <c r="F2546" s="3" t="s">
        <v>9441</v>
      </c>
      <c r="G2546" s="3" t="s">
        <v>9442</v>
      </c>
      <c r="H2546" s="3" t="s">
        <v>56</v>
      </c>
      <c r="I2546" s="3" t="s">
        <v>56</v>
      </c>
      <c r="J2546" s="3" t="s">
        <v>185</v>
      </c>
      <c r="K2546" s="3" t="s">
        <v>9443</v>
      </c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C2546" s="3"/>
      <c r="AD2546" s="3"/>
      <c r="AE2546" s="3"/>
      <c r="AF2546" s="3"/>
      <c r="AG2546" s="3"/>
      <c r="AH2546" s="3"/>
      <c r="AI2546" s="3"/>
      <c r="AJ2546" s="3"/>
      <c r="AK2546" s="3" t="s">
        <v>81</v>
      </c>
      <c r="AL2546" s="4">
        <v>37116</v>
      </c>
      <c r="AM2546" s="3"/>
      <c r="AN2546" s="3"/>
    </row>
    <row r="2547" spans="1:40" x14ac:dyDescent="0.3">
      <c r="A2547" s="3">
        <v>2541</v>
      </c>
      <c r="B2547" s="3" t="str">
        <f>"1414450"</f>
        <v>1414450</v>
      </c>
      <c r="C2547" s="3">
        <v>33701</v>
      </c>
      <c r="D2547" s="3" t="s">
        <v>9444</v>
      </c>
      <c r="E2547" s="3">
        <v>10088605867</v>
      </c>
      <c r="F2547" s="3" t="s">
        <v>9445</v>
      </c>
      <c r="G2547" s="3" t="s">
        <v>9446</v>
      </c>
      <c r="H2547" s="3" t="s">
        <v>56</v>
      </c>
      <c r="I2547" s="3" t="s">
        <v>56</v>
      </c>
      <c r="J2547" s="3" t="s">
        <v>572</v>
      </c>
      <c r="K2547" s="3" t="s">
        <v>9447</v>
      </c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  <c r="AC2547" s="3"/>
      <c r="AD2547" s="3"/>
      <c r="AE2547" s="3"/>
      <c r="AF2547" s="3"/>
      <c r="AG2547" s="3"/>
      <c r="AH2547" s="3"/>
      <c r="AI2547" s="3"/>
      <c r="AJ2547" s="3"/>
      <c r="AK2547" s="3" t="s">
        <v>546</v>
      </c>
      <c r="AL2547" s="4">
        <v>37841</v>
      </c>
      <c r="AM2547" s="3"/>
      <c r="AN2547" s="3"/>
    </row>
    <row r="2548" spans="1:40" x14ac:dyDescent="0.3">
      <c r="A2548" s="3">
        <v>2542</v>
      </c>
      <c r="B2548" s="3" t="str">
        <f>"1104741"</f>
        <v>1104741</v>
      </c>
      <c r="C2548" s="3">
        <v>1635</v>
      </c>
      <c r="D2548" s="3">
        <v>954962</v>
      </c>
      <c r="E2548" s="3">
        <v>10157156140</v>
      </c>
      <c r="F2548" s="3" t="s">
        <v>9320</v>
      </c>
      <c r="G2548" s="3" t="s">
        <v>9321</v>
      </c>
      <c r="H2548" s="3" t="s">
        <v>56</v>
      </c>
      <c r="I2548" s="3" t="s">
        <v>663</v>
      </c>
      <c r="J2548" s="3" t="s">
        <v>664</v>
      </c>
      <c r="K2548" s="3" t="s">
        <v>9448</v>
      </c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  <c r="AC2548" s="3"/>
      <c r="AD2548" s="3"/>
      <c r="AE2548" s="3"/>
      <c r="AF2548" s="3"/>
      <c r="AG2548" s="3"/>
      <c r="AH2548" s="3"/>
      <c r="AI2548" s="3"/>
      <c r="AJ2548" s="3"/>
      <c r="AK2548" s="3" t="s">
        <v>813</v>
      </c>
      <c r="AL2548" s="4">
        <v>35467</v>
      </c>
      <c r="AM2548" s="3"/>
      <c r="AN2548" s="3"/>
    </row>
    <row r="2549" spans="1:40" x14ac:dyDescent="0.3">
      <c r="A2549" s="3">
        <v>2543</v>
      </c>
      <c r="B2549" s="3" t="str">
        <f>"1774167"</f>
        <v>1774167</v>
      </c>
      <c r="C2549" s="3">
        <v>2737</v>
      </c>
      <c r="D2549" s="3" t="s">
        <v>9449</v>
      </c>
      <c r="E2549" s="3">
        <v>20534841079</v>
      </c>
      <c r="F2549" s="3" t="s">
        <v>709</v>
      </c>
      <c r="G2549" s="3" t="s">
        <v>8983</v>
      </c>
      <c r="H2549" s="3" t="s">
        <v>97</v>
      </c>
      <c r="I2549" s="3" t="s">
        <v>97</v>
      </c>
      <c r="J2549" s="3" t="s">
        <v>2039</v>
      </c>
      <c r="K2549" s="3" t="s">
        <v>9450</v>
      </c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C2549" s="3"/>
      <c r="AD2549" s="3"/>
      <c r="AE2549" s="3"/>
      <c r="AF2549" s="3"/>
      <c r="AG2549" s="3"/>
      <c r="AH2549" s="3"/>
      <c r="AI2549" s="3"/>
      <c r="AJ2549" s="3"/>
      <c r="AK2549" s="3" t="s">
        <v>233</v>
      </c>
      <c r="AL2549" s="4">
        <v>39531</v>
      </c>
      <c r="AM2549" s="3"/>
      <c r="AN2549" s="3"/>
    </row>
    <row r="2550" spans="1:40" x14ac:dyDescent="0.3">
      <c r="A2550" s="3">
        <v>2544</v>
      </c>
      <c r="B2550" s="3" t="str">
        <f>"1104740"</f>
        <v>1104740</v>
      </c>
      <c r="C2550" s="3">
        <v>2270</v>
      </c>
      <c r="D2550" s="3">
        <v>954960</v>
      </c>
      <c r="E2550" s="3">
        <v>10157156140</v>
      </c>
      <c r="F2550" s="3" t="s">
        <v>9320</v>
      </c>
      <c r="G2550" s="3" t="s">
        <v>9321</v>
      </c>
      <c r="H2550" s="3" t="s">
        <v>56</v>
      </c>
      <c r="I2550" s="3" t="s">
        <v>663</v>
      </c>
      <c r="J2550" s="3" t="s">
        <v>664</v>
      </c>
      <c r="K2550" s="3" t="s">
        <v>9451</v>
      </c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C2550" s="3"/>
      <c r="AD2550" s="3"/>
      <c r="AE2550" s="3"/>
      <c r="AF2550" s="3"/>
      <c r="AG2550" s="3"/>
      <c r="AH2550" s="3"/>
      <c r="AI2550" s="3"/>
      <c r="AJ2550" s="3"/>
      <c r="AK2550" s="3" t="s">
        <v>2508</v>
      </c>
      <c r="AL2550" s="4">
        <v>35467</v>
      </c>
      <c r="AM2550" s="3"/>
      <c r="AN2550" s="3"/>
    </row>
    <row r="2551" spans="1:40" ht="27.95" x14ac:dyDescent="0.3">
      <c r="A2551" s="3">
        <v>2545</v>
      </c>
      <c r="B2551" s="3" t="str">
        <f>"1673647"</f>
        <v>1673647</v>
      </c>
      <c r="C2551" s="3">
        <v>45237</v>
      </c>
      <c r="D2551" s="3" t="s">
        <v>9452</v>
      </c>
      <c r="E2551" s="3">
        <v>20508069015</v>
      </c>
      <c r="F2551" s="3" t="s">
        <v>5694</v>
      </c>
      <c r="G2551" s="3" t="s">
        <v>9453</v>
      </c>
      <c r="H2551" s="3" t="s">
        <v>56</v>
      </c>
      <c r="I2551" s="3" t="s">
        <v>56</v>
      </c>
      <c r="J2551" s="3" t="s">
        <v>432</v>
      </c>
      <c r="K2551" s="3" t="s">
        <v>9454</v>
      </c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  <c r="AC2551" s="3"/>
      <c r="AD2551" s="3"/>
      <c r="AE2551" s="3"/>
      <c r="AF2551" s="3"/>
      <c r="AG2551" s="3"/>
      <c r="AH2551" s="3"/>
      <c r="AI2551" s="3"/>
      <c r="AJ2551" s="3"/>
      <c r="AK2551" s="3" t="s">
        <v>434</v>
      </c>
      <c r="AL2551" s="4">
        <v>39153</v>
      </c>
      <c r="AM2551" s="3"/>
      <c r="AN2551" s="3"/>
    </row>
    <row r="2552" spans="1:40" ht="27.95" x14ac:dyDescent="0.3">
      <c r="A2552" s="3">
        <v>2546</v>
      </c>
      <c r="B2552" s="3" t="str">
        <f>"1673648"</f>
        <v>1673648</v>
      </c>
      <c r="C2552" s="3">
        <v>41895</v>
      </c>
      <c r="D2552" s="3" t="s">
        <v>9455</v>
      </c>
      <c r="E2552" s="3">
        <v>10406596139</v>
      </c>
      <c r="F2552" s="3" t="s">
        <v>9456</v>
      </c>
      <c r="G2552" s="3" t="s">
        <v>9457</v>
      </c>
      <c r="H2552" s="3" t="s">
        <v>56</v>
      </c>
      <c r="I2552" s="3" t="s">
        <v>56</v>
      </c>
      <c r="J2552" s="3" t="s">
        <v>363</v>
      </c>
      <c r="K2552" s="3" t="s">
        <v>9458</v>
      </c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  <c r="AC2552" s="3"/>
      <c r="AD2552" s="3"/>
      <c r="AE2552" s="3"/>
      <c r="AF2552" s="3"/>
      <c r="AG2552" s="3"/>
      <c r="AH2552" s="3"/>
      <c r="AI2552" s="3"/>
      <c r="AJ2552" s="3"/>
      <c r="AK2552" s="3" t="s">
        <v>419</v>
      </c>
      <c r="AL2552" s="4">
        <v>39153</v>
      </c>
      <c r="AM2552" s="3"/>
      <c r="AN2552" s="3"/>
    </row>
    <row r="2553" spans="1:40" ht="27.95" x14ac:dyDescent="0.3">
      <c r="A2553" s="3">
        <v>2547</v>
      </c>
      <c r="B2553" s="3" t="str">
        <f>"1673646"</f>
        <v>1673646</v>
      </c>
      <c r="C2553" s="3">
        <v>45238</v>
      </c>
      <c r="D2553" s="3" t="s">
        <v>9459</v>
      </c>
      <c r="E2553" s="3">
        <v>20508069015</v>
      </c>
      <c r="F2553" s="3" t="s">
        <v>5694</v>
      </c>
      <c r="G2553" s="3" t="s">
        <v>9429</v>
      </c>
      <c r="H2553" s="3" t="s">
        <v>56</v>
      </c>
      <c r="I2553" s="3" t="s">
        <v>56</v>
      </c>
      <c r="J2553" s="3" t="s">
        <v>432</v>
      </c>
      <c r="K2553" s="3" t="s">
        <v>9460</v>
      </c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C2553" s="3"/>
      <c r="AD2553" s="3"/>
      <c r="AE2553" s="3"/>
      <c r="AF2553" s="3"/>
      <c r="AG2553" s="3"/>
      <c r="AH2553" s="3"/>
      <c r="AI2553" s="3"/>
      <c r="AJ2553" s="3"/>
      <c r="AK2553" s="3" t="s">
        <v>434</v>
      </c>
      <c r="AL2553" s="4">
        <v>39153</v>
      </c>
      <c r="AM2553" s="3"/>
      <c r="AN2553" s="3"/>
    </row>
    <row r="2554" spans="1:40" x14ac:dyDescent="0.3">
      <c r="A2554" s="3">
        <v>2548</v>
      </c>
      <c r="B2554" s="3" t="str">
        <f>"1915203"</f>
        <v>1915203</v>
      </c>
      <c r="C2554" s="3">
        <v>41305</v>
      </c>
      <c r="D2554" s="3" t="s">
        <v>9461</v>
      </c>
      <c r="E2554" s="3">
        <v>10181811744</v>
      </c>
      <c r="F2554" s="3" t="s">
        <v>9462</v>
      </c>
      <c r="G2554" s="3" t="s">
        <v>9463</v>
      </c>
      <c r="H2554" s="3" t="s">
        <v>44</v>
      </c>
      <c r="I2554" s="3" t="s">
        <v>45</v>
      </c>
      <c r="J2554" s="3" t="s">
        <v>45</v>
      </c>
      <c r="K2554" s="3" t="s">
        <v>9464</v>
      </c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C2554" s="3"/>
      <c r="AD2554" s="3"/>
      <c r="AE2554" s="3"/>
      <c r="AF2554" s="3"/>
      <c r="AG2554" s="3"/>
      <c r="AH2554" s="3"/>
      <c r="AI2554" s="3"/>
      <c r="AJ2554" s="3"/>
      <c r="AK2554" s="3" t="s">
        <v>546</v>
      </c>
      <c r="AL2554" s="4">
        <v>40038</v>
      </c>
      <c r="AM2554" s="3"/>
      <c r="AN2554" s="3"/>
    </row>
    <row r="2555" spans="1:40" ht="27.95" x14ac:dyDescent="0.3">
      <c r="A2555" s="3">
        <v>2549</v>
      </c>
      <c r="B2555" s="3" t="str">
        <f>"1410616"</f>
        <v>1410616</v>
      </c>
      <c r="C2555" s="3">
        <v>42609</v>
      </c>
      <c r="D2555" s="3" t="s">
        <v>9465</v>
      </c>
      <c r="E2555" s="3">
        <v>20355546960</v>
      </c>
      <c r="F2555" s="3" t="s">
        <v>9466</v>
      </c>
      <c r="G2555" s="3" t="s">
        <v>9467</v>
      </c>
      <c r="H2555" s="3" t="s">
        <v>56</v>
      </c>
      <c r="I2555" s="3" t="s">
        <v>56</v>
      </c>
      <c r="J2555" s="3" t="s">
        <v>380</v>
      </c>
      <c r="K2555" s="3" t="s">
        <v>9468</v>
      </c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  <c r="AC2555" s="3"/>
      <c r="AD2555" s="3"/>
      <c r="AE2555" s="3"/>
      <c r="AF2555" s="3"/>
      <c r="AG2555" s="3"/>
      <c r="AH2555" s="3"/>
      <c r="AI2555" s="3"/>
      <c r="AJ2555" s="3"/>
      <c r="AK2555" s="3" t="s">
        <v>81</v>
      </c>
      <c r="AL2555" s="4">
        <v>37725</v>
      </c>
      <c r="AM2555" s="3"/>
      <c r="AN2555" s="3"/>
    </row>
    <row r="2556" spans="1:40" x14ac:dyDescent="0.3">
      <c r="A2556" s="3">
        <v>2550</v>
      </c>
      <c r="B2556" s="3" t="str">
        <f>"1638642"</f>
        <v>1638642</v>
      </c>
      <c r="C2556" s="3">
        <v>44206</v>
      </c>
      <c r="D2556" s="3" t="s">
        <v>2819</v>
      </c>
      <c r="E2556" s="3">
        <v>20507840613</v>
      </c>
      <c r="F2556" s="3" t="s">
        <v>298</v>
      </c>
      <c r="G2556" s="3" t="s">
        <v>2820</v>
      </c>
      <c r="H2556" s="3" t="s">
        <v>56</v>
      </c>
      <c r="I2556" s="3" t="s">
        <v>56</v>
      </c>
      <c r="J2556" s="3" t="s">
        <v>57</v>
      </c>
      <c r="K2556" s="3" t="s">
        <v>2821</v>
      </c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  <c r="AC2556" s="3"/>
      <c r="AD2556" s="3"/>
      <c r="AE2556" s="3"/>
      <c r="AF2556" s="3"/>
      <c r="AG2556" s="3"/>
      <c r="AH2556" s="3"/>
      <c r="AI2556" s="3"/>
      <c r="AJ2556" s="3"/>
      <c r="AK2556" s="3" t="s">
        <v>65</v>
      </c>
      <c r="AL2556" s="4">
        <v>38994</v>
      </c>
      <c r="AM2556" s="3"/>
      <c r="AN2556" s="3" t="s">
        <v>947</v>
      </c>
    </row>
    <row r="2557" spans="1:40" ht="27.95" x14ac:dyDescent="0.3">
      <c r="A2557" s="3">
        <v>2551</v>
      </c>
      <c r="B2557" s="3" t="str">
        <f>"1527240"</f>
        <v>1527240</v>
      </c>
      <c r="C2557" s="3">
        <v>37454</v>
      </c>
      <c r="D2557" s="3" t="s">
        <v>9469</v>
      </c>
      <c r="E2557" s="3">
        <v>20100076749</v>
      </c>
      <c r="F2557" s="3" t="s">
        <v>159</v>
      </c>
      <c r="G2557" s="3" t="s">
        <v>9470</v>
      </c>
      <c r="H2557" s="3" t="s">
        <v>56</v>
      </c>
      <c r="I2557" s="3" t="s">
        <v>56</v>
      </c>
      <c r="J2557" s="3" t="s">
        <v>121</v>
      </c>
      <c r="K2557" s="3" t="s">
        <v>9471</v>
      </c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C2557" s="3"/>
      <c r="AD2557" s="3"/>
      <c r="AE2557" s="3"/>
      <c r="AF2557" s="3"/>
      <c r="AG2557" s="3"/>
      <c r="AH2557" s="3"/>
      <c r="AI2557" s="3"/>
      <c r="AJ2557" s="3"/>
      <c r="AK2557" s="3" t="s">
        <v>504</v>
      </c>
      <c r="AL2557" s="4">
        <v>38460</v>
      </c>
      <c r="AM2557" s="3"/>
      <c r="AN2557" s="3"/>
    </row>
    <row r="2558" spans="1:40" x14ac:dyDescent="0.3">
      <c r="A2558" s="3">
        <v>2552</v>
      </c>
      <c r="B2558" s="3" t="str">
        <f>"201800138379"</f>
        <v>201800138379</v>
      </c>
      <c r="C2558" s="3">
        <v>138147</v>
      </c>
      <c r="D2558" s="3" t="s">
        <v>9472</v>
      </c>
      <c r="E2558" s="3">
        <v>10400219341</v>
      </c>
      <c r="F2558" s="3" t="s">
        <v>9473</v>
      </c>
      <c r="G2558" s="3" t="s">
        <v>9474</v>
      </c>
      <c r="H2558" s="3" t="s">
        <v>97</v>
      </c>
      <c r="I2558" s="3" t="s">
        <v>97</v>
      </c>
      <c r="J2558" s="3" t="s">
        <v>105</v>
      </c>
      <c r="K2558" s="3" t="s">
        <v>9475</v>
      </c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C2558" s="3"/>
      <c r="AD2558" s="3"/>
      <c r="AE2558" s="3"/>
      <c r="AF2558" s="3"/>
      <c r="AG2558" s="3"/>
      <c r="AH2558" s="3"/>
      <c r="AI2558" s="3"/>
      <c r="AJ2558" s="3"/>
      <c r="AK2558" s="3" t="s">
        <v>419</v>
      </c>
      <c r="AL2558" s="4">
        <v>43340</v>
      </c>
      <c r="AM2558" s="3"/>
      <c r="AN2558" s="3" t="s">
        <v>9473</v>
      </c>
    </row>
    <row r="2559" spans="1:40" x14ac:dyDescent="0.3">
      <c r="A2559" s="3">
        <v>2553</v>
      </c>
      <c r="B2559" s="3" t="str">
        <f>"201700192064"</f>
        <v>201700192064</v>
      </c>
      <c r="C2559" s="3">
        <v>60997</v>
      </c>
      <c r="D2559" s="3" t="s">
        <v>9476</v>
      </c>
      <c r="E2559" s="3">
        <v>10292381072</v>
      </c>
      <c r="F2559" s="3" t="s">
        <v>9477</v>
      </c>
      <c r="G2559" s="3" t="s">
        <v>9478</v>
      </c>
      <c r="H2559" s="3" t="s">
        <v>97</v>
      </c>
      <c r="I2559" s="3" t="s">
        <v>97</v>
      </c>
      <c r="J2559" s="3" t="s">
        <v>97</v>
      </c>
      <c r="K2559" s="3" t="s">
        <v>9479</v>
      </c>
      <c r="L2559" s="3" t="s">
        <v>9480</v>
      </c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  <c r="AC2559" s="3"/>
      <c r="AD2559" s="3"/>
      <c r="AE2559" s="3"/>
      <c r="AF2559" s="3"/>
      <c r="AG2559" s="3"/>
      <c r="AH2559" s="3"/>
      <c r="AI2559" s="3"/>
      <c r="AJ2559" s="3"/>
      <c r="AK2559" s="3" t="s">
        <v>4350</v>
      </c>
      <c r="AL2559" s="4">
        <v>43052</v>
      </c>
      <c r="AM2559" s="3"/>
      <c r="AN2559" s="3" t="s">
        <v>9477</v>
      </c>
    </row>
    <row r="2560" spans="1:40" ht="27.95" x14ac:dyDescent="0.3">
      <c r="A2560" s="3">
        <v>2554</v>
      </c>
      <c r="B2560" s="3" t="str">
        <f>"201900164551"</f>
        <v>201900164551</v>
      </c>
      <c r="C2560" s="3">
        <v>147040</v>
      </c>
      <c r="D2560" s="3" t="s">
        <v>9481</v>
      </c>
      <c r="E2560" s="3">
        <v>20456570357</v>
      </c>
      <c r="F2560" s="3" t="s">
        <v>7389</v>
      </c>
      <c r="G2560" s="3" t="s">
        <v>9482</v>
      </c>
      <c r="H2560" s="3" t="s">
        <v>56</v>
      </c>
      <c r="I2560" s="3" t="s">
        <v>56</v>
      </c>
      <c r="J2560" s="3" t="s">
        <v>331</v>
      </c>
      <c r="K2560" s="3" t="s">
        <v>9483</v>
      </c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  <c r="AC2560" s="3"/>
      <c r="AD2560" s="3"/>
      <c r="AE2560" s="3"/>
      <c r="AF2560" s="3"/>
      <c r="AG2560" s="3"/>
      <c r="AH2560" s="3"/>
      <c r="AI2560" s="3"/>
      <c r="AJ2560" s="3"/>
      <c r="AK2560" s="3" t="s">
        <v>9484</v>
      </c>
      <c r="AL2560" s="4">
        <v>43768</v>
      </c>
      <c r="AM2560" s="3"/>
      <c r="AN2560" s="3" t="s">
        <v>7392</v>
      </c>
    </row>
    <row r="2561" spans="1:40" ht="27.95" x14ac:dyDescent="0.3">
      <c r="A2561" s="3">
        <v>2555</v>
      </c>
      <c r="B2561" s="3" t="str">
        <f>"201900115190"</f>
        <v>201900115190</v>
      </c>
      <c r="C2561" s="3">
        <v>118503</v>
      </c>
      <c r="D2561" s="3" t="s">
        <v>9485</v>
      </c>
      <c r="E2561" s="3">
        <v>20455486948</v>
      </c>
      <c r="F2561" s="3" t="s">
        <v>1382</v>
      </c>
      <c r="G2561" s="3" t="s">
        <v>9486</v>
      </c>
      <c r="H2561" s="3" t="s">
        <v>97</v>
      </c>
      <c r="I2561" s="3" t="s">
        <v>97</v>
      </c>
      <c r="J2561" s="3" t="s">
        <v>144</v>
      </c>
      <c r="K2561" s="3" t="s">
        <v>9487</v>
      </c>
      <c r="L2561" s="3" t="s">
        <v>1387</v>
      </c>
      <c r="M2561" s="3" t="s">
        <v>1388</v>
      </c>
      <c r="N2561" s="3" t="s">
        <v>5420</v>
      </c>
      <c r="O2561" s="3" t="s">
        <v>1389</v>
      </c>
      <c r="P2561" s="3" t="s">
        <v>5828</v>
      </c>
      <c r="Q2561" s="3" t="s">
        <v>1392</v>
      </c>
      <c r="R2561" s="3" t="s">
        <v>9488</v>
      </c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C2561" s="3"/>
      <c r="AD2561" s="3"/>
      <c r="AE2561" s="3"/>
      <c r="AF2561" s="3"/>
      <c r="AG2561" s="3"/>
      <c r="AH2561" s="3"/>
      <c r="AI2561" s="3"/>
      <c r="AJ2561" s="3"/>
      <c r="AK2561" s="3" t="s">
        <v>150</v>
      </c>
      <c r="AL2561" s="4">
        <v>43666</v>
      </c>
      <c r="AM2561" s="3"/>
      <c r="AN2561" s="3" t="s">
        <v>5970</v>
      </c>
    </row>
    <row r="2562" spans="1:40" x14ac:dyDescent="0.3">
      <c r="A2562" s="3">
        <v>2556</v>
      </c>
      <c r="B2562" s="3" t="str">
        <f>"1450111"</f>
        <v>1450111</v>
      </c>
      <c r="C2562" s="3">
        <v>19218</v>
      </c>
      <c r="D2562" s="3" t="s">
        <v>9489</v>
      </c>
      <c r="E2562" s="3">
        <v>10293571819</v>
      </c>
      <c r="F2562" s="3" t="s">
        <v>9490</v>
      </c>
      <c r="G2562" s="3" t="s">
        <v>9491</v>
      </c>
      <c r="H2562" s="3" t="s">
        <v>97</v>
      </c>
      <c r="I2562" s="3" t="s">
        <v>97</v>
      </c>
      <c r="J2562" s="3" t="s">
        <v>2064</v>
      </c>
      <c r="K2562" s="3" t="s">
        <v>9492</v>
      </c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C2562" s="3"/>
      <c r="AD2562" s="3"/>
      <c r="AE2562" s="3"/>
      <c r="AF2562" s="3"/>
      <c r="AG2562" s="3"/>
      <c r="AH2562" s="3"/>
      <c r="AI2562" s="3"/>
      <c r="AJ2562" s="3"/>
      <c r="AK2562" s="3" t="s">
        <v>65</v>
      </c>
      <c r="AL2562" s="4">
        <v>37956</v>
      </c>
      <c r="AM2562" s="3"/>
      <c r="AN2562" s="3"/>
    </row>
    <row r="2563" spans="1:40" x14ac:dyDescent="0.3">
      <c r="A2563" s="3">
        <v>2557</v>
      </c>
      <c r="B2563" s="3" t="str">
        <f>"1486791"</f>
        <v>1486791</v>
      </c>
      <c r="C2563" s="3">
        <v>37634</v>
      </c>
      <c r="D2563" s="3" t="s">
        <v>9493</v>
      </c>
      <c r="E2563" s="3">
        <v>20519752949</v>
      </c>
      <c r="F2563" s="3" t="s">
        <v>9494</v>
      </c>
      <c r="G2563" s="3" t="s">
        <v>9495</v>
      </c>
      <c r="H2563" s="3" t="s">
        <v>743</v>
      </c>
      <c r="I2563" s="3" t="s">
        <v>1031</v>
      </c>
      <c r="J2563" s="3" t="s">
        <v>1031</v>
      </c>
      <c r="K2563" s="3" t="s">
        <v>9496</v>
      </c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  <c r="AC2563" s="3"/>
      <c r="AD2563" s="3"/>
      <c r="AE2563" s="3"/>
      <c r="AF2563" s="3"/>
      <c r="AG2563" s="3"/>
      <c r="AH2563" s="3"/>
      <c r="AI2563" s="3"/>
      <c r="AJ2563" s="3"/>
      <c r="AK2563" s="3" t="s">
        <v>81</v>
      </c>
      <c r="AL2563" s="4">
        <v>38215</v>
      </c>
      <c r="AM2563" s="3"/>
      <c r="AN2563" s="3"/>
    </row>
    <row r="2564" spans="1:40" x14ac:dyDescent="0.3">
      <c r="A2564" s="3">
        <v>2558</v>
      </c>
      <c r="B2564" s="3" t="str">
        <f>"1385527"</f>
        <v>1385527</v>
      </c>
      <c r="C2564" s="3">
        <v>33553</v>
      </c>
      <c r="D2564" s="3" t="s">
        <v>9497</v>
      </c>
      <c r="E2564" s="3">
        <v>20100366747</v>
      </c>
      <c r="F2564" s="3" t="s">
        <v>258</v>
      </c>
      <c r="G2564" s="3" t="s">
        <v>1055</v>
      </c>
      <c r="H2564" s="3" t="s">
        <v>56</v>
      </c>
      <c r="I2564" s="3" t="s">
        <v>56</v>
      </c>
      <c r="J2564" s="3" t="s">
        <v>185</v>
      </c>
      <c r="K2564" s="3" t="s">
        <v>9498</v>
      </c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  <c r="AC2564" s="3"/>
      <c r="AD2564" s="3"/>
      <c r="AE2564" s="3"/>
      <c r="AF2564" s="3"/>
      <c r="AG2564" s="3"/>
      <c r="AH2564" s="3"/>
      <c r="AI2564" s="3"/>
      <c r="AJ2564" s="3"/>
      <c r="AK2564" s="3" t="s">
        <v>546</v>
      </c>
      <c r="AL2564" s="4">
        <v>37545</v>
      </c>
      <c r="AM2564" s="3"/>
      <c r="AN2564" s="3"/>
    </row>
    <row r="2565" spans="1:40" x14ac:dyDescent="0.3">
      <c r="A2565" s="3">
        <v>2559</v>
      </c>
      <c r="B2565" s="3" t="str">
        <f>"1483026"</f>
        <v>1483026</v>
      </c>
      <c r="C2565" s="3">
        <v>92342</v>
      </c>
      <c r="D2565" s="3" t="s">
        <v>9499</v>
      </c>
      <c r="E2565" s="3">
        <v>20455855145</v>
      </c>
      <c r="F2565" s="3" t="s">
        <v>7433</v>
      </c>
      <c r="G2565" s="3" t="s">
        <v>9500</v>
      </c>
      <c r="H2565" s="3" t="s">
        <v>97</v>
      </c>
      <c r="I2565" s="3" t="s">
        <v>97</v>
      </c>
      <c r="J2565" s="3" t="s">
        <v>970</v>
      </c>
      <c r="K2565" s="3" t="s">
        <v>9501</v>
      </c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C2565" s="3"/>
      <c r="AD2565" s="3"/>
      <c r="AE2565" s="3"/>
      <c r="AF2565" s="3"/>
      <c r="AG2565" s="3"/>
      <c r="AH2565" s="3"/>
      <c r="AI2565" s="3"/>
      <c r="AJ2565" s="3"/>
      <c r="AK2565" s="3" t="s">
        <v>4435</v>
      </c>
      <c r="AL2565" s="4">
        <v>40687</v>
      </c>
      <c r="AM2565" s="3"/>
      <c r="AN2565" s="3" t="s">
        <v>7436</v>
      </c>
    </row>
    <row r="2566" spans="1:40" x14ac:dyDescent="0.3">
      <c r="A2566" s="3">
        <v>2560</v>
      </c>
      <c r="B2566" s="3" t="str">
        <f>"1507363"</f>
        <v>1507363</v>
      </c>
      <c r="C2566" s="3">
        <v>94208</v>
      </c>
      <c r="D2566" s="3" t="s">
        <v>9502</v>
      </c>
      <c r="E2566" s="3">
        <v>20455683000</v>
      </c>
      <c r="F2566" s="3" t="s">
        <v>9503</v>
      </c>
      <c r="G2566" s="3" t="s">
        <v>9504</v>
      </c>
      <c r="H2566" s="3" t="s">
        <v>97</v>
      </c>
      <c r="I2566" s="3" t="s">
        <v>97</v>
      </c>
      <c r="J2566" s="3" t="s">
        <v>970</v>
      </c>
      <c r="K2566" s="3" t="s">
        <v>9505</v>
      </c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C2566" s="3"/>
      <c r="AD2566" s="3"/>
      <c r="AE2566" s="3"/>
      <c r="AF2566" s="3"/>
      <c r="AG2566" s="3"/>
      <c r="AH2566" s="3"/>
      <c r="AI2566" s="3"/>
      <c r="AJ2566" s="3"/>
      <c r="AK2566" s="3" t="s">
        <v>8515</v>
      </c>
      <c r="AL2566" s="4">
        <v>40850</v>
      </c>
      <c r="AM2566" s="3"/>
      <c r="AN2566" s="3" t="s">
        <v>9506</v>
      </c>
    </row>
    <row r="2567" spans="1:40" ht="27.95" x14ac:dyDescent="0.3">
      <c r="A2567" s="3">
        <v>2561</v>
      </c>
      <c r="B2567" s="3" t="str">
        <f>"201400051629"</f>
        <v>201400051629</v>
      </c>
      <c r="C2567" s="3">
        <v>109092</v>
      </c>
      <c r="D2567" s="3" t="s">
        <v>9507</v>
      </c>
      <c r="E2567" s="3">
        <v>10304117503</v>
      </c>
      <c r="F2567" s="3" t="s">
        <v>5211</v>
      </c>
      <c r="G2567" s="3" t="s">
        <v>9508</v>
      </c>
      <c r="H2567" s="3" t="s">
        <v>202</v>
      </c>
      <c r="I2567" s="3" t="s">
        <v>202</v>
      </c>
      <c r="J2567" s="3" t="s">
        <v>612</v>
      </c>
      <c r="K2567" s="3" t="s">
        <v>9509</v>
      </c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  <c r="AC2567" s="3"/>
      <c r="AD2567" s="3"/>
      <c r="AE2567" s="3"/>
      <c r="AF2567" s="3"/>
      <c r="AG2567" s="3"/>
      <c r="AH2567" s="3"/>
      <c r="AI2567" s="3"/>
      <c r="AJ2567" s="3"/>
      <c r="AK2567" s="3" t="s">
        <v>9510</v>
      </c>
      <c r="AL2567" s="3" t="s">
        <v>290</v>
      </c>
      <c r="AM2567" s="3"/>
      <c r="AN2567" s="3" t="s">
        <v>5211</v>
      </c>
    </row>
    <row r="2568" spans="1:40" x14ac:dyDescent="0.3">
      <c r="A2568" s="3">
        <v>2562</v>
      </c>
      <c r="B2568" s="3" t="str">
        <f>"1483020"</f>
        <v>1483020</v>
      </c>
      <c r="C2568" s="3">
        <v>92341</v>
      </c>
      <c r="D2568" s="3" t="s">
        <v>9511</v>
      </c>
      <c r="E2568" s="3">
        <v>20455855145</v>
      </c>
      <c r="F2568" s="3" t="s">
        <v>7433</v>
      </c>
      <c r="G2568" s="3" t="s">
        <v>9500</v>
      </c>
      <c r="H2568" s="3" t="s">
        <v>97</v>
      </c>
      <c r="I2568" s="3" t="s">
        <v>97</v>
      </c>
      <c r="J2568" s="3" t="s">
        <v>970</v>
      </c>
      <c r="K2568" s="3" t="s">
        <v>9512</v>
      </c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  <c r="AC2568" s="3"/>
      <c r="AD2568" s="3"/>
      <c r="AE2568" s="3"/>
      <c r="AF2568" s="3"/>
      <c r="AG2568" s="3"/>
      <c r="AH2568" s="3"/>
      <c r="AI2568" s="3"/>
      <c r="AJ2568" s="3"/>
      <c r="AK2568" s="3" t="s">
        <v>4435</v>
      </c>
      <c r="AL2568" s="4">
        <v>40686</v>
      </c>
      <c r="AM2568" s="3"/>
      <c r="AN2568" s="3" t="s">
        <v>9513</v>
      </c>
    </row>
    <row r="2569" spans="1:40" x14ac:dyDescent="0.3">
      <c r="A2569" s="3">
        <v>2563</v>
      </c>
      <c r="B2569" s="3" t="str">
        <f>"1862683"</f>
        <v>1862683</v>
      </c>
      <c r="C2569" s="3">
        <v>82291</v>
      </c>
      <c r="D2569" s="3" t="s">
        <v>9514</v>
      </c>
      <c r="E2569" s="3">
        <v>10090998809</v>
      </c>
      <c r="F2569" s="3" t="s">
        <v>1976</v>
      </c>
      <c r="G2569" s="3" t="s">
        <v>9515</v>
      </c>
      <c r="H2569" s="3" t="s">
        <v>395</v>
      </c>
      <c r="I2569" s="3" t="s">
        <v>396</v>
      </c>
      <c r="J2569" s="3" t="s">
        <v>490</v>
      </c>
      <c r="K2569" s="3" t="s">
        <v>9516</v>
      </c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C2569" s="3"/>
      <c r="AD2569" s="3"/>
      <c r="AE2569" s="3"/>
      <c r="AF2569" s="3"/>
      <c r="AG2569" s="3"/>
      <c r="AH2569" s="3"/>
      <c r="AI2569" s="3"/>
      <c r="AJ2569" s="3"/>
      <c r="AK2569" s="3" t="s">
        <v>1087</v>
      </c>
      <c r="AL2569" s="4">
        <v>39853</v>
      </c>
      <c r="AM2569" s="3"/>
      <c r="AN2569" s="3"/>
    </row>
    <row r="2570" spans="1:40" x14ac:dyDescent="0.3">
      <c r="A2570" s="3">
        <v>2564</v>
      </c>
      <c r="B2570" s="3" t="str">
        <f>"1117879"</f>
        <v>1117879</v>
      </c>
      <c r="C2570" s="3">
        <v>2601</v>
      </c>
      <c r="D2570" s="3">
        <v>1054435</v>
      </c>
      <c r="E2570" s="3">
        <v>17167919383</v>
      </c>
      <c r="F2570" s="3" t="s">
        <v>9517</v>
      </c>
      <c r="G2570" s="3" t="s">
        <v>9518</v>
      </c>
      <c r="H2570" s="3" t="s">
        <v>56</v>
      </c>
      <c r="I2570" s="3" t="s">
        <v>56</v>
      </c>
      <c r="J2570" s="3" t="s">
        <v>63</v>
      </c>
      <c r="K2570" s="3" t="s">
        <v>9519</v>
      </c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C2570" s="3"/>
      <c r="AD2570" s="3"/>
      <c r="AE2570" s="3"/>
      <c r="AF2570" s="3"/>
      <c r="AG2570" s="3"/>
      <c r="AH2570" s="3"/>
      <c r="AI2570" s="3"/>
      <c r="AJ2570" s="3"/>
      <c r="AK2570" s="3" t="s">
        <v>65</v>
      </c>
      <c r="AL2570" s="4">
        <v>35550</v>
      </c>
      <c r="AM2570" s="3"/>
      <c r="AN2570" s="3"/>
    </row>
    <row r="2571" spans="1:40" ht="27.95" x14ac:dyDescent="0.3">
      <c r="A2571" s="3">
        <v>2565</v>
      </c>
      <c r="B2571" s="3" t="str">
        <f>"1943473"</f>
        <v>1943473</v>
      </c>
      <c r="C2571" s="3">
        <v>83423</v>
      </c>
      <c r="D2571" s="3" t="s">
        <v>9520</v>
      </c>
      <c r="E2571" s="3">
        <v>10209884700</v>
      </c>
      <c r="F2571" s="3" t="s">
        <v>9521</v>
      </c>
      <c r="G2571" s="3" t="s">
        <v>9522</v>
      </c>
      <c r="H2571" s="3" t="s">
        <v>75</v>
      </c>
      <c r="I2571" s="3" t="s">
        <v>75</v>
      </c>
      <c r="J2571" s="3" t="s">
        <v>76</v>
      </c>
      <c r="K2571" s="3" t="s">
        <v>9523</v>
      </c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  <c r="AC2571" s="3"/>
      <c r="AD2571" s="3"/>
      <c r="AE2571" s="3"/>
      <c r="AF2571" s="3"/>
      <c r="AG2571" s="3"/>
      <c r="AH2571" s="3"/>
      <c r="AI2571" s="3"/>
      <c r="AJ2571" s="3"/>
      <c r="AK2571" s="3" t="s">
        <v>6264</v>
      </c>
      <c r="AL2571" s="4">
        <v>40151</v>
      </c>
      <c r="AM2571" s="3"/>
      <c r="AN2571" s="3"/>
    </row>
    <row r="2572" spans="1:40" x14ac:dyDescent="0.3">
      <c r="A2572" s="3">
        <v>2566</v>
      </c>
      <c r="B2572" s="3" t="str">
        <f>"1310982"</f>
        <v>1310982</v>
      </c>
      <c r="C2572" s="3">
        <v>19784</v>
      </c>
      <c r="D2572" s="3" t="s">
        <v>9524</v>
      </c>
      <c r="E2572" s="3">
        <v>20428975074</v>
      </c>
      <c r="F2572" s="3" t="s">
        <v>9525</v>
      </c>
      <c r="G2572" s="3" t="s">
        <v>9526</v>
      </c>
      <c r="H2572" s="3" t="s">
        <v>56</v>
      </c>
      <c r="I2572" s="3" t="s">
        <v>56</v>
      </c>
      <c r="J2572" s="3" t="s">
        <v>331</v>
      </c>
      <c r="K2572" s="3" t="s">
        <v>9527</v>
      </c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  <c r="AC2572" s="3"/>
      <c r="AD2572" s="3"/>
      <c r="AE2572" s="3"/>
      <c r="AF2572" s="3"/>
      <c r="AG2572" s="3"/>
      <c r="AH2572" s="3"/>
      <c r="AI2572" s="3"/>
      <c r="AJ2572" s="3"/>
      <c r="AK2572" s="3" t="s">
        <v>802</v>
      </c>
      <c r="AL2572" s="4">
        <v>36938</v>
      </c>
      <c r="AM2572" s="3"/>
      <c r="AN2572" s="3"/>
    </row>
    <row r="2573" spans="1:40" ht="27.95" x14ac:dyDescent="0.3">
      <c r="A2573" s="3">
        <v>2567</v>
      </c>
      <c r="B2573" s="3" t="str">
        <f>"1547547"</f>
        <v>1547547</v>
      </c>
      <c r="C2573" s="3">
        <v>41127</v>
      </c>
      <c r="D2573" s="3" t="s">
        <v>9528</v>
      </c>
      <c r="E2573" s="3">
        <v>10336680196</v>
      </c>
      <c r="F2573" s="3" t="s">
        <v>9529</v>
      </c>
      <c r="G2573" s="3" t="s">
        <v>9530</v>
      </c>
      <c r="H2573" s="3" t="s">
        <v>318</v>
      </c>
      <c r="I2573" s="3" t="s">
        <v>319</v>
      </c>
      <c r="J2573" s="3" t="s">
        <v>495</v>
      </c>
      <c r="K2573" s="3" t="s">
        <v>9531</v>
      </c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C2573" s="3"/>
      <c r="AD2573" s="3"/>
      <c r="AE2573" s="3"/>
      <c r="AF2573" s="3"/>
      <c r="AG2573" s="3"/>
      <c r="AH2573" s="3"/>
      <c r="AI2573" s="3"/>
      <c r="AJ2573" s="3"/>
      <c r="AK2573" s="3" t="s">
        <v>5677</v>
      </c>
      <c r="AL2573" s="4">
        <v>38524</v>
      </c>
      <c r="AM2573" s="3"/>
      <c r="AN2573" s="3"/>
    </row>
    <row r="2574" spans="1:40" x14ac:dyDescent="0.3">
      <c r="A2574" s="3">
        <v>2568</v>
      </c>
      <c r="B2574" s="3" t="str">
        <f>"1938429"</f>
        <v>1938429</v>
      </c>
      <c r="C2574" s="3">
        <v>84301</v>
      </c>
      <c r="D2574" s="3" t="s">
        <v>9532</v>
      </c>
      <c r="E2574" s="3">
        <v>20113539594</v>
      </c>
      <c r="F2574" s="3" t="s">
        <v>164</v>
      </c>
      <c r="G2574" s="3" t="s">
        <v>9533</v>
      </c>
      <c r="H2574" s="3" t="s">
        <v>50</v>
      </c>
      <c r="I2574" s="3" t="s">
        <v>50</v>
      </c>
      <c r="J2574" s="3" t="s">
        <v>50</v>
      </c>
      <c r="K2574" s="3" t="s">
        <v>9534</v>
      </c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C2574" s="3"/>
      <c r="AD2574" s="3"/>
      <c r="AE2574" s="3"/>
      <c r="AF2574" s="3"/>
      <c r="AG2574" s="3"/>
      <c r="AH2574" s="3"/>
      <c r="AI2574" s="3"/>
      <c r="AJ2574" s="3"/>
      <c r="AK2574" s="3" t="s">
        <v>9535</v>
      </c>
      <c r="AL2574" s="4">
        <v>40119</v>
      </c>
      <c r="AM2574" s="3"/>
      <c r="AN2574" s="3"/>
    </row>
    <row r="2575" spans="1:40" x14ac:dyDescent="0.3">
      <c r="A2575" s="3">
        <v>2569</v>
      </c>
      <c r="B2575" s="3" t="str">
        <f>"1859291"</f>
        <v>1859291</v>
      </c>
      <c r="C2575" s="3">
        <v>44677</v>
      </c>
      <c r="D2575" s="3" t="s">
        <v>9536</v>
      </c>
      <c r="E2575" s="3">
        <v>20121837634</v>
      </c>
      <c r="F2575" s="3" t="s">
        <v>866</v>
      </c>
      <c r="G2575" s="3" t="s">
        <v>9537</v>
      </c>
      <c r="H2575" s="3" t="s">
        <v>237</v>
      </c>
      <c r="I2575" s="3" t="s">
        <v>868</v>
      </c>
      <c r="J2575" s="3" t="s">
        <v>869</v>
      </c>
      <c r="K2575" s="3" t="s">
        <v>9538</v>
      </c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  <c r="AC2575" s="3"/>
      <c r="AD2575" s="3"/>
      <c r="AE2575" s="3"/>
      <c r="AF2575" s="3"/>
      <c r="AG2575" s="3"/>
      <c r="AH2575" s="3"/>
      <c r="AI2575" s="3"/>
      <c r="AJ2575" s="3"/>
      <c r="AK2575" s="3" t="s">
        <v>343</v>
      </c>
      <c r="AL2575" s="4">
        <v>39847</v>
      </c>
      <c r="AM2575" s="3"/>
      <c r="AN2575" s="3"/>
    </row>
    <row r="2576" spans="1:40" x14ac:dyDescent="0.3">
      <c r="A2576" s="3">
        <v>2570</v>
      </c>
      <c r="B2576" s="3" t="str">
        <f>"1116345"</f>
        <v>1116345</v>
      </c>
      <c r="C2576" s="3">
        <v>3577</v>
      </c>
      <c r="D2576" s="3">
        <v>1097016</v>
      </c>
      <c r="E2576" s="3">
        <v>20100371236</v>
      </c>
      <c r="F2576" s="3" t="s">
        <v>6226</v>
      </c>
      <c r="G2576" s="3" t="s">
        <v>6227</v>
      </c>
      <c r="H2576" s="3" t="s">
        <v>56</v>
      </c>
      <c r="I2576" s="3" t="s">
        <v>56</v>
      </c>
      <c r="J2576" s="3" t="s">
        <v>1677</v>
      </c>
      <c r="K2576" s="3" t="s">
        <v>9539</v>
      </c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  <c r="AC2576" s="3"/>
      <c r="AD2576" s="3"/>
      <c r="AE2576" s="3"/>
      <c r="AF2576" s="3"/>
      <c r="AG2576" s="3"/>
      <c r="AH2576" s="3"/>
      <c r="AI2576" s="3"/>
      <c r="AJ2576" s="3"/>
      <c r="AK2576" s="3" t="s">
        <v>162</v>
      </c>
      <c r="AL2576" s="4">
        <v>35524</v>
      </c>
      <c r="AM2576" s="3"/>
      <c r="AN2576" s="3"/>
    </row>
    <row r="2577" spans="1:40" x14ac:dyDescent="0.3">
      <c r="A2577" s="3">
        <v>2571</v>
      </c>
      <c r="B2577" s="3" t="str">
        <f>"1155996"</f>
        <v>1155996</v>
      </c>
      <c r="C2577" s="3">
        <v>6138</v>
      </c>
      <c r="D2577" s="3">
        <v>1150744</v>
      </c>
      <c r="E2577" s="3">
        <v>20120703570</v>
      </c>
      <c r="F2577" s="3" t="s">
        <v>9540</v>
      </c>
      <c r="G2577" s="3" t="s">
        <v>4586</v>
      </c>
      <c r="H2577" s="3" t="s">
        <v>89</v>
      </c>
      <c r="I2577" s="3" t="s">
        <v>89</v>
      </c>
      <c r="J2577" s="3" t="s">
        <v>89</v>
      </c>
      <c r="K2577" s="3" t="s">
        <v>9541</v>
      </c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C2577" s="3"/>
      <c r="AD2577" s="3"/>
      <c r="AE2577" s="3"/>
      <c r="AF2577" s="3"/>
      <c r="AG2577" s="3"/>
      <c r="AH2577" s="3"/>
      <c r="AI2577" s="3"/>
      <c r="AJ2577" s="3"/>
      <c r="AK2577" s="3" t="s">
        <v>118</v>
      </c>
      <c r="AL2577" s="4">
        <v>35751</v>
      </c>
      <c r="AM2577" s="3"/>
      <c r="AN2577" s="3"/>
    </row>
    <row r="2578" spans="1:40" x14ac:dyDescent="0.3">
      <c r="A2578" s="3">
        <v>2572</v>
      </c>
      <c r="B2578" s="3" t="str">
        <f>"1180689"</f>
        <v>1180689</v>
      </c>
      <c r="C2578" s="3">
        <v>13887</v>
      </c>
      <c r="D2578" s="3">
        <v>1177884</v>
      </c>
      <c r="E2578" s="3">
        <v>10089461711</v>
      </c>
      <c r="F2578" s="3" t="s">
        <v>9542</v>
      </c>
      <c r="G2578" s="3" t="s">
        <v>9543</v>
      </c>
      <c r="H2578" s="3" t="s">
        <v>56</v>
      </c>
      <c r="I2578" s="3" t="s">
        <v>56</v>
      </c>
      <c r="J2578" s="3" t="s">
        <v>331</v>
      </c>
      <c r="K2578" s="3" t="s">
        <v>9544</v>
      </c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C2578" s="3"/>
      <c r="AD2578" s="3"/>
      <c r="AE2578" s="3"/>
      <c r="AF2578" s="3"/>
      <c r="AG2578" s="3"/>
      <c r="AH2578" s="3"/>
      <c r="AI2578" s="3"/>
      <c r="AJ2578" s="3"/>
      <c r="AK2578" s="3" t="s">
        <v>7454</v>
      </c>
      <c r="AL2578" s="4">
        <v>35912</v>
      </c>
      <c r="AM2578" s="3"/>
      <c r="AN2578" s="3"/>
    </row>
    <row r="2579" spans="1:40" x14ac:dyDescent="0.3">
      <c r="A2579" s="3">
        <v>2573</v>
      </c>
      <c r="B2579" s="3" t="str">
        <f>"1473763"</f>
        <v>1473763</v>
      </c>
      <c r="C2579" s="3">
        <v>91548</v>
      </c>
      <c r="D2579" s="3" t="s">
        <v>9545</v>
      </c>
      <c r="E2579" s="3">
        <v>20121837634</v>
      </c>
      <c r="F2579" s="3" t="s">
        <v>866</v>
      </c>
      <c r="G2579" s="3" t="s">
        <v>9546</v>
      </c>
      <c r="H2579" s="3" t="s">
        <v>237</v>
      </c>
      <c r="I2579" s="3" t="s">
        <v>868</v>
      </c>
      <c r="J2579" s="3" t="s">
        <v>868</v>
      </c>
      <c r="K2579" s="3" t="s">
        <v>9547</v>
      </c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  <c r="AC2579" s="3"/>
      <c r="AD2579" s="3"/>
      <c r="AE2579" s="3"/>
      <c r="AF2579" s="3"/>
      <c r="AG2579" s="3"/>
      <c r="AH2579" s="3"/>
      <c r="AI2579" s="3"/>
      <c r="AJ2579" s="3"/>
      <c r="AK2579" s="3" t="s">
        <v>915</v>
      </c>
      <c r="AL2579" s="4">
        <v>40617</v>
      </c>
      <c r="AM2579" s="3"/>
      <c r="AN2579" s="3" t="s">
        <v>7645</v>
      </c>
    </row>
    <row r="2580" spans="1:40" ht="27.95" x14ac:dyDescent="0.3">
      <c r="A2580" s="3">
        <v>2574</v>
      </c>
      <c r="B2580" s="3" t="str">
        <f>"202000077763"</f>
        <v>202000077763</v>
      </c>
      <c r="C2580" s="3">
        <v>149902</v>
      </c>
      <c r="D2580" s="3" t="s">
        <v>9548</v>
      </c>
      <c r="E2580" s="3">
        <v>20404723392</v>
      </c>
      <c r="F2580" s="3" t="s">
        <v>1701</v>
      </c>
      <c r="G2580" s="3" t="s">
        <v>9549</v>
      </c>
      <c r="H2580" s="3" t="s">
        <v>89</v>
      </c>
      <c r="I2580" s="3" t="s">
        <v>89</v>
      </c>
      <c r="J2580" s="3" t="s">
        <v>90</v>
      </c>
      <c r="K2580" s="3" t="s">
        <v>9550</v>
      </c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  <c r="AC2580" s="3"/>
      <c r="AD2580" s="3"/>
      <c r="AE2580" s="3"/>
      <c r="AF2580" s="3"/>
      <c r="AG2580" s="3"/>
      <c r="AH2580" s="3"/>
      <c r="AI2580" s="3"/>
      <c r="AJ2580" s="3"/>
      <c r="AK2580" s="3" t="s">
        <v>9551</v>
      </c>
      <c r="AL2580" s="4">
        <v>44025</v>
      </c>
      <c r="AM2580" s="3"/>
      <c r="AN2580" s="3" t="s">
        <v>93</v>
      </c>
    </row>
    <row r="2581" spans="1:40" x14ac:dyDescent="0.3">
      <c r="A2581" s="3">
        <v>2575</v>
      </c>
      <c r="B2581" s="3" t="str">
        <f>"1180687"</f>
        <v>1180687</v>
      </c>
      <c r="C2581" s="3">
        <v>13878</v>
      </c>
      <c r="D2581" s="3">
        <v>1179051</v>
      </c>
      <c r="E2581" s="3">
        <v>10218633361</v>
      </c>
      <c r="F2581" s="3" t="s">
        <v>9552</v>
      </c>
      <c r="G2581" s="3" t="s">
        <v>9553</v>
      </c>
      <c r="H2581" s="3" t="s">
        <v>216</v>
      </c>
      <c r="I2581" s="3" t="s">
        <v>4291</v>
      </c>
      <c r="J2581" s="3" t="s">
        <v>9554</v>
      </c>
      <c r="K2581" s="3" t="s">
        <v>9555</v>
      </c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C2581" s="3"/>
      <c r="AD2581" s="3"/>
      <c r="AE2581" s="3"/>
      <c r="AF2581" s="3"/>
      <c r="AG2581" s="3"/>
      <c r="AH2581" s="3"/>
      <c r="AI2581" s="3"/>
      <c r="AJ2581" s="3"/>
      <c r="AK2581" s="3" t="s">
        <v>842</v>
      </c>
      <c r="AL2581" s="4">
        <v>35909</v>
      </c>
      <c r="AM2581" s="3"/>
      <c r="AN2581" s="3"/>
    </row>
    <row r="2582" spans="1:40" x14ac:dyDescent="0.3">
      <c r="A2582" s="3">
        <v>2576</v>
      </c>
      <c r="B2582" s="3" t="str">
        <f>"1180685"</f>
        <v>1180685</v>
      </c>
      <c r="C2582" s="3">
        <v>13880</v>
      </c>
      <c r="D2582" s="3">
        <v>1177955</v>
      </c>
      <c r="E2582" s="3">
        <v>10087655909</v>
      </c>
      <c r="F2582" s="3" t="s">
        <v>9556</v>
      </c>
      <c r="G2582" s="3" t="s">
        <v>9557</v>
      </c>
      <c r="H2582" s="3" t="s">
        <v>56</v>
      </c>
      <c r="I2582" s="3" t="s">
        <v>56</v>
      </c>
      <c r="J2582" s="3" t="s">
        <v>185</v>
      </c>
      <c r="K2582" s="3" t="s">
        <v>9558</v>
      </c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C2582" s="3"/>
      <c r="AD2582" s="3"/>
      <c r="AE2582" s="3"/>
      <c r="AF2582" s="3"/>
      <c r="AG2582" s="3"/>
      <c r="AH2582" s="3"/>
      <c r="AI2582" s="3"/>
      <c r="AJ2582" s="3"/>
      <c r="AK2582" s="3" t="s">
        <v>65</v>
      </c>
      <c r="AL2582" s="4">
        <v>35912</v>
      </c>
      <c r="AM2582" s="3"/>
      <c r="AN2582" s="3"/>
    </row>
    <row r="2583" spans="1:40" x14ac:dyDescent="0.3">
      <c r="A2583" s="3">
        <v>2577</v>
      </c>
      <c r="B2583" s="3" t="str">
        <f>"1116347"</f>
        <v>1116347</v>
      </c>
      <c r="C2583" s="3">
        <v>3580</v>
      </c>
      <c r="D2583" s="3">
        <v>1058833</v>
      </c>
      <c r="E2583" s="3">
        <v>10257650702</v>
      </c>
      <c r="F2583" s="3" t="s">
        <v>9559</v>
      </c>
      <c r="G2583" s="3" t="s">
        <v>9560</v>
      </c>
      <c r="H2583" s="3" t="s">
        <v>75</v>
      </c>
      <c r="I2583" s="3" t="s">
        <v>75</v>
      </c>
      <c r="J2583" s="3" t="s">
        <v>76</v>
      </c>
      <c r="K2583" s="3" t="s">
        <v>9561</v>
      </c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  <c r="AC2583" s="3"/>
      <c r="AD2583" s="3"/>
      <c r="AE2583" s="3"/>
      <c r="AF2583" s="3"/>
      <c r="AG2583" s="3"/>
      <c r="AH2583" s="3"/>
      <c r="AI2583" s="3"/>
      <c r="AJ2583" s="3"/>
      <c r="AK2583" s="3" t="s">
        <v>842</v>
      </c>
      <c r="AL2583" s="4">
        <v>35521</v>
      </c>
      <c r="AM2583" s="3"/>
      <c r="AN2583" s="3"/>
    </row>
    <row r="2584" spans="1:40" x14ac:dyDescent="0.3">
      <c r="A2584" s="3">
        <v>2578</v>
      </c>
      <c r="B2584" s="3" t="str">
        <f>"1116346"</f>
        <v>1116346</v>
      </c>
      <c r="C2584" s="3">
        <v>3578</v>
      </c>
      <c r="D2584" s="3">
        <v>990663</v>
      </c>
      <c r="E2584" s="3">
        <v>10255546061</v>
      </c>
      <c r="F2584" s="3" t="s">
        <v>9562</v>
      </c>
      <c r="G2584" s="3" t="s">
        <v>9563</v>
      </c>
      <c r="H2584" s="3" t="s">
        <v>75</v>
      </c>
      <c r="I2584" s="3" t="s">
        <v>75</v>
      </c>
      <c r="J2584" s="3" t="s">
        <v>76</v>
      </c>
      <c r="K2584" s="3" t="s">
        <v>9564</v>
      </c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  <c r="AC2584" s="3"/>
      <c r="AD2584" s="3"/>
      <c r="AE2584" s="3"/>
      <c r="AF2584" s="3"/>
      <c r="AG2584" s="3"/>
      <c r="AH2584" s="3"/>
      <c r="AI2584" s="3"/>
      <c r="AJ2584" s="3"/>
      <c r="AK2584" s="3" t="s">
        <v>65</v>
      </c>
      <c r="AL2584" s="4">
        <v>35524</v>
      </c>
      <c r="AM2584" s="3"/>
      <c r="AN2584" s="3"/>
    </row>
    <row r="2585" spans="1:40" x14ac:dyDescent="0.3">
      <c r="A2585" s="3">
        <v>2579</v>
      </c>
      <c r="B2585" s="3" t="str">
        <f>"1159507"</f>
        <v>1159507</v>
      </c>
      <c r="C2585" s="3">
        <v>6135</v>
      </c>
      <c r="D2585" s="3">
        <v>1159507</v>
      </c>
      <c r="E2585" s="3">
        <v>10083847099</v>
      </c>
      <c r="F2585" s="3" t="s">
        <v>9565</v>
      </c>
      <c r="G2585" s="3" t="s">
        <v>9566</v>
      </c>
      <c r="H2585" s="3" t="s">
        <v>56</v>
      </c>
      <c r="I2585" s="3" t="s">
        <v>56</v>
      </c>
      <c r="J2585" s="3" t="s">
        <v>155</v>
      </c>
      <c r="K2585" s="3" t="s">
        <v>9567</v>
      </c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C2585" s="3"/>
      <c r="AD2585" s="3"/>
      <c r="AE2585" s="3"/>
      <c r="AF2585" s="3"/>
      <c r="AG2585" s="3"/>
      <c r="AH2585" s="3"/>
      <c r="AI2585" s="3"/>
      <c r="AJ2585" s="3"/>
      <c r="AK2585" s="3" t="s">
        <v>187</v>
      </c>
      <c r="AL2585" s="4">
        <v>35751</v>
      </c>
      <c r="AM2585" s="3"/>
      <c r="AN2585" s="3"/>
    </row>
    <row r="2586" spans="1:40" x14ac:dyDescent="0.3">
      <c r="A2586" s="3">
        <v>2580</v>
      </c>
      <c r="B2586" s="3" t="str">
        <f>"1116348"</f>
        <v>1116348</v>
      </c>
      <c r="C2586" s="3">
        <v>2748</v>
      </c>
      <c r="D2586" s="3">
        <v>1097019</v>
      </c>
      <c r="E2586" s="3">
        <v>20100371236</v>
      </c>
      <c r="F2586" s="3" t="s">
        <v>6226</v>
      </c>
      <c r="G2586" s="3" t="s">
        <v>6227</v>
      </c>
      <c r="H2586" s="3" t="s">
        <v>56</v>
      </c>
      <c r="I2586" s="3" t="s">
        <v>56</v>
      </c>
      <c r="J2586" s="3" t="s">
        <v>1677</v>
      </c>
      <c r="K2586" s="3" t="s">
        <v>9568</v>
      </c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C2586" s="3"/>
      <c r="AD2586" s="3"/>
      <c r="AE2586" s="3"/>
      <c r="AF2586" s="3"/>
      <c r="AG2586" s="3"/>
      <c r="AH2586" s="3"/>
      <c r="AI2586" s="3"/>
      <c r="AJ2586" s="3"/>
      <c r="AK2586" s="3" t="s">
        <v>162</v>
      </c>
      <c r="AL2586" s="4">
        <v>35523</v>
      </c>
      <c r="AM2586" s="3"/>
      <c r="AN2586" s="3"/>
    </row>
    <row r="2587" spans="1:40" x14ac:dyDescent="0.3">
      <c r="A2587" s="3">
        <v>2581</v>
      </c>
      <c r="B2587" s="3" t="str">
        <f>"1473760"</f>
        <v>1473760</v>
      </c>
      <c r="C2587" s="3">
        <v>91547</v>
      </c>
      <c r="D2587" s="3" t="s">
        <v>9569</v>
      </c>
      <c r="E2587" s="3">
        <v>20121837634</v>
      </c>
      <c r="F2587" s="3" t="s">
        <v>866</v>
      </c>
      <c r="G2587" s="3" t="s">
        <v>9546</v>
      </c>
      <c r="H2587" s="3" t="s">
        <v>237</v>
      </c>
      <c r="I2587" s="3" t="s">
        <v>868</v>
      </c>
      <c r="J2587" s="3" t="s">
        <v>868</v>
      </c>
      <c r="K2587" s="3" t="s">
        <v>9570</v>
      </c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  <c r="AC2587" s="3"/>
      <c r="AD2587" s="3"/>
      <c r="AE2587" s="3"/>
      <c r="AF2587" s="3"/>
      <c r="AG2587" s="3"/>
      <c r="AH2587" s="3"/>
      <c r="AI2587" s="3"/>
      <c r="AJ2587" s="3"/>
      <c r="AK2587" s="3" t="s">
        <v>915</v>
      </c>
      <c r="AL2587" s="4">
        <v>40625</v>
      </c>
      <c r="AM2587" s="3"/>
      <c r="AN2587" s="3" t="s">
        <v>7645</v>
      </c>
    </row>
    <row r="2588" spans="1:40" x14ac:dyDescent="0.3">
      <c r="A2588" s="3">
        <v>2582</v>
      </c>
      <c r="B2588" s="3" t="str">
        <f>"1547543"</f>
        <v>1547543</v>
      </c>
      <c r="C2588" s="3">
        <v>41048</v>
      </c>
      <c r="D2588" s="3" t="s">
        <v>9571</v>
      </c>
      <c r="E2588" s="3">
        <v>10273667763</v>
      </c>
      <c r="F2588" s="3" t="s">
        <v>2625</v>
      </c>
      <c r="G2588" s="3" t="s">
        <v>5790</v>
      </c>
      <c r="H2588" s="3" t="s">
        <v>318</v>
      </c>
      <c r="I2588" s="3" t="s">
        <v>319</v>
      </c>
      <c r="J2588" s="3" t="s">
        <v>495</v>
      </c>
      <c r="K2588" s="3" t="s">
        <v>9572</v>
      </c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  <c r="AC2588" s="3"/>
      <c r="AD2588" s="3"/>
      <c r="AE2588" s="3"/>
      <c r="AF2588" s="3"/>
      <c r="AG2588" s="3"/>
      <c r="AH2588" s="3"/>
      <c r="AI2588" s="3"/>
      <c r="AJ2588" s="3"/>
      <c r="AK2588" s="3" t="s">
        <v>1087</v>
      </c>
      <c r="AL2588" s="4">
        <v>38509</v>
      </c>
      <c r="AM2588" s="3"/>
      <c r="AN2588" s="3"/>
    </row>
    <row r="2589" spans="1:40" x14ac:dyDescent="0.3">
      <c r="A2589" s="3">
        <v>2583</v>
      </c>
      <c r="B2589" s="3" t="str">
        <f>"1473766"</f>
        <v>1473766</v>
      </c>
      <c r="C2589" s="3">
        <v>91549</v>
      </c>
      <c r="D2589" s="3" t="s">
        <v>9573</v>
      </c>
      <c r="E2589" s="3">
        <v>20121837634</v>
      </c>
      <c r="F2589" s="3" t="s">
        <v>866</v>
      </c>
      <c r="G2589" s="3" t="s">
        <v>9546</v>
      </c>
      <c r="H2589" s="3" t="s">
        <v>237</v>
      </c>
      <c r="I2589" s="3" t="s">
        <v>868</v>
      </c>
      <c r="J2589" s="3" t="s">
        <v>868</v>
      </c>
      <c r="K2589" s="3" t="s">
        <v>9574</v>
      </c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C2589" s="3"/>
      <c r="AD2589" s="3"/>
      <c r="AE2589" s="3"/>
      <c r="AF2589" s="3"/>
      <c r="AG2589" s="3"/>
      <c r="AH2589" s="3"/>
      <c r="AI2589" s="3"/>
      <c r="AJ2589" s="3"/>
      <c r="AK2589" s="3" t="s">
        <v>915</v>
      </c>
      <c r="AL2589" s="4">
        <v>40625</v>
      </c>
      <c r="AM2589" s="3"/>
      <c r="AN2589" s="3" t="s">
        <v>7645</v>
      </c>
    </row>
    <row r="2590" spans="1:40" x14ac:dyDescent="0.3">
      <c r="A2590" s="3">
        <v>2584</v>
      </c>
      <c r="B2590" s="3" t="str">
        <f>"1111290"</f>
        <v>1111290</v>
      </c>
      <c r="C2590" s="3">
        <v>2381</v>
      </c>
      <c r="D2590" s="3">
        <v>989557</v>
      </c>
      <c r="E2590" s="3">
        <v>10069968916</v>
      </c>
      <c r="F2590" s="3" t="s">
        <v>9575</v>
      </c>
      <c r="G2590" s="3" t="s">
        <v>9576</v>
      </c>
      <c r="H2590" s="3" t="s">
        <v>56</v>
      </c>
      <c r="I2590" s="3" t="s">
        <v>56</v>
      </c>
      <c r="J2590" s="3" t="s">
        <v>121</v>
      </c>
      <c r="K2590" s="3" t="s">
        <v>9577</v>
      </c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C2590" s="3"/>
      <c r="AD2590" s="3"/>
      <c r="AE2590" s="3"/>
      <c r="AF2590" s="3"/>
      <c r="AG2590" s="3"/>
      <c r="AH2590" s="3"/>
      <c r="AI2590" s="3"/>
      <c r="AJ2590" s="3"/>
      <c r="AK2590" s="3" t="s">
        <v>81</v>
      </c>
      <c r="AL2590" s="4">
        <v>35506</v>
      </c>
      <c r="AM2590" s="3"/>
      <c r="AN2590" s="3"/>
    </row>
    <row r="2591" spans="1:40" x14ac:dyDescent="0.3">
      <c r="A2591" s="3">
        <v>2585</v>
      </c>
      <c r="B2591" s="3" t="str">
        <f>"1334274"</f>
        <v>1334274</v>
      </c>
      <c r="C2591" s="3">
        <v>21271</v>
      </c>
      <c r="D2591" s="3" t="s">
        <v>9578</v>
      </c>
      <c r="E2591" s="3">
        <v>20404723392</v>
      </c>
      <c r="F2591" s="3" t="s">
        <v>642</v>
      </c>
      <c r="G2591" s="3" t="s">
        <v>643</v>
      </c>
      <c r="H2591" s="3" t="s">
        <v>89</v>
      </c>
      <c r="I2591" s="3" t="s">
        <v>89</v>
      </c>
      <c r="J2591" s="3" t="s">
        <v>90</v>
      </c>
      <c r="K2591" s="3" t="s">
        <v>9579</v>
      </c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  <c r="AC2591" s="3"/>
      <c r="AD2591" s="3"/>
      <c r="AE2591" s="3"/>
      <c r="AF2591" s="3"/>
      <c r="AG2591" s="3"/>
      <c r="AH2591" s="3"/>
      <c r="AI2591" s="3"/>
      <c r="AJ2591" s="3"/>
      <c r="AK2591" s="3" t="s">
        <v>306</v>
      </c>
      <c r="AL2591" s="4">
        <v>37123</v>
      </c>
      <c r="AM2591" s="3"/>
      <c r="AN2591" s="3"/>
    </row>
    <row r="2592" spans="1:40" ht="27.95" x14ac:dyDescent="0.3">
      <c r="A2592" s="3">
        <v>2586</v>
      </c>
      <c r="B2592" s="3" t="str">
        <f>"1508434"</f>
        <v>1508434</v>
      </c>
      <c r="C2592" s="3">
        <v>94411</v>
      </c>
      <c r="D2592" s="3" t="s">
        <v>9580</v>
      </c>
      <c r="E2592" s="3">
        <v>20415747986</v>
      </c>
      <c r="F2592" s="3" t="s">
        <v>3554</v>
      </c>
      <c r="G2592" s="3" t="s">
        <v>9581</v>
      </c>
      <c r="H2592" s="3" t="s">
        <v>56</v>
      </c>
      <c r="I2592" s="3" t="s">
        <v>56</v>
      </c>
      <c r="J2592" s="3" t="s">
        <v>331</v>
      </c>
      <c r="K2592" s="3" t="s">
        <v>9582</v>
      </c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  <c r="AC2592" s="3"/>
      <c r="AD2592" s="3"/>
      <c r="AE2592" s="3"/>
      <c r="AF2592" s="3"/>
      <c r="AG2592" s="3"/>
      <c r="AH2592" s="3"/>
      <c r="AI2592" s="3"/>
      <c r="AJ2592" s="3"/>
      <c r="AK2592" s="3" t="s">
        <v>230</v>
      </c>
      <c r="AL2592" s="4">
        <v>40842</v>
      </c>
      <c r="AM2592" s="3"/>
      <c r="AN2592" s="3" t="s">
        <v>9583</v>
      </c>
    </row>
    <row r="2593" spans="1:40" ht="41.95" x14ac:dyDescent="0.3">
      <c r="A2593" s="3">
        <v>2587</v>
      </c>
      <c r="B2593" s="3" t="str">
        <f>"201700139193"</f>
        <v>201700139193</v>
      </c>
      <c r="C2593" s="3">
        <v>128266</v>
      </c>
      <c r="D2593" s="3" t="s">
        <v>9584</v>
      </c>
      <c r="E2593" s="3">
        <v>20478005289</v>
      </c>
      <c r="F2593" s="3" t="s">
        <v>9585</v>
      </c>
      <c r="G2593" s="3" t="s">
        <v>9586</v>
      </c>
      <c r="H2593" s="3" t="s">
        <v>216</v>
      </c>
      <c r="I2593" s="3" t="s">
        <v>5569</v>
      </c>
      <c r="J2593" s="3" t="s">
        <v>5569</v>
      </c>
      <c r="K2593" s="3" t="s">
        <v>9587</v>
      </c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C2593" s="3"/>
      <c r="AD2593" s="3"/>
      <c r="AE2593" s="3"/>
      <c r="AF2593" s="3"/>
      <c r="AG2593" s="3"/>
      <c r="AH2593" s="3"/>
      <c r="AI2593" s="3"/>
      <c r="AJ2593" s="3"/>
      <c r="AK2593" s="3" t="s">
        <v>986</v>
      </c>
      <c r="AL2593" s="4">
        <v>42978</v>
      </c>
      <c r="AM2593" s="3"/>
      <c r="AN2593" s="3" t="s">
        <v>372</v>
      </c>
    </row>
    <row r="2594" spans="1:40" x14ac:dyDescent="0.3">
      <c r="A2594" s="3">
        <v>2588</v>
      </c>
      <c r="B2594" s="3" t="str">
        <f>"201700074823"</f>
        <v>201700074823</v>
      </c>
      <c r="C2594" s="3">
        <v>128545</v>
      </c>
      <c r="D2594" s="3" t="s">
        <v>9588</v>
      </c>
      <c r="E2594" s="3">
        <v>10401770076</v>
      </c>
      <c r="F2594" s="3" t="s">
        <v>9589</v>
      </c>
      <c r="G2594" s="3" t="s">
        <v>9590</v>
      </c>
      <c r="H2594" s="3" t="s">
        <v>446</v>
      </c>
      <c r="I2594" s="3" t="s">
        <v>3236</v>
      </c>
      <c r="J2594" s="3" t="s">
        <v>9591</v>
      </c>
      <c r="K2594" s="3" t="s">
        <v>9592</v>
      </c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C2594" s="3"/>
      <c r="AD2594" s="3"/>
      <c r="AE2594" s="3"/>
      <c r="AF2594" s="3"/>
      <c r="AG2594" s="3"/>
      <c r="AH2594" s="3"/>
      <c r="AI2594" s="3"/>
      <c r="AJ2594" s="3"/>
      <c r="AK2594" s="3" t="s">
        <v>473</v>
      </c>
      <c r="AL2594" s="4">
        <v>42881</v>
      </c>
      <c r="AM2594" s="3"/>
      <c r="AN2594" s="3" t="s">
        <v>9589</v>
      </c>
    </row>
    <row r="2595" spans="1:40" x14ac:dyDescent="0.3">
      <c r="A2595" s="3">
        <v>2589</v>
      </c>
      <c r="B2595" s="3" t="str">
        <f>"1645392"</f>
        <v>1645392</v>
      </c>
      <c r="C2595" s="3">
        <v>43549</v>
      </c>
      <c r="D2595" s="3" t="s">
        <v>9593</v>
      </c>
      <c r="E2595" s="3">
        <v>10079939191</v>
      </c>
      <c r="F2595" s="3" t="s">
        <v>2722</v>
      </c>
      <c r="G2595" s="3" t="s">
        <v>9594</v>
      </c>
      <c r="H2595" s="3" t="s">
        <v>56</v>
      </c>
      <c r="I2595" s="3" t="s">
        <v>56</v>
      </c>
      <c r="J2595" s="3" t="s">
        <v>2724</v>
      </c>
      <c r="K2595" s="3" t="s">
        <v>9595</v>
      </c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  <c r="AC2595" s="3"/>
      <c r="AD2595" s="3"/>
      <c r="AE2595" s="3"/>
      <c r="AF2595" s="3"/>
      <c r="AG2595" s="3"/>
      <c r="AH2595" s="3"/>
      <c r="AI2595" s="3"/>
      <c r="AJ2595" s="3"/>
      <c r="AK2595" s="3" t="s">
        <v>1573</v>
      </c>
      <c r="AL2595" s="4">
        <v>39027</v>
      </c>
      <c r="AM2595" s="3"/>
      <c r="AN2595" s="3"/>
    </row>
    <row r="2596" spans="1:40" x14ac:dyDescent="0.3">
      <c r="A2596" s="3">
        <v>2590</v>
      </c>
      <c r="B2596" s="3" t="str">
        <f>"201900131921"</f>
        <v>201900131921</v>
      </c>
      <c r="C2596" s="3">
        <v>86156</v>
      </c>
      <c r="D2596" s="3" t="s">
        <v>9596</v>
      </c>
      <c r="E2596" s="3">
        <v>20510976887</v>
      </c>
      <c r="F2596" s="3" t="s">
        <v>693</v>
      </c>
      <c r="G2596" s="3" t="s">
        <v>9597</v>
      </c>
      <c r="H2596" s="3" t="s">
        <v>56</v>
      </c>
      <c r="I2596" s="3" t="s">
        <v>56</v>
      </c>
      <c r="J2596" s="3" t="s">
        <v>131</v>
      </c>
      <c r="K2596" s="3" t="s">
        <v>9598</v>
      </c>
      <c r="L2596" s="3" t="s">
        <v>9599</v>
      </c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  <c r="AC2596" s="3"/>
      <c r="AD2596" s="3"/>
      <c r="AE2596" s="3"/>
      <c r="AF2596" s="3"/>
      <c r="AG2596" s="3"/>
      <c r="AH2596" s="3"/>
      <c r="AI2596" s="3"/>
      <c r="AJ2596" s="3"/>
      <c r="AK2596" s="3" t="s">
        <v>139</v>
      </c>
      <c r="AL2596" s="4">
        <v>43699</v>
      </c>
      <c r="AM2596" s="3"/>
      <c r="AN2596" s="3" t="s">
        <v>671</v>
      </c>
    </row>
    <row r="2597" spans="1:40" x14ac:dyDescent="0.3">
      <c r="A2597" s="3">
        <v>2591</v>
      </c>
      <c r="B2597" s="3" t="str">
        <f>"202000121630"</f>
        <v>202000121630</v>
      </c>
      <c r="C2597" s="3">
        <v>151190</v>
      </c>
      <c r="D2597" s="3" t="s">
        <v>9600</v>
      </c>
      <c r="E2597" s="3">
        <v>20166717389</v>
      </c>
      <c r="F2597" s="3" t="s">
        <v>2137</v>
      </c>
      <c r="G2597" s="3" t="s">
        <v>8990</v>
      </c>
      <c r="H2597" s="3" t="s">
        <v>357</v>
      </c>
      <c r="I2597" s="3" t="s">
        <v>357</v>
      </c>
      <c r="J2597" s="3" t="s">
        <v>357</v>
      </c>
      <c r="K2597" s="3" t="s">
        <v>9601</v>
      </c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C2597" s="3"/>
      <c r="AD2597" s="3"/>
      <c r="AE2597" s="3"/>
      <c r="AF2597" s="3"/>
      <c r="AG2597" s="3"/>
      <c r="AH2597" s="3"/>
      <c r="AI2597" s="3"/>
      <c r="AJ2597" s="3"/>
      <c r="AK2597" s="3" t="s">
        <v>306</v>
      </c>
      <c r="AL2597" s="4">
        <v>44085</v>
      </c>
      <c r="AM2597" s="3"/>
      <c r="AN2597" s="3" t="s">
        <v>8992</v>
      </c>
    </row>
    <row r="2598" spans="1:40" x14ac:dyDescent="0.3">
      <c r="A2598" s="3">
        <v>2592</v>
      </c>
      <c r="B2598" s="3" t="str">
        <f>"1180698"</f>
        <v>1180698</v>
      </c>
      <c r="C2598" s="3">
        <v>13886</v>
      </c>
      <c r="D2598" s="3">
        <v>1179053</v>
      </c>
      <c r="E2598" s="3">
        <v>10217958887</v>
      </c>
      <c r="F2598" s="3" t="s">
        <v>9602</v>
      </c>
      <c r="G2598" s="3" t="s">
        <v>9603</v>
      </c>
      <c r="H2598" s="3" t="s">
        <v>216</v>
      </c>
      <c r="I2598" s="3" t="s">
        <v>4291</v>
      </c>
      <c r="J2598" s="3" t="s">
        <v>7677</v>
      </c>
      <c r="K2598" s="3" t="s">
        <v>9604</v>
      </c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C2598" s="3"/>
      <c r="AD2598" s="3"/>
      <c r="AE2598" s="3"/>
      <c r="AF2598" s="3"/>
      <c r="AG2598" s="3"/>
      <c r="AH2598" s="3"/>
      <c r="AI2598" s="3"/>
      <c r="AJ2598" s="3"/>
      <c r="AK2598" s="3" t="s">
        <v>167</v>
      </c>
      <c r="AL2598" s="4">
        <v>35912</v>
      </c>
      <c r="AM2598" s="3"/>
      <c r="AN2598" s="3"/>
    </row>
    <row r="2599" spans="1:40" x14ac:dyDescent="0.3">
      <c r="A2599" s="3">
        <v>2593</v>
      </c>
      <c r="B2599" s="3" t="str">
        <f>"1180697"</f>
        <v>1180697</v>
      </c>
      <c r="C2599" s="3">
        <v>13882</v>
      </c>
      <c r="D2599" s="3">
        <v>1179050</v>
      </c>
      <c r="E2599" s="3">
        <v>10218559846</v>
      </c>
      <c r="F2599" s="3" t="s">
        <v>9605</v>
      </c>
      <c r="G2599" s="3" t="s">
        <v>9606</v>
      </c>
      <c r="H2599" s="3" t="s">
        <v>216</v>
      </c>
      <c r="I2599" s="3" t="s">
        <v>4291</v>
      </c>
      <c r="J2599" s="3" t="s">
        <v>4292</v>
      </c>
      <c r="K2599" s="3" t="s">
        <v>9607</v>
      </c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  <c r="AC2599" s="3"/>
      <c r="AD2599" s="3"/>
      <c r="AE2599" s="3"/>
      <c r="AF2599" s="3"/>
      <c r="AG2599" s="3"/>
      <c r="AH2599" s="3"/>
      <c r="AI2599" s="3"/>
      <c r="AJ2599" s="3"/>
      <c r="AK2599" s="3" t="s">
        <v>842</v>
      </c>
      <c r="AL2599" s="4">
        <v>35912</v>
      </c>
      <c r="AM2599" s="3"/>
      <c r="AN2599" s="3"/>
    </row>
    <row r="2600" spans="1:40" x14ac:dyDescent="0.3">
      <c r="A2600" s="3">
        <v>2594</v>
      </c>
      <c r="B2600" s="3" t="str">
        <f>"1691250"</f>
        <v>1691250</v>
      </c>
      <c r="C2600" s="3">
        <v>45624</v>
      </c>
      <c r="D2600" s="3" t="s">
        <v>9608</v>
      </c>
      <c r="E2600" s="3">
        <v>10238447033</v>
      </c>
      <c r="F2600" s="3" t="s">
        <v>9609</v>
      </c>
      <c r="G2600" s="3" t="s">
        <v>9610</v>
      </c>
      <c r="H2600" s="3" t="s">
        <v>446</v>
      </c>
      <c r="I2600" s="3" t="s">
        <v>446</v>
      </c>
      <c r="J2600" s="3" t="s">
        <v>2611</v>
      </c>
      <c r="K2600" s="3" t="s">
        <v>9611</v>
      </c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  <c r="AC2600" s="3"/>
      <c r="AD2600" s="3"/>
      <c r="AE2600" s="3"/>
      <c r="AF2600" s="3"/>
      <c r="AG2600" s="3"/>
      <c r="AH2600" s="3"/>
      <c r="AI2600" s="3"/>
      <c r="AJ2600" s="3"/>
      <c r="AK2600" s="3" t="s">
        <v>6264</v>
      </c>
      <c r="AL2600" s="4">
        <v>39219</v>
      </c>
      <c r="AM2600" s="3"/>
      <c r="AN2600" s="3"/>
    </row>
    <row r="2601" spans="1:40" ht="27.95" x14ac:dyDescent="0.3">
      <c r="A2601" s="3">
        <v>2595</v>
      </c>
      <c r="B2601" s="3" t="str">
        <f>"1298080"</f>
        <v>1298080</v>
      </c>
      <c r="C2601" s="3">
        <v>19574</v>
      </c>
      <c r="D2601" s="3">
        <v>1298080</v>
      </c>
      <c r="E2601" s="3">
        <v>10105021122</v>
      </c>
      <c r="F2601" s="3" t="s">
        <v>1177</v>
      </c>
      <c r="G2601" s="3" t="s">
        <v>9612</v>
      </c>
      <c r="H2601" s="3" t="s">
        <v>56</v>
      </c>
      <c r="I2601" s="3" t="s">
        <v>56</v>
      </c>
      <c r="J2601" s="3" t="s">
        <v>363</v>
      </c>
      <c r="K2601" s="3" t="s">
        <v>9613</v>
      </c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C2601" s="3"/>
      <c r="AD2601" s="3"/>
      <c r="AE2601" s="3"/>
      <c r="AF2601" s="3"/>
      <c r="AG2601" s="3"/>
      <c r="AH2601" s="3"/>
      <c r="AI2601" s="3"/>
      <c r="AJ2601" s="3"/>
      <c r="AK2601" s="3" t="s">
        <v>157</v>
      </c>
      <c r="AL2601" s="4">
        <v>36818</v>
      </c>
      <c r="AM2601" s="3"/>
      <c r="AN2601" s="3"/>
    </row>
    <row r="2602" spans="1:40" x14ac:dyDescent="0.3">
      <c r="A2602" s="3">
        <v>2596</v>
      </c>
      <c r="B2602" s="3" t="str">
        <f>"1120424"</f>
        <v>1120424</v>
      </c>
      <c r="C2602" s="3">
        <v>2285</v>
      </c>
      <c r="D2602" s="3">
        <v>955179</v>
      </c>
      <c r="E2602" s="3">
        <v>20100170761</v>
      </c>
      <c r="F2602" s="3" t="s">
        <v>275</v>
      </c>
      <c r="G2602" s="3" t="s">
        <v>276</v>
      </c>
      <c r="H2602" s="3" t="s">
        <v>56</v>
      </c>
      <c r="I2602" s="3" t="s">
        <v>56</v>
      </c>
      <c r="J2602" s="3" t="s">
        <v>277</v>
      </c>
      <c r="K2602" s="3" t="s">
        <v>9614</v>
      </c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C2602" s="3"/>
      <c r="AD2602" s="3"/>
      <c r="AE2602" s="3"/>
      <c r="AF2602" s="3"/>
      <c r="AG2602" s="3"/>
      <c r="AH2602" s="3"/>
      <c r="AI2602" s="3"/>
      <c r="AJ2602" s="3"/>
      <c r="AK2602" s="3" t="s">
        <v>1087</v>
      </c>
      <c r="AL2602" s="4">
        <v>35537</v>
      </c>
      <c r="AM2602" s="3"/>
      <c r="AN2602" s="3"/>
    </row>
    <row r="2603" spans="1:40" x14ac:dyDescent="0.3">
      <c r="A2603" s="3">
        <v>2597</v>
      </c>
      <c r="B2603" s="3" t="str">
        <f>"1410651"</f>
        <v>1410651</v>
      </c>
      <c r="C2603" s="3">
        <v>33484</v>
      </c>
      <c r="D2603" s="3" t="s">
        <v>9615</v>
      </c>
      <c r="E2603" s="3">
        <v>10181896715</v>
      </c>
      <c r="F2603" s="3" t="s">
        <v>9616</v>
      </c>
      <c r="G2603" s="3" t="s">
        <v>9617</v>
      </c>
      <c r="H2603" s="3" t="s">
        <v>44</v>
      </c>
      <c r="I2603" s="3" t="s">
        <v>45</v>
      </c>
      <c r="J2603" s="3" t="s">
        <v>45</v>
      </c>
      <c r="K2603" s="3" t="s">
        <v>9618</v>
      </c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  <c r="AC2603" s="3"/>
      <c r="AD2603" s="3"/>
      <c r="AE2603" s="3"/>
      <c r="AF2603" s="3"/>
      <c r="AG2603" s="3"/>
      <c r="AH2603" s="3"/>
      <c r="AI2603" s="3"/>
      <c r="AJ2603" s="3"/>
      <c r="AK2603" s="3" t="s">
        <v>614</v>
      </c>
      <c r="AL2603" s="4">
        <v>37719</v>
      </c>
      <c r="AM2603" s="3"/>
      <c r="AN2603" s="3"/>
    </row>
    <row r="2604" spans="1:40" x14ac:dyDescent="0.3">
      <c r="A2604" s="3">
        <v>2598</v>
      </c>
      <c r="B2604" s="3" t="str">
        <f>"201600162692"</f>
        <v>201600162692</v>
      </c>
      <c r="C2604" s="3">
        <v>124850</v>
      </c>
      <c r="D2604" s="3" t="s">
        <v>9619</v>
      </c>
      <c r="E2604" s="3">
        <v>20455600660</v>
      </c>
      <c r="F2604" s="3" t="s">
        <v>9620</v>
      </c>
      <c r="G2604" s="3" t="s">
        <v>9621</v>
      </c>
      <c r="H2604" s="3" t="s">
        <v>97</v>
      </c>
      <c r="I2604" s="3" t="s">
        <v>97</v>
      </c>
      <c r="J2604" s="3" t="s">
        <v>144</v>
      </c>
      <c r="K2604" s="3" t="s">
        <v>9622</v>
      </c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  <c r="AC2604" s="3"/>
      <c r="AD2604" s="3"/>
      <c r="AE2604" s="3"/>
      <c r="AF2604" s="3"/>
      <c r="AG2604" s="3"/>
      <c r="AH2604" s="3"/>
      <c r="AI2604" s="3"/>
      <c r="AJ2604" s="3"/>
      <c r="AK2604" s="3" t="s">
        <v>7969</v>
      </c>
      <c r="AL2604" s="4">
        <v>42705</v>
      </c>
      <c r="AM2604" s="3"/>
      <c r="AN2604" s="3" t="s">
        <v>9623</v>
      </c>
    </row>
    <row r="2605" spans="1:40" x14ac:dyDescent="0.3">
      <c r="A2605" s="3">
        <v>2599</v>
      </c>
      <c r="B2605" s="3" t="str">
        <f>"1510117"</f>
        <v>1510117</v>
      </c>
      <c r="C2605" s="3">
        <v>44213</v>
      </c>
      <c r="D2605" s="3" t="s">
        <v>9624</v>
      </c>
      <c r="E2605" s="3">
        <v>20519877059</v>
      </c>
      <c r="F2605" s="3" t="s">
        <v>9625</v>
      </c>
      <c r="G2605" s="3" t="s">
        <v>9626</v>
      </c>
      <c r="H2605" s="3" t="s">
        <v>743</v>
      </c>
      <c r="I2605" s="3" t="s">
        <v>744</v>
      </c>
      <c r="J2605" s="3" t="s">
        <v>743</v>
      </c>
      <c r="K2605" s="3" t="s">
        <v>9627</v>
      </c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C2605" s="3"/>
      <c r="AD2605" s="3"/>
      <c r="AE2605" s="3"/>
      <c r="AF2605" s="3"/>
      <c r="AG2605" s="3"/>
      <c r="AH2605" s="3"/>
      <c r="AI2605" s="3"/>
      <c r="AJ2605" s="3"/>
      <c r="AK2605" s="3" t="s">
        <v>9628</v>
      </c>
      <c r="AL2605" s="4">
        <v>40864</v>
      </c>
      <c r="AM2605" s="3"/>
      <c r="AN2605" s="3" t="s">
        <v>9629</v>
      </c>
    </row>
    <row r="2606" spans="1:40" x14ac:dyDescent="0.3">
      <c r="A2606" s="3">
        <v>2600</v>
      </c>
      <c r="B2606" s="3" t="str">
        <f>"1116322"</f>
        <v>1116322</v>
      </c>
      <c r="C2606" s="3">
        <v>3579</v>
      </c>
      <c r="D2606" s="3">
        <v>1061155</v>
      </c>
      <c r="E2606" s="3">
        <v>10066542586</v>
      </c>
      <c r="F2606" s="3" t="s">
        <v>9630</v>
      </c>
      <c r="G2606" s="3" t="s">
        <v>9631</v>
      </c>
      <c r="H2606" s="3" t="s">
        <v>56</v>
      </c>
      <c r="I2606" s="3" t="s">
        <v>56</v>
      </c>
      <c r="J2606" s="3" t="s">
        <v>331</v>
      </c>
      <c r="K2606" s="3" t="s">
        <v>9632</v>
      </c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C2606" s="3"/>
      <c r="AD2606" s="3"/>
      <c r="AE2606" s="3"/>
      <c r="AF2606" s="3"/>
      <c r="AG2606" s="3"/>
      <c r="AH2606" s="3"/>
      <c r="AI2606" s="3"/>
      <c r="AJ2606" s="3"/>
      <c r="AK2606" s="3" t="s">
        <v>546</v>
      </c>
      <c r="AL2606" s="4">
        <v>35524</v>
      </c>
      <c r="AM2606" s="3"/>
      <c r="AN2606" s="3"/>
    </row>
    <row r="2607" spans="1:40" x14ac:dyDescent="0.3">
      <c r="A2607" s="3">
        <v>2601</v>
      </c>
      <c r="B2607" s="3" t="str">
        <f>"201300192720"</f>
        <v>201300192720</v>
      </c>
      <c r="C2607" s="3">
        <v>107035</v>
      </c>
      <c r="D2607" s="3" t="s">
        <v>9633</v>
      </c>
      <c r="E2607" s="3">
        <v>10246633709</v>
      </c>
      <c r="F2607" s="3" t="s">
        <v>9634</v>
      </c>
      <c r="G2607" s="3" t="s">
        <v>9635</v>
      </c>
      <c r="H2607" s="3" t="s">
        <v>446</v>
      </c>
      <c r="I2607" s="3" t="s">
        <v>895</v>
      </c>
      <c r="J2607" s="3" t="s">
        <v>896</v>
      </c>
      <c r="K2607" s="3" t="s">
        <v>9636</v>
      </c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  <c r="AC2607" s="3"/>
      <c r="AD2607" s="3"/>
      <c r="AE2607" s="3"/>
      <c r="AF2607" s="3"/>
      <c r="AG2607" s="3"/>
      <c r="AH2607" s="3"/>
      <c r="AI2607" s="3"/>
      <c r="AJ2607" s="3"/>
      <c r="AK2607" s="3" t="s">
        <v>8152</v>
      </c>
      <c r="AL2607" s="4">
        <v>41647</v>
      </c>
      <c r="AM2607" s="3"/>
      <c r="AN2607" s="3" t="s">
        <v>9634</v>
      </c>
    </row>
    <row r="2608" spans="1:40" ht="27.95" x14ac:dyDescent="0.3">
      <c r="A2608" s="3">
        <v>2602</v>
      </c>
      <c r="B2608" s="3" t="str">
        <f>"201600118833"</f>
        <v>201600118833</v>
      </c>
      <c r="C2608" s="3">
        <v>123298</v>
      </c>
      <c r="D2608" s="3" t="s">
        <v>9637</v>
      </c>
      <c r="E2608" s="3">
        <v>20532873283</v>
      </c>
      <c r="F2608" s="3" t="s">
        <v>8813</v>
      </c>
      <c r="G2608" s="3" t="s">
        <v>9638</v>
      </c>
      <c r="H2608" s="3" t="s">
        <v>216</v>
      </c>
      <c r="I2608" s="3" t="s">
        <v>216</v>
      </c>
      <c r="J2608" s="3" t="s">
        <v>216</v>
      </c>
      <c r="K2608" s="3" t="s">
        <v>9639</v>
      </c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  <c r="AC2608" s="3"/>
      <c r="AD2608" s="3"/>
      <c r="AE2608" s="3"/>
      <c r="AF2608" s="3"/>
      <c r="AG2608" s="3"/>
      <c r="AH2608" s="3"/>
      <c r="AI2608" s="3"/>
      <c r="AJ2608" s="3"/>
      <c r="AK2608" s="3" t="s">
        <v>9510</v>
      </c>
      <c r="AL2608" s="4">
        <v>42598</v>
      </c>
      <c r="AM2608" s="3"/>
      <c r="AN2608" s="3" t="s">
        <v>8817</v>
      </c>
    </row>
    <row r="2609" spans="1:40" x14ac:dyDescent="0.3">
      <c r="A2609" s="3">
        <v>2603</v>
      </c>
      <c r="B2609" s="3" t="str">
        <f>"1111281"</f>
        <v>1111281</v>
      </c>
      <c r="C2609" s="3">
        <v>3467</v>
      </c>
      <c r="D2609" s="3" t="s">
        <v>9640</v>
      </c>
      <c r="E2609" s="3">
        <v>20102117272</v>
      </c>
      <c r="F2609" s="3" t="s">
        <v>9641</v>
      </c>
      <c r="G2609" s="3" t="s">
        <v>9642</v>
      </c>
      <c r="H2609" s="3" t="s">
        <v>56</v>
      </c>
      <c r="I2609" s="3" t="s">
        <v>56</v>
      </c>
      <c r="J2609" s="3" t="s">
        <v>572</v>
      </c>
      <c r="K2609" s="3" t="s">
        <v>9643</v>
      </c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C2609" s="3"/>
      <c r="AD2609" s="3"/>
      <c r="AE2609" s="3"/>
      <c r="AF2609" s="3"/>
      <c r="AG2609" s="3"/>
      <c r="AH2609" s="3"/>
      <c r="AI2609" s="3"/>
      <c r="AJ2609" s="3"/>
      <c r="AK2609" s="3" t="s">
        <v>546</v>
      </c>
      <c r="AL2609" s="4">
        <v>36875</v>
      </c>
      <c r="AM2609" s="3"/>
      <c r="AN2609" s="3"/>
    </row>
    <row r="2610" spans="1:40" ht="27.95" x14ac:dyDescent="0.3">
      <c r="A2610" s="3">
        <v>2604</v>
      </c>
      <c r="B2610" s="3" t="str">
        <f>"1515622"</f>
        <v>1515622</v>
      </c>
      <c r="C2610" s="3">
        <v>6459</v>
      </c>
      <c r="D2610" s="3" t="s">
        <v>9644</v>
      </c>
      <c r="E2610" s="3">
        <v>20100076749</v>
      </c>
      <c r="F2610" s="3" t="s">
        <v>159</v>
      </c>
      <c r="G2610" s="3" t="s">
        <v>2636</v>
      </c>
      <c r="H2610" s="3" t="s">
        <v>56</v>
      </c>
      <c r="I2610" s="3" t="s">
        <v>56</v>
      </c>
      <c r="J2610" s="3" t="s">
        <v>121</v>
      </c>
      <c r="K2610" s="3" t="s">
        <v>9645</v>
      </c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C2610" s="3"/>
      <c r="AD2610" s="3"/>
      <c r="AE2610" s="3"/>
      <c r="AF2610" s="3"/>
      <c r="AG2610" s="3"/>
      <c r="AH2610" s="3"/>
      <c r="AI2610" s="3"/>
      <c r="AJ2610" s="3"/>
      <c r="AK2610" s="3" t="s">
        <v>538</v>
      </c>
      <c r="AL2610" s="4">
        <v>38393</v>
      </c>
      <c r="AM2610" s="3"/>
      <c r="AN2610" s="3"/>
    </row>
    <row r="2611" spans="1:40" ht="27.95" x14ac:dyDescent="0.3">
      <c r="A2611" s="3">
        <v>2605</v>
      </c>
      <c r="B2611" s="3" t="str">
        <f>"201600118837"</f>
        <v>201600118837</v>
      </c>
      <c r="C2611" s="3">
        <v>123297</v>
      </c>
      <c r="D2611" s="3" t="s">
        <v>9646</v>
      </c>
      <c r="E2611" s="3">
        <v>20532873283</v>
      </c>
      <c r="F2611" s="3" t="s">
        <v>8813</v>
      </c>
      <c r="G2611" s="3" t="s">
        <v>9638</v>
      </c>
      <c r="H2611" s="3" t="s">
        <v>216</v>
      </c>
      <c r="I2611" s="3" t="s">
        <v>216</v>
      </c>
      <c r="J2611" s="3" t="s">
        <v>216</v>
      </c>
      <c r="K2611" s="3" t="s">
        <v>9647</v>
      </c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  <c r="AC2611" s="3"/>
      <c r="AD2611" s="3"/>
      <c r="AE2611" s="3"/>
      <c r="AF2611" s="3"/>
      <c r="AG2611" s="3"/>
      <c r="AH2611" s="3"/>
      <c r="AI2611" s="3"/>
      <c r="AJ2611" s="3"/>
      <c r="AK2611" s="3" t="s">
        <v>525</v>
      </c>
      <c r="AL2611" s="4">
        <v>42598</v>
      </c>
      <c r="AM2611" s="3"/>
      <c r="AN2611" s="3" t="s">
        <v>8817</v>
      </c>
    </row>
    <row r="2612" spans="1:40" x14ac:dyDescent="0.3">
      <c r="A2612" s="3">
        <v>2606</v>
      </c>
      <c r="B2612" s="3" t="str">
        <f>"1973754"</f>
        <v>1973754</v>
      </c>
      <c r="C2612" s="3">
        <v>85533</v>
      </c>
      <c r="D2612" s="3" t="s">
        <v>9648</v>
      </c>
      <c r="E2612" s="3">
        <v>10313569387</v>
      </c>
      <c r="F2612" s="3" t="s">
        <v>9649</v>
      </c>
      <c r="G2612" s="3" t="s">
        <v>9650</v>
      </c>
      <c r="H2612" s="3" t="s">
        <v>386</v>
      </c>
      <c r="I2612" s="3" t="s">
        <v>387</v>
      </c>
      <c r="J2612" s="3" t="s">
        <v>386</v>
      </c>
      <c r="K2612" s="3" t="s">
        <v>9651</v>
      </c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C2612" s="3"/>
      <c r="AD2612" s="3"/>
      <c r="AE2612" s="3"/>
      <c r="AF2612" s="3"/>
      <c r="AG2612" s="3"/>
      <c r="AH2612" s="3"/>
      <c r="AI2612" s="3"/>
      <c r="AJ2612" s="3"/>
      <c r="AK2612" s="3" t="s">
        <v>9652</v>
      </c>
      <c r="AL2612" s="4">
        <v>40248</v>
      </c>
      <c r="AM2612" s="3"/>
      <c r="AN2612" s="3"/>
    </row>
    <row r="2613" spans="1:40" x14ac:dyDescent="0.3">
      <c r="A2613" s="3">
        <v>2607</v>
      </c>
      <c r="B2613" s="3" t="str">
        <f>"201900155664"</f>
        <v>201900155664</v>
      </c>
      <c r="C2613" s="3">
        <v>123001</v>
      </c>
      <c r="D2613" s="3" t="s">
        <v>9653</v>
      </c>
      <c r="E2613" s="3">
        <v>20350428225</v>
      </c>
      <c r="F2613" s="3" t="s">
        <v>9654</v>
      </c>
      <c r="G2613" s="3" t="s">
        <v>9655</v>
      </c>
      <c r="H2613" s="3" t="s">
        <v>3837</v>
      </c>
      <c r="I2613" s="3" t="s">
        <v>4994</v>
      </c>
      <c r="J2613" s="3" t="s">
        <v>4994</v>
      </c>
      <c r="K2613" s="3" t="s">
        <v>9656</v>
      </c>
      <c r="L2613" s="3" t="s">
        <v>9657</v>
      </c>
      <c r="M2613" s="3" t="s">
        <v>9658</v>
      </c>
      <c r="N2613" s="3" t="s">
        <v>9659</v>
      </c>
      <c r="O2613" s="3" t="s">
        <v>9660</v>
      </c>
      <c r="P2613" s="3" t="s">
        <v>9661</v>
      </c>
      <c r="Q2613" s="3" t="s">
        <v>9662</v>
      </c>
      <c r="R2613" s="3" t="s">
        <v>9663</v>
      </c>
      <c r="S2613" s="3" t="s">
        <v>9664</v>
      </c>
      <c r="T2613" s="3" t="s">
        <v>9665</v>
      </c>
      <c r="U2613" s="3" t="s">
        <v>9666</v>
      </c>
      <c r="V2613" s="3" t="s">
        <v>9667</v>
      </c>
      <c r="W2613" s="3"/>
      <c r="X2613" s="3"/>
      <c r="Y2613" s="3"/>
      <c r="Z2613" s="3"/>
      <c r="AA2613" s="3"/>
      <c r="AB2613" s="3"/>
      <c r="AC2613" s="3"/>
      <c r="AD2613" s="3"/>
      <c r="AE2613" s="3"/>
      <c r="AF2613" s="3"/>
      <c r="AG2613" s="3"/>
      <c r="AH2613" s="3"/>
      <c r="AI2613" s="3"/>
      <c r="AJ2613" s="3"/>
      <c r="AK2613" s="3" t="s">
        <v>512</v>
      </c>
      <c r="AL2613" s="4">
        <v>43734</v>
      </c>
      <c r="AM2613" s="3"/>
      <c r="AN2613" s="3" t="s">
        <v>9668</v>
      </c>
    </row>
    <row r="2614" spans="1:40" ht="27.95" x14ac:dyDescent="0.3">
      <c r="A2614" s="3">
        <v>2608</v>
      </c>
      <c r="B2614" s="3" t="str">
        <f>"201400099926"</f>
        <v>201400099926</v>
      </c>
      <c r="C2614" s="3">
        <v>110867</v>
      </c>
      <c r="D2614" s="3" t="s">
        <v>9669</v>
      </c>
      <c r="E2614" s="3">
        <v>20393711974</v>
      </c>
      <c r="F2614" s="3" t="s">
        <v>978</v>
      </c>
      <c r="G2614" s="3" t="s">
        <v>9670</v>
      </c>
      <c r="H2614" s="3" t="s">
        <v>395</v>
      </c>
      <c r="I2614" s="3" t="s">
        <v>396</v>
      </c>
      <c r="J2614" s="3" t="s">
        <v>490</v>
      </c>
      <c r="K2614" s="3" t="s">
        <v>9671</v>
      </c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C2614" s="3"/>
      <c r="AD2614" s="3"/>
      <c r="AE2614" s="3"/>
      <c r="AF2614" s="3"/>
      <c r="AG2614" s="3"/>
      <c r="AH2614" s="3"/>
      <c r="AI2614" s="3"/>
      <c r="AJ2614" s="3"/>
      <c r="AK2614" s="3" t="s">
        <v>9672</v>
      </c>
      <c r="AL2614" s="4">
        <v>41866</v>
      </c>
      <c r="AM2614" s="3"/>
      <c r="AN2614" s="3" t="s">
        <v>982</v>
      </c>
    </row>
    <row r="2615" spans="1:40" x14ac:dyDescent="0.3">
      <c r="A2615" s="3">
        <v>2609</v>
      </c>
      <c r="B2615" s="3" t="str">
        <f>"1290514"</f>
        <v>1290514</v>
      </c>
      <c r="C2615" s="3">
        <v>19633</v>
      </c>
      <c r="D2615" s="3" t="s">
        <v>9673</v>
      </c>
      <c r="E2615" s="3">
        <v>10166416952</v>
      </c>
      <c r="F2615" s="3" t="s">
        <v>9674</v>
      </c>
      <c r="G2615" s="3" t="s">
        <v>9675</v>
      </c>
      <c r="H2615" s="3" t="s">
        <v>318</v>
      </c>
      <c r="I2615" s="3" t="s">
        <v>319</v>
      </c>
      <c r="J2615" s="3" t="s">
        <v>9676</v>
      </c>
      <c r="K2615" s="3" t="s">
        <v>9677</v>
      </c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  <c r="AC2615" s="3"/>
      <c r="AD2615" s="3"/>
      <c r="AE2615" s="3"/>
      <c r="AF2615" s="3"/>
      <c r="AG2615" s="3"/>
      <c r="AH2615" s="3"/>
      <c r="AI2615" s="3"/>
      <c r="AJ2615" s="3"/>
      <c r="AK2615" s="3" t="s">
        <v>1297</v>
      </c>
      <c r="AL2615" s="4">
        <v>36713</v>
      </c>
      <c r="AM2615" s="3"/>
      <c r="AN2615" s="3"/>
    </row>
    <row r="2616" spans="1:40" x14ac:dyDescent="0.3">
      <c r="A2616" s="3">
        <v>2610</v>
      </c>
      <c r="B2616" s="3" t="str">
        <f>"201500049258"</f>
        <v>201500049258</v>
      </c>
      <c r="C2616" s="3">
        <v>37288</v>
      </c>
      <c r="D2616" s="3" t="s">
        <v>9678</v>
      </c>
      <c r="E2616" s="3">
        <v>20102314698</v>
      </c>
      <c r="F2616" s="3" t="s">
        <v>1185</v>
      </c>
      <c r="G2616" s="3" t="s">
        <v>9679</v>
      </c>
      <c r="H2616" s="3" t="s">
        <v>50</v>
      </c>
      <c r="I2616" s="3" t="s">
        <v>50</v>
      </c>
      <c r="J2616" s="3" t="s">
        <v>50</v>
      </c>
      <c r="K2616" s="3" t="s">
        <v>9680</v>
      </c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  <c r="AC2616" s="3"/>
      <c r="AD2616" s="3"/>
      <c r="AE2616" s="3"/>
      <c r="AF2616" s="3"/>
      <c r="AG2616" s="3"/>
      <c r="AH2616" s="3"/>
      <c r="AI2616" s="3"/>
      <c r="AJ2616" s="3"/>
      <c r="AK2616" s="3" t="s">
        <v>9353</v>
      </c>
      <c r="AL2616" s="4">
        <v>42121</v>
      </c>
      <c r="AM2616" s="3"/>
      <c r="AN2616" s="3" t="s">
        <v>1189</v>
      </c>
    </row>
    <row r="2617" spans="1:40" x14ac:dyDescent="0.3">
      <c r="A2617" s="3">
        <v>2611</v>
      </c>
      <c r="B2617" s="3" t="str">
        <f>"201500075246"</f>
        <v>201500075246</v>
      </c>
      <c r="C2617" s="3">
        <v>115841</v>
      </c>
      <c r="D2617" s="3" t="s">
        <v>9681</v>
      </c>
      <c r="E2617" s="3">
        <v>20542206188</v>
      </c>
      <c r="F2617" s="3" t="s">
        <v>1717</v>
      </c>
      <c r="G2617" s="3" t="s">
        <v>9682</v>
      </c>
      <c r="H2617" s="3" t="s">
        <v>172</v>
      </c>
      <c r="I2617" s="3" t="s">
        <v>172</v>
      </c>
      <c r="J2617" s="3" t="s">
        <v>1719</v>
      </c>
      <c r="K2617" s="3" t="s">
        <v>9683</v>
      </c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C2617" s="3"/>
      <c r="AD2617" s="3"/>
      <c r="AE2617" s="3"/>
      <c r="AF2617" s="3"/>
      <c r="AG2617" s="3"/>
      <c r="AH2617" s="3"/>
      <c r="AI2617" s="3"/>
      <c r="AJ2617" s="3"/>
      <c r="AK2617" s="3" t="s">
        <v>5150</v>
      </c>
      <c r="AL2617" s="4">
        <v>42191</v>
      </c>
      <c r="AM2617" s="3"/>
      <c r="AN2617" s="3" t="s">
        <v>1722</v>
      </c>
    </row>
    <row r="2618" spans="1:40" ht="27.95" x14ac:dyDescent="0.3">
      <c r="A2618" s="3">
        <v>2612</v>
      </c>
      <c r="B2618" s="3" t="str">
        <f>"201600118820"</f>
        <v>201600118820</v>
      </c>
      <c r="C2618" s="3">
        <v>123303</v>
      </c>
      <c r="D2618" s="3" t="s">
        <v>9684</v>
      </c>
      <c r="E2618" s="3">
        <v>20532873283</v>
      </c>
      <c r="F2618" s="3" t="s">
        <v>9685</v>
      </c>
      <c r="G2618" s="3" t="s">
        <v>9638</v>
      </c>
      <c r="H2618" s="3" t="s">
        <v>216</v>
      </c>
      <c r="I2618" s="3" t="s">
        <v>216</v>
      </c>
      <c r="J2618" s="3" t="s">
        <v>216</v>
      </c>
      <c r="K2618" s="3" t="s">
        <v>9686</v>
      </c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C2618" s="3"/>
      <c r="AD2618" s="3"/>
      <c r="AE2618" s="3"/>
      <c r="AF2618" s="3"/>
      <c r="AG2618" s="3"/>
      <c r="AH2618" s="3"/>
      <c r="AI2618" s="3"/>
      <c r="AJ2618" s="3"/>
      <c r="AK2618" s="3" t="s">
        <v>3012</v>
      </c>
      <c r="AL2618" s="4">
        <v>42598</v>
      </c>
      <c r="AM2618" s="3"/>
      <c r="AN2618" s="3" t="s">
        <v>8817</v>
      </c>
    </row>
    <row r="2619" spans="1:40" ht="27.95" x14ac:dyDescent="0.3">
      <c r="A2619" s="3">
        <v>2613</v>
      </c>
      <c r="B2619" s="3" t="str">
        <f>"201600118826"</f>
        <v>201600118826</v>
      </c>
      <c r="C2619" s="3">
        <v>123301</v>
      </c>
      <c r="D2619" s="3" t="s">
        <v>9687</v>
      </c>
      <c r="E2619" s="3">
        <v>20532873283</v>
      </c>
      <c r="F2619" s="3" t="s">
        <v>9685</v>
      </c>
      <c r="G2619" s="3" t="s">
        <v>9688</v>
      </c>
      <c r="H2619" s="3" t="s">
        <v>216</v>
      </c>
      <c r="I2619" s="3" t="s">
        <v>216</v>
      </c>
      <c r="J2619" s="3" t="s">
        <v>216</v>
      </c>
      <c r="K2619" s="3" t="s">
        <v>9689</v>
      </c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  <c r="AC2619" s="3"/>
      <c r="AD2619" s="3"/>
      <c r="AE2619" s="3"/>
      <c r="AF2619" s="3"/>
      <c r="AG2619" s="3"/>
      <c r="AH2619" s="3"/>
      <c r="AI2619" s="3"/>
      <c r="AJ2619" s="3"/>
      <c r="AK2619" s="3" t="s">
        <v>5590</v>
      </c>
      <c r="AL2619" s="4">
        <v>42598</v>
      </c>
      <c r="AM2619" s="3"/>
      <c r="AN2619" s="3" t="s">
        <v>8817</v>
      </c>
    </row>
    <row r="2620" spans="1:40" x14ac:dyDescent="0.3">
      <c r="A2620" s="3">
        <v>2614</v>
      </c>
      <c r="B2620" s="3" t="str">
        <f>"1467495"</f>
        <v>1467495</v>
      </c>
      <c r="C2620" s="3">
        <v>34980</v>
      </c>
      <c r="D2620" s="3" t="s">
        <v>9690</v>
      </c>
      <c r="E2620" s="3">
        <v>10257760796</v>
      </c>
      <c r="F2620" s="3" t="s">
        <v>9691</v>
      </c>
      <c r="G2620" s="3" t="s">
        <v>9692</v>
      </c>
      <c r="H2620" s="3" t="s">
        <v>75</v>
      </c>
      <c r="I2620" s="3" t="s">
        <v>75</v>
      </c>
      <c r="J2620" s="3" t="s">
        <v>3874</v>
      </c>
      <c r="K2620" s="3" t="s">
        <v>9693</v>
      </c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C2620" s="3"/>
      <c r="AD2620" s="3"/>
      <c r="AE2620" s="3"/>
      <c r="AF2620" s="3"/>
      <c r="AG2620" s="3"/>
      <c r="AH2620" s="3"/>
      <c r="AI2620" s="3"/>
      <c r="AJ2620" s="3"/>
      <c r="AK2620" s="3" t="s">
        <v>81</v>
      </c>
      <c r="AL2620" s="4">
        <v>38133</v>
      </c>
      <c r="AM2620" s="3"/>
      <c r="AN2620" s="3"/>
    </row>
    <row r="2621" spans="1:40" ht="27.95" x14ac:dyDescent="0.3">
      <c r="A2621" s="3">
        <v>2615</v>
      </c>
      <c r="B2621" s="3" t="str">
        <f>"201600118823"</f>
        <v>201600118823</v>
      </c>
      <c r="C2621" s="3">
        <v>123302</v>
      </c>
      <c r="D2621" s="3" t="s">
        <v>9694</v>
      </c>
      <c r="E2621" s="3">
        <v>20532873283</v>
      </c>
      <c r="F2621" s="3" t="s">
        <v>9685</v>
      </c>
      <c r="G2621" s="3" t="s">
        <v>9695</v>
      </c>
      <c r="H2621" s="3" t="s">
        <v>216</v>
      </c>
      <c r="I2621" s="3" t="s">
        <v>216</v>
      </c>
      <c r="J2621" s="3" t="s">
        <v>216</v>
      </c>
      <c r="K2621" s="3" t="s">
        <v>9696</v>
      </c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C2621" s="3"/>
      <c r="AD2621" s="3"/>
      <c r="AE2621" s="3"/>
      <c r="AF2621" s="3"/>
      <c r="AG2621" s="3"/>
      <c r="AH2621" s="3"/>
      <c r="AI2621" s="3"/>
      <c r="AJ2621" s="3"/>
      <c r="AK2621" s="3" t="s">
        <v>5639</v>
      </c>
      <c r="AL2621" s="4">
        <v>42598</v>
      </c>
      <c r="AM2621" s="3"/>
      <c r="AN2621" s="3" t="s">
        <v>8817</v>
      </c>
    </row>
    <row r="2622" spans="1:40" ht="27.95" x14ac:dyDescent="0.3">
      <c r="A2622" s="3">
        <v>2616</v>
      </c>
      <c r="B2622" s="3" t="str">
        <f>"1515616"</f>
        <v>1515616</v>
      </c>
      <c r="C2622" s="3">
        <v>37095</v>
      </c>
      <c r="D2622" s="3" t="s">
        <v>9697</v>
      </c>
      <c r="E2622" s="3">
        <v>20100076749</v>
      </c>
      <c r="F2622" s="3" t="s">
        <v>159</v>
      </c>
      <c r="G2622" s="3" t="s">
        <v>2636</v>
      </c>
      <c r="H2622" s="3" t="s">
        <v>56</v>
      </c>
      <c r="I2622" s="3" t="s">
        <v>56</v>
      </c>
      <c r="J2622" s="3" t="s">
        <v>121</v>
      </c>
      <c r="K2622" s="3" t="s">
        <v>9698</v>
      </c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C2622" s="3"/>
      <c r="AD2622" s="3"/>
      <c r="AE2622" s="3"/>
      <c r="AF2622" s="3"/>
      <c r="AG2622" s="3"/>
      <c r="AH2622" s="3"/>
      <c r="AI2622" s="3"/>
      <c r="AJ2622" s="3"/>
      <c r="AK2622" s="3" t="s">
        <v>538</v>
      </c>
      <c r="AL2622" s="4">
        <v>38393</v>
      </c>
      <c r="AM2622" s="3"/>
      <c r="AN2622" s="3"/>
    </row>
    <row r="2623" spans="1:40" x14ac:dyDescent="0.3">
      <c r="A2623" s="3">
        <v>2617</v>
      </c>
      <c r="B2623" s="3" t="str">
        <f>"1473757"</f>
        <v>1473757</v>
      </c>
      <c r="C2623" s="3">
        <v>91546</v>
      </c>
      <c r="D2623" s="3" t="s">
        <v>9699</v>
      </c>
      <c r="E2623" s="3">
        <v>20121837634</v>
      </c>
      <c r="F2623" s="3" t="s">
        <v>866</v>
      </c>
      <c r="G2623" s="3" t="s">
        <v>9700</v>
      </c>
      <c r="H2623" s="3" t="s">
        <v>237</v>
      </c>
      <c r="I2623" s="3" t="s">
        <v>868</v>
      </c>
      <c r="J2623" s="3" t="s">
        <v>868</v>
      </c>
      <c r="K2623" s="3" t="s">
        <v>9701</v>
      </c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  <c r="AC2623" s="3"/>
      <c r="AD2623" s="3"/>
      <c r="AE2623" s="3"/>
      <c r="AF2623" s="3"/>
      <c r="AG2623" s="3"/>
      <c r="AH2623" s="3"/>
      <c r="AI2623" s="3"/>
      <c r="AJ2623" s="3"/>
      <c r="AK2623" s="3" t="s">
        <v>915</v>
      </c>
      <c r="AL2623" s="4">
        <v>40625</v>
      </c>
      <c r="AM2623" s="3"/>
      <c r="AN2623" s="3" t="s">
        <v>7645</v>
      </c>
    </row>
    <row r="2624" spans="1:40" ht="27.95" x14ac:dyDescent="0.3">
      <c r="A2624" s="3">
        <v>2618</v>
      </c>
      <c r="B2624" s="3" t="str">
        <f>"201900164583"</f>
        <v>201900164583</v>
      </c>
      <c r="C2624" s="3">
        <v>147053</v>
      </c>
      <c r="D2624" s="3" t="s">
        <v>9702</v>
      </c>
      <c r="E2624" s="3">
        <v>10435673649</v>
      </c>
      <c r="F2624" s="3" t="s">
        <v>9703</v>
      </c>
      <c r="G2624" s="3" t="s">
        <v>9704</v>
      </c>
      <c r="H2624" s="3" t="s">
        <v>56</v>
      </c>
      <c r="I2624" s="3" t="s">
        <v>56</v>
      </c>
      <c r="J2624" s="3" t="s">
        <v>1043</v>
      </c>
      <c r="K2624" s="3" t="s">
        <v>9705</v>
      </c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  <c r="AC2624" s="3"/>
      <c r="AD2624" s="3"/>
      <c r="AE2624" s="3"/>
      <c r="AF2624" s="3"/>
      <c r="AG2624" s="3"/>
      <c r="AH2624" s="3"/>
      <c r="AI2624" s="3"/>
      <c r="AJ2624" s="3"/>
      <c r="AK2624" s="3" t="s">
        <v>3028</v>
      </c>
      <c r="AL2624" s="4">
        <v>43756</v>
      </c>
      <c r="AM2624" s="3"/>
      <c r="AN2624" s="3" t="s">
        <v>9706</v>
      </c>
    </row>
    <row r="2625" spans="1:40" x14ac:dyDescent="0.3">
      <c r="A2625" s="3">
        <v>2619</v>
      </c>
      <c r="B2625" s="3" t="str">
        <f>"1585452"</f>
        <v>1585452</v>
      </c>
      <c r="C2625" s="3">
        <v>42157</v>
      </c>
      <c r="D2625" s="3" t="s">
        <v>9707</v>
      </c>
      <c r="E2625" s="3">
        <v>10005125931</v>
      </c>
      <c r="F2625" s="3" t="s">
        <v>9708</v>
      </c>
      <c r="G2625" s="3" t="s">
        <v>9709</v>
      </c>
      <c r="H2625" s="3" t="s">
        <v>56</v>
      </c>
      <c r="I2625" s="3" t="s">
        <v>56</v>
      </c>
      <c r="J2625" s="3" t="s">
        <v>838</v>
      </c>
      <c r="K2625" s="3" t="s">
        <v>9710</v>
      </c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C2625" s="3"/>
      <c r="AD2625" s="3"/>
      <c r="AE2625" s="3"/>
      <c r="AF2625" s="3"/>
      <c r="AG2625" s="3"/>
      <c r="AH2625" s="3"/>
      <c r="AI2625" s="3"/>
      <c r="AJ2625" s="3"/>
      <c r="AK2625" s="3" t="s">
        <v>7335</v>
      </c>
      <c r="AL2625" s="4">
        <v>38741</v>
      </c>
      <c r="AM2625" s="3"/>
      <c r="AN2625" s="3"/>
    </row>
    <row r="2626" spans="1:40" x14ac:dyDescent="0.3">
      <c r="A2626" s="3">
        <v>2620</v>
      </c>
      <c r="B2626" s="3" t="str">
        <f>"201200196933"</f>
        <v>201200196933</v>
      </c>
      <c r="C2626" s="3">
        <v>99027</v>
      </c>
      <c r="D2626" s="3" t="s">
        <v>9711</v>
      </c>
      <c r="E2626" s="3">
        <v>10411096942</v>
      </c>
      <c r="F2626" s="3" t="s">
        <v>9712</v>
      </c>
      <c r="G2626" s="3" t="s">
        <v>9713</v>
      </c>
      <c r="H2626" s="3" t="s">
        <v>222</v>
      </c>
      <c r="I2626" s="3" t="s">
        <v>222</v>
      </c>
      <c r="J2626" s="3" t="s">
        <v>222</v>
      </c>
      <c r="K2626" s="3" t="s">
        <v>9714</v>
      </c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C2626" s="3"/>
      <c r="AD2626" s="3"/>
      <c r="AE2626" s="3"/>
      <c r="AF2626" s="3"/>
      <c r="AG2626" s="3"/>
      <c r="AH2626" s="3"/>
      <c r="AI2626" s="3"/>
      <c r="AJ2626" s="3"/>
      <c r="AK2626" s="3" t="s">
        <v>157</v>
      </c>
      <c r="AL2626" s="4">
        <v>41232</v>
      </c>
      <c r="AM2626" s="3"/>
      <c r="AN2626" s="3" t="s">
        <v>9712</v>
      </c>
    </row>
    <row r="2627" spans="1:40" ht="27.95" x14ac:dyDescent="0.3">
      <c r="A2627" s="3">
        <v>2621</v>
      </c>
      <c r="B2627" s="3" t="str">
        <f>"201100153141"</f>
        <v>201100153141</v>
      </c>
      <c r="C2627" s="3">
        <v>94152</v>
      </c>
      <c r="D2627" s="3" t="s">
        <v>9715</v>
      </c>
      <c r="E2627" s="3">
        <v>29566243</v>
      </c>
      <c r="F2627" s="3" t="s">
        <v>9716</v>
      </c>
      <c r="G2627" s="3" t="s">
        <v>9717</v>
      </c>
      <c r="H2627" s="3" t="s">
        <v>97</v>
      </c>
      <c r="I2627" s="3" t="s">
        <v>97</v>
      </c>
      <c r="J2627" s="3" t="s">
        <v>2039</v>
      </c>
      <c r="K2627" s="3" t="s">
        <v>9718</v>
      </c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  <c r="AC2627" s="3"/>
      <c r="AD2627" s="3"/>
      <c r="AE2627" s="3"/>
      <c r="AF2627" s="3"/>
      <c r="AG2627" s="3"/>
      <c r="AH2627" s="3"/>
      <c r="AI2627" s="3"/>
      <c r="AJ2627" s="3"/>
      <c r="AK2627" s="3" t="s">
        <v>226</v>
      </c>
      <c r="AL2627" s="4">
        <v>40883</v>
      </c>
      <c r="AM2627" s="3"/>
      <c r="AN2627" s="3" t="s">
        <v>9716</v>
      </c>
    </row>
    <row r="2628" spans="1:40" ht="27.95" x14ac:dyDescent="0.3">
      <c r="A2628" s="3">
        <v>2622</v>
      </c>
      <c r="B2628" s="3" t="str">
        <f>"201900164076"</f>
        <v>201900164076</v>
      </c>
      <c r="C2628" s="3">
        <v>146715</v>
      </c>
      <c r="D2628" s="3" t="s">
        <v>9719</v>
      </c>
      <c r="E2628" s="3">
        <v>20547314426</v>
      </c>
      <c r="F2628" s="3" t="s">
        <v>1202</v>
      </c>
      <c r="G2628" s="3" t="s">
        <v>9720</v>
      </c>
      <c r="H2628" s="3" t="s">
        <v>56</v>
      </c>
      <c r="I2628" s="3" t="s">
        <v>56</v>
      </c>
      <c r="J2628" s="3" t="s">
        <v>273</v>
      </c>
      <c r="K2628" s="3" t="s">
        <v>9721</v>
      </c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  <c r="AC2628" s="3"/>
      <c r="AD2628" s="3"/>
      <c r="AE2628" s="3"/>
      <c r="AF2628" s="3"/>
      <c r="AG2628" s="3"/>
      <c r="AH2628" s="3"/>
      <c r="AI2628" s="3"/>
      <c r="AJ2628" s="3"/>
      <c r="AK2628" s="3" t="s">
        <v>321</v>
      </c>
      <c r="AL2628" s="4">
        <v>43755</v>
      </c>
      <c r="AM2628" s="3"/>
      <c r="AN2628" s="3" t="s">
        <v>1039</v>
      </c>
    </row>
    <row r="2629" spans="1:40" x14ac:dyDescent="0.3">
      <c r="A2629" s="3">
        <v>2623</v>
      </c>
      <c r="B2629" s="3" t="str">
        <f>"1111275"</f>
        <v>1111275</v>
      </c>
      <c r="C2629" s="3">
        <v>6616</v>
      </c>
      <c r="D2629" s="3">
        <v>977307</v>
      </c>
      <c r="E2629" s="3">
        <v>20122113761</v>
      </c>
      <c r="F2629" s="3" t="s">
        <v>3850</v>
      </c>
      <c r="G2629" s="3" t="s">
        <v>9722</v>
      </c>
      <c r="H2629" s="3" t="s">
        <v>56</v>
      </c>
      <c r="I2629" s="3" t="s">
        <v>56</v>
      </c>
      <c r="J2629" s="3" t="s">
        <v>63</v>
      </c>
      <c r="K2629" s="3" t="s">
        <v>9723</v>
      </c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C2629" s="3"/>
      <c r="AD2629" s="3"/>
      <c r="AE2629" s="3"/>
      <c r="AF2629" s="3"/>
      <c r="AG2629" s="3"/>
      <c r="AH2629" s="3"/>
      <c r="AI2629" s="3"/>
      <c r="AJ2629" s="3"/>
      <c r="AK2629" s="3" t="s">
        <v>851</v>
      </c>
      <c r="AL2629" s="4">
        <v>35506</v>
      </c>
      <c r="AM2629" s="3"/>
      <c r="AN2629" s="3"/>
    </row>
    <row r="2630" spans="1:40" x14ac:dyDescent="0.3">
      <c r="A2630" s="3">
        <v>2624</v>
      </c>
      <c r="B2630" s="3" t="str">
        <f>"201600043136"</f>
        <v>201600043136</v>
      </c>
      <c r="C2630" s="3">
        <v>92552</v>
      </c>
      <c r="D2630" s="3" t="s">
        <v>9724</v>
      </c>
      <c r="E2630" s="3">
        <v>20100366747</v>
      </c>
      <c r="F2630" s="3" t="s">
        <v>334</v>
      </c>
      <c r="G2630" s="3" t="s">
        <v>451</v>
      </c>
      <c r="H2630" s="3" t="s">
        <v>56</v>
      </c>
      <c r="I2630" s="3" t="s">
        <v>56</v>
      </c>
      <c r="J2630" s="3" t="s">
        <v>185</v>
      </c>
      <c r="K2630" s="3" t="s">
        <v>9725</v>
      </c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C2630" s="3"/>
      <c r="AD2630" s="3"/>
      <c r="AE2630" s="3"/>
      <c r="AF2630" s="3"/>
      <c r="AG2630" s="3"/>
      <c r="AH2630" s="3"/>
      <c r="AI2630" s="3"/>
      <c r="AJ2630" s="3"/>
      <c r="AK2630" s="3" t="s">
        <v>1297</v>
      </c>
      <c r="AL2630" s="4">
        <v>42481</v>
      </c>
      <c r="AM2630" s="3"/>
      <c r="AN2630" s="3" t="s">
        <v>262</v>
      </c>
    </row>
    <row r="2631" spans="1:40" x14ac:dyDescent="0.3">
      <c r="A2631" s="3">
        <v>2625</v>
      </c>
      <c r="B2631" s="3" t="str">
        <f>"201600017992"</f>
        <v>201600017992</v>
      </c>
      <c r="C2631" s="3">
        <v>119820</v>
      </c>
      <c r="D2631" s="3" t="s">
        <v>9726</v>
      </c>
      <c r="E2631" s="3">
        <v>10438427070</v>
      </c>
      <c r="F2631" s="3" t="s">
        <v>9727</v>
      </c>
      <c r="G2631" s="3" t="s">
        <v>9728</v>
      </c>
      <c r="H2631" s="3" t="s">
        <v>75</v>
      </c>
      <c r="I2631" s="3" t="s">
        <v>75</v>
      </c>
      <c r="J2631" s="3" t="s">
        <v>9729</v>
      </c>
      <c r="K2631" s="3" t="s">
        <v>9730</v>
      </c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  <c r="AC2631" s="3"/>
      <c r="AD2631" s="3"/>
      <c r="AE2631" s="3"/>
      <c r="AF2631" s="3"/>
      <c r="AG2631" s="3"/>
      <c r="AH2631" s="3"/>
      <c r="AI2631" s="3"/>
      <c r="AJ2631" s="3"/>
      <c r="AK2631" s="3" t="s">
        <v>546</v>
      </c>
      <c r="AL2631" s="4">
        <v>42439</v>
      </c>
      <c r="AM2631" s="3"/>
      <c r="AN2631" s="3" t="s">
        <v>9727</v>
      </c>
    </row>
    <row r="2632" spans="1:40" ht="27.95" x14ac:dyDescent="0.3">
      <c r="A2632" s="3">
        <v>2626</v>
      </c>
      <c r="B2632" s="3" t="str">
        <f>"1965887"</f>
        <v>1965887</v>
      </c>
      <c r="C2632" s="3">
        <v>85628</v>
      </c>
      <c r="D2632" s="3" t="s">
        <v>9731</v>
      </c>
      <c r="E2632" s="3">
        <v>10042000731</v>
      </c>
      <c r="F2632" s="3" t="s">
        <v>9732</v>
      </c>
      <c r="G2632" s="3" t="s">
        <v>9733</v>
      </c>
      <c r="H2632" s="3" t="s">
        <v>1946</v>
      </c>
      <c r="I2632" s="3" t="s">
        <v>9734</v>
      </c>
      <c r="J2632" s="3" t="s">
        <v>9735</v>
      </c>
      <c r="K2632" s="3" t="s">
        <v>9736</v>
      </c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  <c r="AC2632" s="3"/>
      <c r="AD2632" s="3"/>
      <c r="AE2632" s="3"/>
      <c r="AF2632" s="3"/>
      <c r="AG2632" s="3"/>
      <c r="AH2632" s="3"/>
      <c r="AI2632" s="3"/>
      <c r="AJ2632" s="3"/>
      <c r="AK2632" s="3" t="s">
        <v>9737</v>
      </c>
      <c r="AL2632" s="4">
        <v>40220</v>
      </c>
      <c r="AM2632" s="3"/>
      <c r="AN2632" s="3"/>
    </row>
    <row r="2633" spans="1:40" x14ac:dyDescent="0.3">
      <c r="A2633" s="3">
        <v>2627</v>
      </c>
      <c r="B2633" s="3" t="str">
        <f>"1199358"</f>
        <v>1199358</v>
      </c>
      <c r="C2633" s="3">
        <v>14840</v>
      </c>
      <c r="D2633" s="3">
        <v>1199358</v>
      </c>
      <c r="E2633" s="3">
        <v>10005019848</v>
      </c>
      <c r="F2633" s="3" t="s">
        <v>9738</v>
      </c>
      <c r="G2633" s="3" t="s">
        <v>6507</v>
      </c>
      <c r="H2633" s="3" t="s">
        <v>202</v>
      </c>
      <c r="I2633" s="3" t="s">
        <v>202</v>
      </c>
      <c r="J2633" s="3" t="s">
        <v>202</v>
      </c>
      <c r="K2633" s="3" t="s">
        <v>9739</v>
      </c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C2633" s="3"/>
      <c r="AD2633" s="3"/>
      <c r="AE2633" s="3"/>
      <c r="AF2633" s="3"/>
      <c r="AG2633" s="3"/>
      <c r="AH2633" s="3"/>
      <c r="AI2633" s="3"/>
      <c r="AJ2633" s="3"/>
      <c r="AK2633" s="3" t="s">
        <v>226</v>
      </c>
      <c r="AL2633" s="4">
        <v>36026</v>
      </c>
      <c r="AM2633" s="3"/>
      <c r="AN2633" s="3"/>
    </row>
    <row r="2634" spans="1:40" x14ac:dyDescent="0.3">
      <c r="A2634" s="3">
        <v>2628</v>
      </c>
      <c r="B2634" s="3" t="str">
        <f>"1317617"</f>
        <v>1317617</v>
      </c>
      <c r="C2634" s="3">
        <v>18174</v>
      </c>
      <c r="D2634" s="3" t="s">
        <v>9740</v>
      </c>
      <c r="E2634" s="3">
        <v>20100366747</v>
      </c>
      <c r="F2634" s="3" t="s">
        <v>258</v>
      </c>
      <c r="G2634" s="3" t="s">
        <v>1055</v>
      </c>
      <c r="H2634" s="3" t="s">
        <v>56</v>
      </c>
      <c r="I2634" s="3" t="s">
        <v>56</v>
      </c>
      <c r="J2634" s="3" t="s">
        <v>185</v>
      </c>
      <c r="K2634" s="3" t="s">
        <v>9741</v>
      </c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C2634" s="3"/>
      <c r="AD2634" s="3"/>
      <c r="AE2634" s="3"/>
      <c r="AF2634" s="3"/>
      <c r="AG2634" s="3"/>
      <c r="AH2634" s="3"/>
      <c r="AI2634" s="3"/>
      <c r="AJ2634" s="3"/>
      <c r="AK2634" s="3" t="s">
        <v>546</v>
      </c>
      <c r="AL2634" s="4">
        <v>37004</v>
      </c>
      <c r="AM2634" s="3"/>
      <c r="AN2634" s="3"/>
    </row>
    <row r="2635" spans="1:40" x14ac:dyDescent="0.3">
      <c r="A2635" s="3">
        <v>2629</v>
      </c>
      <c r="B2635" s="3" t="str">
        <f>"1317618"</f>
        <v>1317618</v>
      </c>
      <c r="C2635" s="3">
        <v>2343</v>
      </c>
      <c r="D2635" s="3" t="s">
        <v>9742</v>
      </c>
      <c r="E2635" s="3">
        <v>20100572649</v>
      </c>
      <c r="F2635" s="3" t="s">
        <v>1316</v>
      </c>
      <c r="G2635" s="3" t="s">
        <v>1317</v>
      </c>
      <c r="H2635" s="3" t="s">
        <v>56</v>
      </c>
      <c r="I2635" s="3" t="s">
        <v>56</v>
      </c>
      <c r="J2635" s="3" t="s">
        <v>56</v>
      </c>
      <c r="K2635" s="3" t="s">
        <v>9743</v>
      </c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  <c r="AC2635" s="3"/>
      <c r="AD2635" s="3"/>
      <c r="AE2635" s="3"/>
      <c r="AF2635" s="3"/>
      <c r="AG2635" s="3"/>
      <c r="AH2635" s="3"/>
      <c r="AI2635" s="3"/>
      <c r="AJ2635" s="3"/>
      <c r="AK2635" s="3" t="s">
        <v>583</v>
      </c>
      <c r="AL2635" s="4">
        <v>37004</v>
      </c>
      <c r="AM2635" s="3"/>
      <c r="AN2635" s="3"/>
    </row>
    <row r="2636" spans="1:40" x14ac:dyDescent="0.3">
      <c r="A2636" s="3">
        <v>2630</v>
      </c>
      <c r="B2636" s="3" t="str">
        <f>"1317619"</f>
        <v>1317619</v>
      </c>
      <c r="C2636" s="3">
        <v>3601</v>
      </c>
      <c r="D2636" s="3" t="s">
        <v>9744</v>
      </c>
      <c r="E2636" s="3">
        <v>20100366747</v>
      </c>
      <c r="F2636" s="3" t="s">
        <v>258</v>
      </c>
      <c r="G2636" s="3" t="s">
        <v>1055</v>
      </c>
      <c r="H2636" s="3" t="s">
        <v>56</v>
      </c>
      <c r="I2636" s="3" t="s">
        <v>56</v>
      </c>
      <c r="J2636" s="3" t="s">
        <v>185</v>
      </c>
      <c r="K2636" s="3" t="s">
        <v>9745</v>
      </c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  <c r="AC2636" s="3"/>
      <c r="AD2636" s="3"/>
      <c r="AE2636" s="3"/>
      <c r="AF2636" s="3"/>
      <c r="AG2636" s="3"/>
      <c r="AH2636" s="3"/>
      <c r="AI2636" s="3"/>
      <c r="AJ2636" s="3"/>
      <c r="AK2636" s="3" t="s">
        <v>65</v>
      </c>
      <c r="AL2636" s="4">
        <v>37004</v>
      </c>
      <c r="AM2636" s="3"/>
      <c r="AN2636" s="3"/>
    </row>
    <row r="2637" spans="1:40" x14ac:dyDescent="0.3">
      <c r="A2637" s="3">
        <v>2631</v>
      </c>
      <c r="B2637" s="3" t="str">
        <f>"1317615"</f>
        <v>1317615</v>
      </c>
      <c r="C2637" s="3">
        <v>2350</v>
      </c>
      <c r="D2637" s="3" t="s">
        <v>9746</v>
      </c>
      <c r="E2637" s="3">
        <v>20100366747</v>
      </c>
      <c r="F2637" s="3" t="s">
        <v>258</v>
      </c>
      <c r="G2637" s="3" t="s">
        <v>1055</v>
      </c>
      <c r="H2637" s="3" t="s">
        <v>56</v>
      </c>
      <c r="I2637" s="3" t="s">
        <v>56</v>
      </c>
      <c r="J2637" s="3" t="s">
        <v>4324</v>
      </c>
      <c r="K2637" s="3" t="s">
        <v>9747</v>
      </c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C2637" s="3"/>
      <c r="AD2637" s="3"/>
      <c r="AE2637" s="3"/>
      <c r="AF2637" s="3"/>
      <c r="AG2637" s="3"/>
      <c r="AH2637" s="3"/>
      <c r="AI2637" s="3"/>
      <c r="AJ2637" s="3"/>
      <c r="AK2637" s="3" t="s">
        <v>81</v>
      </c>
      <c r="AL2637" s="4">
        <v>37005</v>
      </c>
      <c r="AM2637" s="3"/>
      <c r="AN2637" s="3"/>
    </row>
    <row r="2638" spans="1:40" x14ac:dyDescent="0.3">
      <c r="A2638" s="3">
        <v>2632</v>
      </c>
      <c r="B2638" s="3" t="str">
        <f>"1317616"</f>
        <v>1317616</v>
      </c>
      <c r="C2638" s="3">
        <v>19228</v>
      </c>
      <c r="D2638" s="3" t="s">
        <v>9748</v>
      </c>
      <c r="E2638" s="3">
        <v>20100366747</v>
      </c>
      <c r="F2638" s="3" t="s">
        <v>258</v>
      </c>
      <c r="G2638" s="3" t="s">
        <v>1055</v>
      </c>
      <c r="H2638" s="3" t="s">
        <v>56</v>
      </c>
      <c r="I2638" s="3" t="s">
        <v>56</v>
      </c>
      <c r="J2638" s="3" t="s">
        <v>185</v>
      </c>
      <c r="K2638" s="3" t="s">
        <v>9749</v>
      </c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C2638" s="3"/>
      <c r="AD2638" s="3"/>
      <c r="AE2638" s="3"/>
      <c r="AF2638" s="3"/>
      <c r="AG2638" s="3"/>
      <c r="AH2638" s="3"/>
      <c r="AI2638" s="3"/>
      <c r="AJ2638" s="3"/>
      <c r="AK2638" s="3" t="s">
        <v>634</v>
      </c>
      <c r="AL2638" s="4">
        <v>37004</v>
      </c>
      <c r="AM2638" s="3"/>
      <c r="AN2638" s="3"/>
    </row>
    <row r="2639" spans="1:40" x14ac:dyDescent="0.3">
      <c r="A2639" s="3">
        <v>2633</v>
      </c>
      <c r="B2639" s="3" t="str">
        <f>"1317610"</f>
        <v>1317610</v>
      </c>
      <c r="C2639" s="3">
        <v>2761</v>
      </c>
      <c r="D2639" s="3" t="s">
        <v>9750</v>
      </c>
      <c r="E2639" s="3">
        <v>20100366747</v>
      </c>
      <c r="F2639" s="3" t="s">
        <v>258</v>
      </c>
      <c r="G2639" s="3" t="s">
        <v>1055</v>
      </c>
      <c r="H2639" s="3" t="s">
        <v>56</v>
      </c>
      <c r="I2639" s="3" t="s">
        <v>56</v>
      </c>
      <c r="J2639" s="3" t="s">
        <v>185</v>
      </c>
      <c r="K2639" s="3" t="s">
        <v>9751</v>
      </c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  <c r="AC2639" s="3"/>
      <c r="AD2639" s="3"/>
      <c r="AE2639" s="3"/>
      <c r="AF2639" s="3"/>
      <c r="AG2639" s="3"/>
      <c r="AH2639" s="3"/>
      <c r="AI2639" s="3"/>
      <c r="AJ2639" s="3"/>
      <c r="AK2639" s="3" t="s">
        <v>187</v>
      </c>
      <c r="AL2639" s="4">
        <v>37005</v>
      </c>
      <c r="AM2639" s="3"/>
      <c r="AN2639" s="3"/>
    </row>
    <row r="2640" spans="1:40" x14ac:dyDescent="0.3">
      <c r="A2640" s="3">
        <v>2634</v>
      </c>
      <c r="B2640" s="3" t="str">
        <f>"1473728"</f>
        <v>1473728</v>
      </c>
      <c r="C2640" s="3">
        <v>34627</v>
      </c>
      <c r="D2640" s="3" t="s">
        <v>9752</v>
      </c>
      <c r="E2640" s="3">
        <v>10095234882</v>
      </c>
      <c r="F2640" s="3" t="s">
        <v>9753</v>
      </c>
      <c r="G2640" s="3" t="s">
        <v>9754</v>
      </c>
      <c r="H2640" s="3" t="s">
        <v>56</v>
      </c>
      <c r="I2640" s="3" t="s">
        <v>56</v>
      </c>
      <c r="J2640" s="3" t="s">
        <v>69</v>
      </c>
      <c r="K2640" s="3" t="s">
        <v>9755</v>
      </c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  <c r="AC2640" s="3"/>
      <c r="AD2640" s="3"/>
      <c r="AE2640" s="3"/>
      <c r="AF2640" s="3"/>
      <c r="AG2640" s="3"/>
      <c r="AH2640" s="3"/>
      <c r="AI2640" s="3"/>
      <c r="AJ2640" s="3"/>
      <c r="AK2640" s="3" t="s">
        <v>187</v>
      </c>
      <c r="AL2640" s="4">
        <v>38209</v>
      </c>
      <c r="AM2640" s="3"/>
      <c r="AN2640" s="3"/>
    </row>
    <row r="2641" spans="1:40" x14ac:dyDescent="0.3">
      <c r="A2641" s="3">
        <v>2635</v>
      </c>
      <c r="B2641" s="3" t="str">
        <f>"1304185"</f>
        <v>1304185</v>
      </c>
      <c r="C2641" s="3">
        <v>20614</v>
      </c>
      <c r="D2641" s="3">
        <v>1304185</v>
      </c>
      <c r="E2641" s="3">
        <v>20101024645</v>
      </c>
      <c r="F2641" s="3" t="s">
        <v>9756</v>
      </c>
      <c r="G2641" s="3" t="s">
        <v>9757</v>
      </c>
      <c r="H2641" s="3" t="s">
        <v>56</v>
      </c>
      <c r="I2641" s="3" t="s">
        <v>56</v>
      </c>
      <c r="J2641" s="3" t="s">
        <v>4447</v>
      </c>
      <c r="K2641" s="3" t="s">
        <v>9758</v>
      </c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C2641" s="3"/>
      <c r="AD2641" s="3"/>
      <c r="AE2641" s="3"/>
      <c r="AF2641" s="3"/>
      <c r="AG2641" s="3"/>
      <c r="AH2641" s="3"/>
      <c r="AI2641" s="3"/>
      <c r="AJ2641" s="3"/>
      <c r="AK2641" s="3" t="s">
        <v>81</v>
      </c>
      <c r="AL2641" s="4">
        <v>36886</v>
      </c>
      <c r="AM2641" s="3"/>
      <c r="AN2641" s="3"/>
    </row>
    <row r="2642" spans="1:40" ht="27.95" x14ac:dyDescent="0.3">
      <c r="A2642" s="3">
        <v>2636</v>
      </c>
      <c r="B2642" s="3" t="str">
        <f>"201200018324"</f>
        <v>201200018324</v>
      </c>
      <c r="C2642" s="3">
        <v>95795</v>
      </c>
      <c r="D2642" s="3" t="s">
        <v>9759</v>
      </c>
      <c r="E2642" s="3">
        <v>20516822202</v>
      </c>
      <c r="F2642" s="3" t="s">
        <v>1850</v>
      </c>
      <c r="G2642" s="3" t="s">
        <v>4199</v>
      </c>
      <c r="H2642" s="3" t="s">
        <v>56</v>
      </c>
      <c r="I2642" s="3" t="s">
        <v>56</v>
      </c>
      <c r="J2642" s="3" t="s">
        <v>185</v>
      </c>
      <c r="K2642" s="3" t="s">
        <v>9760</v>
      </c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C2642" s="3"/>
      <c r="AD2642" s="3"/>
      <c r="AE2642" s="3"/>
      <c r="AF2642" s="3"/>
      <c r="AG2642" s="3"/>
      <c r="AH2642" s="3"/>
      <c r="AI2642" s="3"/>
      <c r="AJ2642" s="3"/>
      <c r="AK2642" s="3" t="s">
        <v>7324</v>
      </c>
      <c r="AL2642" s="4">
        <v>40955</v>
      </c>
      <c r="AM2642" s="3"/>
      <c r="AN2642" s="3" t="s">
        <v>1853</v>
      </c>
    </row>
    <row r="2643" spans="1:40" x14ac:dyDescent="0.3">
      <c r="A2643" s="3">
        <v>2637</v>
      </c>
      <c r="B2643" s="3" t="str">
        <f>"201400129738"</f>
        <v>201400129738</v>
      </c>
      <c r="C2643" s="3">
        <v>6495</v>
      </c>
      <c r="D2643" s="3" t="s">
        <v>9761</v>
      </c>
      <c r="E2643" s="3">
        <v>10452662774</v>
      </c>
      <c r="F2643" s="3" t="s">
        <v>9762</v>
      </c>
      <c r="G2643" s="3" t="s">
        <v>9763</v>
      </c>
      <c r="H2643" s="3" t="s">
        <v>44</v>
      </c>
      <c r="I2643" s="3" t="s">
        <v>6716</v>
      </c>
      <c r="J2643" s="3" t="s">
        <v>6716</v>
      </c>
      <c r="K2643" s="3" t="s">
        <v>9764</v>
      </c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  <c r="AC2643" s="3"/>
      <c r="AD2643" s="3"/>
      <c r="AE2643" s="3"/>
      <c r="AF2643" s="3"/>
      <c r="AG2643" s="3"/>
      <c r="AH2643" s="3"/>
      <c r="AI2643" s="3"/>
      <c r="AJ2643" s="3"/>
      <c r="AK2643" s="3" t="s">
        <v>546</v>
      </c>
      <c r="AL2643" s="4">
        <v>41933</v>
      </c>
      <c r="AM2643" s="3"/>
      <c r="AN2643" s="3" t="s">
        <v>9762</v>
      </c>
    </row>
    <row r="2644" spans="1:40" x14ac:dyDescent="0.3">
      <c r="A2644" s="3">
        <v>2638</v>
      </c>
      <c r="B2644" s="3" t="str">
        <f>"1753537"</f>
        <v>1753537</v>
      </c>
      <c r="C2644" s="3">
        <v>62327</v>
      </c>
      <c r="D2644" s="3" t="s">
        <v>9765</v>
      </c>
      <c r="E2644" s="3">
        <v>20121837634</v>
      </c>
      <c r="F2644" s="3" t="s">
        <v>8224</v>
      </c>
      <c r="G2644" s="3" t="s">
        <v>1624</v>
      </c>
      <c r="H2644" s="3" t="s">
        <v>237</v>
      </c>
      <c r="I2644" s="3" t="s">
        <v>868</v>
      </c>
      <c r="J2644" s="3" t="s">
        <v>869</v>
      </c>
      <c r="K2644" s="3" t="s">
        <v>9766</v>
      </c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  <c r="AC2644" s="3"/>
      <c r="AD2644" s="3"/>
      <c r="AE2644" s="3"/>
      <c r="AF2644" s="3"/>
      <c r="AG2644" s="3"/>
      <c r="AH2644" s="3"/>
      <c r="AI2644" s="3"/>
      <c r="AJ2644" s="3"/>
      <c r="AK2644" s="3" t="s">
        <v>9767</v>
      </c>
      <c r="AL2644" s="4">
        <v>39463</v>
      </c>
      <c r="AM2644" s="3"/>
      <c r="AN2644" s="3"/>
    </row>
    <row r="2645" spans="1:40" x14ac:dyDescent="0.3">
      <c r="A2645" s="3">
        <v>2639</v>
      </c>
      <c r="B2645" s="3" t="str">
        <f>"1887476"</f>
        <v>1887476</v>
      </c>
      <c r="C2645" s="3">
        <v>82399</v>
      </c>
      <c r="D2645" s="3" t="s">
        <v>9768</v>
      </c>
      <c r="E2645" s="3">
        <v>10253084753</v>
      </c>
      <c r="F2645" s="3" t="s">
        <v>9769</v>
      </c>
      <c r="G2645" s="3" t="s">
        <v>9770</v>
      </c>
      <c r="H2645" s="3" t="s">
        <v>97</v>
      </c>
      <c r="I2645" s="3" t="s">
        <v>97</v>
      </c>
      <c r="J2645" s="3" t="s">
        <v>254</v>
      </c>
      <c r="K2645" s="3" t="s">
        <v>9771</v>
      </c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C2645" s="3"/>
      <c r="AD2645" s="3"/>
      <c r="AE2645" s="3"/>
      <c r="AF2645" s="3"/>
      <c r="AG2645" s="3"/>
      <c r="AH2645" s="3"/>
      <c r="AI2645" s="3"/>
      <c r="AJ2645" s="3"/>
      <c r="AK2645" s="3" t="s">
        <v>504</v>
      </c>
      <c r="AL2645" s="4">
        <v>39954</v>
      </c>
      <c r="AM2645" s="3"/>
      <c r="AN2645" s="3"/>
    </row>
    <row r="2646" spans="1:40" x14ac:dyDescent="0.3">
      <c r="A2646" s="3">
        <v>2640</v>
      </c>
      <c r="B2646" s="3" t="str">
        <f>"1386193"</f>
        <v>1386193</v>
      </c>
      <c r="C2646" s="3">
        <v>86566</v>
      </c>
      <c r="D2646" s="3" t="s">
        <v>9772</v>
      </c>
      <c r="E2646" s="3">
        <v>20229089103</v>
      </c>
      <c r="F2646" s="3" t="s">
        <v>9773</v>
      </c>
      <c r="G2646" s="3" t="s">
        <v>9774</v>
      </c>
      <c r="H2646" s="3" t="s">
        <v>97</v>
      </c>
      <c r="I2646" s="3" t="s">
        <v>97</v>
      </c>
      <c r="J2646" s="3" t="s">
        <v>417</v>
      </c>
      <c r="K2646" s="3" t="s">
        <v>9775</v>
      </c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C2646" s="3"/>
      <c r="AD2646" s="3"/>
      <c r="AE2646" s="3"/>
      <c r="AF2646" s="3"/>
      <c r="AG2646" s="3"/>
      <c r="AH2646" s="3"/>
      <c r="AI2646" s="3"/>
      <c r="AJ2646" s="3"/>
      <c r="AK2646" s="3" t="s">
        <v>655</v>
      </c>
      <c r="AL2646" s="4">
        <v>40386</v>
      </c>
      <c r="AM2646" s="3"/>
      <c r="AN2646" s="3" t="s">
        <v>8947</v>
      </c>
    </row>
    <row r="2647" spans="1:40" ht="27.95" x14ac:dyDescent="0.3">
      <c r="A2647" s="3">
        <v>2641</v>
      </c>
      <c r="B2647" s="3" t="str">
        <f>"201600118809"</f>
        <v>201600118809</v>
      </c>
      <c r="C2647" s="3">
        <v>123305</v>
      </c>
      <c r="D2647" s="3" t="s">
        <v>9776</v>
      </c>
      <c r="E2647" s="3">
        <v>20532873283</v>
      </c>
      <c r="F2647" s="3" t="s">
        <v>8813</v>
      </c>
      <c r="G2647" s="3" t="s">
        <v>8814</v>
      </c>
      <c r="H2647" s="3" t="s">
        <v>216</v>
      </c>
      <c r="I2647" s="3" t="s">
        <v>216</v>
      </c>
      <c r="J2647" s="3" t="s">
        <v>216</v>
      </c>
      <c r="K2647" s="3" t="s">
        <v>9777</v>
      </c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  <c r="AC2647" s="3"/>
      <c r="AD2647" s="3"/>
      <c r="AE2647" s="3"/>
      <c r="AF2647" s="3"/>
      <c r="AG2647" s="3"/>
      <c r="AH2647" s="3"/>
      <c r="AI2647" s="3"/>
      <c r="AJ2647" s="3"/>
      <c r="AK2647" s="3" t="s">
        <v>52</v>
      </c>
      <c r="AL2647" s="4">
        <v>42598</v>
      </c>
      <c r="AM2647" s="3"/>
      <c r="AN2647" s="3" t="s">
        <v>8817</v>
      </c>
    </row>
    <row r="2648" spans="1:40" x14ac:dyDescent="0.3">
      <c r="A2648" s="3">
        <v>2642</v>
      </c>
      <c r="B2648" s="3" t="str">
        <f>"1753542"</f>
        <v>1753542</v>
      </c>
      <c r="C2648" s="3">
        <v>62344</v>
      </c>
      <c r="D2648" s="3" t="s">
        <v>9778</v>
      </c>
      <c r="E2648" s="3">
        <v>20121837634</v>
      </c>
      <c r="F2648" s="3" t="s">
        <v>9779</v>
      </c>
      <c r="G2648" s="3" t="s">
        <v>1624</v>
      </c>
      <c r="H2648" s="3" t="s">
        <v>237</v>
      </c>
      <c r="I2648" s="3" t="s">
        <v>868</v>
      </c>
      <c r="J2648" s="3" t="s">
        <v>869</v>
      </c>
      <c r="K2648" s="3" t="s">
        <v>9780</v>
      </c>
      <c r="L2648" s="3" t="s">
        <v>9781</v>
      </c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  <c r="AC2648" s="3"/>
      <c r="AD2648" s="3"/>
      <c r="AE2648" s="3"/>
      <c r="AF2648" s="3"/>
      <c r="AG2648" s="3"/>
      <c r="AH2648" s="3"/>
      <c r="AI2648" s="3"/>
      <c r="AJ2648" s="3"/>
      <c r="AK2648" s="3" t="s">
        <v>9782</v>
      </c>
      <c r="AL2648" s="4">
        <v>39468</v>
      </c>
      <c r="AM2648" s="3"/>
      <c r="AN2648" s="3"/>
    </row>
    <row r="2649" spans="1:40" x14ac:dyDescent="0.3">
      <c r="A2649" s="3">
        <v>2643</v>
      </c>
      <c r="B2649" s="3" t="str">
        <f>"201600088829"</f>
        <v>201600088829</v>
      </c>
      <c r="C2649" s="3">
        <v>121555</v>
      </c>
      <c r="D2649" s="3" t="s">
        <v>9783</v>
      </c>
      <c r="E2649" s="3">
        <v>20600761600</v>
      </c>
      <c r="F2649" s="3" t="s">
        <v>9784</v>
      </c>
      <c r="G2649" s="3" t="s">
        <v>9785</v>
      </c>
      <c r="H2649" s="3" t="s">
        <v>318</v>
      </c>
      <c r="I2649" s="3" t="s">
        <v>319</v>
      </c>
      <c r="J2649" s="3" t="s">
        <v>495</v>
      </c>
      <c r="K2649" s="3" t="s">
        <v>9786</v>
      </c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C2649" s="3"/>
      <c r="AD2649" s="3"/>
      <c r="AE2649" s="3"/>
      <c r="AF2649" s="3"/>
      <c r="AG2649" s="3"/>
      <c r="AH2649" s="3"/>
      <c r="AI2649" s="3"/>
      <c r="AJ2649" s="3"/>
      <c r="AK2649" s="3" t="s">
        <v>9787</v>
      </c>
      <c r="AL2649" s="4">
        <v>42543</v>
      </c>
      <c r="AM2649" s="3"/>
      <c r="AN2649" s="3" t="s">
        <v>9788</v>
      </c>
    </row>
    <row r="2650" spans="1:40" x14ac:dyDescent="0.3">
      <c r="A2650" s="3">
        <v>2644</v>
      </c>
      <c r="B2650" s="3" t="str">
        <f>"1497491"</f>
        <v>1497491</v>
      </c>
      <c r="C2650" s="3">
        <v>39464</v>
      </c>
      <c r="D2650" s="3" t="s">
        <v>9789</v>
      </c>
      <c r="E2650" s="3">
        <v>20501548589</v>
      </c>
      <c r="F2650" s="3" t="s">
        <v>4109</v>
      </c>
      <c r="G2650" s="3" t="s">
        <v>6267</v>
      </c>
      <c r="H2650" s="3" t="s">
        <v>56</v>
      </c>
      <c r="I2650" s="3" t="s">
        <v>56</v>
      </c>
      <c r="J2650" s="3" t="s">
        <v>63</v>
      </c>
      <c r="K2650" s="3" t="s">
        <v>9790</v>
      </c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C2650" s="3"/>
      <c r="AD2650" s="3"/>
      <c r="AE2650" s="3"/>
      <c r="AF2650" s="3"/>
      <c r="AG2650" s="3"/>
      <c r="AH2650" s="3"/>
      <c r="AI2650" s="3"/>
      <c r="AJ2650" s="3"/>
      <c r="AK2650" s="3" t="s">
        <v>607</v>
      </c>
      <c r="AL2650" s="4">
        <v>38385</v>
      </c>
      <c r="AM2650" s="3"/>
      <c r="AN2650" s="3"/>
    </row>
    <row r="2651" spans="1:40" x14ac:dyDescent="0.3">
      <c r="A2651" s="3">
        <v>2645</v>
      </c>
      <c r="B2651" s="3" t="str">
        <f>"1497490"</f>
        <v>1497490</v>
      </c>
      <c r="C2651" s="3">
        <v>39465</v>
      </c>
      <c r="D2651" s="3" t="s">
        <v>9791</v>
      </c>
      <c r="E2651" s="3">
        <v>20501548589</v>
      </c>
      <c r="F2651" s="3" t="s">
        <v>4109</v>
      </c>
      <c r="G2651" s="3" t="s">
        <v>6267</v>
      </c>
      <c r="H2651" s="3" t="s">
        <v>56</v>
      </c>
      <c r="I2651" s="3" t="s">
        <v>56</v>
      </c>
      <c r="J2651" s="3" t="s">
        <v>63</v>
      </c>
      <c r="K2651" s="3" t="s">
        <v>9792</v>
      </c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  <c r="AC2651" s="3"/>
      <c r="AD2651" s="3"/>
      <c r="AE2651" s="3"/>
      <c r="AF2651" s="3"/>
      <c r="AG2651" s="3"/>
      <c r="AH2651" s="3"/>
      <c r="AI2651" s="3"/>
      <c r="AJ2651" s="3"/>
      <c r="AK2651" s="3" t="s">
        <v>8289</v>
      </c>
      <c r="AL2651" s="4">
        <v>38385</v>
      </c>
      <c r="AM2651" s="3"/>
      <c r="AN2651" s="3"/>
    </row>
    <row r="2652" spans="1:40" ht="27.95" x14ac:dyDescent="0.3">
      <c r="A2652" s="3">
        <v>2646</v>
      </c>
      <c r="B2652" s="3" t="str">
        <f>"201600118802"</f>
        <v>201600118802</v>
      </c>
      <c r="C2652" s="3">
        <v>123306</v>
      </c>
      <c r="D2652" s="3" t="s">
        <v>9793</v>
      </c>
      <c r="E2652" s="3">
        <v>20532873283</v>
      </c>
      <c r="F2652" s="3" t="s">
        <v>9685</v>
      </c>
      <c r="G2652" s="3" t="s">
        <v>8814</v>
      </c>
      <c r="H2652" s="3" t="s">
        <v>216</v>
      </c>
      <c r="I2652" s="3" t="s">
        <v>216</v>
      </c>
      <c r="J2652" s="3" t="s">
        <v>216</v>
      </c>
      <c r="K2652" s="3" t="s">
        <v>9794</v>
      </c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  <c r="AC2652" s="3"/>
      <c r="AD2652" s="3"/>
      <c r="AE2652" s="3"/>
      <c r="AF2652" s="3"/>
      <c r="AG2652" s="3"/>
      <c r="AH2652" s="3"/>
      <c r="AI2652" s="3"/>
      <c r="AJ2652" s="3"/>
      <c r="AK2652" s="3" t="s">
        <v>583</v>
      </c>
      <c r="AL2652" s="4">
        <v>42598</v>
      </c>
      <c r="AM2652" s="3"/>
      <c r="AN2652" s="3" t="s">
        <v>8817</v>
      </c>
    </row>
    <row r="2653" spans="1:40" ht="27.95" x14ac:dyDescent="0.3">
      <c r="A2653" s="3">
        <v>2647</v>
      </c>
      <c r="B2653" s="3" t="str">
        <f>"201600118800"</f>
        <v>201600118800</v>
      </c>
      <c r="C2653" s="3">
        <v>123307</v>
      </c>
      <c r="D2653" s="3" t="s">
        <v>9795</v>
      </c>
      <c r="E2653" s="3">
        <v>20532873283</v>
      </c>
      <c r="F2653" s="3" t="s">
        <v>8813</v>
      </c>
      <c r="G2653" s="3" t="s">
        <v>8814</v>
      </c>
      <c r="H2653" s="3" t="s">
        <v>216</v>
      </c>
      <c r="I2653" s="3" t="s">
        <v>216</v>
      </c>
      <c r="J2653" s="3" t="s">
        <v>216</v>
      </c>
      <c r="K2653" s="3" t="s">
        <v>9796</v>
      </c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C2653" s="3"/>
      <c r="AD2653" s="3"/>
      <c r="AE2653" s="3"/>
      <c r="AF2653" s="3"/>
      <c r="AG2653" s="3"/>
      <c r="AH2653" s="3"/>
      <c r="AI2653" s="3"/>
      <c r="AJ2653" s="3"/>
      <c r="AK2653" s="3" t="s">
        <v>9510</v>
      </c>
      <c r="AL2653" s="4">
        <v>42598</v>
      </c>
      <c r="AM2653" s="3"/>
      <c r="AN2653" s="3" t="s">
        <v>8817</v>
      </c>
    </row>
    <row r="2654" spans="1:40" x14ac:dyDescent="0.3">
      <c r="A2654" s="3">
        <v>2648</v>
      </c>
      <c r="B2654" s="3" t="str">
        <f>"1317623"</f>
        <v>1317623</v>
      </c>
      <c r="C2654" s="3">
        <v>6422</v>
      </c>
      <c r="D2654" s="3" t="s">
        <v>9797</v>
      </c>
      <c r="E2654" s="3">
        <v>20100366747</v>
      </c>
      <c r="F2654" s="3" t="s">
        <v>258</v>
      </c>
      <c r="G2654" s="3" t="s">
        <v>1055</v>
      </c>
      <c r="H2654" s="3" t="s">
        <v>56</v>
      </c>
      <c r="I2654" s="3" t="s">
        <v>56</v>
      </c>
      <c r="J2654" s="3" t="s">
        <v>185</v>
      </c>
      <c r="K2654" s="3" t="s">
        <v>9798</v>
      </c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C2654" s="3"/>
      <c r="AD2654" s="3"/>
      <c r="AE2654" s="3"/>
      <c r="AF2654" s="3"/>
      <c r="AG2654" s="3"/>
      <c r="AH2654" s="3"/>
      <c r="AI2654" s="3"/>
      <c r="AJ2654" s="3"/>
      <c r="AK2654" s="3" t="s">
        <v>1341</v>
      </c>
      <c r="AL2654" s="4">
        <v>37004</v>
      </c>
      <c r="AM2654" s="3"/>
      <c r="AN2654" s="3"/>
    </row>
    <row r="2655" spans="1:40" x14ac:dyDescent="0.3">
      <c r="A2655" s="3">
        <v>2649</v>
      </c>
      <c r="B2655" s="3" t="str">
        <f>"1317621"</f>
        <v>1317621</v>
      </c>
      <c r="C2655" s="3">
        <v>2439</v>
      </c>
      <c r="D2655" s="3" t="s">
        <v>9799</v>
      </c>
      <c r="E2655" s="3">
        <v>20100366747</v>
      </c>
      <c r="F2655" s="3" t="s">
        <v>258</v>
      </c>
      <c r="G2655" s="3" t="s">
        <v>1055</v>
      </c>
      <c r="H2655" s="3" t="s">
        <v>56</v>
      </c>
      <c r="I2655" s="3" t="s">
        <v>56</v>
      </c>
      <c r="J2655" s="3" t="s">
        <v>185</v>
      </c>
      <c r="K2655" s="3" t="s">
        <v>9800</v>
      </c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  <c r="AC2655" s="3"/>
      <c r="AD2655" s="3"/>
      <c r="AE2655" s="3"/>
      <c r="AF2655" s="3"/>
      <c r="AG2655" s="3"/>
      <c r="AH2655" s="3"/>
      <c r="AI2655" s="3"/>
      <c r="AJ2655" s="3"/>
      <c r="AK2655" s="3" t="s">
        <v>187</v>
      </c>
      <c r="AL2655" s="4">
        <v>37004</v>
      </c>
      <c r="AM2655" s="3"/>
      <c r="AN2655" s="3"/>
    </row>
    <row r="2656" spans="1:40" x14ac:dyDescent="0.3">
      <c r="A2656" s="3">
        <v>2650</v>
      </c>
      <c r="B2656" s="3" t="str">
        <f>"201700212046"</f>
        <v>201700212046</v>
      </c>
      <c r="C2656" s="3">
        <v>133474</v>
      </c>
      <c r="D2656" s="3" t="s">
        <v>9801</v>
      </c>
      <c r="E2656" s="3">
        <v>20602420176</v>
      </c>
      <c r="F2656" s="3" t="s">
        <v>1765</v>
      </c>
      <c r="G2656" s="3" t="s">
        <v>9802</v>
      </c>
      <c r="H2656" s="3" t="s">
        <v>318</v>
      </c>
      <c r="I2656" s="3" t="s">
        <v>319</v>
      </c>
      <c r="J2656" s="3" t="s">
        <v>495</v>
      </c>
      <c r="K2656" s="3" t="s">
        <v>9803</v>
      </c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  <c r="AC2656" s="3"/>
      <c r="AD2656" s="3"/>
      <c r="AE2656" s="3"/>
      <c r="AF2656" s="3"/>
      <c r="AG2656" s="3"/>
      <c r="AH2656" s="3"/>
      <c r="AI2656" s="3"/>
      <c r="AJ2656" s="3"/>
      <c r="AK2656" s="3" t="s">
        <v>3508</v>
      </c>
      <c r="AL2656" s="4">
        <v>43091</v>
      </c>
      <c r="AM2656" s="3"/>
      <c r="AN2656" s="3" t="s">
        <v>1081</v>
      </c>
    </row>
    <row r="2657" spans="1:40" x14ac:dyDescent="0.3">
      <c r="A2657" s="3">
        <v>2651</v>
      </c>
      <c r="B2657" s="3" t="str">
        <f>"1111259"</f>
        <v>1111259</v>
      </c>
      <c r="C2657" s="3">
        <v>2407</v>
      </c>
      <c r="D2657" s="3">
        <v>990443</v>
      </c>
      <c r="E2657" s="3">
        <v>10255053677</v>
      </c>
      <c r="F2657" s="3" t="s">
        <v>9804</v>
      </c>
      <c r="G2657" s="3" t="s">
        <v>9805</v>
      </c>
      <c r="H2657" s="3" t="s">
        <v>75</v>
      </c>
      <c r="I2657" s="3" t="s">
        <v>75</v>
      </c>
      <c r="J2657" s="3" t="s">
        <v>76</v>
      </c>
      <c r="K2657" s="3" t="s">
        <v>9806</v>
      </c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C2657" s="3"/>
      <c r="AD2657" s="3"/>
      <c r="AE2657" s="3"/>
      <c r="AF2657" s="3"/>
      <c r="AG2657" s="3"/>
      <c r="AH2657" s="3"/>
      <c r="AI2657" s="3"/>
      <c r="AJ2657" s="3"/>
      <c r="AK2657" s="3" t="s">
        <v>233</v>
      </c>
      <c r="AL2657" s="4">
        <v>35520</v>
      </c>
      <c r="AM2657" s="3"/>
      <c r="AN2657" s="3"/>
    </row>
    <row r="2658" spans="1:40" ht="27.95" x14ac:dyDescent="0.3">
      <c r="A2658" s="3">
        <v>2652</v>
      </c>
      <c r="B2658" s="3" t="str">
        <f>"201900164054"</f>
        <v>201900164054</v>
      </c>
      <c r="C2658" s="3">
        <v>146714</v>
      </c>
      <c r="D2658" s="3" t="s">
        <v>9807</v>
      </c>
      <c r="E2658" s="3">
        <v>20547314426</v>
      </c>
      <c r="F2658" s="3" t="s">
        <v>1202</v>
      </c>
      <c r="G2658" s="3" t="s">
        <v>9808</v>
      </c>
      <c r="H2658" s="3" t="s">
        <v>56</v>
      </c>
      <c r="I2658" s="3" t="s">
        <v>56</v>
      </c>
      <c r="J2658" s="3" t="s">
        <v>273</v>
      </c>
      <c r="K2658" s="3" t="s">
        <v>9809</v>
      </c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C2658" s="3"/>
      <c r="AD2658" s="3"/>
      <c r="AE2658" s="3"/>
      <c r="AF2658" s="3"/>
      <c r="AG2658" s="3"/>
      <c r="AH2658" s="3"/>
      <c r="AI2658" s="3"/>
      <c r="AJ2658" s="3"/>
      <c r="AK2658" s="3" t="s">
        <v>321</v>
      </c>
      <c r="AL2658" s="4">
        <v>43755</v>
      </c>
      <c r="AM2658" s="3"/>
      <c r="AN2658" s="3" t="s">
        <v>9810</v>
      </c>
    </row>
    <row r="2659" spans="1:40" x14ac:dyDescent="0.3">
      <c r="A2659" s="3">
        <v>2653</v>
      </c>
      <c r="B2659" s="3" t="str">
        <f>"201600043152"</f>
        <v>201600043152</v>
      </c>
      <c r="C2659" s="3">
        <v>92551</v>
      </c>
      <c r="D2659" s="3" t="s">
        <v>9811</v>
      </c>
      <c r="E2659" s="3">
        <v>20100366747</v>
      </c>
      <c r="F2659" s="3" t="s">
        <v>334</v>
      </c>
      <c r="G2659" s="3" t="s">
        <v>451</v>
      </c>
      <c r="H2659" s="3" t="s">
        <v>56</v>
      </c>
      <c r="I2659" s="3" t="s">
        <v>56</v>
      </c>
      <c r="J2659" s="3" t="s">
        <v>185</v>
      </c>
      <c r="K2659" s="3" t="s">
        <v>9812</v>
      </c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  <c r="AC2659" s="3"/>
      <c r="AD2659" s="3"/>
      <c r="AE2659" s="3"/>
      <c r="AF2659" s="3"/>
      <c r="AG2659" s="3"/>
      <c r="AH2659" s="3"/>
      <c r="AI2659" s="3"/>
      <c r="AJ2659" s="3"/>
      <c r="AK2659" s="3" t="s">
        <v>1297</v>
      </c>
      <c r="AL2659" s="4">
        <v>42481</v>
      </c>
      <c r="AM2659" s="3"/>
      <c r="AN2659" s="3" t="s">
        <v>262</v>
      </c>
    </row>
    <row r="2660" spans="1:40" x14ac:dyDescent="0.3">
      <c r="A2660" s="3">
        <v>2654</v>
      </c>
      <c r="B2660" s="3" t="str">
        <f>"201200029469"</f>
        <v>201200029469</v>
      </c>
      <c r="C2660" s="3">
        <v>96039</v>
      </c>
      <c r="D2660" s="3" t="s">
        <v>9813</v>
      </c>
      <c r="E2660" s="3">
        <v>20486242788</v>
      </c>
      <c r="F2660" s="3" t="s">
        <v>5887</v>
      </c>
      <c r="G2660" s="3" t="s">
        <v>9814</v>
      </c>
      <c r="H2660" s="3" t="s">
        <v>237</v>
      </c>
      <c r="I2660" s="3" t="s">
        <v>3868</v>
      </c>
      <c r="J2660" s="3" t="s">
        <v>3869</v>
      </c>
      <c r="K2660" s="3" t="s">
        <v>9815</v>
      </c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  <c r="AC2660" s="3"/>
      <c r="AD2660" s="3"/>
      <c r="AE2660" s="3"/>
      <c r="AF2660" s="3"/>
      <c r="AG2660" s="3"/>
      <c r="AH2660" s="3"/>
      <c r="AI2660" s="3"/>
      <c r="AJ2660" s="3"/>
      <c r="AK2660" s="3" t="s">
        <v>192</v>
      </c>
      <c r="AL2660" s="4">
        <v>40989</v>
      </c>
      <c r="AM2660" s="3"/>
      <c r="AN2660" s="3" t="s">
        <v>5891</v>
      </c>
    </row>
    <row r="2661" spans="1:40" x14ac:dyDescent="0.3">
      <c r="A2661" s="3">
        <v>2655</v>
      </c>
      <c r="B2661" s="3" t="str">
        <f>"201700207753"</f>
        <v>201700207753</v>
      </c>
      <c r="C2661" s="3">
        <v>133300</v>
      </c>
      <c r="D2661" s="3" t="s">
        <v>9816</v>
      </c>
      <c r="E2661" s="3">
        <v>20510976887</v>
      </c>
      <c r="F2661" s="3" t="s">
        <v>9817</v>
      </c>
      <c r="G2661" s="3" t="s">
        <v>2542</v>
      </c>
      <c r="H2661" s="3" t="s">
        <v>56</v>
      </c>
      <c r="I2661" s="3" t="s">
        <v>56</v>
      </c>
      <c r="J2661" s="3" t="s">
        <v>131</v>
      </c>
      <c r="K2661" s="3" t="s">
        <v>9818</v>
      </c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C2661" s="3"/>
      <c r="AD2661" s="3"/>
      <c r="AE2661" s="3"/>
      <c r="AF2661" s="3"/>
      <c r="AG2661" s="3"/>
      <c r="AH2661" s="3"/>
      <c r="AI2661" s="3"/>
      <c r="AJ2661" s="3"/>
      <c r="AK2661" s="3" t="s">
        <v>1003</v>
      </c>
      <c r="AL2661" s="4">
        <v>43081</v>
      </c>
      <c r="AM2661" s="3"/>
      <c r="AN2661" s="3" t="s">
        <v>671</v>
      </c>
    </row>
    <row r="2662" spans="1:40" x14ac:dyDescent="0.3">
      <c r="A2662" s="3">
        <v>2656</v>
      </c>
      <c r="B2662" s="3" t="str">
        <f>"201200045813"</f>
        <v>201200045813</v>
      </c>
      <c r="C2662" s="3">
        <v>45116</v>
      </c>
      <c r="D2662" s="3" t="s">
        <v>9819</v>
      </c>
      <c r="E2662" s="3">
        <v>20487789501</v>
      </c>
      <c r="F2662" s="3" t="s">
        <v>316</v>
      </c>
      <c r="G2662" s="3" t="s">
        <v>9820</v>
      </c>
      <c r="H2662" s="3" t="s">
        <v>318</v>
      </c>
      <c r="I2662" s="3" t="s">
        <v>319</v>
      </c>
      <c r="J2662" s="3" t="s">
        <v>319</v>
      </c>
      <c r="K2662" s="3" t="s">
        <v>9821</v>
      </c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C2662" s="3"/>
      <c r="AD2662" s="3"/>
      <c r="AE2662" s="3"/>
      <c r="AF2662" s="3"/>
      <c r="AG2662" s="3"/>
      <c r="AH2662" s="3"/>
      <c r="AI2662" s="3"/>
      <c r="AJ2662" s="3"/>
      <c r="AK2662" s="3" t="s">
        <v>1127</v>
      </c>
      <c r="AL2662" s="4">
        <v>40996</v>
      </c>
      <c r="AM2662" s="3"/>
      <c r="AN2662" s="3" t="s">
        <v>322</v>
      </c>
    </row>
    <row r="2663" spans="1:40" x14ac:dyDescent="0.3">
      <c r="A2663" s="3">
        <v>2657</v>
      </c>
      <c r="B2663" s="3" t="str">
        <f>"201900018721"</f>
        <v>201900018721</v>
      </c>
      <c r="C2663" s="3">
        <v>84825</v>
      </c>
      <c r="D2663" s="3" t="s">
        <v>9822</v>
      </c>
      <c r="E2663" s="3">
        <v>20100366747</v>
      </c>
      <c r="F2663" s="3" t="s">
        <v>258</v>
      </c>
      <c r="G2663" s="3" t="s">
        <v>451</v>
      </c>
      <c r="H2663" s="3" t="s">
        <v>56</v>
      </c>
      <c r="I2663" s="3" t="s">
        <v>56</v>
      </c>
      <c r="J2663" s="3" t="s">
        <v>185</v>
      </c>
      <c r="K2663" s="3" t="s">
        <v>9823</v>
      </c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  <c r="AC2663" s="3"/>
      <c r="AD2663" s="3"/>
      <c r="AE2663" s="3"/>
      <c r="AF2663" s="3"/>
      <c r="AG2663" s="3"/>
      <c r="AH2663" s="3"/>
      <c r="AI2663" s="3"/>
      <c r="AJ2663" s="3"/>
      <c r="AK2663" s="3" t="s">
        <v>5639</v>
      </c>
      <c r="AL2663" s="4">
        <v>43502</v>
      </c>
      <c r="AM2663" s="3"/>
      <c r="AN2663" s="3" t="s">
        <v>2728</v>
      </c>
    </row>
    <row r="2664" spans="1:40" x14ac:dyDescent="0.3">
      <c r="A2664" s="3">
        <v>2658</v>
      </c>
      <c r="B2664" s="3" t="str">
        <f>"1420704"</f>
        <v>1420704</v>
      </c>
      <c r="C2664" s="3">
        <v>35020</v>
      </c>
      <c r="D2664" s="3" t="s">
        <v>9824</v>
      </c>
      <c r="E2664" s="3">
        <v>20467282388</v>
      </c>
      <c r="F2664" s="3" t="s">
        <v>1324</v>
      </c>
      <c r="G2664" s="3" t="s">
        <v>4454</v>
      </c>
      <c r="H2664" s="3" t="s">
        <v>75</v>
      </c>
      <c r="I2664" s="3" t="s">
        <v>75</v>
      </c>
      <c r="J2664" s="3" t="s">
        <v>76</v>
      </c>
      <c r="K2664" s="3" t="s">
        <v>9825</v>
      </c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  <c r="AC2664" s="3"/>
      <c r="AD2664" s="3"/>
      <c r="AE2664" s="3"/>
      <c r="AF2664" s="3"/>
      <c r="AG2664" s="3"/>
      <c r="AH2664" s="3"/>
      <c r="AI2664" s="3"/>
      <c r="AJ2664" s="3"/>
      <c r="AK2664" s="3" t="s">
        <v>3386</v>
      </c>
      <c r="AL2664" s="4">
        <v>37837</v>
      </c>
      <c r="AM2664" s="3"/>
      <c r="AN2664" s="3"/>
    </row>
    <row r="2665" spans="1:40" ht="27.95" x14ac:dyDescent="0.3">
      <c r="A2665" s="3">
        <v>2659</v>
      </c>
      <c r="B2665" s="3" t="str">
        <f>"1940913"</f>
        <v>1940913</v>
      </c>
      <c r="C2665" s="3">
        <v>84646</v>
      </c>
      <c r="D2665" s="3" t="s">
        <v>9826</v>
      </c>
      <c r="E2665" s="3">
        <v>20518201264</v>
      </c>
      <c r="F2665" s="3" t="s">
        <v>3990</v>
      </c>
      <c r="G2665" s="3" t="s">
        <v>9827</v>
      </c>
      <c r="H2665" s="3" t="s">
        <v>75</v>
      </c>
      <c r="I2665" s="3" t="s">
        <v>75</v>
      </c>
      <c r="J2665" s="3" t="s">
        <v>76</v>
      </c>
      <c r="K2665" s="3" t="s">
        <v>9828</v>
      </c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C2665" s="3"/>
      <c r="AD2665" s="3"/>
      <c r="AE2665" s="3"/>
      <c r="AF2665" s="3"/>
      <c r="AG2665" s="3"/>
      <c r="AH2665" s="3"/>
      <c r="AI2665" s="3"/>
      <c r="AJ2665" s="3"/>
      <c r="AK2665" s="3" t="s">
        <v>9829</v>
      </c>
      <c r="AL2665" s="4">
        <v>40144</v>
      </c>
      <c r="AM2665" s="3"/>
      <c r="AN2665" s="3"/>
    </row>
    <row r="2666" spans="1:40" ht="27.95" x14ac:dyDescent="0.3">
      <c r="A2666" s="3">
        <v>2660</v>
      </c>
      <c r="B2666" s="3" t="str">
        <f>"1420702"</f>
        <v>1420702</v>
      </c>
      <c r="C2666" s="3">
        <v>35012</v>
      </c>
      <c r="D2666" s="3" t="s">
        <v>9830</v>
      </c>
      <c r="E2666" s="3">
        <v>20467282388</v>
      </c>
      <c r="F2666" s="3" t="s">
        <v>1324</v>
      </c>
      <c r="G2666" s="3" t="s">
        <v>9831</v>
      </c>
      <c r="H2666" s="3" t="s">
        <v>75</v>
      </c>
      <c r="I2666" s="3" t="s">
        <v>75</v>
      </c>
      <c r="J2666" s="3" t="s">
        <v>76</v>
      </c>
      <c r="K2666" s="3" t="s">
        <v>9832</v>
      </c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C2666" s="3"/>
      <c r="AD2666" s="3"/>
      <c r="AE2666" s="3"/>
      <c r="AF2666" s="3"/>
      <c r="AG2666" s="3"/>
      <c r="AH2666" s="3"/>
      <c r="AI2666" s="3"/>
      <c r="AJ2666" s="3"/>
      <c r="AK2666" s="3" t="s">
        <v>525</v>
      </c>
      <c r="AL2666" s="4">
        <v>37844</v>
      </c>
      <c r="AM2666" s="3"/>
      <c r="AN2666" s="3"/>
    </row>
    <row r="2667" spans="1:40" ht="27.95" x14ac:dyDescent="0.3">
      <c r="A2667" s="3">
        <v>2661</v>
      </c>
      <c r="B2667" s="3" t="str">
        <f>"1940910"</f>
        <v>1940910</v>
      </c>
      <c r="C2667" s="3">
        <v>84645</v>
      </c>
      <c r="D2667" s="3" t="s">
        <v>9833</v>
      </c>
      <c r="E2667" s="3">
        <v>20518201264</v>
      </c>
      <c r="F2667" s="3" t="s">
        <v>3990</v>
      </c>
      <c r="G2667" s="3" t="s">
        <v>9834</v>
      </c>
      <c r="H2667" s="3" t="s">
        <v>75</v>
      </c>
      <c r="I2667" s="3" t="s">
        <v>75</v>
      </c>
      <c r="J2667" s="3" t="s">
        <v>76</v>
      </c>
      <c r="K2667" s="3" t="s">
        <v>9835</v>
      </c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  <c r="AC2667" s="3"/>
      <c r="AD2667" s="3"/>
      <c r="AE2667" s="3"/>
      <c r="AF2667" s="3"/>
      <c r="AG2667" s="3"/>
      <c r="AH2667" s="3"/>
      <c r="AI2667" s="3"/>
      <c r="AJ2667" s="3"/>
      <c r="AK2667" s="3" t="s">
        <v>9829</v>
      </c>
      <c r="AL2667" s="4">
        <v>40144</v>
      </c>
      <c r="AM2667" s="3"/>
      <c r="AN2667" s="3"/>
    </row>
    <row r="2668" spans="1:40" x14ac:dyDescent="0.3">
      <c r="A2668" s="3">
        <v>2662</v>
      </c>
      <c r="B2668" s="3" t="str">
        <f>"201700036222"</f>
        <v>201700036222</v>
      </c>
      <c r="C2668" s="3">
        <v>93545</v>
      </c>
      <c r="D2668" s="3" t="s">
        <v>9836</v>
      </c>
      <c r="E2668" s="3">
        <v>20525521509</v>
      </c>
      <c r="F2668" s="3" t="s">
        <v>189</v>
      </c>
      <c r="G2668" s="3" t="s">
        <v>874</v>
      </c>
      <c r="H2668" s="3" t="s">
        <v>50</v>
      </c>
      <c r="I2668" s="3" t="s">
        <v>50</v>
      </c>
      <c r="J2668" s="3" t="s">
        <v>50</v>
      </c>
      <c r="K2668" s="3" t="s">
        <v>9837</v>
      </c>
      <c r="L2668" s="3" t="s">
        <v>877</v>
      </c>
      <c r="M2668" s="3" t="s">
        <v>879</v>
      </c>
      <c r="N2668" s="3" t="s">
        <v>881</v>
      </c>
      <c r="O2668" s="3" t="s">
        <v>878</v>
      </c>
      <c r="P2668" s="3" t="s">
        <v>880</v>
      </c>
      <c r="Q2668" s="3" t="s">
        <v>883</v>
      </c>
      <c r="R2668" s="3" t="s">
        <v>882</v>
      </c>
      <c r="S2668" s="3" t="s">
        <v>891</v>
      </c>
      <c r="T2668" s="3" t="s">
        <v>876</v>
      </c>
      <c r="U2668" s="3"/>
      <c r="V2668" s="3"/>
      <c r="W2668" s="3"/>
      <c r="X2668" s="3"/>
      <c r="Y2668" s="3"/>
      <c r="Z2668" s="3"/>
      <c r="AA2668" s="3"/>
      <c r="AB2668" s="3"/>
      <c r="AC2668" s="3"/>
      <c r="AD2668" s="3"/>
      <c r="AE2668" s="3"/>
      <c r="AF2668" s="3"/>
      <c r="AG2668" s="3"/>
      <c r="AH2668" s="3"/>
      <c r="AI2668" s="3"/>
      <c r="AJ2668" s="3"/>
      <c r="AK2668" s="3" t="s">
        <v>470</v>
      </c>
      <c r="AL2668" s="4">
        <v>42814</v>
      </c>
      <c r="AM2668" s="3"/>
      <c r="AN2668" s="3" t="s">
        <v>9838</v>
      </c>
    </row>
    <row r="2669" spans="1:40" x14ac:dyDescent="0.3">
      <c r="A2669" s="3">
        <v>2663</v>
      </c>
      <c r="B2669" s="3" t="str">
        <f>"201300174405"</f>
        <v>201300174405</v>
      </c>
      <c r="C2669" s="3">
        <v>98862</v>
      </c>
      <c r="D2669" s="3" t="s">
        <v>9839</v>
      </c>
      <c r="E2669" s="3">
        <v>10240073035</v>
      </c>
      <c r="F2669" s="3" t="s">
        <v>9840</v>
      </c>
      <c r="G2669" s="3" t="s">
        <v>9841</v>
      </c>
      <c r="H2669" s="3" t="s">
        <v>386</v>
      </c>
      <c r="I2669" s="3" t="s">
        <v>9842</v>
      </c>
      <c r="J2669" s="3" t="s">
        <v>9843</v>
      </c>
      <c r="K2669" s="3" t="s">
        <v>9844</v>
      </c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C2669" s="3"/>
      <c r="AD2669" s="3"/>
      <c r="AE2669" s="3"/>
      <c r="AF2669" s="3"/>
      <c r="AG2669" s="3"/>
      <c r="AH2669" s="3"/>
      <c r="AI2669" s="3"/>
      <c r="AJ2669" s="3"/>
      <c r="AK2669" s="3" t="s">
        <v>602</v>
      </c>
      <c r="AL2669" s="4">
        <v>41606</v>
      </c>
      <c r="AM2669" s="3"/>
      <c r="AN2669" s="3" t="s">
        <v>9840</v>
      </c>
    </row>
    <row r="2670" spans="1:40" x14ac:dyDescent="0.3">
      <c r="A2670" s="3">
        <v>2664</v>
      </c>
      <c r="B2670" s="3" t="str">
        <f>"1956586"</f>
        <v>1956586</v>
      </c>
      <c r="C2670" s="3">
        <v>84991</v>
      </c>
      <c r="D2670" s="3" t="s">
        <v>9845</v>
      </c>
      <c r="E2670" s="3">
        <v>10267311116</v>
      </c>
      <c r="F2670" s="3" t="s">
        <v>2584</v>
      </c>
      <c r="G2670" s="3" t="s">
        <v>9846</v>
      </c>
      <c r="H2670" s="3" t="s">
        <v>1208</v>
      </c>
      <c r="I2670" s="3" t="s">
        <v>2525</v>
      </c>
      <c r="J2670" s="3" t="s">
        <v>2525</v>
      </c>
      <c r="K2670" s="3" t="s">
        <v>9847</v>
      </c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C2670" s="3"/>
      <c r="AD2670" s="3"/>
      <c r="AE2670" s="3"/>
      <c r="AF2670" s="3"/>
      <c r="AG2670" s="3"/>
      <c r="AH2670" s="3"/>
      <c r="AI2670" s="3"/>
      <c r="AJ2670" s="3"/>
      <c r="AK2670" s="3" t="s">
        <v>300</v>
      </c>
      <c r="AL2670" s="4">
        <v>40183</v>
      </c>
      <c r="AM2670" s="3"/>
      <c r="AN2670" s="3"/>
    </row>
    <row r="2671" spans="1:40" ht="27.95" x14ac:dyDescent="0.3">
      <c r="A2671" s="3">
        <v>2665</v>
      </c>
      <c r="B2671" s="3" t="str">
        <f>"1560825"</f>
        <v>1560825</v>
      </c>
      <c r="C2671" s="3">
        <v>39275</v>
      </c>
      <c r="D2671" s="3" t="s">
        <v>9848</v>
      </c>
      <c r="E2671" s="3">
        <v>10098950406</v>
      </c>
      <c r="F2671" s="3" t="s">
        <v>9849</v>
      </c>
      <c r="G2671" s="3" t="s">
        <v>9850</v>
      </c>
      <c r="H2671" s="3" t="s">
        <v>56</v>
      </c>
      <c r="I2671" s="3" t="s">
        <v>56</v>
      </c>
      <c r="J2671" s="3" t="s">
        <v>63</v>
      </c>
      <c r="K2671" s="3" t="s">
        <v>9851</v>
      </c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  <c r="AC2671" s="3"/>
      <c r="AD2671" s="3"/>
      <c r="AE2671" s="3"/>
      <c r="AF2671" s="3"/>
      <c r="AG2671" s="3"/>
      <c r="AH2671" s="3"/>
      <c r="AI2671" s="3"/>
      <c r="AJ2671" s="3"/>
      <c r="AK2671" s="3" t="s">
        <v>614</v>
      </c>
      <c r="AL2671" s="4">
        <v>38622</v>
      </c>
      <c r="AM2671" s="3"/>
      <c r="AN2671" s="3"/>
    </row>
    <row r="2672" spans="1:40" x14ac:dyDescent="0.3">
      <c r="A2672" s="3">
        <v>2666</v>
      </c>
      <c r="B2672" s="3" t="str">
        <f>"201700207748"</f>
        <v>201700207748</v>
      </c>
      <c r="C2672" s="3">
        <v>133299</v>
      </c>
      <c r="D2672" s="3" t="s">
        <v>9852</v>
      </c>
      <c r="E2672" s="3">
        <v>20510976887</v>
      </c>
      <c r="F2672" s="3" t="s">
        <v>693</v>
      </c>
      <c r="G2672" s="3" t="s">
        <v>2542</v>
      </c>
      <c r="H2672" s="3" t="s">
        <v>56</v>
      </c>
      <c r="I2672" s="3" t="s">
        <v>56</v>
      </c>
      <c r="J2672" s="3" t="s">
        <v>131</v>
      </c>
      <c r="K2672" s="3" t="s">
        <v>9853</v>
      </c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  <c r="AC2672" s="3"/>
      <c r="AD2672" s="3"/>
      <c r="AE2672" s="3"/>
      <c r="AF2672" s="3"/>
      <c r="AG2672" s="3"/>
      <c r="AH2672" s="3"/>
      <c r="AI2672" s="3"/>
      <c r="AJ2672" s="3"/>
      <c r="AK2672" s="3" t="s">
        <v>1003</v>
      </c>
      <c r="AL2672" s="4">
        <v>43081</v>
      </c>
      <c r="AM2672" s="3"/>
      <c r="AN2672" s="3" t="s">
        <v>671</v>
      </c>
    </row>
    <row r="2673" spans="1:40" x14ac:dyDescent="0.3">
      <c r="A2673" s="3">
        <v>2667</v>
      </c>
      <c r="B2673" s="3" t="str">
        <f>"1643760"</f>
        <v>1643760</v>
      </c>
      <c r="C2673" s="3">
        <v>36767</v>
      </c>
      <c r="D2673" s="3" t="s">
        <v>9854</v>
      </c>
      <c r="E2673" s="3">
        <v>20293658146</v>
      </c>
      <c r="F2673" s="3" t="s">
        <v>2826</v>
      </c>
      <c r="G2673" s="3" t="s">
        <v>3967</v>
      </c>
      <c r="H2673" s="3" t="s">
        <v>56</v>
      </c>
      <c r="I2673" s="3" t="s">
        <v>56</v>
      </c>
      <c r="J2673" s="3" t="s">
        <v>63</v>
      </c>
      <c r="K2673" s="3" t="s">
        <v>9855</v>
      </c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C2673" s="3"/>
      <c r="AD2673" s="3"/>
      <c r="AE2673" s="3"/>
      <c r="AF2673" s="3"/>
      <c r="AG2673" s="3"/>
      <c r="AH2673" s="3"/>
      <c r="AI2673" s="3"/>
      <c r="AJ2673" s="3"/>
      <c r="AK2673" s="3" t="s">
        <v>81</v>
      </c>
      <c r="AL2673" s="4">
        <v>39014</v>
      </c>
      <c r="AM2673" s="3"/>
      <c r="AN2673" s="3"/>
    </row>
    <row r="2674" spans="1:40" x14ac:dyDescent="0.3">
      <c r="A2674" s="3">
        <v>2668</v>
      </c>
      <c r="B2674" s="3" t="str">
        <f>"1686779"</f>
        <v>1686779</v>
      </c>
      <c r="C2674" s="3">
        <v>45573</v>
      </c>
      <c r="D2674" s="3" t="s">
        <v>9856</v>
      </c>
      <c r="E2674" s="3">
        <v>20121837634</v>
      </c>
      <c r="F2674" s="3" t="s">
        <v>9857</v>
      </c>
      <c r="G2674" s="3" t="s">
        <v>7129</v>
      </c>
      <c r="H2674" s="3" t="s">
        <v>237</v>
      </c>
      <c r="I2674" s="3" t="s">
        <v>868</v>
      </c>
      <c r="J2674" s="3" t="s">
        <v>869</v>
      </c>
      <c r="K2674" s="3" t="s">
        <v>9858</v>
      </c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C2674" s="3"/>
      <c r="AD2674" s="3"/>
      <c r="AE2674" s="3"/>
      <c r="AF2674" s="3"/>
      <c r="AG2674" s="3"/>
      <c r="AH2674" s="3"/>
      <c r="AI2674" s="3"/>
      <c r="AJ2674" s="3"/>
      <c r="AK2674" s="3" t="s">
        <v>2587</v>
      </c>
      <c r="AL2674" s="4">
        <v>39168</v>
      </c>
      <c r="AM2674" s="3"/>
      <c r="AN2674" s="3"/>
    </row>
    <row r="2675" spans="1:40" x14ac:dyDescent="0.3">
      <c r="A2675" s="3">
        <v>2669</v>
      </c>
      <c r="B2675" s="3" t="str">
        <f>"1393599"</f>
        <v>1393599</v>
      </c>
      <c r="C2675" s="3">
        <v>33479</v>
      </c>
      <c r="D2675" s="3" t="s">
        <v>9859</v>
      </c>
      <c r="E2675" s="3">
        <v>10406893354</v>
      </c>
      <c r="F2675" s="3" t="s">
        <v>4337</v>
      </c>
      <c r="G2675" s="3" t="s">
        <v>9860</v>
      </c>
      <c r="H2675" s="3" t="s">
        <v>202</v>
      </c>
      <c r="I2675" s="3" t="s">
        <v>202</v>
      </c>
      <c r="J2675" s="3" t="s">
        <v>202</v>
      </c>
      <c r="K2675" s="3" t="s">
        <v>9861</v>
      </c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  <c r="AC2675" s="3"/>
      <c r="AD2675" s="3"/>
      <c r="AE2675" s="3"/>
      <c r="AF2675" s="3"/>
      <c r="AG2675" s="3"/>
      <c r="AH2675" s="3"/>
      <c r="AI2675" s="3"/>
      <c r="AJ2675" s="3"/>
      <c r="AK2675" s="3" t="s">
        <v>226</v>
      </c>
      <c r="AL2675" s="4">
        <v>37602</v>
      </c>
      <c r="AM2675" s="3"/>
      <c r="AN2675" s="3"/>
    </row>
    <row r="2676" spans="1:40" x14ac:dyDescent="0.3">
      <c r="A2676" s="3">
        <v>2670</v>
      </c>
      <c r="B2676" s="3" t="str">
        <f>"1950829"</f>
        <v>1950829</v>
      </c>
      <c r="C2676" s="3">
        <v>84446</v>
      </c>
      <c r="D2676" s="3" t="s">
        <v>9862</v>
      </c>
      <c r="E2676" s="3">
        <v>10329207817</v>
      </c>
      <c r="F2676" s="3" t="s">
        <v>9863</v>
      </c>
      <c r="G2676" s="3" t="s">
        <v>9864</v>
      </c>
      <c r="H2676" s="3" t="s">
        <v>271</v>
      </c>
      <c r="I2676" s="3" t="s">
        <v>552</v>
      </c>
      <c r="J2676" s="3" t="s">
        <v>553</v>
      </c>
      <c r="K2676" s="3" t="s">
        <v>9865</v>
      </c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  <c r="AC2676" s="3"/>
      <c r="AD2676" s="3"/>
      <c r="AE2676" s="3"/>
      <c r="AF2676" s="3"/>
      <c r="AG2676" s="3"/>
      <c r="AH2676" s="3"/>
      <c r="AI2676" s="3"/>
      <c r="AJ2676" s="3"/>
      <c r="AK2676" s="3" t="s">
        <v>9866</v>
      </c>
      <c r="AL2676" s="4">
        <v>40170</v>
      </c>
      <c r="AM2676" s="3"/>
      <c r="AN2676" s="3"/>
    </row>
    <row r="2677" spans="1:40" ht="27.95" x14ac:dyDescent="0.3">
      <c r="A2677" s="3">
        <v>2671</v>
      </c>
      <c r="B2677" s="3" t="str">
        <f>"201700083909"</f>
        <v>201700083909</v>
      </c>
      <c r="C2677" s="3">
        <v>128934</v>
      </c>
      <c r="D2677" s="3" t="s">
        <v>9867</v>
      </c>
      <c r="E2677" s="3">
        <v>20522002021</v>
      </c>
      <c r="F2677" s="3" t="s">
        <v>713</v>
      </c>
      <c r="G2677" s="3" t="s">
        <v>9868</v>
      </c>
      <c r="H2677" s="3" t="s">
        <v>56</v>
      </c>
      <c r="I2677" s="3" t="s">
        <v>56</v>
      </c>
      <c r="J2677" s="3" t="s">
        <v>715</v>
      </c>
      <c r="K2677" s="3" t="s">
        <v>9869</v>
      </c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C2677" s="3"/>
      <c r="AD2677" s="3"/>
      <c r="AE2677" s="3"/>
      <c r="AF2677" s="3"/>
      <c r="AG2677" s="3"/>
      <c r="AH2677" s="3"/>
      <c r="AI2677" s="3"/>
      <c r="AJ2677" s="3"/>
      <c r="AK2677" s="3" t="s">
        <v>1812</v>
      </c>
      <c r="AL2677" s="4">
        <v>42906</v>
      </c>
      <c r="AM2677" s="3"/>
      <c r="AN2677" s="3" t="s">
        <v>2767</v>
      </c>
    </row>
    <row r="2678" spans="1:40" x14ac:dyDescent="0.3">
      <c r="A2678" s="3">
        <v>2672</v>
      </c>
      <c r="B2678" s="3" t="str">
        <f>"1125092"</f>
        <v>1125092</v>
      </c>
      <c r="C2678" s="3">
        <v>3283</v>
      </c>
      <c r="D2678" s="3">
        <v>1125092</v>
      </c>
      <c r="E2678" s="3">
        <v>10152873943</v>
      </c>
      <c r="F2678" s="3" t="s">
        <v>5909</v>
      </c>
      <c r="G2678" s="3" t="s">
        <v>5910</v>
      </c>
      <c r="H2678" s="3" t="s">
        <v>56</v>
      </c>
      <c r="I2678" s="3" t="s">
        <v>56</v>
      </c>
      <c r="J2678" s="3" t="s">
        <v>63</v>
      </c>
      <c r="K2678" s="3" t="s">
        <v>9870</v>
      </c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C2678" s="3"/>
      <c r="AD2678" s="3"/>
      <c r="AE2678" s="3"/>
      <c r="AF2678" s="3"/>
      <c r="AG2678" s="3"/>
      <c r="AH2678" s="3"/>
      <c r="AI2678" s="3"/>
      <c r="AJ2678" s="3"/>
      <c r="AK2678" s="3" t="s">
        <v>306</v>
      </c>
      <c r="AL2678" s="4">
        <v>35573</v>
      </c>
      <c r="AM2678" s="3"/>
      <c r="AN2678" s="3"/>
    </row>
    <row r="2679" spans="1:40" ht="27.95" x14ac:dyDescent="0.3">
      <c r="A2679" s="3">
        <v>2673</v>
      </c>
      <c r="B2679" s="3" t="str">
        <f>"1940907"</f>
        <v>1940907</v>
      </c>
      <c r="C2679" s="3">
        <v>84644</v>
      </c>
      <c r="D2679" s="3" t="s">
        <v>9871</v>
      </c>
      <c r="E2679" s="3">
        <v>20518201264</v>
      </c>
      <c r="F2679" s="3" t="s">
        <v>3990</v>
      </c>
      <c r="G2679" s="3" t="s">
        <v>9827</v>
      </c>
      <c r="H2679" s="3" t="s">
        <v>75</v>
      </c>
      <c r="I2679" s="3" t="s">
        <v>75</v>
      </c>
      <c r="J2679" s="3" t="s">
        <v>76</v>
      </c>
      <c r="K2679" s="3" t="s">
        <v>9872</v>
      </c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  <c r="AC2679" s="3"/>
      <c r="AD2679" s="3"/>
      <c r="AE2679" s="3"/>
      <c r="AF2679" s="3"/>
      <c r="AG2679" s="3"/>
      <c r="AH2679" s="3"/>
      <c r="AI2679" s="3"/>
      <c r="AJ2679" s="3"/>
      <c r="AK2679" s="3" t="s">
        <v>9829</v>
      </c>
      <c r="AL2679" s="4">
        <v>40144</v>
      </c>
      <c r="AM2679" s="3"/>
      <c r="AN2679" s="3"/>
    </row>
    <row r="2680" spans="1:40" x14ac:dyDescent="0.3">
      <c r="A2680" s="3">
        <v>2674</v>
      </c>
      <c r="B2680" s="3" t="str">
        <f>"201700036214"</f>
        <v>201700036214</v>
      </c>
      <c r="C2680" s="3">
        <v>122397</v>
      </c>
      <c r="D2680" s="3" t="s">
        <v>9873</v>
      </c>
      <c r="E2680" s="3">
        <v>20525521509</v>
      </c>
      <c r="F2680" s="3" t="s">
        <v>189</v>
      </c>
      <c r="G2680" s="3" t="s">
        <v>874</v>
      </c>
      <c r="H2680" s="3" t="s">
        <v>50</v>
      </c>
      <c r="I2680" s="3" t="s">
        <v>50</v>
      </c>
      <c r="J2680" s="3" t="s">
        <v>50</v>
      </c>
      <c r="K2680" s="3" t="s">
        <v>9874</v>
      </c>
      <c r="L2680" s="3" t="s">
        <v>882</v>
      </c>
      <c r="M2680" s="3" t="s">
        <v>883</v>
      </c>
      <c r="N2680" s="3" t="s">
        <v>884</v>
      </c>
      <c r="O2680" s="3" t="s">
        <v>879</v>
      </c>
      <c r="P2680" s="3" t="s">
        <v>880</v>
      </c>
      <c r="Q2680" s="3" t="s">
        <v>881</v>
      </c>
      <c r="R2680" s="3" t="s">
        <v>876</v>
      </c>
      <c r="S2680" s="3" t="s">
        <v>878</v>
      </c>
      <c r="T2680" s="3" t="s">
        <v>877</v>
      </c>
      <c r="U2680" s="3"/>
      <c r="V2680" s="3"/>
      <c r="W2680" s="3"/>
      <c r="X2680" s="3"/>
      <c r="Y2680" s="3"/>
      <c r="Z2680" s="3"/>
      <c r="AA2680" s="3"/>
      <c r="AB2680" s="3"/>
      <c r="AC2680" s="3"/>
      <c r="AD2680" s="3"/>
      <c r="AE2680" s="3"/>
      <c r="AF2680" s="3"/>
      <c r="AG2680" s="3"/>
      <c r="AH2680" s="3"/>
      <c r="AI2680" s="3"/>
      <c r="AJ2680" s="3"/>
      <c r="AK2680" s="3" t="s">
        <v>470</v>
      </c>
      <c r="AL2680" s="4">
        <v>42811</v>
      </c>
      <c r="AM2680" s="3"/>
      <c r="AN2680" s="3" t="s">
        <v>885</v>
      </c>
    </row>
    <row r="2681" spans="1:40" x14ac:dyDescent="0.3">
      <c r="A2681" s="3">
        <v>2675</v>
      </c>
      <c r="B2681" s="3" t="str">
        <f>"1872318"</f>
        <v>1872318</v>
      </c>
      <c r="C2681" s="3">
        <v>82229</v>
      </c>
      <c r="D2681" s="3" t="s">
        <v>9875</v>
      </c>
      <c r="E2681" s="3">
        <v>20480861010</v>
      </c>
      <c r="F2681" s="3" t="s">
        <v>42</v>
      </c>
      <c r="G2681" s="3" t="s">
        <v>6878</v>
      </c>
      <c r="H2681" s="3" t="s">
        <v>44</v>
      </c>
      <c r="I2681" s="3" t="s">
        <v>45</v>
      </c>
      <c r="J2681" s="3" t="s">
        <v>45</v>
      </c>
      <c r="K2681" s="3" t="s">
        <v>9876</v>
      </c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C2681" s="3"/>
      <c r="AD2681" s="3"/>
      <c r="AE2681" s="3"/>
      <c r="AF2681" s="3"/>
      <c r="AG2681" s="3"/>
      <c r="AH2681" s="3"/>
      <c r="AI2681" s="3"/>
      <c r="AJ2681" s="3"/>
      <c r="AK2681" s="3" t="s">
        <v>241</v>
      </c>
      <c r="AL2681" s="4">
        <v>39926</v>
      </c>
      <c r="AM2681" s="3"/>
      <c r="AN2681" s="3"/>
    </row>
    <row r="2682" spans="1:40" x14ac:dyDescent="0.3">
      <c r="A2682" s="3">
        <v>2676</v>
      </c>
      <c r="B2682" s="3" t="str">
        <f>"1788985"</f>
        <v>1788985</v>
      </c>
      <c r="C2682" s="3">
        <v>63081</v>
      </c>
      <c r="D2682" s="3" t="s">
        <v>9877</v>
      </c>
      <c r="E2682" s="3">
        <v>10026894099</v>
      </c>
      <c r="F2682" s="3" t="s">
        <v>532</v>
      </c>
      <c r="G2682" s="3" t="s">
        <v>9878</v>
      </c>
      <c r="H2682" s="3" t="s">
        <v>50</v>
      </c>
      <c r="I2682" s="3" t="s">
        <v>50</v>
      </c>
      <c r="J2682" s="3" t="s">
        <v>98</v>
      </c>
      <c r="K2682" s="3" t="s">
        <v>9879</v>
      </c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C2682" s="3"/>
      <c r="AD2682" s="3"/>
      <c r="AE2682" s="3"/>
      <c r="AF2682" s="3"/>
      <c r="AG2682" s="3"/>
      <c r="AH2682" s="3"/>
      <c r="AI2682" s="3"/>
      <c r="AJ2682" s="3"/>
      <c r="AK2682" s="3" t="s">
        <v>306</v>
      </c>
      <c r="AL2682" s="4">
        <v>39596</v>
      </c>
      <c r="AM2682" s="3"/>
      <c r="AN2682" s="3"/>
    </row>
    <row r="2683" spans="1:40" ht="27.95" x14ac:dyDescent="0.3">
      <c r="A2683" s="3">
        <v>2677</v>
      </c>
      <c r="B2683" s="3" t="str">
        <f>"201700081670"</f>
        <v>201700081670</v>
      </c>
      <c r="C2683" s="3">
        <v>87332</v>
      </c>
      <c r="D2683" s="3" t="s">
        <v>9880</v>
      </c>
      <c r="E2683" s="3">
        <v>20160364719</v>
      </c>
      <c r="F2683" s="3" t="s">
        <v>129</v>
      </c>
      <c r="G2683" s="3" t="s">
        <v>9881</v>
      </c>
      <c r="H2683" s="3" t="s">
        <v>56</v>
      </c>
      <c r="I2683" s="3" t="s">
        <v>56</v>
      </c>
      <c r="J2683" s="3" t="s">
        <v>131</v>
      </c>
      <c r="K2683" s="3" t="s">
        <v>9882</v>
      </c>
      <c r="L2683" s="3" t="s">
        <v>135</v>
      </c>
      <c r="M2683" s="3" t="s">
        <v>136</v>
      </c>
      <c r="N2683" s="3" t="s">
        <v>137</v>
      </c>
      <c r="O2683" s="3" t="s">
        <v>138</v>
      </c>
      <c r="P2683" s="3" t="s">
        <v>2806</v>
      </c>
      <c r="Q2683" s="3" t="s">
        <v>133</v>
      </c>
      <c r="R2683" s="3" t="s">
        <v>134</v>
      </c>
      <c r="S2683" s="3"/>
      <c r="T2683" s="3"/>
      <c r="U2683" s="3"/>
      <c r="V2683" s="3"/>
      <c r="W2683" s="3"/>
      <c r="X2683" s="3"/>
      <c r="Y2683" s="3"/>
      <c r="Z2683" s="3"/>
      <c r="AA2683" s="3"/>
      <c r="AB2683" s="3"/>
      <c r="AC2683" s="3"/>
      <c r="AD2683" s="3"/>
      <c r="AE2683" s="3"/>
      <c r="AF2683" s="3"/>
      <c r="AG2683" s="3"/>
      <c r="AH2683" s="3"/>
      <c r="AI2683" s="3"/>
      <c r="AJ2683" s="3"/>
      <c r="AK2683" s="3" t="s">
        <v>139</v>
      </c>
      <c r="AL2683" s="4">
        <v>42895</v>
      </c>
      <c r="AM2683" s="3"/>
      <c r="AN2683" s="3" t="s">
        <v>9883</v>
      </c>
    </row>
    <row r="2684" spans="1:40" x14ac:dyDescent="0.3">
      <c r="A2684" s="3">
        <v>2678</v>
      </c>
      <c r="B2684" s="3" t="str">
        <f>"1330721"</f>
        <v>1330721</v>
      </c>
      <c r="C2684" s="3">
        <v>3270</v>
      </c>
      <c r="D2684" s="3" t="s">
        <v>9884</v>
      </c>
      <c r="E2684" s="3">
        <v>10081556992</v>
      </c>
      <c r="F2684" s="3" t="s">
        <v>9885</v>
      </c>
      <c r="G2684" s="3" t="s">
        <v>9886</v>
      </c>
      <c r="H2684" s="3" t="s">
        <v>56</v>
      </c>
      <c r="I2684" s="3" t="s">
        <v>56</v>
      </c>
      <c r="J2684" s="3" t="s">
        <v>4447</v>
      </c>
      <c r="K2684" s="3" t="s">
        <v>9887</v>
      </c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  <c r="AC2684" s="3"/>
      <c r="AD2684" s="3"/>
      <c r="AE2684" s="3"/>
      <c r="AF2684" s="3"/>
      <c r="AG2684" s="3"/>
      <c r="AH2684" s="3"/>
      <c r="AI2684" s="3"/>
      <c r="AJ2684" s="3"/>
      <c r="AK2684" s="3" t="s">
        <v>65</v>
      </c>
      <c r="AL2684" s="4">
        <v>37110</v>
      </c>
      <c r="AM2684" s="3"/>
      <c r="AN2684" s="3"/>
    </row>
    <row r="2685" spans="1:40" x14ac:dyDescent="0.3">
      <c r="A2685" s="3">
        <v>2679</v>
      </c>
      <c r="B2685" s="3" t="str">
        <f>"201300126476"</f>
        <v>201300126476</v>
      </c>
      <c r="C2685" s="3">
        <v>104182</v>
      </c>
      <c r="D2685" s="3" t="s">
        <v>9888</v>
      </c>
      <c r="E2685" s="3">
        <v>20454723610</v>
      </c>
      <c r="F2685" s="3" t="s">
        <v>3722</v>
      </c>
      <c r="G2685" s="3" t="s">
        <v>9889</v>
      </c>
      <c r="H2685" s="3" t="s">
        <v>97</v>
      </c>
      <c r="I2685" s="3" t="s">
        <v>97</v>
      </c>
      <c r="J2685" s="3" t="s">
        <v>144</v>
      </c>
      <c r="K2685" s="3" t="s">
        <v>9890</v>
      </c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C2685" s="3"/>
      <c r="AD2685" s="3"/>
      <c r="AE2685" s="3"/>
      <c r="AF2685" s="3"/>
      <c r="AG2685" s="3"/>
      <c r="AH2685" s="3"/>
      <c r="AI2685" s="3"/>
      <c r="AJ2685" s="3"/>
      <c r="AK2685" s="3" t="s">
        <v>5977</v>
      </c>
      <c r="AL2685" s="4">
        <v>41492</v>
      </c>
      <c r="AM2685" s="3"/>
      <c r="AN2685" s="3" t="s">
        <v>3725</v>
      </c>
    </row>
    <row r="2686" spans="1:40" x14ac:dyDescent="0.3">
      <c r="A2686" s="3">
        <v>2680</v>
      </c>
      <c r="B2686" s="3" t="str">
        <f>"201700036209"</f>
        <v>201700036209</v>
      </c>
      <c r="C2686" s="3">
        <v>93539</v>
      </c>
      <c r="D2686" s="3" t="s">
        <v>9891</v>
      </c>
      <c r="E2686" s="3">
        <v>20525521509</v>
      </c>
      <c r="F2686" s="3" t="s">
        <v>189</v>
      </c>
      <c r="G2686" s="3" t="s">
        <v>9892</v>
      </c>
      <c r="H2686" s="3" t="s">
        <v>50</v>
      </c>
      <c r="I2686" s="3" t="s">
        <v>50</v>
      </c>
      <c r="J2686" s="3" t="s">
        <v>50</v>
      </c>
      <c r="K2686" s="3" t="s">
        <v>9893</v>
      </c>
      <c r="L2686" s="3" t="s">
        <v>879</v>
      </c>
      <c r="M2686" s="3" t="s">
        <v>880</v>
      </c>
      <c r="N2686" s="3" t="s">
        <v>881</v>
      </c>
      <c r="O2686" s="3" t="s">
        <v>882</v>
      </c>
      <c r="P2686" s="3" t="s">
        <v>883</v>
      </c>
      <c r="Q2686" s="3" t="s">
        <v>891</v>
      </c>
      <c r="R2686" s="3" t="s">
        <v>876</v>
      </c>
      <c r="S2686" s="3" t="s">
        <v>878</v>
      </c>
      <c r="T2686" s="3" t="s">
        <v>877</v>
      </c>
      <c r="U2686" s="3"/>
      <c r="V2686" s="3"/>
      <c r="W2686" s="3"/>
      <c r="X2686" s="3"/>
      <c r="Y2686" s="3"/>
      <c r="Z2686" s="3"/>
      <c r="AA2686" s="3"/>
      <c r="AB2686" s="3"/>
      <c r="AC2686" s="3"/>
      <c r="AD2686" s="3"/>
      <c r="AE2686" s="3"/>
      <c r="AF2686" s="3"/>
      <c r="AG2686" s="3"/>
      <c r="AH2686" s="3"/>
      <c r="AI2686" s="3"/>
      <c r="AJ2686" s="3"/>
      <c r="AK2686" s="3" t="s">
        <v>470</v>
      </c>
      <c r="AL2686" s="4">
        <v>42811</v>
      </c>
      <c r="AM2686" s="3"/>
      <c r="AN2686" s="3" t="s">
        <v>885</v>
      </c>
    </row>
    <row r="2687" spans="1:40" x14ac:dyDescent="0.3">
      <c r="A2687" s="3">
        <v>2681</v>
      </c>
      <c r="B2687" s="3" t="str">
        <f>"201700036206"</f>
        <v>201700036206</v>
      </c>
      <c r="C2687" s="3">
        <v>122398</v>
      </c>
      <c r="D2687" s="3" t="s">
        <v>9894</v>
      </c>
      <c r="E2687" s="3">
        <v>20525521509</v>
      </c>
      <c r="F2687" s="3" t="s">
        <v>189</v>
      </c>
      <c r="G2687" s="3" t="s">
        <v>874</v>
      </c>
      <c r="H2687" s="3" t="s">
        <v>50</v>
      </c>
      <c r="I2687" s="3" t="s">
        <v>50</v>
      </c>
      <c r="J2687" s="3" t="s">
        <v>50</v>
      </c>
      <c r="K2687" s="3" t="s">
        <v>9895</v>
      </c>
      <c r="L2687" s="3" t="s">
        <v>877</v>
      </c>
      <c r="M2687" s="3" t="s">
        <v>879</v>
      </c>
      <c r="N2687" s="3" t="s">
        <v>880</v>
      </c>
      <c r="O2687" s="3" t="s">
        <v>881</v>
      </c>
      <c r="P2687" s="3" t="s">
        <v>882</v>
      </c>
      <c r="Q2687" s="3" t="s">
        <v>876</v>
      </c>
      <c r="R2687" s="3" t="s">
        <v>878</v>
      </c>
      <c r="S2687" s="3" t="s">
        <v>883</v>
      </c>
      <c r="T2687" s="3" t="s">
        <v>891</v>
      </c>
      <c r="U2687" s="3"/>
      <c r="V2687" s="3"/>
      <c r="W2687" s="3"/>
      <c r="X2687" s="3"/>
      <c r="Y2687" s="3"/>
      <c r="Z2687" s="3"/>
      <c r="AA2687" s="3"/>
      <c r="AB2687" s="3"/>
      <c r="AC2687" s="3"/>
      <c r="AD2687" s="3"/>
      <c r="AE2687" s="3"/>
      <c r="AF2687" s="3"/>
      <c r="AG2687" s="3"/>
      <c r="AH2687" s="3"/>
      <c r="AI2687" s="3"/>
      <c r="AJ2687" s="3"/>
      <c r="AK2687" s="3" t="s">
        <v>470</v>
      </c>
      <c r="AL2687" s="4">
        <v>42814</v>
      </c>
      <c r="AM2687" s="3"/>
      <c r="AN2687" s="3" t="s">
        <v>193</v>
      </c>
    </row>
    <row r="2688" spans="1:40" x14ac:dyDescent="0.3">
      <c r="A2688" s="3">
        <v>2682</v>
      </c>
      <c r="B2688" s="3" t="str">
        <f>"1450077"</f>
        <v>1450077</v>
      </c>
      <c r="C2688" s="3">
        <v>37239</v>
      </c>
      <c r="D2688" s="3" t="s">
        <v>9896</v>
      </c>
      <c r="E2688" s="3">
        <v>20498521003</v>
      </c>
      <c r="F2688" s="3" t="s">
        <v>9897</v>
      </c>
      <c r="G2688" s="3" t="s">
        <v>9898</v>
      </c>
      <c r="H2688" s="3" t="s">
        <v>97</v>
      </c>
      <c r="I2688" s="3" t="s">
        <v>97</v>
      </c>
      <c r="J2688" s="3" t="s">
        <v>970</v>
      </c>
      <c r="K2688" s="3" t="s">
        <v>9899</v>
      </c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  <c r="AC2688" s="3"/>
      <c r="AD2688" s="3"/>
      <c r="AE2688" s="3"/>
      <c r="AF2688" s="3"/>
      <c r="AG2688" s="3"/>
      <c r="AH2688" s="3"/>
      <c r="AI2688" s="3"/>
      <c r="AJ2688" s="3"/>
      <c r="AK2688" s="3" t="s">
        <v>47</v>
      </c>
      <c r="AL2688" s="4">
        <v>37985</v>
      </c>
      <c r="AM2688" s="3"/>
      <c r="AN2688" s="3"/>
    </row>
    <row r="2689" spans="1:40" x14ac:dyDescent="0.3">
      <c r="A2689" s="3">
        <v>2683</v>
      </c>
      <c r="B2689" s="3" t="str">
        <f>"201700062325"</f>
        <v>201700062325</v>
      </c>
      <c r="C2689" s="3">
        <v>116211</v>
      </c>
      <c r="D2689" s="3" t="s">
        <v>9900</v>
      </c>
      <c r="E2689" s="3">
        <v>20100366747</v>
      </c>
      <c r="F2689" s="3" t="s">
        <v>334</v>
      </c>
      <c r="G2689" s="3" t="s">
        <v>451</v>
      </c>
      <c r="H2689" s="3" t="s">
        <v>56</v>
      </c>
      <c r="I2689" s="3" t="s">
        <v>56</v>
      </c>
      <c r="J2689" s="3" t="s">
        <v>185</v>
      </c>
      <c r="K2689" s="3" t="s">
        <v>9901</v>
      </c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C2689" s="3"/>
      <c r="AD2689" s="3"/>
      <c r="AE2689" s="3"/>
      <c r="AF2689" s="3"/>
      <c r="AG2689" s="3"/>
      <c r="AH2689" s="3"/>
      <c r="AI2689" s="3"/>
      <c r="AJ2689" s="3"/>
      <c r="AK2689" s="3" t="s">
        <v>2848</v>
      </c>
      <c r="AL2689" s="4">
        <v>42863</v>
      </c>
      <c r="AM2689" s="3"/>
      <c r="AN2689" s="3" t="s">
        <v>262</v>
      </c>
    </row>
    <row r="2690" spans="1:40" x14ac:dyDescent="0.3">
      <c r="A2690" s="3">
        <v>2684</v>
      </c>
      <c r="B2690" s="3" t="str">
        <f>"201600005670"</f>
        <v>201600005670</v>
      </c>
      <c r="C2690" s="3">
        <v>39265</v>
      </c>
      <c r="D2690" s="3" t="s">
        <v>9902</v>
      </c>
      <c r="E2690" s="3">
        <v>20100366747</v>
      </c>
      <c r="F2690" s="3" t="s">
        <v>258</v>
      </c>
      <c r="G2690" s="3" t="s">
        <v>1475</v>
      </c>
      <c r="H2690" s="3" t="s">
        <v>56</v>
      </c>
      <c r="I2690" s="3" t="s">
        <v>56</v>
      </c>
      <c r="J2690" s="3" t="s">
        <v>185</v>
      </c>
      <c r="K2690" s="3" t="s">
        <v>9903</v>
      </c>
      <c r="L2690" s="3" t="s">
        <v>9904</v>
      </c>
      <c r="M2690" s="3" t="s">
        <v>9905</v>
      </c>
      <c r="N2690" s="3" t="s">
        <v>9906</v>
      </c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C2690" s="3"/>
      <c r="AD2690" s="3"/>
      <c r="AE2690" s="3"/>
      <c r="AF2690" s="3"/>
      <c r="AG2690" s="3"/>
      <c r="AH2690" s="3"/>
      <c r="AI2690" s="3"/>
      <c r="AJ2690" s="3"/>
      <c r="AK2690" s="3" t="s">
        <v>371</v>
      </c>
      <c r="AL2690" s="4">
        <v>42397</v>
      </c>
      <c r="AM2690" s="3"/>
      <c r="AN2690" s="3" t="s">
        <v>262</v>
      </c>
    </row>
    <row r="2691" spans="1:40" x14ac:dyDescent="0.3">
      <c r="A2691" s="3">
        <v>2685</v>
      </c>
      <c r="B2691" s="3" t="str">
        <f>"201600168966"</f>
        <v>201600168966</v>
      </c>
      <c r="C2691" s="3">
        <v>124244</v>
      </c>
      <c r="D2691" s="3" t="s">
        <v>9907</v>
      </c>
      <c r="E2691" s="3">
        <v>10292917177</v>
      </c>
      <c r="F2691" s="3" t="s">
        <v>444</v>
      </c>
      <c r="G2691" s="3" t="s">
        <v>9908</v>
      </c>
      <c r="H2691" s="3" t="s">
        <v>97</v>
      </c>
      <c r="I2691" s="3" t="s">
        <v>97</v>
      </c>
      <c r="J2691" s="3" t="s">
        <v>326</v>
      </c>
      <c r="K2691" s="3" t="s">
        <v>9909</v>
      </c>
      <c r="L2691" s="3" t="s">
        <v>9910</v>
      </c>
      <c r="M2691" s="3" t="s">
        <v>4877</v>
      </c>
      <c r="N2691" s="3" t="s">
        <v>4676</v>
      </c>
      <c r="O2691" s="3" t="s">
        <v>4675</v>
      </c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  <c r="AC2691" s="3"/>
      <c r="AD2691" s="3"/>
      <c r="AE2691" s="3"/>
      <c r="AF2691" s="3"/>
      <c r="AG2691" s="3"/>
      <c r="AH2691" s="3"/>
      <c r="AI2691" s="3"/>
      <c r="AJ2691" s="3"/>
      <c r="AK2691" s="3" t="s">
        <v>150</v>
      </c>
      <c r="AL2691" s="4">
        <v>42713</v>
      </c>
      <c r="AM2691" s="3"/>
      <c r="AN2691" s="3" t="s">
        <v>444</v>
      </c>
    </row>
    <row r="2692" spans="1:40" ht="27.95" x14ac:dyDescent="0.3">
      <c r="A2692" s="3">
        <v>2686</v>
      </c>
      <c r="B2692" s="3" t="str">
        <f>"201200210835"</f>
        <v>201200210835</v>
      </c>
      <c r="C2692" s="3">
        <v>99466</v>
      </c>
      <c r="D2692" s="3" t="s">
        <v>9911</v>
      </c>
      <c r="E2692" s="3">
        <v>20526513798</v>
      </c>
      <c r="F2692" s="3" t="s">
        <v>9912</v>
      </c>
      <c r="G2692" s="3" t="s">
        <v>9913</v>
      </c>
      <c r="H2692" s="3" t="s">
        <v>50</v>
      </c>
      <c r="I2692" s="3" t="s">
        <v>50</v>
      </c>
      <c r="J2692" s="3" t="s">
        <v>50</v>
      </c>
      <c r="K2692" s="3" t="s">
        <v>9914</v>
      </c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  <c r="AC2692" s="3"/>
      <c r="AD2692" s="3"/>
      <c r="AE2692" s="3"/>
      <c r="AF2692" s="3"/>
      <c r="AG2692" s="3"/>
      <c r="AH2692" s="3"/>
      <c r="AI2692" s="3"/>
      <c r="AJ2692" s="3"/>
      <c r="AK2692" s="3" t="s">
        <v>1768</v>
      </c>
      <c r="AL2692" s="4">
        <v>41246</v>
      </c>
      <c r="AM2692" s="3"/>
      <c r="AN2692" s="3" t="s">
        <v>9915</v>
      </c>
    </row>
    <row r="2693" spans="1:40" x14ac:dyDescent="0.3">
      <c r="A2693" s="3">
        <v>2687</v>
      </c>
      <c r="B2693" s="3" t="str">
        <f>"1276533"</f>
        <v>1276533</v>
      </c>
      <c r="C2693" s="3">
        <v>20651</v>
      </c>
      <c r="D2693" s="3" t="s">
        <v>9916</v>
      </c>
      <c r="E2693" s="3">
        <v>10005019848</v>
      </c>
      <c r="F2693" s="3" t="s">
        <v>9738</v>
      </c>
      <c r="G2693" s="3" t="s">
        <v>9917</v>
      </c>
      <c r="H2693" s="3" t="s">
        <v>202</v>
      </c>
      <c r="I2693" s="3" t="s">
        <v>202</v>
      </c>
      <c r="J2693" s="3" t="s">
        <v>202</v>
      </c>
      <c r="K2693" s="3" t="s">
        <v>9918</v>
      </c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C2693" s="3"/>
      <c r="AD2693" s="3"/>
      <c r="AE2693" s="3"/>
      <c r="AF2693" s="3"/>
      <c r="AG2693" s="3"/>
      <c r="AH2693" s="3"/>
      <c r="AI2693" s="3"/>
      <c r="AJ2693" s="3"/>
      <c r="AK2693" s="3" t="s">
        <v>162</v>
      </c>
      <c r="AL2693" s="4">
        <v>36889</v>
      </c>
      <c r="AM2693" s="3"/>
      <c r="AN2693" s="3"/>
    </row>
    <row r="2694" spans="1:40" ht="27.95" x14ac:dyDescent="0.3">
      <c r="A2694" s="3">
        <v>2688</v>
      </c>
      <c r="B2694" s="3" t="str">
        <f>"1510985"</f>
        <v>1510985</v>
      </c>
      <c r="C2694" s="3">
        <v>36681</v>
      </c>
      <c r="D2694" s="3" t="s">
        <v>9919</v>
      </c>
      <c r="E2694" s="3">
        <v>20100076749</v>
      </c>
      <c r="F2694" s="3" t="s">
        <v>159</v>
      </c>
      <c r="G2694" s="3" t="s">
        <v>160</v>
      </c>
      <c r="H2694" s="3" t="s">
        <v>56</v>
      </c>
      <c r="I2694" s="3" t="s">
        <v>56</v>
      </c>
      <c r="J2694" s="3" t="s">
        <v>121</v>
      </c>
      <c r="K2694" s="3" t="s">
        <v>9920</v>
      </c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C2694" s="3"/>
      <c r="AD2694" s="3"/>
      <c r="AE2694" s="3"/>
      <c r="AF2694" s="3"/>
      <c r="AG2694" s="3"/>
      <c r="AH2694" s="3"/>
      <c r="AI2694" s="3"/>
      <c r="AJ2694" s="3"/>
      <c r="AK2694" s="3" t="s">
        <v>3022</v>
      </c>
      <c r="AL2694" s="4">
        <v>38370</v>
      </c>
      <c r="AM2694" s="3"/>
      <c r="AN2694" s="3"/>
    </row>
    <row r="2695" spans="1:40" x14ac:dyDescent="0.3">
      <c r="A2695" s="3">
        <v>2689</v>
      </c>
      <c r="B2695" s="3" t="str">
        <f>"202000000130"</f>
        <v>202000000130</v>
      </c>
      <c r="C2695" s="3">
        <v>88019</v>
      </c>
      <c r="D2695" s="3" t="s">
        <v>9921</v>
      </c>
      <c r="E2695" s="3">
        <v>10011218071</v>
      </c>
      <c r="F2695" s="3" t="s">
        <v>9922</v>
      </c>
      <c r="G2695" s="3" t="s">
        <v>9923</v>
      </c>
      <c r="H2695" s="3" t="s">
        <v>172</v>
      </c>
      <c r="I2695" s="3" t="s">
        <v>172</v>
      </c>
      <c r="J2695" s="3" t="s">
        <v>173</v>
      </c>
      <c r="K2695" s="3" t="s">
        <v>9924</v>
      </c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  <c r="AC2695" s="3"/>
      <c r="AD2695" s="3"/>
      <c r="AE2695" s="3"/>
      <c r="AF2695" s="3"/>
      <c r="AG2695" s="3"/>
      <c r="AH2695" s="3"/>
      <c r="AI2695" s="3"/>
      <c r="AJ2695" s="3"/>
      <c r="AK2695" s="3" t="s">
        <v>2355</v>
      </c>
      <c r="AL2695" s="4">
        <v>43845</v>
      </c>
      <c r="AM2695" s="3"/>
      <c r="AN2695" s="3" t="s">
        <v>9925</v>
      </c>
    </row>
    <row r="2696" spans="1:40" x14ac:dyDescent="0.3">
      <c r="A2696" s="3">
        <v>2690</v>
      </c>
      <c r="B2696" s="3" t="str">
        <f>"1450073"</f>
        <v>1450073</v>
      </c>
      <c r="C2696" s="3">
        <v>37639</v>
      </c>
      <c r="D2696" s="3" t="s">
        <v>9926</v>
      </c>
      <c r="E2696" s="3">
        <v>10292480607</v>
      </c>
      <c r="F2696" s="3" t="s">
        <v>9927</v>
      </c>
      <c r="G2696" s="3" t="s">
        <v>9928</v>
      </c>
      <c r="H2696" s="3" t="s">
        <v>97</v>
      </c>
      <c r="I2696" s="3" t="s">
        <v>97</v>
      </c>
      <c r="J2696" s="3" t="s">
        <v>970</v>
      </c>
      <c r="K2696" s="3" t="s">
        <v>9929</v>
      </c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  <c r="AC2696" s="3"/>
      <c r="AD2696" s="3"/>
      <c r="AE2696" s="3"/>
      <c r="AF2696" s="3"/>
      <c r="AG2696" s="3"/>
      <c r="AH2696" s="3"/>
      <c r="AI2696" s="3"/>
      <c r="AJ2696" s="3"/>
      <c r="AK2696" s="3" t="s">
        <v>634</v>
      </c>
      <c r="AL2696" s="4">
        <v>37971</v>
      </c>
      <c r="AM2696" s="3"/>
      <c r="AN2696" s="3"/>
    </row>
    <row r="2697" spans="1:40" ht="27.95" x14ac:dyDescent="0.3">
      <c r="A2697" s="3">
        <v>2691</v>
      </c>
      <c r="B2697" s="3" t="str">
        <f>"201600173030"</f>
        <v>201600173030</v>
      </c>
      <c r="C2697" s="3">
        <v>125171</v>
      </c>
      <c r="D2697" s="3" t="s">
        <v>9930</v>
      </c>
      <c r="E2697" s="3">
        <v>10460107119</v>
      </c>
      <c r="F2697" s="3" t="s">
        <v>9931</v>
      </c>
      <c r="G2697" s="3" t="s">
        <v>9932</v>
      </c>
      <c r="H2697" s="3" t="s">
        <v>216</v>
      </c>
      <c r="I2697" s="3" t="s">
        <v>216</v>
      </c>
      <c r="J2697" s="3" t="s">
        <v>216</v>
      </c>
      <c r="K2697" s="3" t="s">
        <v>9933</v>
      </c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C2697" s="3"/>
      <c r="AD2697" s="3"/>
      <c r="AE2697" s="3"/>
      <c r="AF2697" s="3"/>
      <c r="AG2697" s="3"/>
      <c r="AH2697" s="3"/>
      <c r="AI2697" s="3"/>
      <c r="AJ2697" s="3"/>
      <c r="AK2697" s="3" t="s">
        <v>2098</v>
      </c>
      <c r="AL2697" s="4">
        <v>42788</v>
      </c>
      <c r="AM2697" s="3"/>
      <c r="AN2697" s="3" t="s">
        <v>9931</v>
      </c>
    </row>
    <row r="2698" spans="1:40" x14ac:dyDescent="0.3">
      <c r="A2698" s="3">
        <v>2692</v>
      </c>
      <c r="B2698" s="3" t="str">
        <f>"1583789"</f>
        <v>1583789</v>
      </c>
      <c r="C2698" s="3">
        <v>41958</v>
      </c>
      <c r="D2698" s="3" t="s">
        <v>9934</v>
      </c>
      <c r="E2698" s="3">
        <v>10026894099</v>
      </c>
      <c r="F2698" s="3" t="s">
        <v>532</v>
      </c>
      <c r="G2698" s="3" t="s">
        <v>9265</v>
      </c>
      <c r="H2698" s="3" t="s">
        <v>50</v>
      </c>
      <c r="I2698" s="3" t="s">
        <v>50</v>
      </c>
      <c r="J2698" s="3" t="s">
        <v>98</v>
      </c>
      <c r="K2698" s="3" t="s">
        <v>9935</v>
      </c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C2698" s="3"/>
      <c r="AD2698" s="3"/>
      <c r="AE2698" s="3"/>
      <c r="AF2698" s="3"/>
      <c r="AG2698" s="3"/>
      <c r="AH2698" s="3"/>
      <c r="AI2698" s="3"/>
      <c r="AJ2698" s="3"/>
      <c r="AK2698" s="3" t="s">
        <v>81</v>
      </c>
      <c r="AL2698" s="4">
        <v>38688</v>
      </c>
      <c r="AM2698" s="3"/>
      <c r="AN2698" s="3"/>
    </row>
    <row r="2699" spans="1:40" x14ac:dyDescent="0.3">
      <c r="A2699" s="3">
        <v>2693</v>
      </c>
      <c r="B2699" s="3" t="str">
        <f>"1873822"</f>
        <v>1873822</v>
      </c>
      <c r="C2699" s="3">
        <v>82966</v>
      </c>
      <c r="D2699" s="3" t="s">
        <v>9936</v>
      </c>
      <c r="E2699" s="3">
        <v>20349264413</v>
      </c>
      <c r="F2699" s="3" t="s">
        <v>287</v>
      </c>
      <c r="G2699" s="3" t="s">
        <v>9937</v>
      </c>
      <c r="H2699" s="3" t="s">
        <v>56</v>
      </c>
      <c r="I2699" s="3" t="s">
        <v>56</v>
      </c>
      <c r="J2699" s="3" t="s">
        <v>105</v>
      </c>
      <c r="K2699" s="3" t="s">
        <v>9938</v>
      </c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  <c r="AC2699" s="3"/>
      <c r="AD2699" s="3"/>
      <c r="AE2699" s="3"/>
      <c r="AF2699" s="3"/>
      <c r="AG2699" s="3"/>
      <c r="AH2699" s="3"/>
      <c r="AI2699" s="3"/>
      <c r="AJ2699" s="3"/>
      <c r="AK2699" s="3" t="s">
        <v>1053</v>
      </c>
      <c r="AL2699" s="4">
        <v>39916</v>
      </c>
      <c r="AM2699" s="3"/>
      <c r="AN2699" s="3"/>
    </row>
    <row r="2700" spans="1:40" ht="27.95" x14ac:dyDescent="0.3">
      <c r="A2700" s="3">
        <v>2694</v>
      </c>
      <c r="B2700" s="3" t="str">
        <f>"201700105184"</f>
        <v>201700105184</v>
      </c>
      <c r="C2700" s="3">
        <v>130324</v>
      </c>
      <c r="D2700" s="3" t="s">
        <v>9939</v>
      </c>
      <c r="E2700" s="3">
        <v>20601380880</v>
      </c>
      <c r="F2700" s="3" t="s">
        <v>9940</v>
      </c>
      <c r="G2700" s="3" t="s">
        <v>9941</v>
      </c>
      <c r="H2700" s="3" t="s">
        <v>587</v>
      </c>
      <c r="I2700" s="3" t="s">
        <v>588</v>
      </c>
      <c r="J2700" s="3" t="s">
        <v>9942</v>
      </c>
      <c r="K2700" s="3" t="s">
        <v>9943</v>
      </c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  <c r="AC2700" s="3"/>
      <c r="AD2700" s="3"/>
      <c r="AE2700" s="3"/>
      <c r="AF2700" s="3"/>
      <c r="AG2700" s="3"/>
      <c r="AH2700" s="3"/>
      <c r="AI2700" s="3"/>
      <c r="AJ2700" s="3"/>
      <c r="AK2700" s="3" t="s">
        <v>4786</v>
      </c>
      <c r="AL2700" s="4">
        <v>43151</v>
      </c>
      <c r="AM2700" s="3"/>
      <c r="AN2700" s="3" t="s">
        <v>9944</v>
      </c>
    </row>
    <row r="2701" spans="1:40" x14ac:dyDescent="0.3">
      <c r="A2701" s="3">
        <v>2695</v>
      </c>
      <c r="B2701" s="3" t="str">
        <f>"1124643"</f>
        <v>1124643</v>
      </c>
      <c r="C2701" s="3">
        <v>2573</v>
      </c>
      <c r="D2701" s="3">
        <v>1051422</v>
      </c>
      <c r="E2701" s="3">
        <v>10091880712</v>
      </c>
      <c r="F2701" s="3" t="s">
        <v>2470</v>
      </c>
      <c r="G2701" s="3" t="s">
        <v>2471</v>
      </c>
      <c r="H2701" s="3" t="s">
        <v>75</v>
      </c>
      <c r="I2701" s="3" t="s">
        <v>75</v>
      </c>
      <c r="J2701" s="3" t="s">
        <v>1358</v>
      </c>
      <c r="K2701" s="3" t="s">
        <v>9945</v>
      </c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C2701" s="3"/>
      <c r="AD2701" s="3"/>
      <c r="AE2701" s="3"/>
      <c r="AF2701" s="3"/>
      <c r="AG2701" s="3"/>
      <c r="AH2701" s="3"/>
      <c r="AI2701" s="3"/>
      <c r="AJ2701" s="3"/>
      <c r="AK2701" s="3" t="s">
        <v>192</v>
      </c>
      <c r="AL2701" s="4">
        <v>35569</v>
      </c>
      <c r="AM2701" s="3"/>
      <c r="AN2701" s="3"/>
    </row>
    <row r="2702" spans="1:40" x14ac:dyDescent="0.3">
      <c r="A2702" s="3">
        <v>2696</v>
      </c>
      <c r="B2702" s="3" t="str">
        <f>"1309789"</f>
        <v>1309789</v>
      </c>
      <c r="C2702" s="3">
        <v>21280</v>
      </c>
      <c r="D2702" s="3" t="s">
        <v>9946</v>
      </c>
      <c r="E2702" s="3">
        <v>10292330141</v>
      </c>
      <c r="F2702" s="3" t="s">
        <v>9947</v>
      </c>
      <c r="G2702" s="3" t="s">
        <v>9948</v>
      </c>
      <c r="H2702" s="3" t="s">
        <v>222</v>
      </c>
      <c r="I2702" s="3" t="s">
        <v>223</v>
      </c>
      <c r="J2702" s="3" t="s">
        <v>224</v>
      </c>
      <c r="K2702" s="3" t="s">
        <v>9949</v>
      </c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C2702" s="3"/>
      <c r="AD2702" s="3"/>
      <c r="AE2702" s="3"/>
      <c r="AF2702" s="3"/>
      <c r="AG2702" s="3"/>
      <c r="AH2702" s="3"/>
      <c r="AI2702" s="3"/>
      <c r="AJ2702" s="3"/>
      <c r="AK2702" s="3" t="s">
        <v>2978</v>
      </c>
      <c r="AL2702" s="4">
        <v>36881</v>
      </c>
      <c r="AM2702" s="3"/>
      <c r="AN2702" s="3"/>
    </row>
    <row r="2703" spans="1:40" x14ac:dyDescent="0.3">
      <c r="A2703" s="3">
        <v>2697</v>
      </c>
      <c r="B2703" s="3" t="str">
        <f>"1358023"</f>
        <v>1358023</v>
      </c>
      <c r="C2703" s="3">
        <v>31648</v>
      </c>
      <c r="D2703" s="3" t="s">
        <v>9950</v>
      </c>
      <c r="E2703" s="3">
        <v>20100366747</v>
      </c>
      <c r="F2703" s="3" t="s">
        <v>258</v>
      </c>
      <c r="G2703" s="3" t="s">
        <v>1055</v>
      </c>
      <c r="H2703" s="3" t="s">
        <v>56</v>
      </c>
      <c r="I2703" s="3" t="s">
        <v>56</v>
      </c>
      <c r="J2703" s="3" t="s">
        <v>185</v>
      </c>
      <c r="K2703" s="3" t="s">
        <v>9951</v>
      </c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  <c r="AC2703" s="3"/>
      <c r="AD2703" s="3"/>
      <c r="AE2703" s="3"/>
      <c r="AF2703" s="3"/>
      <c r="AG2703" s="3"/>
      <c r="AH2703" s="3"/>
      <c r="AI2703" s="3"/>
      <c r="AJ2703" s="3"/>
      <c r="AK2703" s="3" t="s">
        <v>2508</v>
      </c>
      <c r="AL2703" s="4">
        <v>37351</v>
      </c>
      <c r="AM2703" s="3"/>
      <c r="AN2703" s="3"/>
    </row>
    <row r="2704" spans="1:40" x14ac:dyDescent="0.3">
      <c r="A2704" s="3">
        <v>2698</v>
      </c>
      <c r="B2704" s="3" t="str">
        <f>"1846264"</f>
        <v>1846264</v>
      </c>
      <c r="C2704" s="3">
        <v>82343</v>
      </c>
      <c r="D2704" s="3" t="s">
        <v>9952</v>
      </c>
      <c r="E2704" s="3">
        <v>20480861010</v>
      </c>
      <c r="F2704" s="3" t="s">
        <v>42</v>
      </c>
      <c r="G2704" s="3" t="s">
        <v>9953</v>
      </c>
      <c r="H2704" s="3" t="s">
        <v>44</v>
      </c>
      <c r="I2704" s="3" t="s">
        <v>45</v>
      </c>
      <c r="J2704" s="3" t="s">
        <v>45</v>
      </c>
      <c r="K2704" s="3" t="s">
        <v>9954</v>
      </c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  <c r="AC2704" s="3"/>
      <c r="AD2704" s="3"/>
      <c r="AE2704" s="3"/>
      <c r="AF2704" s="3"/>
      <c r="AG2704" s="3"/>
      <c r="AH2704" s="3"/>
      <c r="AI2704" s="3"/>
      <c r="AJ2704" s="3"/>
      <c r="AK2704" s="3" t="s">
        <v>218</v>
      </c>
      <c r="AL2704" s="4">
        <v>39791</v>
      </c>
      <c r="AM2704" s="3"/>
      <c r="AN2704" s="3"/>
    </row>
    <row r="2705" spans="1:40" x14ac:dyDescent="0.3">
      <c r="A2705" s="3">
        <v>2699</v>
      </c>
      <c r="B2705" s="3" t="str">
        <f>"1873825"</f>
        <v>1873825</v>
      </c>
      <c r="C2705" s="3">
        <v>83032</v>
      </c>
      <c r="D2705" s="3" t="s">
        <v>9955</v>
      </c>
      <c r="E2705" s="3">
        <v>20349264413</v>
      </c>
      <c r="F2705" s="3" t="s">
        <v>287</v>
      </c>
      <c r="G2705" s="3" t="s">
        <v>9956</v>
      </c>
      <c r="H2705" s="3" t="s">
        <v>56</v>
      </c>
      <c r="I2705" s="3" t="s">
        <v>56</v>
      </c>
      <c r="J2705" s="3" t="s">
        <v>105</v>
      </c>
      <c r="K2705" s="3" t="s">
        <v>9957</v>
      </c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C2705" s="3"/>
      <c r="AD2705" s="3"/>
      <c r="AE2705" s="3"/>
      <c r="AF2705" s="3"/>
      <c r="AG2705" s="3"/>
      <c r="AH2705" s="3"/>
      <c r="AI2705" s="3"/>
      <c r="AJ2705" s="3"/>
      <c r="AK2705" s="3" t="s">
        <v>118</v>
      </c>
      <c r="AL2705" s="4">
        <v>39916</v>
      </c>
      <c r="AM2705" s="3"/>
      <c r="AN2705" s="3"/>
    </row>
    <row r="2706" spans="1:40" ht="27.95" x14ac:dyDescent="0.3">
      <c r="A2706" s="3">
        <v>2700</v>
      </c>
      <c r="B2706" s="3" t="str">
        <f>"1338841"</f>
        <v>1338841</v>
      </c>
      <c r="C2706" s="3">
        <v>3537</v>
      </c>
      <c r="D2706" s="3" t="s">
        <v>9958</v>
      </c>
      <c r="E2706" s="3">
        <v>20210133748</v>
      </c>
      <c r="F2706" s="3" t="s">
        <v>4609</v>
      </c>
      <c r="G2706" s="3" t="s">
        <v>3851</v>
      </c>
      <c r="H2706" s="3" t="s">
        <v>56</v>
      </c>
      <c r="I2706" s="3" t="s">
        <v>56</v>
      </c>
      <c r="J2706" s="3" t="s">
        <v>63</v>
      </c>
      <c r="K2706" s="3" t="s">
        <v>9959</v>
      </c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C2706" s="3"/>
      <c r="AD2706" s="3"/>
      <c r="AE2706" s="3"/>
      <c r="AF2706" s="3"/>
      <c r="AG2706" s="3"/>
      <c r="AH2706" s="3"/>
      <c r="AI2706" s="3"/>
      <c r="AJ2706" s="3"/>
      <c r="AK2706" s="3" t="s">
        <v>634</v>
      </c>
      <c r="AL2706" s="4">
        <v>37187</v>
      </c>
      <c r="AM2706" s="3"/>
      <c r="AN2706" s="3"/>
    </row>
    <row r="2707" spans="1:40" x14ac:dyDescent="0.3">
      <c r="A2707" s="3">
        <v>2701</v>
      </c>
      <c r="B2707" s="3" t="str">
        <f>"201600034670"</f>
        <v>201600034670</v>
      </c>
      <c r="C2707" s="3">
        <v>106035</v>
      </c>
      <c r="D2707" s="3" t="s">
        <v>9960</v>
      </c>
      <c r="E2707" s="3">
        <v>20100366747</v>
      </c>
      <c r="F2707" s="3" t="s">
        <v>258</v>
      </c>
      <c r="G2707" s="3" t="s">
        <v>451</v>
      </c>
      <c r="H2707" s="3" t="s">
        <v>56</v>
      </c>
      <c r="I2707" s="3" t="s">
        <v>56</v>
      </c>
      <c r="J2707" s="3" t="s">
        <v>185</v>
      </c>
      <c r="K2707" s="3" t="s">
        <v>9961</v>
      </c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  <c r="AC2707" s="3"/>
      <c r="AD2707" s="3"/>
      <c r="AE2707" s="3"/>
      <c r="AF2707" s="3"/>
      <c r="AG2707" s="3"/>
      <c r="AH2707" s="3"/>
      <c r="AI2707" s="3"/>
      <c r="AJ2707" s="3"/>
      <c r="AK2707" s="3" t="s">
        <v>579</v>
      </c>
      <c r="AL2707" s="4">
        <v>42460</v>
      </c>
      <c r="AM2707" s="3"/>
      <c r="AN2707" s="3" t="s">
        <v>262</v>
      </c>
    </row>
    <row r="2708" spans="1:40" x14ac:dyDescent="0.3">
      <c r="A2708" s="3">
        <v>2702</v>
      </c>
      <c r="B2708" s="3" t="str">
        <f>"201400133412"</f>
        <v>201400133412</v>
      </c>
      <c r="C2708" s="3">
        <v>112023</v>
      </c>
      <c r="D2708" s="3" t="s">
        <v>9962</v>
      </c>
      <c r="E2708" s="3">
        <v>20486025094</v>
      </c>
      <c r="F2708" s="3" t="s">
        <v>9963</v>
      </c>
      <c r="G2708" s="3" t="s">
        <v>9964</v>
      </c>
      <c r="H2708" s="3" t="s">
        <v>1946</v>
      </c>
      <c r="I2708" s="3" t="s">
        <v>9965</v>
      </c>
      <c r="J2708" s="3" t="s">
        <v>9966</v>
      </c>
      <c r="K2708" s="3" t="s">
        <v>9967</v>
      </c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  <c r="AC2708" s="3"/>
      <c r="AD2708" s="3"/>
      <c r="AE2708" s="3"/>
      <c r="AF2708" s="3"/>
      <c r="AG2708" s="3"/>
      <c r="AH2708" s="3"/>
      <c r="AI2708" s="3"/>
      <c r="AJ2708" s="3"/>
      <c r="AK2708" s="3" t="s">
        <v>1087</v>
      </c>
      <c r="AL2708" s="4">
        <v>41927</v>
      </c>
      <c r="AM2708" s="3"/>
      <c r="AN2708" s="3" t="s">
        <v>9968</v>
      </c>
    </row>
    <row r="2709" spans="1:40" ht="27.95" x14ac:dyDescent="0.3">
      <c r="A2709" s="3">
        <v>2703</v>
      </c>
      <c r="B2709" s="3" t="str">
        <f>"201700081657"</f>
        <v>201700081657</v>
      </c>
      <c r="C2709" s="3">
        <v>91169</v>
      </c>
      <c r="D2709" s="3" t="s">
        <v>9969</v>
      </c>
      <c r="E2709" s="3">
        <v>20160364719</v>
      </c>
      <c r="F2709" s="3" t="s">
        <v>129</v>
      </c>
      <c r="G2709" s="3" t="s">
        <v>9970</v>
      </c>
      <c r="H2709" s="3" t="s">
        <v>56</v>
      </c>
      <c r="I2709" s="3" t="s">
        <v>56</v>
      </c>
      <c r="J2709" s="3" t="s">
        <v>131</v>
      </c>
      <c r="K2709" s="3" t="s">
        <v>9971</v>
      </c>
      <c r="L2709" s="3" t="s">
        <v>9972</v>
      </c>
      <c r="M2709" s="3" t="s">
        <v>133</v>
      </c>
      <c r="N2709" s="3" t="s">
        <v>134</v>
      </c>
      <c r="O2709" s="3" t="s">
        <v>135</v>
      </c>
      <c r="P2709" s="3" t="s">
        <v>136</v>
      </c>
      <c r="Q2709" s="3" t="s">
        <v>137</v>
      </c>
      <c r="R2709" s="3" t="s">
        <v>138</v>
      </c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C2709" s="3"/>
      <c r="AD2709" s="3"/>
      <c r="AE2709" s="3"/>
      <c r="AF2709" s="3"/>
      <c r="AG2709" s="3"/>
      <c r="AH2709" s="3"/>
      <c r="AI2709" s="3"/>
      <c r="AJ2709" s="3"/>
      <c r="AK2709" s="3" t="s">
        <v>139</v>
      </c>
      <c r="AL2709" s="4">
        <v>42895</v>
      </c>
      <c r="AM2709" s="3"/>
      <c r="AN2709" s="3" t="s">
        <v>140</v>
      </c>
    </row>
    <row r="2710" spans="1:40" ht="27.95" x14ac:dyDescent="0.3">
      <c r="A2710" s="3">
        <v>2704</v>
      </c>
      <c r="B2710" s="3" t="str">
        <f>"201700121671"</f>
        <v>201700121671</v>
      </c>
      <c r="C2710" s="3">
        <v>129150</v>
      </c>
      <c r="D2710" s="3" t="s">
        <v>9973</v>
      </c>
      <c r="E2710" s="3">
        <v>10406299061</v>
      </c>
      <c r="F2710" s="3" t="s">
        <v>9974</v>
      </c>
      <c r="G2710" s="3" t="s">
        <v>9975</v>
      </c>
      <c r="H2710" s="3" t="s">
        <v>97</v>
      </c>
      <c r="I2710" s="3" t="s">
        <v>97</v>
      </c>
      <c r="J2710" s="3" t="s">
        <v>144</v>
      </c>
      <c r="K2710" s="3" t="s">
        <v>9976</v>
      </c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C2710" s="3"/>
      <c r="AD2710" s="3"/>
      <c r="AE2710" s="3"/>
      <c r="AF2710" s="3"/>
      <c r="AG2710" s="3"/>
      <c r="AH2710" s="3"/>
      <c r="AI2710" s="3"/>
      <c r="AJ2710" s="3"/>
      <c r="AK2710" s="3" t="s">
        <v>8000</v>
      </c>
      <c r="AL2710" s="4">
        <v>42955</v>
      </c>
      <c r="AM2710" s="3"/>
      <c r="AN2710" s="3" t="s">
        <v>9974</v>
      </c>
    </row>
    <row r="2711" spans="1:40" x14ac:dyDescent="0.3">
      <c r="A2711" s="3">
        <v>2705</v>
      </c>
      <c r="B2711" s="3" t="str">
        <f>"201300132135"</f>
        <v>201300132135</v>
      </c>
      <c r="C2711" s="3">
        <v>104641</v>
      </c>
      <c r="D2711" s="3" t="s">
        <v>9977</v>
      </c>
      <c r="E2711" s="3">
        <v>10297298769</v>
      </c>
      <c r="F2711" s="3" t="s">
        <v>3048</v>
      </c>
      <c r="G2711" s="3" t="s">
        <v>9978</v>
      </c>
      <c r="H2711" s="3" t="s">
        <v>97</v>
      </c>
      <c r="I2711" s="3" t="s">
        <v>97</v>
      </c>
      <c r="J2711" s="3" t="s">
        <v>144</v>
      </c>
      <c r="K2711" s="3" t="s">
        <v>9979</v>
      </c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  <c r="AC2711" s="3"/>
      <c r="AD2711" s="3"/>
      <c r="AE2711" s="3"/>
      <c r="AF2711" s="3"/>
      <c r="AG2711" s="3"/>
      <c r="AH2711" s="3"/>
      <c r="AI2711" s="3"/>
      <c r="AJ2711" s="3"/>
      <c r="AK2711" s="3" t="s">
        <v>707</v>
      </c>
      <c r="AL2711" s="4">
        <v>41505</v>
      </c>
      <c r="AM2711" s="3"/>
      <c r="AN2711" s="3" t="s">
        <v>3048</v>
      </c>
    </row>
    <row r="2712" spans="1:40" x14ac:dyDescent="0.3">
      <c r="A2712" s="3">
        <v>2706</v>
      </c>
      <c r="B2712" s="3" t="str">
        <f>"201500095109"</f>
        <v>201500095109</v>
      </c>
      <c r="C2712" s="3">
        <v>116503</v>
      </c>
      <c r="D2712" s="3" t="s">
        <v>9980</v>
      </c>
      <c r="E2712" s="3">
        <v>20506727783</v>
      </c>
      <c r="F2712" s="3" t="s">
        <v>1266</v>
      </c>
      <c r="G2712" s="3" t="s">
        <v>2657</v>
      </c>
      <c r="H2712" s="3" t="s">
        <v>56</v>
      </c>
      <c r="I2712" s="3" t="s">
        <v>56</v>
      </c>
      <c r="J2712" s="3" t="s">
        <v>131</v>
      </c>
      <c r="K2712" s="3" t="s">
        <v>9981</v>
      </c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  <c r="AC2712" s="3"/>
      <c r="AD2712" s="3"/>
      <c r="AE2712" s="3"/>
      <c r="AF2712" s="3"/>
      <c r="AG2712" s="3"/>
      <c r="AH2712" s="3"/>
      <c r="AI2712" s="3"/>
      <c r="AJ2712" s="3"/>
      <c r="AK2712" s="3" t="s">
        <v>9982</v>
      </c>
      <c r="AL2712" s="4">
        <v>42219</v>
      </c>
      <c r="AM2712" s="3"/>
      <c r="AN2712" s="3" t="s">
        <v>2634</v>
      </c>
    </row>
    <row r="2713" spans="1:40" x14ac:dyDescent="0.3">
      <c r="A2713" s="3">
        <v>2707</v>
      </c>
      <c r="B2713" s="3" t="str">
        <f>"1319911"</f>
        <v>1319911</v>
      </c>
      <c r="C2713" s="3">
        <v>20842</v>
      </c>
      <c r="D2713" s="3" t="s">
        <v>9983</v>
      </c>
      <c r="E2713" s="3">
        <v>20100366747</v>
      </c>
      <c r="F2713" s="3" t="s">
        <v>258</v>
      </c>
      <c r="G2713" s="3" t="s">
        <v>1055</v>
      </c>
      <c r="H2713" s="3" t="s">
        <v>56</v>
      </c>
      <c r="I2713" s="3" t="s">
        <v>56</v>
      </c>
      <c r="J2713" s="3" t="s">
        <v>185</v>
      </c>
      <c r="K2713" s="3" t="s">
        <v>9984</v>
      </c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C2713" s="3"/>
      <c r="AD2713" s="3"/>
      <c r="AE2713" s="3"/>
      <c r="AF2713" s="3"/>
      <c r="AG2713" s="3"/>
      <c r="AH2713" s="3"/>
      <c r="AI2713" s="3"/>
      <c r="AJ2713" s="3"/>
      <c r="AK2713" s="3" t="s">
        <v>353</v>
      </c>
      <c r="AL2713" s="4">
        <v>37027</v>
      </c>
      <c r="AM2713" s="3"/>
      <c r="AN2713" s="3"/>
    </row>
    <row r="2714" spans="1:40" x14ac:dyDescent="0.3">
      <c r="A2714" s="3">
        <v>2708</v>
      </c>
      <c r="B2714" s="3" t="str">
        <f>"201600034690"</f>
        <v>201600034690</v>
      </c>
      <c r="C2714" s="3">
        <v>106269</v>
      </c>
      <c r="D2714" s="3" t="s">
        <v>9985</v>
      </c>
      <c r="E2714" s="3">
        <v>20100366747</v>
      </c>
      <c r="F2714" s="3" t="s">
        <v>334</v>
      </c>
      <c r="G2714" s="3" t="s">
        <v>335</v>
      </c>
      <c r="H2714" s="3" t="s">
        <v>56</v>
      </c>
      <c r="I2714" s="3" t="s">
        <v>56</v>
      </c>
      <c r="J2714" s="3" t="s">
        <v>185</v>
      </c>
      <c r="K2714" s="3" t="s">
        <v>9986</v>
      </c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C2714" s="3"/>
      <c r="AD2714" s="3"/>
      <c r="AE2714" s="3"/>
      <c r="AF2714" s="3"/>
      <c r="AG2714" s="3"/>
      <c r="AH2714" s="3"/>
      <c r="AI2714" s="3"/>
      <c r="AJ2714" s="3"/>
      <c r="AK2714" s="3" t="s">
        <v>579</v>
      </c>
      <c r="AL2714" s="4">
        <v>42471</v>
      </c>
      <c r="AM2714" s="3"/>
      <c r="AN2714" s="3" t="s">
        <v>262</v>
      </c>
    </row>
    <row r="2715" spans="1:40" x14ac:dyDescent="0.3">
      <c r="A2715" s="3">
        <v>2709</v>
      </c>
      <c r="B2715" s="3" t="str">
        <f>"1313809"</f>
        <v>1313809</v>
      </c>
      <c r="C2715" s="3">
        <v>3272</v>
      </c>
      <c r="D2715" s="3" t="s">
        <v>9987</v>
      </c>
      <c r="E2715" s="3">
        <v>20100873681</v>
      </c>
      <c r="F2715" s="3" t="s">
        <v>1241</v>
      </c>
      <c r="G2715" s="3" t="s">
        <v>1047</v>
      </c>
      <c r="H2715" s="3" t="s">
        <v>56</v>
      </c>
      <c r="I2715" s="3" t="s">
        <v>56</v>
      </c>
      <c r="J2715" s="3" t="s">
        <v>715</v>
      </c>
      <c r="K2715" s="3" t="s">
        <v>9988</v>
      </c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  <c r="AC2715" s="3"/>
      <c r="AD2715" s="3"/>
      <c r="AE2715" s="3"/>
      <c r="AF2715" s="3"/>
      <c r="AG2715" s="3"/>
      <c r="AH2715" s="3"/>
      <c r="AI2715" s="3"/>
      <c r="AJ2715" s="3"/>
      <c r="AK2715" s="3" t="s">
        <v>8455</v>
      </c>
      <c r="AL2715" s="4">
        <v>36971</v>
      </c>
      <c r="AM2715" s="3"/>
      <c r="AN2715" s="3"/>
    </row>
    <row r="2716" spans="1:40" x14ac:dyDescent="0.3">
      <c r="A2716" s="3">
        <v>2710</v>
      </c>
      <c r="B2716" s="3" t="str">
        <f>"1322402"</f>
        <v>1322402</v>
      </c>
      <c r="C2716" s="3">
        <v>3353</v>
      </c>
      <c r="D2716" s="3" t="s">
        <v>9989</v>
      </c>
      <c r="E2716" s="3">
        <v>20262254268</v>
      </c>
      <c r="F2716" s="3" t="s">
        <v>103</v>
      </c>
      <c r="G2716" s="3" t="s">
        <v>104</v>
      </c>
      <c r="H2716" s="3" t="s">
        <v>56</v>
      </c>
      <c r="I2716" s="3" t="s">
        <v>56</v>
      </c>
      <c r="J2716" s="3" t="s">
        <v>105</v>
      </c>
      <c r="K2716" s="3" t="s">
        <v>9990</v>
      </c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  <c r="AC2716" s="3"/>
      <c r="AD2716" s="3"/>
      <c r="AE2716" s="3"/>
      <c r="AF2716" s="3"/>
      <c r="AG2716" s="3"/>
      <c r="AH2716" s="3"/>
      <c r="AI2716" s="3"/>
      <c r="AJ2716" s="3"/>
      <c r="AK2716" s="3" t="s">
        <v>1273</v>
      </c>
      <c r="AL2716" s="4">
        <v>37057</v>
      </c>
      <c r="AM2716" s="3"/>
      <c r="AN2716" s="3"/>
    </row>
    <row r="2717" spans="1:40" x14ac:dyDescent="0.3">
      <c r="A2717" s="3">
        <v>2711</v>
      </c>
      <c r="B2717" s="3" t="str">
        <f>"1313808"</f>
        <v>1313808</v>
      </c>
      <c r="C2717" s="3">
        <v>3268</v>
      </c>
      <c r="D2717" s="3" t="s">
        <v>9991</v>
      </c>
      <c r="E2717" s="3">
        <v>20100873681</v>
      </c>
      <c r="F2717" s="3" t="s">
        <v>1241</v>
      </c>
      <c r="G2717" s="3" t="s">
        <v>1047</v>
      </c>
      <c r="H2717" s="3" t="s">
        <v>56</v>
      </c>
      <c r="I2717" s="3" t="s">
        <v>56</v>
      </c>
      <c r="J2717" s="3" t="s">
        <v>715</v>
      </c>
      <c r="K2717" s="3" t="s">
        <v>9992</v>
      </c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C2717" s="3"/>
      <c r="AD2717" s="3"/>
      <c r="AE2717" s="3"/>
      <c r="AF2717" s="3"/>
      <c r="AG2717" s="3"/>
      <c r="AH2717" s="3"/>
      <c r="AI2717" s="3"/>
      <c r="AJ2717" s="3"/>
      <c r="AK2717" s="3" t="s">
        <v>192</v>
      </c>
      <c r="AL2717" s="4">
        <v>36971</v>
      </c>
      <c r="AM2717" s="3"/>
      <c r="AN2717" s="3"/>
    </row>
    <row r="2718" spans="1:40" ht="27.95" x14ac:dyDescent="0.3">
      <c r="A2718" s="3">
        <v>2712</v>
      </c>
      <c r="B2718" s="3" t="str">
        <f>"201700121676"</f>
        <v>201700121676</v>
      </c>
      <c r="C2718" s="3">
        <v>129151</v>
      </c>
      <c r="D2718" s="3" t="s">
        <v>9993</v>
      </c>
      <c r="E2718" s="3">
        <v>10406299061</v>
      </c>
      <c r="F2718" s="3" t="s">
        <v>9974</v>
      </c>
      <c r="G2718" s="3" t="s">
        <v>9975</v>
      </c>
      <c r="H2718" s="3" t="s">
        <v>97</v>
      </c>
      <c r="I2718" s="3" t="s">
        <v>97</v>
      </c>
      <c r="J2718" s="3" t="s">
        <v>144</v>
      </c>
      <c r="K2718" s="3" t="s">
        <v>9994</v>
      </c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C2718" s="3"/>
      <c r="AD2718" s="3"/>
      <c r="AE2718" s="3"/>
      <c r="AF2718" s="3"/>
      <c r="AG2718" s="3"/>
      <c r="AH2718" s="3"/>
      <c r="AI2718" s="3"/>
      <c r="AJ2718" s="3"/>
      <c r="AK2718" s="3" t="s">
        <v>5209</v>
      </c>
      <c r="AL2718" s="4">
        <v>42955</v>
      </c>
      <c r="AM2718" s="3"/>
      <c r="AN2718" s="3" t="s">
        <v>9974</v>
      </c>
    </row>
    <row r="2719" spans="1:40" x14ac:dyDescent="0.3">
      <c r="A2719" s="3">
        <v>2713</v>
      </c>
      <c r="B2719" s="3" t="str">
        <f>"201900135448"</f>
        <v>201900135448</v>
      </c>
      <c r="C2719" s="3">
        <v>146061</v>
      </c>
      <c r="D2719" s="3" t="s">
        <v>9995</v>
      </c>
      <c r="E2719" s="3">
        <v>20604607311</v>
      </c>
      <c r="F2719" s="3" t="s">
        <v>9996</v>
      </c>
      <c r="G2719" s="3" t="s">
        <v>9997</v>
      </c>
      <c r="H2719" s="3" t="s">
        <v>97</v>
      </c>
      <c r="I2719" s="3" t="s">
        <v>97</v>
      </c>
      <c r="J2719" s="3" t="s">
        <v>3210</v>
      </c>
      <c r="K2719" s="3" t="s">
        <v>9998</v>
      </c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  <c r="AC2719" s="3"/>
      <c r="AD2719" s="3"/>
      <c r="AE2719" s="3"/>
      <c r="AF2719" s="3"/>
      <c r="AG2719" s="3"/>
      <c r="AH2719" s="3"/>
      <c r="AI2719" s="3"/>
      <c r="AJ2719" s="3"/>
      <c r="AK2719" s="3" t="s">
        <v>9999</v>
      </c>
      <c r="AL2719" s="4">
        <v>43698</v>
      </c>
      <c r="AM2719" s="3"/>
      <c r="AN2719" s="3" t="s">
        <v>10000</v>
      </c>
    </row>
    <row r="2720" spans="1:40" x14ac:dyDescent="0.3">
      <c r="A2720" s="3">
        <v>2714</v>
      </c>
      <c r="B2720" s="3" t="str">
        <f>"201500095103"</f>
        <v>201500095103</v>
      </c>
      <c r="C2720" s="3">
        <v>116502</v>
      </c>
      <c r="D2720" s="3" t="s">
        <v>10001</v>
      </c>
      <c r="E2720" s="3">
        <v>20506727783</v>
      </c>
      <c r="F2720" s="3" t="s">
        <v>10002</v>
      </c>
      <c r="G2720" s="3" t="s">
        <v>10003</v>
      </c>
      <c r="H2720" s="3" t="s">
        <v>56</v>
      </c>
      <c r="I2720" s="3" t="s">
        <v>56</v>
      </c>
      <c r="J2720" s="3" t="s">
        <v>131</v>
      </c>
      <c r="K2720" s="3" t="s">
        <v>10004</v>
      </c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C2720" s="3"/>
      <c r="AD2720" s="3"/>
      <c r="AE2720" s="3"/>
      <c r="AF2720" s="3"/>
      <c r="AG2720" s="3"/>
      <c r="AH2720" s="3"/>
      <c r="AI2720" s="3"/>
      <c r="AJ2720" s="3"/>
      <c r="AK2720" s="3" t="s">
        <v>1812</v>
      </c>
      <c r="AL2720" s="4">
        <v>42230</v>
      </c>
      <c r="AM2720" s="3"/>
      <c r="AN2720" s="3" t="s">
        <v>2634</v>
      </c>
    </row>
    <row r="2721" spans="1:40" x14ac:dyDescent="0.3">
      <c r="A2721" s="3">
        <v>2715</v>
      </c>
      <c r="B2721" s="3" t="str">
        <f>"1319912"</f>
        <v>1319912</v>
      </c>
      <c r="C2721" s="3">
        <v>20843</v>
      </c>
      <c r="D2721" s="3" t="s">
        <v>10005</v>
      </c>
      <c r="E2721" s="3">
        <v>20100366747</v>
      </c>
      <c r="F2721" s="3" t="s">
        <v>258</v>
      </c>
      <c r="G2721" s="3" t="s">
        <v>1055</v>
      </c>
      <c r="H2721" s="3" t="s">
        <v>56</v>
      </c>
      <c r="I2721" s="3" t="s">
        <v>56</v>
      </c>
      <c r="J2721" s="3" t="s">
        <v>185</v>
      </c>
      <c r="K2721" s="3" t="s">
        <v>10006</v>
      </c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C2721" s="3"/>
      <c r="AD2721" s="3"/>
      <c r="AE2721" s="3"/>
      <c r="AF2721" s="3"/>
      <c r="AG2721" s="3"/>
      <c r="AH2721" s="3"/>
      <c r="AI2721" s="3"/>
      <c r="AJ2721" s="3"/>
      <c r="AK2721" s="3" t="s">
        <v>353</v>
      </c>
      <c r="AL2721" s="4">
        <v>37027</v>
      </c>
      <c r="AM2721" s="3"/>
      <c r="AN2721" s="3"/>
    </row>
    <row r="2722" spans="1:40" x14ac:dyDescent="0.3">
      <c r="A2722" s="3">
        <v>2716</v>
      </c>
      <c r="B2722" s="3" t="str">
        <f>"201600034680"</f>
        <v>201600034680</v>
      </c>
      <c r="C2722" s="3">
        <v>106045</v>
      </c>
      <c r="D2722" s="3" t="s">
        <v>10007</v>
      </c>
      <c r="E2722" s="3">
        <v>20100366747</v>
      </c>
      <c r="F2722" s="3" t="s">
        <v>334</v>
      </c>
      <c r="G2722" s="3" t="s">
        <v>335</v>
      </c>
      <c r="H2722" s="3" t="s">
        <v>56</v>
      </c>
      <c r="I2722" s="3" t="s">
        <v>56</v>
      </c>
      <c r="J2722" s="3" t="s">
        <v>185</v>
      </c>
      <c r="K2722" s="3" t="s">
        <v>10008</v>
      </c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C2722" s="3"/>
      <c r="AD2722" s="3"/>
      <c r="AE2722" s="3"/>
      <c r="AF2722" s="3"/>
      <c r="AG2722" s="3"/>
      <c r="AH2722" s="3"/>
      <c r="AI2722" s="3"/>
      <c r="AJ2722" s="3"/>
      <c r="AK2722" s="3" t="s">
        <v>579</v>
      </c>
      <c r="AL2722" s="4">
        <v>42471</v>
      </c>
      <c r="AM2722" s="3"/>
      <c r="AN2722" s="3" t="s">
        <v>262</v>
      </c>
    </row>
    <row r="2723" spans="1:40" x14ac:dyDescent="0.3">
      <c r="A2723" s="3">
        <v>2717</v>
      </c>
      <c r="B2723" s="3" t="str">
        <f>"1636670"</f>
        <v>1636670</v>
      </c>
      <c r="C2723" s="3">
        <v>43958</v>
      </c>
      <c r="D2723" s="3" t="s">
        <v>10009</v>
      </c>
      <c r="E2723" s="3">
        <v>20510822499</v>
      </c>
      <c r="F2723" s="3" t="s">
        <v>2263</v>
      </c>
      <c r="G2723" s="3" t="s">
        <v>10010</v>
      </c>
      <c r="H2723" s="3" t="s">
        <v>75</v>
      </c>
      <c r="I2723" s="3" t="s">
        <v>75</v>
      </c>
      <c r="J2723" s="3" t="s">
        <v>76</v>
      </c>
      <c r="K2723" s="3" t="s">
        <v>10011</v>
      </c>
      <c r="L2723" s="3" t="s">
        <v>10012</v>
      </c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C2723" s="3"/>
      <c r="AD2723" s="3"/>
      <c r="AE2723" s="3"/>
      <c r="AF2723" s="3"/>
      <c r="AG2723" s="3"/>
      <c r="AH2723" s="3"/>
      <c r="AI2723" s="3"/>
      <c r="AJ2723" s="3"/>
      <c r="AK2723" s="3" t="s">
        <v>470</v>
      </c>
      <c r="AL2723" s="4">
        <v>39038</v>
      </c>
      <c r="AM2723" s="3"/>
      <c r="AN2723" s="3"/>
    </row>
    <row r="2724" spans="1:40" x14ac:dyDescent="0.3">
      <c r="A2724" s="3">
        <v>2718</v>
      </c>
      <c r="B2724" s="3" t="str">
        <f>"1319913"</f>
        <v>1319913</v>
      </c>
      <c r="C2724" s="3">
        <v>20844</v>
      </c>
      <c r="D2724" s="3" t="s">
        <v>10013</v>
      </c>
      <c r="E2724" s="3">
        <v>20100366747</v>
      </c>
      <c r="F2724" s="3" t="s">
        <v>258</v>
      </c>
      <c r="G2724" s="3" t="s">
        <v>1055</v>
      </c>
      <c r="H2724" s="3" t="s">
        <v>56</v>
      </c>
      <c r="I2724" s="3" t="s">
        <v>56</v>
      </c>
      <c r="J2724" s="3" t="s">
        <v>185</v>
      </c>
      <c r="K2724" s="3" t="s">
        <v>10014</v>
      </c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C2724" s="3"/>
      <c r="AD2724" s="3"/>
      <c r="AE2724" s="3"/>
      <c r="AF2724" s="3"/>
      <c r="AG2724" s="3"/>
      <c r="AH2724" s="3"/>
      <c r="AI2724" s="3"/>
      <c r="AJ2724" s="3"/>
      <c r="AK2724" s="3" t="s">
        <v>353</v>
      </c>
      <c r="AL2724" s="4">
        <v>37027</v>
      </c>
      <c r="AM2724" s="3"/>
      <c r="AN2724" s="3"/>
    </row>
    <row r="2725" spans="1:40" x14ac:dyDescent="0.3">
      <c r="A2725" s="3">
        <v>2719</v>
      </c>
      <c r="B2725" s="3" t="str">
        <f>"1917444"</f>
        <v>1917444</v>
      </c>
      <c r="C2725" s="3">
        <v>62255</v>
      </c>
      <c r="D2725" s="3" t="s">
        <v>10015</v>
      </c>
      <c r="E2725" s="3">
        <v>20453957153</v>
      </c>
      <c r="F2725" s="3" t="s">
        <v>10016</v>
      </c>
      <c r="G2725" s="3" t="s">
        <v>10017</v>
      </c>
      <c r="H2725" s="3" t="s">
        <v>97</v>
      </c>
      <c r="I2725" s="3" t="s">
        <v>97</v>
      </c>
      <c r="J2725" s="3" t="s">
        <v>144</v>
      </c>
      <c r="K2725" s="3" t="s">
        <v>10018</v>
      </c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C2725" s="3"/>
      <c r="AD2725" s="3"/>
      <c r="AE2725" s="3"/>
      <c r="AF2725" s="3"/>
      <c r="AG2725" s="3"/>
      <c r="AH2725" s="3"/>
      <c r="AI2725" s="3"/>
      <c r="AJ2725" s="3"/>
      <c r="AK2725" s="3" t="s">
        <v>10019</v>
      </c>
      <c r="AL2725" s="4">
        <v>40049</v>
      </c>
      <c r="AM2725" s="3"/>
      <c r="AN2725" s="3"/>
    </row>
    <row r="2726" spans="1:40" x14ac:dyDescent="0.3">
      <c r="A2726" s="3">
        <v>2720</v>
      </c>
      <c r="B2726" s="3" t="str">
        <f>"201200206356"</f>
        <v>201200206356</v>
      </c>
      <c r="C2726" s="3">
        <v>99322</v>
      </c>
      <c r="D2726" s="3" t="s">
        <v>10020</v>
      </c>
      <c r="E2726" s="3">
        <v>10292593398</v>
      </c>
      <c r="F2726" s="3" t="s">
        <v>1000</v>
      </c>
      <c r="G2726" s="3" t="s">
        <v>9103</v>
      </c>
      <c r="H2726" s="3" t="s">
        <v>97</v>
      </c>
      <c r="I2726" s="3" t="s">
        <v>97</v>
      </c>
      <c r="J2726" s="3" t="s">
        <v>97</v>
      </c>
      <c r="K2726" s="3" t="s">
        <v>10021</v>
      </c>
      <c r="L2726" s="3" t="s">
        <v>10022</v>
      </c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C2726" s="3"/>
      <c r="AD2726" s="3"/>
      <c r="AE2726" s="3"/>
      <c r="AF2726" s="3"/>
      <c r="AG2726" s="3"/>
      <c r="AH2726" s="3"/>
      <c r="AI2726" s="3"/>
      <c r="AJ2726" s="3"/>
      <c r="AK2726" s="3" t="s">
        <v>3028</v>
      </c>
      <c r="AL2726" s="4">
        <v>41239</v>
      </c>
      <c r="AM2726" s="3"/>
      <c r="AN2726" s="3" t="s">
        <v>1000</v>
      </c>
    </row>
    <row r="2727" spans="1:40" x14ac:dyDescent="0.3">
      <c r="A2727" s="3">
        <v>2721</v>
      </c>
      <c r="B2727" s="3" t="str">
        <f>"1145960"</f>
        <v>1145960</v>
      </c>
      <c r="C2727" s="3">
        <v>3381</v>
      </c>
      <c r="D2727" s="3">
        <v>1145960</v>
      </c>
      <c r="E2727" s="3">
        <v>10332640211</v>
      </c>
      <c r="F2727" s="3" t="s">
        <v>10023</v>
      </c>
      <c r="G2727" s="3" t="s">
        <v>10024</v>
      </c>
      <c r="H2727" s="3" t="s">
        <v>271</v>
      </c>
      <c r="I2727" s="3" t="s">
        <v>552</v>
      </c>
      <c r="J2727" s="3" t="s">
        <v>4652</v>
      </c>
      <c r="K2727" s="3" t="s">
        <v>10025</v>
      </c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C2727" s="3"/>
      <c r="AD2727" s="3"/>
      <c r="AE2727" s="3"/>
      <c r="AF2727" s="3"/>
      <c r="AG2727" s="3"/>
      <c r="AH2727" s="3"/>
      <c r="AI2727" s="3"/>
      <c r="AJ2727" s="3"/>
      <c r="AK2727" s="3" t="s">
        <v>10026</v>
      </c>
      <c r="AL2727" s="4">
        <v>35664</v>
      </c>
      <c r="AM2727" s="3"/>
      <c r="AN2727" s="3"/>
    </row>
    <row r="2728" spans="1:40" ht="27.95" x14ac:dyDescent="0.3">
      <c r="A2728" s="3">
        <v>2722</v>
      </c>
      <c r="B2728" s="3" t="str">
        <f>"201700193626"</f>
        <v>201700193626</v>
      </c>
      <c r="C2728" s="3">
        <v>132921</v>
      </c>
      <c r="D2728" s="3" t="s">
        <v>10027</v>
      </c>
      <c r="E2728" s="3">
        <v>20547314426</v>
      </c>
      <c r="F2728" s="3" t="s">
        <v>1202</v>
      </c>
      <c r="G2728" s="3" t="s">
        <v>10028</v>
      </c>
      <c r="H2728" s="3" t="s">
        <v>56</v>
      </c>
      <c r="I2728" s="3" t="s">
        <v>56</v>
      </c>
      <c r="J2728" s="3" t="s">
        <v>273</v>
      </c>
      <c r="K2728" s="3" t="s">
        <v>10029</v>
      </c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C2728" s="3"/>
      <c r="AD2728" s="3"/>
      <c r="AE2728" s="3"/>
      <c r="AF2728" s="3"/>
      <c r="AG2728" s="3"/>
      <c r="AH2728" s="3"/>
      <c r="AI2728" s="3"/>
      <c r="AJ2728" s="3"/>
      <c r="AK2728" s="3" t="s">
        <v>1341</v>
      </c>
      <c r="AL2728" s="4">
        <v>43060</v>
      </c>
      <c r="AM2728" s="3"/>
      <c r="AN2728" s="3" t="s">
        <v>1039</v>
      </c>
    </row>
    <row r="2729" spans="1:40" x14ac:dyDescent="0.3">
      <c r="A2729" s="3">
        <v>2723</v>
      </c>
      <c r="B2729" s="3" t="str">
        <f>"201700155511"</f>
        <v>201700155511</v>
      </c>
      <c r="C2729" s="3">
        <v>120529</v>
      </c>
      <c r="D2729" s="3" t="s">
        <v>10030</v>
      </c>
      <c r="E2729" s="3">
        <v>20602420176</v>
      </c>
      <c r="F2729" s="3" t="s">
        <v>1765</v>
      </c>
      <c r="G2729" s="3" t="s">
        <v>10031</v>
      </c>
      <c r="H2729" s="3" t="s">
        <v>318</v>
      </c>
      <c r="I2729" s="3" t="s">
        <v>319</v>
      </c>
      <c r="J2729" s="3" t="s">
        <v>495</v>
      </c>
      <c r="K2729" s="3" t="s">
        <v>10032</v>
      </c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C2729" s="3"/>
      <c r="AD2729" s="3"/>
      <c r="AE2729" s="3"/>
      <c r="AF2729" s="3"/>
      <c r="AG2729" s="3"/>
      <c r="AH2729" s="3"/>
      <c r="AI2729" s="3"/>
      <c r="AJ2729" s="3"/>
      <c r="AK2729" s="3" t="s">
        <v>47</v>
      </c>
      <c r="AL2729" s="4">
        <v>43013</v>
      </c>
      <c r="AM2729" s="3"/>
      <c r="AN2729" s="3" t="s">
        <v>1081</v>
      </c>
    </row>
    <row r="2730" spans="1:40" x14ac:dyDescent="0.3">
      <c r="A2730" s="3">
        <v>2724</v>
      </c>
      <c r="B2730" s="3" t="str">
        <f>"201500095138"</f>
        <v>201500095138</v>
      </c>
      <c r="C2730" s="3">
        <v>116504</v>
      </c>
      <c r="D2730" s="3" t="s">
        <v>10033</v>
      </c>
      <c r="E2730" s="3">
        <v>20556236608</v>
      </c>
      <c r="F2730" s="3" t="s">
        <v>9379</v>
      </c>
      <c r="G2730" s="3" t="s">
        <v>10034</v>
      </c>
      <c r="H2730" s="3" t="s">
        <v>56</v>
      </c>
      <c r="I2730" s="3" t="s">
        <v>56</v>
      </c>
      <c r="J2730" s="3" t="s">
        <v>69</v>
      </c>
      <c r="K2730" s="3" t="s">
        <v>10035</v>
      </c>
      <c r="L2730" s="3" t="s">
        <v>7713</v>
      </c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C2730" s="3"/>
      <c r="AD2730" s="3"/>
      <c r="AE2730" s="3"/>
      <c r="AF2730" s="3"/>
      <c r="AG2730" s="3"/>
      <c r="AH2730" s="3"/>
      <c r="AI2730" s="3"/>
      <c r="AJ2730" s="3"/>
      <c r="AK2730" s="3" t="s">
        <v>10036</v>
      </c>
      <c r="AL2730" s="4">
        <v>42219</v>
      </c>
      <c r="AM2730" s="3"/>
      <c r="AN2730" s="3" t="s">
        <v>10037</v>
      </c>
    </row>
    <row r="2731" spans="1:40" x14ac:dyDescent="0.3">
      <c r="A2731" s="3">
        <v>2725</v>
      </c>
      <c r="B2731" s="3" t="str">
        <f>"201400019619"</f>
        <v>201400019619</v>
      </c>
      <c r="C2731" s="3">
        <v>108024</v>
      </c>
      <c r="D2731" s="3" t="s">
        <v>10038</v>
      </c>
      <c r="E2731" s="3">
        <v>20512439196</v>
      </c>
      <c r="F2731" s="3" t="s">
        <v>436</v>
      </c>
      <c r="G2731" s="3" t="s">
        <v>10039</v>
      </c>
      <c r="H2731" s="3" t="s">
        <v>56</v>
      </c>
      <c r="I2731" s="3" t="s">
        <v>56</v>
      </c>
      <c r="J2731" s="3" t="s">
        <v>56</v>
      </c>
      <c r="K2731" s="3" t="s">
        <v>10040</v>
      </c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C2731" s="3"/>
      <c r="AD2731" s="3"/>
      <c r="AE2731" s="3"/>
      <c r="AF2731" s="3"/>
      <c r="AG2731" s="3"/>
      <c r="AH2731" s="3"/>
      <c r="AI2731" s="3"/>
      <c r="AJ2731" s="3"/>
      <c r="AK2731" s="3" t="s">
        <v>1014</v>
      </c>
      <c r="AL2731" s="4">
        <v>41691</v>
      </c>
      <c r="AM2731" s="3"/>
      <c r="AN2731" s="3" t="s">
        <v>6876</v>
      </c>
    </row>
    <row r="2732" spans="1:40" x14ac:dyDescent="0.3">
      <c r="A2732" s="3">
        <v>2726</v>
      </c>
      <c r="B2732" s="3" t="str">
        <f>"1294441"</f>
        <v>1294441</v>
      </c>
      <c r="C2732" s="3">
        <v>19638</v>
      </c>
      <c r="D2732" s="3" t="s">
        <v>10041</v>
      </c>
      <c r="E2732" s="3">
        <v>10294307392</v>
      </c>
      <c r="F2732" s="3" t="s">
        <v>6763</v>
      </c>
      <c r="G2732" s="3" t="s">
        <v>10042</v>
      </c>
      <c r="H2732" s="3" t="s">
        <v>446</v>
      </c>
      <c r="I2732" s="3" t="s">
        <v>446</v>
      </c>
      <c r="J2732" s="3" t="s">
        <v>1144</v>
      </c>
      <c r="K2732" s="3" t="s">
        <v>10043</v>
      </c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C2732" s="3"/>
      <c r="AD2732" s="3"/>
      <c r="AE2732" s="3"/>
      <c r="AF2732" s="3"/>
      <c r="AG2732" s="3"/>
      <c r="AH2732" s="3"/>
      <c r="AI2732" s="3"/>
      <c r="AJ2732" s="3"/>
      <c r="AK2732" s="3" t="s">
        <v>256</v>
      </c>
      <c r="AL2732" s="4">
        <v>36728</v>
      </c>
      <c r="AM2732" s="3"/>
      <c r="AN2732" s="3"/>
    </row>
    <row r="2733" spans="1:40" x14ac:dyDescent="0.3">
      <c r="A2733" s="3">
        <v>2727</v>
      </c>
      <c r="B2733" s="3" t="str">
        <f>"201700207726"</f>
        <v>201700207726</v>
      </c>
      <c r="C2733" s="3">
        <v>133294</v>
      </c>
      <c r="D2733" s="3" t="s">
        <v>10044</v>
      </c>
      <c r="E2733" s="3">
        <v>20510976887</v>
      </c>
      <c r="F2733" s="3" t="s">
        <v>9817</v>
      </c>
      <c r="G2733" s="3" t="s">
        <v>2542</v>
      </c>
      <c r="H2733" s="3" t="s">
        <v>56</v>
      </c>
      <c r="I2733" s="3" t="s">
        <v>56</v>
      </c>
      <c r="J2733" s="3" t="s">
        <v>131</v>
      </c>
      <c r="K2733" s="3" t="s">
        <v>10045</v>
      </c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C2733" s="3"/>
      <c r="AD2733" s="3"/>
      <c r="AE2733" s="3"/>
      <c r="AF2733" s="3"/>
      <c r="AG2733" s="3"/>
      <c r="AH2733" s="3"/>
      <c r="AI2733" s="3"/>
      <c r="AJ2733" s="3"/>
      <c r="AK2733" s="3" t="s">
        <v>1003</v>
      </c>
      <c r="AL2733" s="4">
        <v>43082</v>
      </c>
      <c r="AM2733" s="3"/>
      <c r="AN2733" s="3" t="s">
        <v>671</v>
      </c>
    </row>
    <row r="2734" spans="1:40" x14ac:dyDescent="0.3">
      <c r="A2734" s="3">
        <v>2728</v>
      </c>
      <c r="B2734" s="3" t="str">
        <f>"1936719"</f>
        <v>1936719</v>
      </c>
      <c r="C2734" s="3">
        <v>84196</v>
      </c>
      <c r="D2734" s="3" t="s">
        <v>10046</v>
      </c>
      <c r="E2734" s="3">
        <v>10238902920</v>
      </c>
      <c r="F2734" s="3" t="s">
        <v>10047</v>
      </c>
      <c r="G2734" s="3" t="s">
        <v>10048</v>
      </c>
      <c r="H2734" s="3" t="s">
        <v>446</v>
      </c>
      <c r="I2734" s="3" t="s">
        <v>446</v>
      </c>
      <c r="J2734" s="3" t="s">
        <v>447</v>
      </c>
      <c r="K2734" s="3" t="s">
        <v>10049</v>
      </c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C2734" s="3"/>
      <c r="AD2734" s="3"/>
      <c r="AE2734" s="3"/>
      <c r="AF2734" s="3"/>
      <c r="AG2734" s="3"/>
      <c r="AH2734" s="3"/>
      <c r="AI2734" s="3"/>
      <c r="AJ2734" s="3"/>
      <c r="AK2734" s="3" t="s">
        <v>6394</v>
      </c>
      <c r="AL2734" s="4">
        <v>40121</v>
      </c>
      <c r="AM2734" s="3"/>
      <c r="AN2734" s="3"/>
    </row>
    <row r="2735" spans="1:40" x14ac:dyDescent="0.3">
      <c r="A2735" s="3">
        <v>2729</v>
      </c>
      <c r="B2735" s="3" t="str">
        <f>"1461477"</f>
        <v>1461477</v>
      </c>
      <c r="C2735" s="3">
        <v>38012</v>
      </c>
      <c r="D2735" s="3" t="s">
        <v>10050</v>
      </c>
      <c r="E2735" s="3">
        <v>20315081930</v>
      </c>
      <c r="F2735" s="3" t="s">
        <v>10051</v>
      </c>
      <c r="G2735" s="3" t="s">
        <v>10052</v>
      </c>
      <c r="H2735" s="3" t="s">
        <v>44</v>
      </c>
      <c r="I2735" s="3" t="s">
        <v>45</v>
      </c>
      <c r="J2735" s="3" t="s">
        <v>45</v>
      </c>
      <c r="K2735" s="3" t="s">
        <v>10053</v>
      </c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C2735" s="3"/>
      <c r="AD2735" s="3"/>
      <c r="AE2735" s="3"/>
      <c r="AF2735" s="3"/>
      <c r="AG2735" s="3"/>
      <c r="AH2735" s="3"/>
      <c r="AI2735" s="3"/>
      <c r="AJ2735" s="3"/>
      <c r="AK2735" s="3" t="s">
        <v>157</v>
      </c>
      <c r="AL2735" s="4">
        <v>38048</v>
      </c>
      <c r="AM2735" s="3"/>
      <c r="AN2735" s="3"/>
    </row>
    <row r="2736" spans="1:40" x14ac:dyDescent="0.3">
      <c r="A2736" s="3">
        <v>2730</v>
      </c>
      <c r="B2736" s="3" t="str">
        <f>"201500002333"</f>
        <v>201500002333</v>
      </c>
      <c r="C2736" s="3">
        <v>113278</v>
      </c>
      <c r="D2736" s="3" t="s">
        <v>10054</v>
      </c>
      <c r="E2736" s="3">
        <v>20481822247</v>
      </c>
      <c r="F2736" s="3" t="s">
        <v>10055</v>
      </c>
      <c r="G2736" s="3" t="s">
        <v>10056</v>
      </c>
      <c r="H2736" s="3" t="s">
        <v>44</v>
      </c>
      <c r="I2736" s="3" t="s">
        <v>8442</v>
      </c>
      <c r="J2736" s="3" t="s">
        <v>8443</v>
      </c>
      <c r="K2736" s="3" t="s">
        <v>10057</v>
      </c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C2736" s="3"/>
      <c r="AD2736" s="3"/>
      <c r="AE2736" s="3"/>
      <c r="AF2736" s="3"/>
      <c r="AG2736" s="3"/>
      <c r="AH2736" s="3"/>
      <c r="AI2736" s="3"/>
      <c r="AJ2736" s="3"/>
      <c r="AK2736" s="3" t="s">
        <v>2066</v>
      </c>
      <c r="AL2736" s="4">
        <v>42032</v>
      </c>
      <c r="AM2736" s="3"/>
      <c r="AN2736" s="3" t="s">
        <v>8445</v>
      </c>
    </row>
    <row r="2737" spans="1:40" x14ac:dyDescent="0.3">
      <c r="A2737" s="3">
        <v>2731</v>
      </c>
      <c r="B2737" s="3" t="str">
        <f>"1873815"</f>
        <v>1873815</v>
      </c>
      <c r="C2737" s="3">
        <v>82967</v>
      </c>
      <c r="D2737" s="3" t="s">
        <v>10058</v>
      </c>
      <c r="E2737" s="3">
        <v>20349264413</v>
      </c>
      <c r="F2737" s="3" t="s">
        <v>10059</v>
      </c>
      <c r="G2737" s="3" t="s">
        <v>10060</v>
      </c>
      <c r="H2737" s="3" t="s">
        <v>56</v>
      </c>
      <c r="I2737" s="3" t="s">
        <v>56</v>
      </c>
      <c r="J2737" s="3" t="s">
        <v>105</v>
      </c>
      <c r="K2737" s="3" t="s">
        <v>10061</v>
      </c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C2737" s="3"/>
      <c r="AD2737" s="3"/>
      <c r="AE2737" s="3"/>
      <c r="AF2737" s="3"/>
      <c r="AG2737" s="3"/>
      <c r="AH2737" s="3"/>
      <c r="AI2737" s="3"/>
      <c r="AJ2737" s="3"/>
      <c r="AK2737" s="3" t="s">
        <v>1341</v>
      </c>
      <c r="AL2737" s="4">
        <v>39916</v>
      </c>
      <c r="AM2737" s="3"/>
      <c r="AN2737" s="3"/>
    </row>
    <row r="2738" spans="1:40" x14ac:dyDescent="0.3">
      <c r="A2738" s="3">
        <v>2732</v>
      </c>
      <c r="B2738" s="3" t="str">
        <f>"1113345"</f>
        <v>1113345</v>
      </c>
      <c r="C2738" s="3">
        <v>6498</v>
      </c>
      <c r="D2738" s="3">
        <v>1106381</v>
      </c>
      <c r="E2738" s="3">
        <v>20100170761</v>
      </c>
      <c r="F2738" s="3" t="s">
        <v>275</v>
      </c>
      <c r="G2738" s="3" t="s">
        <v>276</v>
      </c>
      <c r="H2738" s="3" t="s">
        <v>56</v>
      </c>
      <c r="I2738" s="3" t="s">
        <v>56</v>
      </c>
      <c r="J2738" s="3" t="s">
        <v>277</v>
      </c>
      <c r="K2738" s="3" t="s">
        <v>10062</v>
      </c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C2738" s="3"/>
      <c r="AD2738" s="3"/>
      <c r="AE2738" s="3"/>
      <c r="AF2738" s="3"/>
      <c r="AG2738" s="3"/>
      <c r="AH2738" s="3"/>
      <c r="AI2738" s="3"/>
      <c r="AJ2738" s="3"/>
      <c r="AK2738" s="3" t="s">
        <v>218</v>
      </c>
      <c r="AL2738" s="4">
        <v>35531</v>
      </c>
      <c r="AM2738" s="3"/>
      <c r="AN2738" s="3"/>
    </row>
    <row r="2739" spans="1:40" ht="27.95" x14ac:dyDescent="0.3">
      <c r="A2739" s="3">
        <v>2733</v>
      </c>
      <c r="B2739" s="3" t="str">
        <f>"201300144647"</f>
        <v>201300144647</v>
      </c>
      <c r="C2739" s="3">
        <v>105165</v>
      </c>
      <c r="D2739" s="3" t="s">
        <v>10063</v>
      </c>
      <c r="E2739" s="3">
        <v>20100076749</v>
      </c>
      <c r="F2739" s="3" t="s">
        <v>159</v>
      </c>
      <c r="G2739" s="3" t="s">
        <v>10064</v>
      </c>
      <c r="H2739" s="3" t="s">
        <v>56</v>
      </c>
      <c r="I2739" s="3" t="s">
        <v>56</v>
      </c>
      <c r="J2739" s="3" t="s">
        <v>121</v>
      </c>
      <c r="K2739" s="3" t="s">
        <v>10065</v>
      </c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C2739" s="3"/>
      <c r="AD2739" s="3"/>
      <c r="AE2739" s="3"/>
      <c r="AF2739" s="3"/>
      <c r="AG2739" s="3"/>
      <c r="AH2739" s="3"/>
      <c r="AI2739" s="3"/>
      <c r="AJ2739" s="3"/>
      <c r="AK2739" s="3" t="s">
        <v>6775</v>
      </c>
      <c r="AL2739" s="3" t="s">
        <v>290</v>
      </c>
      <c r="AM2739" s="3"/>
      <c r="AN2739" s="3" t="s">
        <v>2908</v>
      </c>
    </row>
    <row r="2740" spans="1:40" ht="27.95" x14ac:dyDescent="0.3">
      <c r="A2740" s="3">
        <v>2734</v>
      </c>
      <c r="B2740" s="3" t="str">
        <f>"1338838"</f>
        <v>1338838</v>
      </c>
      <c r="C2740" s="3">
        <v>2720</v>
      </c>
      <c r="D2740" s="3" t="s">
        <v>10066</v>
      </c>
      <c r="E2740" s="3">
        <v>20210133748</v>
      </c>
      <c r="F2740" s="3" t="s">
        <v>4609</v>
      </c>
      <c r="G2740" s="3" t="s">
        <v>4610</v>
      </c>
      <c r="H2740" s="3" t="s">
        <v>56</v>
      </c>
      <c r="I2740" s="3" t="s">
        <v>56</v>
      </c>
      <c r="J2740" s="3" t="s">
        <v>63</v>
      </c>
      <c r="K2740" s="3" t="s">
        <v>10067</v>
      </c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C2740" s="3"/>
      <c r="AD2740" s="3"/>
      <c r="AE2740" s="3"/>
      <c r="AF2740" s="3"/>
      <c r="AG2740" s="3"/>
      <c r="AH2740" s="3"/>
      <c r="AI2740" s="3"/>
      <c r="AJ2740" s="3"/>
      <c r="AK2740" s="3" t="s">
        <v>602</v>
      </c>
      <c r="AL2740" s="4">
        <v>37187</v>
      </c>
      <c r="AM2740" s="3"/>
      <c r="AN2740" s="3"/>
    </row>
    <row r="2741" spans="1:40" ht="27.95" x14ac:dyDescent="0.3">
      <c r="A2741" s="3">
        <v>2735</v>
      </c>
      <c r="B2741" s="3" t="str">
        <f>"1338836"</f>
        <v>1338836</v>
      </c>
      <c r="C2741" s="3">
        <v>2539</v>
      </c>
      <c r="D2741" s="3" t="s">
        <v>10068</v>
      </c>
      <c r="E2741" s="3">
        <v>20210133748</v>
      </c>
      <c r="F2741" s="3" t="s">
        <v>4609</v>
      </c>
      <c r="G2741" s="3" t="s">
        <v>4610</v>
      </c>
      <c r="H2741" s="3" t="s">
        <v>56</v>
      </c>
      <c r="I2741" s="3" t="s">
        <v>56</v>
      </c>
      <c r="J2741" s="3" t="s">
        <v>63</v>
      </c>
      <c r="K2741" s="3" t="s">
        <v>10069</v>
      </c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C2741" s="3"/>
      <c r="AD2741" s="3"/>
      <c r="AE2741" s="3"/>
      <c r="AF2741" s="3"/>
      <c r="AG2741" s="3"/>
      <c r="AH2741" s="3"/>
      <c r="AI2741" s="3"/>
      <c r="AJ2741" s="3"/>
      <c r="AK2741" s="3" t="s">
        <v>634</v>
      </c>
      <c r="AL2741" s="4">
        <v>37187</v>
      </c>
      <c r="AM2741" s="3"/>
      <c r="AN2741" s="3"/>
    </row>
    <row r="2742" spans="1:40" ht="27.95" x14ac:dyDescent="0.3">
      <c r="A2742" s="3">
        <v>2736</v>
      </c>
      <c r="B2742" s="3" t="str">
        <f>"1338837"</f>
        <v>1338837</v>
      </c>
      <c r="C2742" s="3">
        <v>2536</v>
      </c>
      <c r="D2742" s="3" t="s">
        <v>10070</v>
      </c>
      <c r="E2742" s="3">
        <v>20210133748</v>
      </c>
      <c r="F2742" s="3" t="s">
        <v>4609</v>
      </c>
      <c r="G2742" s="3" t="s">
        <v>4610</v>
      </c>
      <c r="H2742" s="3" t="s">
        <v>56</v>
      </c>
      <c r="I2742" s="3" t="s">
        <v>56</v>
      </c>
      <c r="J2742" s="3" t="s">
        <v>63</v>
      </c>
      <c r="K2742" s="3" t="s">
        <v>10071</v>
      </c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C2742" s="3"/>
      <c r="AD2742" s="3"/>
      <c r="AE2742" s="3"/>
      <c r="AF2742" s="3"/>
      <c r="AG2742" s="3"/>
      <c r="AH2742" s="3"/>
      <c r="AI2742" s="3"/>
      <c r="AJ2742" s="3"/>
      <c r="AK2742" s="3" t="s">
        <v>634</v>
      </c>
      <c r="AL2742" s="4">
        <v>37187</v>
      </c>
      <c r="AM2742" s="3"/>
      <c r="AN2742" s="3"/>
    </row>
    <row r="2743" spans="1:40" ht="27.95" x14ac:dyDescent="0.3">
      <c r="A2743" s="3">
        <v>2737</v>
      </c>
      <c r="B2743" s="3" t="str">
        <f>"1338835"</f>
        <v>1338835</v>
      </c>
      <c r="C2743" s="3">
        <v>6427</v>
      </c>
      <c r="D2743" s="3" t="s">
        <v>10072</v>
      </c>
      <c r="E2743" s="3">
        <v>20210133748</v>
      </c>
      <c r="F2743" s="3" t="s">
        <v>4609</v>
      </c>
      <c r="G2743" s="3" t="s">
        <v>4610</v>
      </c>
      <c r="H2743" s="3" t="s">
        <v>56</v>
      </c>
      <c r="I2743" s="3" t="s">
        <v>56</v>
      </c>
      <c r="J2743" s="3" t="s">
        <v>63</v>
      </c>
      <c r="K2743" s="3" t="s">
        <v>10073</v>
      </c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C2743" s="3"/>
      <c r="AD2743" s="3"/>
      <c r="AE2743" s="3"/>
      <c r="AF2743" s="3"/>
      <c r="AG2743" s="3"/>
      <c r="AH2743" s="3"/>
      <c r="AI2743" s="3"/>
      <c r="AJ2743" s="3"/>
      <c r="AK2743" s="3" t="s">
        <v>2508</v>
      </c>
      <c r="AL2743" s="4">
        <v>37187</v>
      </c>
      <c r="AM2743" s="3"/>
      <c r="AN2743" s="3"/>
    </row>
    <row r="2744" spans="1:40" ht="27.95" x14ac:dyDescent="0.3">
      <c r="A2744" s="3">
        <v>2738</v>
      </c>
      <c r="B2744" s="3" t="str">
        <f>"1338833"</f>
        <v>1338833</v>
      </c>
      <c r="C2744" s="3">
        <v>2537</v>
      </c>
      <c r="D2744" s="3" t="s">
        <v>10074</v>
      </c>
      <c r="E2744" s="3">
        <v>20210133748</v>
      </c>
      <c r="F2744" s="3" t="s">
        <v>4609</v>
      </c>
      <c r="G2744" s="3" t="s">
        <v>4610</v>
      </c>
      <c r="H2744" s="3" t="s">
        <v>56</v>
      </c>
      <c r="I2744" s="3" t="s">
        <v>56</v>
      </c>
      <c r="J2744" s="3" t="s">
        <v>63</v>
      </c>
      <c r="K2744" s="3" t="s">
        <v>10075</v>
      </c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C2744" s="3"/>
      <c r="AD2744" s="3"/>
      <c r="AE2744" s="3"/>
      <c r="AF2744" s="3"/>
      <c r="AG2744" s="3"/>
      <c r="AH2744" s="3"/>
      <c r="AI2744" s="3"/>
      <c r="AJ2744" s="3"/>
      <c r="AK2744" s="3" t="s">
        <v>634</v>
      </c>
      <c r="AL2744" s="4">
        <v>37187</v>
      </c>
      <c r="AM2744" s="3"/>
      <c r="AN2744" s="3"/>
    </row>
    <row r="2745" spans="1:40" x14ac:dyDescent="0.3">
      <c r="A2745" s="3">
        <v>2739</v>
      </c>
      <c r="B2745" s="3" t="str">
        <f>"1143740"</f>
        <v>1143740</v>
      </c>
      <c r="C2745" s="3">
        <v>3613</v>
      </c>
      <c r="D2745" s="3">
        <v>1111120</v>
      </c>
      <c r="E2745" s="3">
        <v>10079202334</v>
      </c>
      <c r="F2745" s="3" t="s">
        <v>10076</v>
      </c>
      <c r="G2745" s="3" t="s">
        <v>10077</v>
      </c>
      <c r="H2745" s="3" t="s">
        <v>56</v>
      </c>
      <c r="I2745" s="3" t="s">
        <v>56</v>
      </c>
      <c r="J2745" s="3" t="s">
        <v>84</v>
      </c>
      <c r="K2745" s="3" t="s">
        <v>10078</v>
      </c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C2745" s="3"/>
      <c r="AD2745" s="3"/>
      <c r="AE2745" s="3"/>
      <c r="AF2745" s="3"/>
      <c r="AG2745" s="3"/>
      <c r="AH2745" s="3"/>
      <c r="AI2745" s="3"/>
      <c r="AJ2745" s="3"/>
      <c r="AK2745" s="3" t="s">
        <v>81</v>
      </c>
      <c r="AL2745" s="4">
        <v>35656</v>
      </c>
      <c r="AM2745" s="3"/>
      <c r="AN2745" s="3"/>
    </row>
    <row r="2746" spans="1:40" x14ac:dyDescent="0.3">
      <c r="A2746" s="3">
        <v>2740</v>
      </c>
      <c r="B2746" s="3" t="str">
        <f>"1609664"</f>
        <v>1609664</v>
      </c>
      <c r="C2746" s="3">
        <v>41762</v>
      </c>
      <c r="D2746" s="3" t="s">
        <v>10079</v>
      </c>
      <c r="E2746" s="3">
        <v>10296799462</v>
      </c>
      <c r="F2746" s="3" t="s">
        <v>324</v>
      </c>
      <c r="G2746" s="3" t="s">
        <v>10080</v>
      </c>
      <c r="H2746" s="3" t="s">
        <v>97</v>
      </c>
      <c r="I2746" s="3" t="s">
        <v>97</v>
      </c>
      <c r="J2746" s="3" t="s">
        <v>326</v>
      </c>
      <c r="K2746" s="3" t="s">
        <v>10081</v>
      </c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C2746" s="3"/>
      <c r="AD2746" s="3"/>
      <c r="AE2746" s="3"/>
      <c r="AF2746" s="3"/>
      <c r="AG2746" s="3"/>
      <c r="AH2746" s="3"/>
      <c r="AI2746" s="3"/>
      <c r="AJ2746" s="3"/>
      <c r="AK2746" s="3" t="s">
        <v>10082</v>
      </c>
      <c r="AL2746" s="4">
        <v>38854</v>
      </c>
      <c r="AM2746" s="3"/>
      <c r="AN2746" s="3"/>
    </row>
    <row r="2747" spans="1:40" x14ac:dyDescent="0.3">
      <c r="A2747" s="3">
        <v>2741</v>
      </c>
      <c r="B2747" s="3" t="str">
        <f>"202000013682"</f>
        <v>202000013682</v>
      </c>
      <c r="C2747" s="3">
        <v>148921</v>
      </c>
      <c r="D2747" s="3" t="s">
        <v>10083</v>
      </c>
      <c r="E2747" s="3">
        <v>20601701252</v>
      </c>
      <c r="F2747" s="3" t="s">
        <v>3429</v>
      </c>
      <c r="G2747" s="3" t="s">
        <v>10084</v>
      </c>
      <c r="H2747" s="3" t="s">
        <v>56</v>
      </c>
      <c r="I2747" s="3" t="s">
        <v>56</v>
      </c>
      <c r="J2747" s="3" t="s">
        <v>309</v>
      </c>
      <c r="K2747" s="3" t="s">
        <v>10085</v>
      </c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C2747" s="3"/>
      <c r="AD2747" s="3"/>
      <c r="AE2747" s="3"/>
      <c r="AF2747" s="3"/>
      <c r="AG2747" s="3"/>
      <c r="AH2747" s="3"/>
      <c r="AI2747" s="3"/>
      <c r="AJ2747" s="3"/>
      <c r="AK2747" s="3" t="s">
        <v>47</v>
      </c>
      <c r="AL2747" s="4">
        <v>43864</v>
      </c>
      <c r="AM2747" s="3"/>
      <c r="AN2747" s="3" t="s">
        <v>3433</v>
      </c>
    </row>
    <row r="2748" spans="1:40" x14ac:dyDescent="0.3">
      <c r="A2748" s="3">
        <v>2742</v>
      </c>
      <c r="B2748" s="3" t="str">
        <f>"201000001360"</f>
        <v>201000001360</v>
      </c>
      <c r="C2748" s="3">
        <v>85986</v>
      </c>
      <c r="D2748" s="3" t="s">
        <v>10086</v>
      </c>
      <c r="E2748" s="3">
        <v>10422059828</v>
      </c>
      <c r="F2748" s="3" t="s">
        <v>10087</v>
      </c>
      <c r="G2748" s="3" t="s">
        <v>10088</v>
      </c>
      <c r="H2748" s="3" t="s">
        <v>222</v>
      </c>
      <c r="I2748" s="3" t="s">
        <v>6992</v>
      </c>
      <c r="J2748" s="3" t="s">
        <v>6992</v>
      </c>
      <c r="K2748" s="3" t="s">
        <v>10089</v>
      </c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C2748" s="3"/>
      <c r="AD2748" s="3"/>
      <c r="AE2748" s="3"/>
      <c r="AF2748" s="3"/>
      <c r="AG2748" s="3"/>
      <c r="AH2748" s="3"/>
      <c r="AI2748" s="3"/>
      <c r="AJ2748" s="3"/>
      <c r="AK2748" s="3" t="s">
        <v>3865</v>
      </c>
      <c r="AL2748" s="4">
        <v>40298</v>
      </c>
      <c r="AM2748" s="3"/>
      <c r="AN2748" s="3"/>
    </row>
    <row r="2749" spans="1:40" x14ac:dyDescent="0.3">
      <c r="A2749" s="3">
        <v>2743</v>
      </c>
      <c r="B2749" s="3" t="str">
        <f>"1505212"</f>
        <v>1505212</v>
      </c>
      <c r="C2749" s="3">
        <v>93371</v>
      </c>
      <c r="D2749" s="3" t="s">
        <v>10090</v>
      </c>
      <c r="E2749" s="3">
        <v>20250459981</v>
      </c>
      <c r="F2749" s="3" t="s">
        <v>1351</v>
      </c>
      <c r="G2749" s="3" t="s">
        <v>10091</v>
      </c>
      <c r="H2749" s="3" t="s">
        <v>56</v>
      </c>
      <c r="I2749" s="3" t="s">
        <v>56</v>
      </c>
      <c r="J2749" s="3" t="s">
        <v>273</v>
      </c>
      <c r="K2749" s="3" t="s">
        <v>10092</v>
      </c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C2749" s="3"/>
      <c r="AD2749" s="3"/>
      <c r="AE2749" s="3"/>
      <c r="AF2749" s="3"/>
      <c r="AG2749" s="3"/>
      <c r="AH2749" s="3"/>
      <c r="AI2749" s="3"/>
      <c r="AJ2749" s="3"/>
      <c r="AK2749" s="3" t="s">
        <v>8481</v>
      </c>
      <c r="AL2749" s="3" t="s">
        <v>290</v>
      </c>
      <c r="AM2749" s="3"/>
      <c r="AN2749" s="3" t="s">
        <v>1355</v>
      </c>
    </row>
    <row r="2750" spans="1:40" x14ac:dyDescent="0.3">
      <c r="A2750" s="3">
        <v>2744</v>
      </c>
      <c r="B2750" s="3" t="str">
        <f>"201600034638"</f>
        <v>201600034638</v>
      </c>
      <c r="C2750" s="3">
        <v>106070</v>
      </c>
      <c r="D2750" s="3" t="s">
        <v>10093</v>
      </c>
      <c r="E2750" s="3">
        <v>20100366747</v>
      </c>
      <c r="F2750" s="3" t="s">
        <v>334</v>
      </c>
      <c r="G2750" s="3" t="s">
        <v>8669</v>
      </c>
      <c r="H2750" s="3" t="s">
        <v>56</v>
      </c>
      <c r="I2750" s="3" t="s">
        <v>56</v>
      </c>
      <c r="J2750" s="3" t="s">
        <v>185</v>
      </c>
      <c r="K2750" s="3" t="s">
        <v>10094</v>
      </c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C2750" s="3"/>
      <c r="AD2750" s="3"/>
      <c r="AE2750" s="3"/>
      <c r="AF2750" s="3"/>
      <c r="AG2750" s="3"/>
      <c r="AH2750" s="3"/>
      <c r="AI2750" s="3"/>
      <c r="AJ2750" s="3"/>
      <c r="AK2750" s="3" t="s">
        <v>579</v>
      </c>
      <c r="AL2750" s="4">
        <v>42471</v>
      </c>
      <c r="AM2750" s="3"/>
      <c r="AN2750" s="3" t="s">
        <v>262</v>
      </c>
    </row>
    <row r="2751" spans="1:40" x14ac:dyDescent="0.3">
      <c r="A2751" s="3">
        <v>2745</v>
      </c>
      <c r="B2751" s="3" t="str">
        <f>"201000001362"</f>
        <v>201000001362</v>
      </c>
      <c r="C2751" s="3">
        <v>2633</v>
      </c>
      <c r="D2751" s="3" t="s">
        <v>10095</v>
      </c>
      <c r="E2751" s="3">
        <v>10293769627</v>
      </c>
      <c r="F2751" s="3" t="s">
        <v>10096</v>
      </c>
      <c r="G2751" s="3" t="s">
        <v>7466</v>
      </c>
      <c r="H2751" s="3" t="s">
        <v>97</v>
      </c>
      <c r="I2751" s="3" t="s">
        <v>97</v>
      </c>
      <c r="J2751" s="3" t="s">
        <v>417</v>
      </c>
      <c r="K2751" s="3" t="s">
        <v>10097</v>
      </c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C2751" s="3"/>
      <c r="AD2751" s="3"/>
      <c r="AE2751" s="3"/>
      <c r="AF2751" s="3"/>
      <c r="AG2751" s="3"/>
      <c r="AH2751" s="3"/>
      <c r="AI2751" s="3"/>
      <c r="AJ2751" s="3"/>
      <c r="AK2751" s="3" t="s">
        <v>842</v>
      </c>
      <c r="AL2751" s="4">
        <v>37333</v>
      </c>
      <c r="AM2751" s="3"/>
      <c r="AN2751" s="3"/>
    </row>
    <row r="2752" spans="1:40" ht="27.95" x14ac:dyDescent="0.3">
      <c r="A2752" s="3">
        <v>2746</v>
      </c>
      <c r="B2752" s="3" t="str">
        <f>"201000001361"</f>
        <v>201000001361</v>
      </c>
      <c r="C2752" s="3">
        <v>85525</v>
      </c>
      <c r="D2752" s="3" t="s">
        <v>10098</v>
      </c>
      <c r="E2752" s="3">
        <v>20415747986</v>
      </c>
      <c r="F2752" s="3" t="s">
        <v>3554</v>
      </c>
      <c r="G2752" s="3" t="s">
        <v>3559</v>
      </c>
      <c r="H2752" s="3" t="s">
        <v>56</v>
      </c>
      <c r="I2752" s="3" t="s">
        <v>56</v>
      </c>
      <c r="J2752" s="3" t="s">
        <v>331</v>
      </c>
      <c r="K2752" s="3" t="s">
        <v>10099</v>
      </c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C2752" s="3"/>
      <c r="AD2752" s="3"/>
      <c r="AE2752" s="3"/>
      <c r="AF2752" s="3"/>
      <c r="AG2752" s="3"/>
      <c r="AH2752" s="3"/>
      <c r="AI2752" s="3"/>
      <c r="AJ2752" s="3"/>
      <c r="AK2752" s="3" t="s">
        <v>230</v>
      </c>
      <c r="AL2752" s="4">
        <v>40375</v>
      </c>
      <c r="AM2752" s="3"/>
      <c r="AN2752" s="3"/>
    </row>
    <row r="2753" spans="1:40" x14ac:dyDescent="0.3">
      <c r="A2753" s="3">
        <v>2747</v>
      </c>
      <c r="B2753" s="3" t="str">
        <f>"201000001364"</f>
        <v>201000001364</v>
      </c>
      <c r="C2753" s="3">
        <v>20826</v>
      </c>
      <c r="D2753" s="3" t="s">
        <v>10100</v>
      </c>
      <c r="E2753" s="3">
        <v>20496830491</v>
      </c>
      <c r="F2753" s="3" t="s">
        <v>10101</v>
      </c>
      <c r="G2753" s="3" t="s">
        <v>10102</v>
      </c>
      <c r="H2753" s="3" t="s">
        <v>97</v>
      </c>
      <c r="I2753" s="3" t="s">
        <v>97</v>
      </c>
      <c r="J2753" s="3" t="s">
        <v>970</v>
      </c>
      <c r="K2753" s="3" t="s">
        <v>10103</v>
      </c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C2753" s="3"/>
      <c r="AD2753" s="3"/>
      <c r="AE2753" s="3"/>
      <c r="AF2753" s="3"/>
      <c r="AG2753" s="3"/>
      <c r="AH2753" s="3"/>
      <c r="AI2753" s="3"/>
      <c r="AJ2753" s="3"/>
      <c r="AK2753" s="3" t="s">
        <v>842</v>
      </c>
      <c r="AL2753" s="4">
        <v>37175</v>
      </c>
      <c r="AM2753" s="3"/>
      <c r="AN2753" s="3"/>
    </row>
    <row r="2754" spans="1:40" x14ac:dyDescent="0.3">
      <c r="A2754" s="3">
        <v>2748</v>
      </c>
      <c r="B2754" s="3" t="str">
        <f>"201000001363"</f>
        <v>201000001363</v>
      </c>
      <c r="C2754" s="3">
        <v>18193</v>
      </c>
      <c r="D2754" s="3" t="s">
        <v>10104</v>
      </c>
      <c r="E2754" s="3">
        <v>10329495022</v>
      </c>
      <c r="F2754" s="3" t="s">
        <v>10105</v>
      </c>
      <c r="G2754" s="3" t="s">
        <v>10106</v>
      </c>
      <c r="H2754" s="3" t="s">
        <v>271</v>
      </c>
      <c r="I2754" s="3" t="s">
        <v>552</v>
      </c>
      <c r="J2754" s="3" t="s">
        <v>4652</v>
      </c>
      <c r="K2754" s="3" t="s">
        <v>10107</v>
      </c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C2754" s="3"/>
      <c r="AD2754" s="3"/>
      <c r="AE2754" s="3"/>
      <c r="AF2754" s="3"/>
      <c r="AG2754" s="3"/>
      <c r="AH2754" s="3"/>
      <c r="AI2754" s="3"/>
      <c r="AJ2754" s="3"/>
      <c r="AK2754" s="3" t="s">
        <v>226</v>
      </c>
      <c r="AL2754" s="4">
        <v>36607</v>
      </c>
      <c r="AM2754" s="3"/>
      <c r="AN2754" s="3"/>
    </row>
    <row r="2755" spans="1:40" x14ac:dyDescent="0.3">
      <c r="A2755" s="3">
        <v>2749</v>
      </c>
      <c r="B2755" s="3" t="str">
        <f>"201000001366"</f>
        <v>201000001366</v>
      </c>
      <c r="C2755" s="3">
        <v>20828</v>
      </c>
      <c r="D2755" s="3" t="s">
        <v>10108</v>
      </c>
      <c r="E2755" s="3">
        <v>10308326549</v>
      </c>
      <c r="F2755" s="3" t="s">
        <v>10109</v>
      </c>
      <c r="G2755" s="3" t="s">
        <v>10110</v>
      </c>
      <c r="H2755" s="3" t="s">
        <v>97</v>
      </c>
      <c r="I2755" s="3" t="s">
        <v>3452</v>
      </c>
      <c r="J2755" s="3" t="s">
        <v>3453</v>
      </c>
      <c r="K2755" s="3" t="s">
        <v>10111</v>
      </c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C2755" s="3"/>
      <c r="AD2755" s="3"/>
      <c r="AE2755" s="3"/>
      <c r="AF2755" s="3"/>
      <c r="AG2755" s="3"/>
      <c r="AH2755" s="3"/>
      <c r="AI2755" s="3"/>
      <c r="AJ2755" s="3"/>
      <c r="AK2755" s="3" t="s">
        <v>81</v>
      </c>
      <c r="AL2755" s="4">
        <v>36963</v>
      </c>
      <c r="AM2755" s="3"/>
      <c r="AN2755" s="3"/>
    </row>
    <row r="2756" spans="1:40" x14ac:dyDescent="0.3">
      <c r="A2756" s="3">
        <v>2750</v>
      </c>
      <c r="B2756" s="3" t="str">
        <f>"201000001365"</f>
        <v>201000001365</v>
      </c>
      <c r="C2756" s="3">
        <v>21106</v>
      </c>
      <c r="D2756" s="3" t="s">
        <v>10112</v>
      </c>
      <c r="E2756" s="3">
        <v>20498198971</v>
      </c>
      <c r="F2756" s="3" t="s">
        <v>10113</v>
      </c>
      <c r="G2756" s="3" t="s">
        <v>10114</v>
      </c>
      <c r="H2756" s="3" t="s">
        <v>97</v>
      </c>
      <c r="I2756" s="3" t="s">
        <v>97</v>
      </c>
      <c r="J2756" s="3" t="s">
        <v>1459</v>
      </c>
      <c r="K2756" s="3" t="s">
        <v>10115</v>
      </c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C2756" s="3"/>
      <c r="AD2756" s="3"/>
      <c r="AE2756" s="3"/>
      <c r="AF2756" s="3"/>
      <c r="AG2756" s="3"/>
      <c r="AH2756" s="3"/>
      <c r="AI2756" s="3"/>
      <c r="AJ2756" s="3"/>
      <c r="AK2756" s="3" t="s">
        <v>1425</v>
      </c>
      <c r="AL2756" s="4">
        <v>37285</v>
      </c>
      <c r="AM2756" s="3"/>
      <c r="AN2756" s="3"/>
    </row>
    <row r="2757" spans="1:40" x14ac:dyDescent="0.3">
      <c r="A2757" s="3">
        <v>2751</v>
      </c>
      <c r="B2757" s="3" t="str">
        <f>"1154166"</f>
        <v>1154166</v>
      </c>
      <c r="C2757" s="3">
        <v>3653</v>
      </c>
      <c r="D2757" s="3">
        <v>1154166</v>
      </c>
      <c r="E2757" s="3">
        <v>10088495808</v>
      </c>
      <c r="F2757" s="3" t="s">
        <v>10116</v>
      </c>
      <c r="G2757" s="3" t="s">
        <v>10117</v>
      </c>
      <c r="H2757" s="3" t="s">
        <v>56</v>
      </c>
      <c r="I2757" s="3" t="s">
        <v>56</v>
      </c>
      <c r="J2757" s="3" t="s">
        <v>572</v>
      </c>
      <c r="K2757" s="3" t="s">
        <v>10118</v>
      </c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C2757" s="3"/>
      <c r="AD2757" s="3"/>
      <c r="AE2757" s="3"/>
      <c r="AF2757" s="3"/>
      <c r="AG2757" s="3"/>
      <c r="AH2757" s="3"/>
      <c r="AI2757" s="3"/>
      <c r="AJ2757" s="3"/>
      <c r="AK2757" s="3" t="s">
        <v>1014</v>
      </c>
      <c r="AL2757" s="4">
        <v>35719</v>
      </c>
      <c r="AM2757" s="3"/>
      <c r="AN2757" s="3"/>
    </row>
    <row r="2758" spans="1:40" x14ac:dyDescent="0.3">
      <c r="A2758" s="3">
        <v>2752</v>
      </c>
      <c r="B2758" s="3" t="str">
        <f>"201900048406"</f>
        <v>201900048406</v>
      </c>
      <c r="C2758" s="3">
        <v>85008</v>
      </c>
      <c r="D2758" s="3" t="s">
        <v>10119</v>
      </c>
      <c r="E2758" s="3">
        <v>20450552136</v>
      </c>
      <c r="F2758" s="3" t="s">
        <v>10120</v>
      </c>
      <c r="G2758" s="3" t="s">
        <v>10121</v>
      </c>
      <c r="H2758" s="3" t="s">
        <v>446</v>
      </c>
      <c r="I2758" s="3" t="s">
        <v>446</v>
      </c>
      <c r="J2758" s="3" t="s">
        <v>830</v>
      </c>
      <c r="K2758" s="3" t="s">
        <v>10122</v>
      </c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C2758" s="3"/>
      <c r="AD2758" s="3"/>
      <c r="AE2758" s="3"/>
      <c r="AF2758" s="3"/>
      <c r="AG2758" s="3"/>
      <c r="AH2758" s="3"/>
      <c r="AI2758" s="3"/>
      <c r="AJ2758" s="3"/>
      <c r="AK2758" s="3" t="s">
        <v>230</v>
      </c>
      <c r="AL2758" s="4">
        <v>43556</v>
      </c>
      <c r="AM2758" s="3"/>
      <c r="AN2758" s="3" t="s">
        <v>10123</v>
      </c>
    </row>
    <row r="2759" spans="1:40" x14ac:dyDescent="0.3">
      <c r="A2759" s="3">
        <v>2753</v>
      </c>
      <c r="B2759" s="3" t="str">
        <f>"1318830"</f>
        <v>1318830</v>
      </c>
      <c r="C2759" s="3">
        <v>3566</v>
      </c>
      <c r="D2759" s="3" t="s">
        <v>10124</v>
      </c>
      <c r="E2759" s="3">
        <v>20100366747</v>
      </c>
      <c r="F2759" s="3" t="s">
        <v>258</v>
      </c>
      <c r="G2759" s="3" t="s">
        <v>1055</v>
      </c>
      <c r="H2759" s="3" t="s">
        <v>56</v>
      </c>
      <c r="I2759" s="3" t="s">
        <v>56</v>
      </c>
      <c r="J2759" s="3" t="s">
        <v>185</v>
      </c>
      <c r="K2759" s="3" t="s">
        <v>10125</v>
      </c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C2759" s="3"/>
      <c r="AD2759" s="3"/>
      <c r="AE2759" s="3"/>
      <c r="AF2759" s="3"/>
      <c r="AG2759" s="3"/>
      <c r="AH2759" s="3"/>
      <c r="AI2759" s="3"/>
      <c r="AJ2759" s="3"/>
      <c r="AK2759" s="3" t="s">
        <v>65</v>
      </c>
      <c r="AL2759" s="4">
        <v>37015</v>
      </c>
      <c r="AM2759" s="3"/>
      <c r="AN2759" s="3"/>
    </row>
    <row r="2760" spans="1:40" x14ac:dyDescent="0.3">
      <c r="A2760" s="3">
        <v>2754</v>
      </c>
      <c r="B2760" s="3" t="str">
        <f>"1168066"</f>
        <v>1168066</v>
      </c>
      <c r="C2760" s="3">
        <v>6202</v>
      </c>
      <c r="D2760" s="3">
        <v>1168066</v>
      </c>
      <c r="E2760" s="3">
        <v>20510740760</v>
      </c>
      <c r="F2760" s="3" t="s">
        <v>10126</v>
      </c>
      <c r="G2760" s="3" t="s">
        <v>10127</v>
      </c>
      <c r="H2760" s="3" t="s">
        <v>216</v>
      </c>
      <c r="I2760" s="3" t="s">
        <v>216</v>
      </c>
      <c r="J2760" s="3" t="s">
        <v>216</v>
      </c>
      <c r="K2760" s="3" t="s">
        <v>10128</v>
      </c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C2760" s="3"/>
      <c r="AD2760" s="3"/>
      <c r="AE2760" s="3"/>
      <c r="AF2760" s="3"/>
      <c r="AG2760" s="3"/>
      <c r="AH2760" s="3"/>
      <c r="AI2760" s="3"/>
      <c r="AJ2760" s="3"/>
      <c r="AK2760" s="3" t="s">
        <v>842</v>
      </c>
      <c r="AL2760" s="4">
        <v>35815</v>
      </c>
      <c r="AM2760" s="3"/>
      <c r="AN2760" s="3"/>
    </row>
    <row r="2761" spans="1:40" x14ac:dyDescent="0.3">
      <c r="A2761" s="3">
        <v>2755</v>
      </c>
      <c r="B2761" s="3" t="str">
        <f>"201000001356"</f>
        <v>201000001356</v>
      </c>
      <c r="C2761" s="3">
        <v>19705</v>
      </c>
      <c r="D2761" s="3" t="s">
        <v>10129</v>
      </c>
      <c r="E2761" s="3">
        <v>10002341340</v>
      </c>
      <c r="F2761" s="3" t="s">
        <v>10130</v>
      </c>
      <c r="G2761" s="3" t="s">
        <v>10131</v>
      </c>
      <c r="H2761" s="3" t="s">
        <v>10132</v>
      </c>
      <c r="I2761" s="3" t="s">
        <v>10132</v>
      </c>
      <c r="J2761" s="3" t="s">
        <v>10132</v>
      </c>
      <c r="K2761" s="3" t="s">
        <v>10133</v>
      </c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C2761" s="3"/>
      <c r="AD2761" s="3"/>
      <c r="AE2761" s="3"/>
      <c r="AF2761" s="3"/>
      <c r="AG2761" s="3"/>
      <c r="AH2761" s="3"/>
      <c r="AI2761" s="3"/>
      <c r="AJ2761" s="3"/>
      <c r="AK2761" s="3" t="s">
        <v>525</v>
      </c>
      <c r="AL2761" s="4">
        <v>36637</v>
      </c>
      <c r="AM2761" s="3"/>
      <c r="AN2761" s="3"/>
    </row>
    <row r="2762" spans="1:40" x14ac:dyDescent="0.3">
      <c r="A2762" s="3">
        <v>2756</v>
      </c>
      <c r="B2762" s="3" t="str">
        <f>"201000001357"</f>
        <v>201000001357</v>
      </c>
      <c r="C2762" s="3">
        <v>83860</v>
      </c>
      <c r="D2762" s="3" t="s">
        <v>10134</v>
      </c>
      <c r="E2762" s="3">
        <v>20452732701</v>
      </c>
      <c r="F2762" s="3" t="s">
        <v>384</v>
      </c>
      <c r="G2762" s="3" t="s">
        <v>10135</v>
      </c>
      <c r="H2762" s="3" t="s">
        <v>386</v>
      </c>
      <c r="I2762" s="3" t="s">
        <v>387</v>
      </c>
      <c r="J2762" s="3" t="s">
        <v>388</v>
      </c>
      <c r="K2762" s="3" t="s">
        <v>10136</v>
      </c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C2762" s="3"/>
      <c r="AD2762" s="3"/>
      <c r="AE2762" s="3"/>
      <c r="AF2762" s="3"/>
      <c r="AG2762" s="3"/>
      <c r="AH2762" s="3"/>
      <c r="AI2762" s="3"/>
      <c r="AJ2762" s="3"/>
      <c r="AK2762" s="3" t="s">
        <v>10137</v>
      </c>
      <c r="AL2762" s="4">
        <v>40290</v>
      </c>
      <c r="AM2762" s="3"/>
      <c r="AN2762" s="3"/>
    </row>
    <row r="2763" spans="1:40" x14ac:dyDescent="0.3">
      <c r="A2763" s="3">
        <v>2757</v>
      </c>
      <c r="B2763" s="3" t="str">
        <f>"201300128796"</f>
        <v>201300128796</v>
      </c>
      <c r="C2763" s="3">
        <v>85480</v>
      </c>
      <c r="D2763" s="3" t="s">
        <v>10138</v>
      </c>
      <c r="E2763" s="3">
        <v>20113539594</v>
      </c>
      <c r="F2763" s="3" t="s">
        <v>164</v>
      </c>
      <c r="G2763" s="3" t="s">
        <v>10139</v>
      </c>
      <c r="H2763" s="3" t="s">
        <v>50</v>
      </c>
      <c r="I2763" s="3" t="s">
        <v>50</v>
      </c>
      <c r="J2763" s="3" t="s">
        <v>50</v>
      </c>
      <c r="K2763" s="3" t="s">
        <v>10140</v>
      </c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C2763" s="3"/>
      <c r="AD2763" s="3"/>
      <c r="AE2763" s="3"/>
      <c r="AF2763" s="3"/>
      <c r="AG2763" s="3"/>
      <c r="AH2763" s="3"/>
      <c r="AI2763" s="3"/>
      <c r="AJ2763" s="3"/>
      <c r="AK2763" s="3" t="s">
        <v>2484</v>
      </c>
      <c r="AL2763" s="4">
        <v>41495</v>
      </c>
      <c r="AM2763" s="3"/>
      <c r="AN2763" s="3" t="s">
        <v>626</v>
      </c>
    </row>
    <row r="2764" spans="1:40" x14ac:dyDescent="0.3">
      <c r="A2764" s="3">
        <v>2758</v>
      </c>
      <c r="B2764" s="3" t="str">
        <f>"201300128793"</f>
        <v>201300128793</v>
      </c>
      <c r="C2764" s="3">
        <v>82389</v>
      </c>
      <c r="D2764" s="3" t="s">
        <v>10141</v>
      </c>
      <c r="E2764" s="3">
        <v>20113539594</v>
      </c>
      <c r="F2764" s="3" t="s">
        <v>164</v>
      </c>
      <c r="G2764" s="3" t="s">
        <v>10142</v>
      </c>
      <c r="H2764" s="3" t="s">
        <v>50</v>
      </c>
      <c r="I2764" s="3" t="s">
        <v>50</v>
      </c>
      <c r="J2764" s="3" t="s">
        <v>50</v>
      </c>
      <c r="K2764" s="3" t="s">
        <v>10143</v>
      </c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C2764" s="3"/>
      <c r="AD2764" s="3"/>
      <c r="AE2764" s="3"/>
      <c r="AF2764" s="3"/>
      <c r="AG2764" s="3"/>
      <c r="AH2764" s="3"/>
      <c r="AI2764" s="3"/>
      <c r="AJ2764" s="3"/>
      <c r="AK2764" s="3" t="s">
        <v>9045</v>
      </c>
      <c r="AL2764" s="4">
        <v>41492</v>
      </c>
      <c r="AM2764" s="3"/>
      <c r="AN2764" s="3" t="s">
        <v>626</v>
      </c>
    </row>
    <row r="2765" spans="1:40" x14ac:dyDescent="0.3">
      <c r="A2765" s="3">
        <v>2759</v>
      </c>
      <c r="B2765" s="3" t="str">
        <f>"201000001351"</f>
        <v>201000001351</v>
      </c>
      <c r="C2765" s="3">
        <v>19514</v>
      </c>
      <c r="D2765" s="3" t="s">
        <v>10144</v>
      </c>
      <c r="E2765" s="3">
        <v>20113539594</v>
      </c>
      <c r="F2765" s="3" t="s">
        <v>164</v>
      </c>
      <c r="G2765" s="3" t="s">
        <v>2506</v>
      </c>
      <c r="H2765" s="3" t="s">
        <v>50</v>
      </c>
      <c r="I2765" s="3" t="s">
        <v>50</v>
      </c>
      <c r="J2765" s="3" t="s">
        <v>50</v>
      </c>
      <c r="K2765" s="3" t="s">
        <v>10145</v>
      </c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C2765" s="3"/>
      <c r="AD2765" s="3"/>
      <c r="AE2765" s="3"/>
      <c r="AF2765" s="3"/>
      <c r="AG2765" s="3"/>
      <c r="AH2765" s="3"/>
      <c r="AI2765" s="3"/>
      <c r="AJ2765" s="3"/>
      <c r="AK2765" s="3" t="s">
        <v>546</v>
      </c>
      <c r="AL2765" s="4">
        <v>36756</v>
      </c>
      <c r="AM2765" s="3"/>
      <c r="AN2765" s="3"/>
    </row>
    <row r="2766" spans="1:40" x14ac:dyDescent="0.3">
      <c r="A2766" s="3">
        <v>2760</v>
      </c>
      <c r="B2766" s="3" t="str">
        <f>"201200225330"</f>
        <v>201200225330</v>
      </c>
      <c r="C2766" s="3">
        <v>100103</v>
      </c>
      <c r="D2766" s="3" t="s">
        <v>10146</v>
      </c>
      <c r="E2766" s="3">
        <v>10240055827</v>
      </c>
      <c r="F2766" s="3" t="s">
        <v>10147</v>
      </c>
      <c r="G2766" s="3" t="s">
        <v>10148</v>
      </c>
      <c r="H2766" s="3" t="s">
        <v>446</v>
      </c>
      <c r="I2766" s="3" t="s">
        <v>446</v>
      </c>
      <c r="J2766" s="3" t="s">
        <v>830</v>
      </c>
      <c r="K2766" s="3" t="s">
        <v>10149</v>
      </c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C2766" s="3"/>
      <c r="AD2766" s="3"/>
      <c r="AE2766" s="3"/>
      <c r="AF2766" s="3"/>
      <c r="AG2766" s="3"/>
      <c r="AH2766" s="3"/>
      <c r="AI2766" s="3"/>
      <c r="AJ2766" s="3"/>
      <c r="AK2766" s="3" t="s">
        <v>1087</v>
      </c>
      <c r="AL2766" s="4">
        <v>41264</v>
      </c>
      <c r="AM2766" s="3"/>
      <c r="AN2766" s="3" t="s">
        <v>10147</v>
      </c>
    </row>
    <row r="2767" spans="1:40" x14ac:dyDescent="0.3">
      <c r="A2767" s="3">
        <v>2761</v>
      </c>
      <c r="B2767" s="3" t="str">
        <f>"201000001350"</f>
        <v>201000001350</v>
      </c>
      <c r="C2767" s="3">
        <v>19512</v>
      </c>
      <c r="D2767" s="3" t="s">
        <v>10150</v>
      </c>
      <c r="E2767" s="3">
        <v>20113539594</v>
      </c>
      <c r="F2767" s="3" t="s">
        <v>164</v>
      </c>
      <c r="G2767" s="3" t="s">
        <v>2506</v>
      </c>
      <c r="H2767" s="3" t="s">
        <v>50</v>
      </c>
      <c r="I2767" s="3" t="s">
        <v>50</v>
      </c>
      <c r="J2767" s="3" t="s">
        <v>50</v>
      </c>
      <c r="K2767" s="3" t="s">
        <v>10151</v>
      </c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C2767" s="3"/>
      <c r="AD2767" s="3"/>
      <c r="AE2767" s="3"/>
      <c r="AF2767" s="3"/>
      <c r="AG2767" s="3"/>
      <c r="AH2767" s="3"/>
      <c r="AI2767" s="3"/>
      <c r="AJ2767" s="3"/>
      <c r="AK2767" s="3" t="s">
        <v>802</v>
      </c>
      <c r="AL2767" s="4">
        <v>36756</v>
      </c>
      <c r="AM2767" s="3"/>
      <c r="AN2767" s="3"/>
    </row>
    <row r="2768" spans="1:40" x14ac:dyDescent="0.3">
      <c r="A2768" s="3">
        <v>2762</v>
      </c>
      <c r="B2768" s="3" t="str">
        <f>"201000001355"</f>
        <v>201000001355</v>
      </c>
      <c r="C2768" s="3">
        <v>19524</v>
      </c>
      <c r="D2768" s="3" t="s">
        <v>10152</v>
      </c>
      <c r="E2768" s="3">
        <v>20113539594</v>
      </c>
      <c r="F2768" s="3" t="s">
        <v>164</v>
      </c>
      <c r="G2768" s="3" t="s">
        <v>2506</v>
      </c>
      <c r="H2768" s="3" t="s">
        <v>50</v>
      </c>
      <c r="I2768" s="3" t="s">
        <v>50</v>
      </c>
      <c r="J2768" s="3" t="s">
        <v>50</v>
      </c>
      <c r="K2768" s="3" t="s">
        <v>10153</v>
      </c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C2768" s="3"/>
      <c r="AD2768" s="3"/>
      <c r="AE2768" s="3"/>
      <c r="AF2768" s="3"/>
      <c r="AG2768" s="3"/>
      <c r="AH2768" s="3"/>
      <c r="AI2768" s="3"/>
      <c r="AJ2768" s="3"/>
      <c r="AK2768" s="3" t="s">
        <v>10154</v>
      </c>
      <c r="AL2768" s="4">
        <v>36756</v>
      </c>
      <c r="AM2768" s="3"/>
      <c r="AN2768" s="3"/>
    </row>
    <row r="2769" spans="1:40" x14ac:dyDescent="0.3">
      <c r="A2769" s="3">
        <v>2763</v>
      </c>
      <c r="B2769" s="3" t="str">
        <f>"201000001354"</f>
        <v>201000001354</v>
      </c>
      <c r="C2769" s="3">
        <v>19510</v>
      </c>
      <c r="D2769" s="3" t="s">
        <v>10155</v>
      </c>
      <c r="E2769" s="3">
        <v>20113539594</v>
      </c>
      <c r="F2769" s="3" t="s">
        <v>164</v>
      </c>
      <c r="G2769" s="3" t="s">
        <v>2506</v>
      </c>
      <c r="H2769" s="3" t="s">
        <v>50</v>
      </c>
      <c r="I2769" s="3" t="s">
        <v>50</v>
      </c>
      <c r="J2769" s="3" t="s">
        <v>50</v>
      </c>
      <c r="K2769" s="3" t="s">
        <v>10156</v>
      </c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C2769" s="3"/>
      <c r="AD2769" s="3"/>
      <c r="AE2769" s="3"/>
      <c r="AF2769" s="3"/>
      <c r="AG2769" s="3"/>
      <c r="AH2769" s="3"/>
      <c r="AI2769" s="3"/>
      <c r="AJ2769" s="3"/>
      <c r="AK2769" s="3" t="s">
        <v>802</v>
      </c>
      <c r="AL2769" s="4">
        <v>36756</v>
      </c>
      <c r="AM2769" s="3"/>
      <c r="AN2769" s="3"/>
    </row>
    <row r="2770" spans="1:40" x14ac:dyDescent="0.3">
      <c r="A2770" s="3">
        <v>2764</v>
      </c>
      <c r="B2770" s="3" t="str">
        <f>"201000001353"</f>
        <v>201000001353</v>
      </c>
      <c r="C2770" s="3">
        <v>19516</v>
      </c>
      <c r="D2770" s="3" t="s">
        <v>10157</v>
      </c>
      <c r="E2770" s="3">
        <v>20113539594</v>
      </c>
      <c r="F2770" s="3" t="s">
        <v>164</v>
      </c>
      <c r="G2770" s="3" t="s">
        <v>2506</v>
      </c>
      <c r="H2770" s="3" t="s">
        <v>50</v>
      </c>
      <c r="I2770" s="3" t="s">
        <v>50</v>
      </c>
      <c r="J2770" s="3" t="s">
        <v>50</v>
      </c>
      <c r="K2770" s="3" t="s">
        <v>10158</v>
      </c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C2770" s="3"/>
      <c r="AD2770" s="3"/>
      <c r="AE2770" s="3"/>
      <c r="AF2770" s="3"/>
      <c r="AG2770" s="3"/>
      <c r="AH2770" s="3"/>
      <c r="AI2770" s="3"/>
      <c r="AJ2770" s="3"/>
      <c r="AK2770" s="3" t="s">
        <v>568</v>
      </c>
      <c r="AL2770" s="4">
        <v>36756</v>
      </c>
      <c r="AM2770" s="3"/>
      <c r="AN2770" s="3"/>
    </row>
    <row r="2771" spans="1:40" x14ac:dyDescent="0.3">
      <c r="A2771" s="3">
        <v>2765</v>
      </c>
      <c r="B2771" s="3" t="str">
        <f>"201000001352"</f>
        <v>201000001352</v>
      </c>
      <c r="C2771" s="3">
        <v>14796</v>
      </c>
      <c r="D2771" s="3" t="s">
        <v>10159</v>
      </c>
      <c r="E2771" s="3">
        <v>20113539594</v>
      </c>
      <c r="F2771" s="3" t="s">
        <v>164</v>
      </c>
      <c r="G2771" s="3" t="s">
        <v>2506</v>
      </c>
      <c r="H2771" s="3" t="s">
        <v>50</v>
      </c>
      <c r="I2771" s="3" t="s">
        <v>50</v>
      </c>
      <c r="J2771" s="3" t="s">
        <v>50</v>
      </c>
      <c r="K2771" s="3" t="s">
        <v>10160</v>
      </c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C2771" s="3"/>
      <c r="AD2771" s="3"/>
      <c r="AE2771" s="3"/>
      <c r="AF2771" s="3"/>
      <c r="AG2771" s="3"/>
      <c r="AH2771" s="3"/>
      <c r="AI2771" s="3"/>
      <c r="AJ2771" s="3"/>
      <c r="AK2771" s="3" t="s">
        <v>1626</v>
      </c>
      <c r="AL2771" s="4">
        <v>36756</v>
      </c>
      <c r="AM2771" s="3"/>
      <c r="AN2771" s="3"/>
    </row>
    <row r="2772" spans="1:40" ht="27.95" x14ac:dyDescent="0.3">
      <c r="A2772" s="3">
        <v>2766</v>
      </c>
      <c r="B2772" s="3" t="str">
        <f>"201500079632"</f>
        <v>201500079632</v>
      </c>
      <c r="C2772" s="3">
        <v>115336</v>
      </c>
      <c r="D2772" s="3" t="s">
        <v>10161</v>
      </c>
      <c r="E2772" s="3">
        <v>10296954077</v>
      </c>
      <c r="F2772" s="3" t="s">
        <v>1131</v>
      </c>
      <c r="G2772" s="3" t="s">
        <v>10162</v>
      </c>
      <c r="H2772" s="3" t="s">
        <v>97</v>
      </c>
      <c r="I2772" s="3" t="s">
        <v>97</v>
      </c>
      <c r="J2772" s="3" t="s">
        <v>254</v>
      </c>
      <c r="K2772" s="3" t="s">
        <v>10163</v>
      </c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C2772" s="3"/>
      <c r="AD2772" s="3"/>
      <c r="AE2772" s="3"/>
      <c r="AF2772" s="3"/>
      <c r="AG2772" s="3"/>
      <c r="AH2772" s="3"/>
      <c r="AI2772" s="3"/>
      <c r="AJ2772" s="3"/>
      <c r="AK2772" s="3" t="s">
        <v>3479</v>
      </c>
      <c r="AL2772" s="4">
        <v>42187</v>
      </c>
      <c r="AM2772" s="3"/>
      <c r="AN2772" s="3" t="s">
        <v>1131</v>
      </c>
    </row>
    <row r="2773" spans="1:40" x14ac:dyDescent="0.3">
      <c r="A2773" s="3">
        <v>2767</v>
      </c>
      <c r="B2773" s="3" t="str">
        <f>"1318827"</f>
        <v>1318827</v>
      </c>
      <c r="C2773" s="3">
        <v>2759</v>
      </c>
      <c r="D2773" s="3" t="s">
        <v>10164</v>
      </c>
      <c r="E2773" s="3">
        <v>20100366747</v>
      </c>
      <c r="F2773" s="3" t="s">
        <v>258</v>
      </c>
      <c r="G2773" s="3" t="s">
        <v>1055</v>
      </c>
      <c r="H2773" s="3" t="s">
        <v>56</v>
      </c>
      <c r="I2773" s="3" t="s">
        <v>56</v>
      </c>
      <c r="J2773" s="3" t="s">
        <v>185</v>
      </c>
      <c r="K2773" s="3" t="s">
        <v>10165</v>
      </c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C2773" s="3"/>
      <c r="AD2773" s="3"/>
      <c r="AE2773" s="3"/>
      <c r="AF2773" s="3"/>
      <c r="AG2773" s="3"/>
      <c r="AH2773" s="3"/>
      <c r="AI2773" s="3"/>
      <c r="AJ2773" s="3"/>
      <c r="AK2773" s="3" t="s">
        <v>187</v>
      </c>
      <c r="AL2773" s="4">
        <v>37015</v>
      </c>
      <c r="AM2773" s="3"/>
      <c r="AN2773" s="3"/>
    </row>
    <row r="2774" spans="1:40" x14ac:dyDescent="0.3">
      <c r="A2774" s="3">
        <v>2768</v>
      </c>
      <c r="B2774" s="3" t="str">
        <f>"1318828"</f>
        <v>1318828</v>
      </c>
      <c r="C2774" s="3">
        <v>3402</v>
      </c>
      <c r="D2774" s="3" t="s">
        <v>10166</v>
      </c>
      <c r="E2774" s="3">
        <v>20100366747</v>
      </c>
      <c r="F2774" s="3" t="s">
        <v>258</v>
      </c>
      <c r="G2774" s="3" t="s">
        <v>1055</v>
      </c>
      <c r="H2774" s="3" t="s">
        <v>56</v>
      </c>
      <c r="I2774" s="3" t="s">
        <v>56</v>
      </c>
      <c r="J2774" s="3" t="s">
        <v>185</v>
      </c>
      <c r="K2774" s="3" t="s">
        <v>10167</v>
      </c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C2774" s="3"/>
      <c r="AD2774" s="3"/>
      <c r="AE2774" s="3"/>
      <c r="AF2774" s="3"/>
      <c r="AG2774" s="3"/>
      <c r="AH2774" s="3"/>
      <c r="AI2774" s="3"/>
      <c r="AJ2774" s="3"/>
      <c r="AK2774" s="3" t="s">
        <v>65</v>
      </c>
      <c r="AL2774" s="4">
        <v>37015</v>
      </c>
      <c r="AM2774" s="3"/>
      <c r="AN2774" s="3"/>
    </row>
    <row r="2775" spans="1:40" x14ac:dyDescent="0.3">
      <c r="A2775" s="3">
        <v>2769</v>
      </c>
      <c r="B2775" s="3" t="str">
        <f>"201500002808"</f>
        <v>201500002808</v>
      </c>
      <c r="C2775" s="3">
        <v>96223</v>
      </c>
      <c r="D2775" s="3" t="s">
        <v>10168</v>
      </c>
      <c r="E2775" s="3">
        <v>20494117071</v>
      </c>
      <c r="F2775" s="3" t="s">
        <v>10169</v>
      </c>
      <c r="G2775" s="3" t="s">
        <v>10170</v>
      </c>
      <c r="H2775" s="3" t="s">
        <v>172</v>
      </c>
      <c r="I2775" s="3" t="s">
        <v>172</v>
      </c>
      <c r="J2775" s="3" t="s">
        <v>1719</v>
      </c>
      <c r="K2775" s="3" t="s">
        <v>10171</v>
      </c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C2775" s="3"/>
      <c r="AD2775" s="3"/>
      <c r="AE2775" s="3"/>
      <c r="AF2775" s="3"/>
      <c r="AG2775" s="3"/>
      <c r="AH2775" s="3"/>
      <c r="AI2775" s="3"/>
      <c r="AJ2775" s="3"/>
      <c r="AK2775" s="3" t="s">
        <v>218</v>
      </c>
      <c r="AL2775" s="4">
        <v>42025</v>
      </c>
      <c r="AM2775" s="3"/>
      <c r="AN2775" s="3" t="s">
        <v>2360</v>
      </c>
    </row>
    <row r="2776" spans="1:40" ht="27.95" x14ac:dyDescent="0.3">
      <c r="A2776" s="3">
        <v>2770</v>
      </c>
      <c r="B2776" s="3" t="str">
        <f>"201300081367"</f>
        <v>201300081367</v>
      </c>
      <c r="C2776" s="3">
        <v>102068</v>
      </c>
      <c r="D2776" s="3" t="s">
        <v>10172</v>
      </c>
      <c r="E2776" s="3">
        <v>20558039605</v>
      </c>
      <c r="F2776" s="3" t="s">
        <v>4907</v>
      </c>
      <c r="G2776" s="3" t="s">
        <v>10173</v>
      </c>
      <c r="H2776" s="3" t="s">
        <v>97</v>
      </c>
      <c r="I2776" s="3" t="s">
        <v>97</v>
      </c>
      <c r="J2776" s="3" t="s">
        <v>5219</v>
      </c>
      <c r="K2776" s="3" t="s">
        <v>10174</v>
      </c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C2776" s="3"/>
      <c r="AD2776" s="3"/>
      <c r="AE2776" s="3"/>
      <c r="AF2776" s="3"/>
      <c r="AG2776" s="3"/>
      <c r="AH2776" s="3"/>
      <c r="AI2776" s="3"/>
      <c r="AJ2776" s="3"/>
      <c r="AK2776" s="3" t="s">
        <v>218</v>
      </c>
      <c r="AL2776" s="4">
        <v>41394</v>
      </c>
      <c r="AM2776" s="3"/>
      <c r="AN2776" s="3" t="s">
        <v>4910</v>
      </c>
    </row>
    <row r="2777" spans="1:40" x14ac:dyDescent="0.3">
      <c r="A2777" s="3">
        <v>2771</v>
      </c>
      <c r="B2777" s="3" t="str">
        <f>"1318826"</f>
        <v>1318826</v>
      </c>
      <c r="C2777" s="3">
        <v>17969</v>
      </c>
      <c r="D2777" s="3" t="s">
        <v>10175</v>
      </c>
      <c r="E2777" s="3">
        <v>20100366747</v>
      </c>
      <c r="F2777" s="3" t="s">
        <v>258</v>
      </c>
      <c r="G2777" s="3" t="s">
        <v>1055</v>
      </c>
      <c r="H2777" s="3" t="s">
        <v>56</v>
      </c>
      <c r="I2777" s="3" t="s">
        <v>56</v>
      </c>
      <c r="J2777" s="3" t="s">
        <v>185</v>
      </c>
      <c r="K2777" s="3" t="s">
        <v>10176</v>
      </c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C2777" s="3"/>
      <c r="AD2777" s="3"/>
      <c r="AE2777" s="3"/>
      <c r="AF2777" s="3"/>
      <c r="AG2777" s="3"/>
      <c r="AH2777" s="3"/>
      <c r="AI2777" s="3"/>
      <c r="AJ2777" s="3"/>
      <c r="AK2777" s="3" t="s">
        <v>81</v>
      </c>
      <c r="AL2777" s="4">
        <v>37015</v>
      </c>
      <c r="AM2777" s="3"/>
      <c r="AN2777" s="3"/>
    </row>
    <row r="2778" spans="1:40" ht="27.95" x14ac:dyDescent="0.3">
      <c r="A2778" s="3">
        <v>2772</v>
      </c>
      <c r="B2778" s="3" t="str">
        <f>"201200006772"</f>
        <v>201200006772</v>
      </c>
      <c r="C2778" s="3">
        <v>95558</v>
      </c>
      <c r="D2778" s="3" t="s">
        <v>10177</v>
      </c>
      <c r="E2778" s="3">
        <v>10020365647</v>
      </c>
      <c r="F2778" s="3" t="s">
        <v>4562</v>
      </c>
      <c r="G2778" s="3" t="s">
        <v>10178</v>
      </c>
      <c r="H2778" s="3" t="s">
        <v>222</v>
      </c>
      <c r="I2778" s="3" t="s">
        <v>223</v>
      </c>
      <c r="J2778" s="3" t="s">
        <v>224</v>
      </c>
      <c r="K2778" s="3" t="s">
        <v>10179</v>
      </c>
      <c r="L2778" s="3" t="s">
        <v>10180</v>
      </c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C2778" s="3"/>
      <c r="AD2778" s="3"/>
      <c r="AE2778" s="3"/>
      <c r="AF2778" s="3"/>
      <c r="AG2778" s="3"/>
      <c r="AH2778" s="3"/>
      <c r="AI2778" s="3"/>
      <c r="AJ2778" s="3"/>
      <c r="AK2778" s="3" t="s">
        <v>470</v>
      </c>
      <c r="AL2778" s="4">
        <v>40926</v>
      </c>
      <c r="AM2778" s="3"/>
      <c r="AN2778" s="3" t="s">
        <v>4562</v>
      </c>
    </row>
    <row r="2779" spans="1:40" ht="27.95" x14ac:dyDescent="0.3">
      <c r="A2779" s="3">
        <v>2773</v>
      </c>
      <c r="B2779" s="3" t="str">
        <f>"201300130977"</f>
        <v>201300130977</v>
      </c>
      <c r="C2779" s="3">
        <v>104566</v>
      </c>
      <c r="D2779" s="3" t="s">
        <v>10181</v>
      </c>
      <c r="E2779" s="3">
        <v>10231725127</v>
      </c>
      <c r="F2779" s="3" t="s">
        <v>10182</v>
      </c>
      <c r="G2779" s="3" t="s">
        <v>10183</v>
      </c>
      <c r="H2779" s="3" t="s">
        <v>395</v>
      </c>
      <c r="I2779" s="3" t="s">
        <v>396</v>
      </c>
      <c r="J2779" s="3" t="s">
        <v>490</v>
      </c>
      <c r="K2779" s="3" t="s">
        <v>10184</v>
      </c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C2779" s="3"/>
      <c r="AD2779" s="3"/>
      <c r="AE2779" s="3"/>
      <c r="AF2779" s="3"/>
      <c r="AG2779" s="3"/>
      <c r="AH2779" s="3"/>
      <c r="AI2779" s="3"/>
      <c r="AJ2779" s="3"/>
      <c r="AK2779" s="3" t="s">
        <v>157</v>
      </c>
      <c r="AL2779" s="3" t="s">
        <v>290</v>
      </c>
      <c r="AM2779" s="3"/>
      <c r="AN2779" s="3" t="s">
        <v>10182</v>
      </c>
    </row>
    <row r="2780" spans="1:40" ht="27.95" x14ac:dyDescent="0.3">
      <c r="A2780" s="3">
        <v>2774</v>
      </c>
      <c r="B2780" s="3" t="str">
        <f>"201700193630"</f>
        <v>201700193630</v>
      </c>
      <c r="C2780" s="3">
        <v>132922</v>
      </c>
      <c r="D2780" s="3" t="s">
        <v>10185</v>
      </c>
      <c r="E2780" s="3">
        <v>20547314426</v>
      </c>
      <c r="F2780" s="3" t="s">
        <v>1202</v>
      </c>
      <c r="G2780" s="3" t="s">
        <v>10186</v>
      </c>
      <c r="H2780" s="3" t="s">
        <v>56</v>
      </c>
      <c r="I2780" s="3" t="s">
        <v>56</v>
      </c>
      <c r="J2780" s="3" t="s">
        <v>273</v>
      </c>
      <c r="K2780" s="3" t="s">
        <v>10187</v>
      </c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C2780" s="3"/>
      <c r="AD2780" s="3"/>
      <c r="AE2780" s="3"/>
      <c r="AF2780" s="3"/>
      <c r="AG2780" s="3"/>
      <c r="AH2780" s="3"/>
      <c r="AI2780" s="3"/>
      <c r="AJ2780" s="3"/>
      <c r="AK2780" s="3" t="s">
        <v>1341</v>
      </c>
      <c r="AL2780" s="4">
        <v>43060</v>
      </c>
      <c r="AM2780" s="3"/>
      <c r="AN2780" s="3" t="s">
        <v>1039</v>
      </c>
    </row>
    <row r="2781" spans="1:40" x14ac:dyDescent="0.3">
      <c r="A2781" s="3">
        <v>2775</v>
      </c>
      <c r="B2781" s="3" t="str">
        <f>"201700217215"</f>
        <v>201700217215</v>
      </c>
      <c r="C2781" s="3">
        <v>133627</v>
      </c>
      <c r="D2781" s="3" t="s">
        <v>10188</v>
      </c>
      <c r="E2781" s="3">
        <v>10296954077</v>
      </c>
      <c r="F2781" s="3" t="s">
        <v>1131</v>
      </c>
      <c r="G2781" s="3" t="s">
        <v>10189</v>
      </c>
      <c r="H2781" s="3" t="s">
        <v>97</v>
      </c>
      <c r="I2781" s="3" t="s">
        <v>97</v>
      </c>
      <c r="J2781" s="3" t="s">
        <v>254</v>
      </c>
      <c r="K2781" s="3" t="s">
        <v>10190</v>
      </c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C2781" s="3"/>
      <c r="AD2781" s="3"/>
      <c r="AE2781" s="3"/>
      <c r="AF2781" s="3"/>
      <c r="AG2781" s="3"/>
      <c r="AH2781" s="3"/>
      <c r="AI2781" s="3"/>
      <c r="AJ2781" s="3"/>
      <c r="AK2781" s="3" t="s">
        <v>1341</v>
      </c>
      <c r="AL2781" s="4">
        <v>43095</v>
      </c>
      <c r="AM2781" s="3"/>
      <c r="AN2781" s="3" t="s">
        <v>1131</v>
      </c>
    </row>
    <row r="2782" spans="1:40" x14ac:dyDescent="0.3">
      <c r="A2782" s="3">
        <v>2776</v>
      </c>
      <c r="B2782" s="3" t="str">
        <f>"201000001347"</f>
        <v>201000001347</v>
      </c>
      <c r="C2782" s="3">
        <v>19518</v>
      </c>
      <c r="D2782" s="3" t="s">
        <v>10191</v>
      </c>
      <c r="E2782" s="3">
        <v>20113539594</v>
      </c>
      <c r="F2782" s="3" t="s">
        <v>164</v>
      </c>
      <c r="G2782" s="3" t="s">
        <v>2506</v>
      </c>
      <c r="H2782" s="3" t="s">
        <v>50</v>
      </c>
      <c r="I2782" s="3" t="s">
        <v>50</v>
      </c>
      <c r="J2782" s="3" t="s">
        <v>50</v>
      </c>
      <c r="K2782" s="3" t="s">
        <v>10192</v>
      </c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C2782" s="3"/>
      <c r="AD2782" s="3"/>
      <c r="AE2782" s="3"/>
      <c r="AF2782" s="3"/>
      <c r="AG2782" s="3"/>
      <c r="AH2782" s="3"/>
      <c r="AI2782" s="3"/>
      <c r="AJ2782" s="3"/>
      <c r="AK2782" s="3" t="s">
        <v>1053</v>
      </c>
      <c r="AL2782" s="4">
        <v>36756</v>
      </c>
      <c r="AM2782" s="3"/>
      <c r="AN2782" s="3"/>
    </row>
    <row r="2783" spans="1:40" x14ac:dyDescent="0.3">
      <c r="A2783" s="3">
        <v>2777</v>
      </c>
      <c r="B2783" s="3" t="str">
        <f>"1195741"</f>
        <v>1195741</v>
      </c>
      <c r="C2783" s="3">
        <v>20617</v>
      </c>
      <c r="D2783" s="3">
        <v>1195741</v>
      </c>
      <c r="E2783" s="3">
        <v>10087790059</v>
      </c>
      <c r="F2783" s="3" t="s">
        <v>10193</v>
      </c>
      <c r="G2783" s="3" t="s">
        <v>10194</v>
      </c>
      <c r="H2783" s="3" t="s">
        <v>56</v>
      </c>
      <c r="I2783" s="3" t="s">
        <v>56</v>
      </c>
      <c r="J2783" s="3" t="s">
        <v>185</v>
      </c>
      <c r="K2783" s="3" t="s">
        <v>10195</v>
      </c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C2783" s="3"/>
      <c r="AD2783" s="3"/>
      <c r="AE2783" s="3"/>
      <c r="AF2783" s="3"/>
      <c r="AG2783" s="3"/>
      <c r="AH2783" s="3"/>
      <c r="AI2783" s="3"/>
      <c r="AJ2783" s="3"/>
      <c r="AK2783" s="3" t="s">
        <v>65</v>
      </c>
      <c r="AL2783" s="4">
        <v>35996</v>
      </c>
      <c r="AM2783" s="3"/>
      <c r="AN2783" s="3"/>
    </row>
    <row r="2784" spans="1:40" x14ac:dyDescent="0.3">
      <c r="A2784" s="3">
        <v>2778</v>
      </c>
      <c r="B2784" s="3" t="str">
        <f>"201000001348"</f>
        <v>201000001348</v>
      </c>
      <c r="C2784" s="3">
        <v>6720</v>
      </c>
      <c r="D2784" s="3" t="s">
        <v>10196</v>
      </c>
      <c r="E2784" s="3">
        <v>20113539594</v>
      </c>
      <c r="F2784" s="3" t="s">
        <v>164</v>
      </c>
      <c r="G2784" s="3" t="s">
        <v>2506</v>
      </c>
      <c r="H2784" s="3" t="s">
        <v>50</v>
      </c>
      <c r="I2784" s="3" t="s">
        <v>50</v>
      </c>
      <c r="J2784" s="3" t="s">
        <v>50</v>
      </c>
      <c r="K2784" s="3" t="s">
        <v>10197</v>
      </c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C2784" s="3"/>
      <c r="AD2784" s="3"/>
      <c r="AE2784" s="3"/>
      <c r="AF2784" s="3"/>
      <c r="AG2784" s="3"/>
      <c r="AH2784" s="3"/>
      <c r="AI2784" s="3"/>
      <c r="AJ2784" s="3"/>
      <c r="AK2784" s="3" t="s">
        <v>525</v>
      </c>
      <c r="AL2784" s="4">
        <v>36756</v>
      </c>
      <c r="AM2784" s="3"/>
      <c r="AN2784" s="3"/>
    </row>
    <row r="2785" spans="1:40" x14ac:dyDescent="0.3">
      <c r="A2785" s="3">
        <v>2779</v>
      </c>
      <c r="B2785" s="3" t="str">
        <f>"1372554"</f>
        <v>1372554</v>
      </c>
      <c r="C2785" s="3">
        <v>33199</v>
      </c>
      <c r="D2785" s="3" t="s">
        <v>10198</v>
      </c>
      <c r="E2785" s="3">
        <v>20100366747</v>
      </c>
      <c r="F2785" s="3" t="s">
        <v>258</v>
      </c>
      <c r="G2785" s="3" t="s">
        <v>10199</v>
      </c>
      <c r="H2785" s="3" t="s">
        <v>56</v>
      </c>
      <c r="I2785" s="3" t="s">
        <v>56</v>
      </c>
      <c r="J2785" s="3" t="s">
        <v>185</v>
      </c>
      <c r="K2785" s="3" t="s">
        <v>10200</v>
      </c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C2785" s="3"/>
      <c r="AD2785" s="3"/>
      <c r="AE2785" s="3"/>
      <c r="AF2785" s="3"/>
      <c r="AG2785" s="3"/>
      <c r="AH2785" s="3"/>
      <c r="AI2785" s="3"/>
      <c r="AJ2785" s="3"/>
      <c r="AK2785" s="3" t="s">
        <v>525</v>
      </c>
      <c r="AL2785" s="4">
        <v>37445</v>
      </c>
      <c r="AM2785" s="3"/>
      <c r="AN2785" s="3"/>
    </row>
    <row r="2786" spans="1:40" x14ac:dyDescent="0.3">
      <c r="A2786" s="3">
        <v>2780</v>
      </c>
      <c r="B2786" s="3" t="str">
        <f>"1195744"</f>
        <v>1195744</v>
      </c>
      <c r="C2786" s="3">
        <v>14739</v>
      </c>
      <c r="D2786" s="3">
        <v>1195744</v>
      </c>
      <c r="E2786" s="3">
        <v>10088096571</v>
      </c>
      <c r="F2786" s="3" t="s">
        <v>10201</v>
      </c>
      <c r="G2786" s="3" t="s">
        <v>10194</v>
      </c>
      <c r="H2786" s="3" t="s">
        <v>56</v>
      </c>
      <c r="I2786" s="3" t="s">
        <v>56</v>
      </c>
      <c r="J2786" s="3" t="s">
        <v>185</v>
      </c>
      <c r="K2786" s="3" t="s">
        <v>10202</v>
      </c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C2786" s="3"/>
      <c r="AD2786" s="3"/>
      <c r="AE2786" s="3"/>
      <c r="AF2786" s="3"/>
      <c r="AG2786" s="3"/>
      <c r="AH2786" s="3"/>
      <c r="AI2786" s="3"/>
      <c r="AJ2786" s="3"/>
      <c r="AK2786" s="3" t="s">
        <v>842</v>
      </c>
      <c r="AL2786" s="4">
        <v>36019</v>
      </c>
      <c r="AM2786" s="3"/>
      <c r="AN2786" s="3"/>
    </row>
    <row r="2787" spans="1:40" x14ac:dyDescent="0.3">
      <c r="A2787" s="3">
        <v>2781</v>
      </c>
      <c r="B2787" s="3" t="str">
        <f>"201000001345"</f>
        <v>201000001345</v>
      </c>
      <c r="C2787" s="3">
        <v>19636</v>
      </c>
      <c r="D2787" s="3" t="s">
        <v>10203</v>
      </c>
      <c r="E2787" s="3">
        <v>10026141830</v>
      </c>
      <c r="F2787" s="3" t="s">
        <v>10204</v>
      </c>
      <c r="G2787" s="3" t="s">
        <v>10205</v>
      </c>
      <c r="H2787" s="3" t="s">
        <v>50</v>
      </c>
      <c r="I2787" s="3" t="s">
        <v>50</v>
      </c>
      <c r="J2787" s="3" t="s">
        <v>50</v>
      </c>
      <c r="K2787" s="3" t="s">
        <v>10206</v>
      </c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C2787" s="3"/>
      <c r="AD2787" s="3"/>
      <c r="AE2787" s="3"/>
      <c r="AF2787" s="3"/>
      <c r="AG2787" s="3"/>
      <c r="AH2787" s="3"/>
      <c r="AI2787" s="3"/>
      <c r="AJ2787" s="3"/>
      <c r="AK2787" s="3" t="s">
        <v>81</v>
      </c>
      <c r="AL2787" s="4">
        <v>36746</v>
      </c>
      <c r="AM2787" s="3"/>
      <c r="AN2787" s="3"/>
    </row>
    <row r="2788" spans="1:40" x14ac:dyDescent="0.3">
      <c r="A2788" s="3">
        <v>2782</v>
      </c>
      <c r="B2788" s="3" t="str">
        <f>"201000001346"</f>
        <v>201000001346</v>
      </c>
      <c r="C2788" s="3">
        <v>19758</v>
      </c>
      <c r="D2788" s="3" t="s">
        <v>10207</v>
      </c>
      <c r="E2788" s="3">
        <v>10038792976</v>
      </c>
      <c r="F2788" s="3" t="s">
        <v>10208</v>
      </c>
      <c r="G2788" s="3" t="s">
        <v>10209</v>
      </c>
      <c r="H2788" s="3" t="s">
        <v>50</v>
      </c>
      <c r="I2788" s="3" t="s">
        <v>638</v>
      </c>
      <c r="J2788" s="3" t="s">
        <v>10210</v>
      </c>
      <c r="K2788" s="3" t="s">
        <v>10211</v>
      </c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C2788" s="3"/>
      <c r="AD2788" s="3"/>
      <c r="AE2788" s="3"/>
      <c r="AF2788" s="3"/>
      <c r="AG2788" s="3"/>
      <c r="AH2788" s="3"/>
      <c r="AI2788" s="3"/>
      <c r="AJ2788" s="3"/>
      <c r="AK2788" s="3" t="s">
        <v>226</v>
      </c>
      <c r="AL2788" s="4">
        <v>36749</v>
      </c>
      <c r="AM2788" s="3"/>
      <c r="AN2788" s="3"/>
    </row>
    <row r="2789" spans="1:40" x14ac:dyDescent="0.3">
      <c r="A2789" s="3">
        <v>2783</v>
      </c>
      <c r="B2789" s="3" t="str">
        <f>"201000001349"</f>
        <v>201000001349</v>
      </c>
      <c r="C2789" s="3">
        <v>19520</v>
      </c>
      <c r="D2789" s="3" t="s">
        <v>10212</v>
      </c>
      <c r="E2789" s="3">
        <v>20113539594</v>
      </c>
      <c r="F2789" s="3" t="s">
        <v>164</v>
      </c>
      <c r="G2789" s="3" t="s">
        <v>2506</v>
      </c>
      <c r="H2789" s="3" t="s">
        <v>50</v>
      </c>
      <c r="I2789" s="3" t="s">
        <v>50</v>
      </c>
      <c r="J2789" s="3" t="s">
        <v>50</v>
      </c>
      <c r="K2789" s="3" t="s">
        <v>10213</v>
      </c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C2789" s="3"/>
      <c r="AD2789" s="3"/>
      <c r="AE2789" s="3"/>
      <c r="AF2789" s="3"/>
      <c r="AG2789" s="3"/>
      <c r="AH2789" s="3"/>
      <c r="AI2789" s="3"/>
      <c r="AJ2789" s="3"/>
      <c r="AK2789" s="3" t="s">
        <v>614</v>
      </c>
      <c r="AL2789" s="4">
        <v>36756</v>
      </c>
      <c r="AM2789" s="3"/>
      <c r="AN2789" s="3"/>
    </row>
    <row r="2790" spans="1:40" x14ac:dyDescent="0.3">
      <c r="A2790" s="3">
        <v>2784</v>
      </c>
      <c r="B2790" s="3" t="str">
        <f>"1590594"</f>
        <v>1590594</v>
      </c>
      <c r="C2790" s="3">
        <v>42426</v>
      </c>
      <c r="D2790" s="3" t="s">
        <v>10214</v>
      </c>
      <c r="E2790" s="3">
        <v>10208970254</v>
      </c>
      <c r="F2790" s="3" t="s">
        <v>10215</v>
      </c>
      <c r="G2790" s="3" t="s">
        <v>10216</v>
      </c>
      <c r="H2790" s="3" t="s">
        <v>56</v>
      </c>
      <c r="I2790" s="3" t="s">
        <v>56</v>
      </c>
      <c r="J2790" s="3" t="s">
        <v>363</v>
      </c>
      <c r="K2790" s="3" t="s">
        <v>10217</v>
      </c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C2790" s="3"/>
      <c r="AD2790" s="3"/>
      <c r="AE2790" s="3"/>
      <c r="AF2790" s="3"/>
      <c r="AG2790" s="3"/>
      <c r="AH2790" s="3"/>
      <c r="AI2790" s="3"/>
      <c r="AJ2790" s="3"/>
      <c r="AK2790" s="3" t="s">
        <v>321</v>
      </c>
      <c r="AL2790" s="4">
        <v>38768</v>
      </c>
      <c r="AM2790" s="3"/>
      <c r="AN2790" s="3"/>
    </row>
    <row r="2791" spans="1:40" x14ac:dyDescent="0.3">
      <c r="A2791" s="3">
        <v>2785</v>
      </c>
      <c r="B2791" s="3" t="str">
        <f>"201000001386"</f>
        <v>201000001386</v>
      </c>
      <c r="C2791" s="3">
        <v>39798</v>
      </c>
      <c r="D2791" s="3" t="s">
        <v>10218</v>
      </c>
      <c r="E2791" s="3">
        <v>20501548589</v>
      </c>
      <c r="F2791" s="3" t="s">
        <v>4109</v>
      </c>
      <c r="G2791" s="3" t="s">
        <v>6267</v>
      </c>
      <c r="H2791" s="3" t="s">
        <v>56</v>
      </c>
      <c r="I2791" s="3" t="s">
        <v>56</v>
      </c>
      <c r="J2791" s="3" t="s">
        <v>63</v>
      </c>
      <c r="K2791" s="3" t="s">
        <v>10219</v>
      </c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C2791" s="3"/>
      <c r="AD2791" s="3"/>
      <c r="AE2791" s="3"/>
      <c r="AF2791" s="3"/>
      <c r="AG2791" s="3"/>
      <c r="AH2791" s="3"/>
      <c r="AI2791" s="3"/>
      <c r="AJ2791" s="3"/>
      <c r="AK2791" s="3" t="s">
        <v>568</v>
      </c>
      <c r="AL2791" s="4">
        <v>38385</v>
      </c>
      <c r="AM2791" s="3"/>
      <c r="AN2791" s="3"/>
    </row>
    <row r="2792" spans="1:40" x14ac:dyDescent="0.3">
      <c r="A2792" s="3">
        <v>2786</v>
      </c>
      <c r="B2792" s="3" t="str">
        <f>"201000001385"</f>
        <v>201000001385</v>
      </c>
      <c r="C2792" s="3">
        <v>36487</v>
      </c>
      <c r="D2792" s="3" t="s">
        <v>10220</v>
      </c>
      <c r="E2792" s="3">
        <v>20100176450</v>
      </c>
      <c r="F2792" s="3" t="s">
        <v>651</v>
      </c>
      <c r="G2792" s="3" t="s">
        <v>769</v>
      </c>
      <c r="H2792" s="3" t="s">
        <v>56</v>
      </c>
      <c r="I2792" s="3" t="s">
        <v>56</v>
      </c>
      <c r="J2792" s="3" t="s">
        <v>653</v>
      </c>
      <c r="K2792" s="3" t="s">
        <v>10221</v>
      </c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C2792" s="3"/>
      <c r="AD2792" s="3"/>
      <c r="AE2792" s="3"/>
      <c r="AF2792" s="3"/>
      <c r="AG2792" s="3"/>
      <c r="AH2792" s="3"/>
      <c r="AI2792" s="3"/>
      <c r="AJ2792" s="3"/>
      <c r="AK2792" s="3" t="s">
        <v>679</v>
      </c>
      <c r="AL2792" s="4">
        <v>38105</v>
      </c>
      <c r="AM2792" s="3"/>
      <c r="AN2792" s="3"/>
    </row>
    <row r="2793" spans="1:40" x14ac:dyDescent="0.3">
      <c r="A2793" s="3">
        <v>2787</v>
      </c>
      <c r="B2793" s="3" t="str">
        <f>"201000001388"</f>
        <v>201000001388</v>
      </c>
      <c r="C2793" s="3">
        <v>36562</v>
      </c>
      <c r="D2793" s="3" t="s">
        <v>10222</v>
      </c>
      <c r="E2793" s="3">
        <v>20387870122</v>
      </c>
      <c r="F2793" s="3" t="s">
        <v>10223</v>
      </c>
      <c r="G2793" s="3" t="s">
        <v>10224</v>
      </c>
      <c r="H2793" s="3" t="s">
        <v>56</v>
      </c>
      <c r="I2793" s="3" t="s">
        <v>56</v>
      </c>
      <c r="J2793" s="3" t="s">
        <v>715</v>
      </c>
      <c r="K2793" s="3" t="s">
        <v>10225</v>
      </c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C2793" s="3"/>
      <c r="AD2793" s="3"/>
      <c r="AE2793" s="3"/>
      <c r="AF2793" s="3"/>
      <c r="AG2793" s="3"/>
      <c r="AH2793" s="3"/>
      <c r="AI2793" s="3"/>
      <c r="AJ2793" s="3"/>
      <c r="AK2793" s="3" t="s">
        <v>47</v>
      </c>
      <c r="AL2793" s="4">
        <v>38357</v>
      </c>
      <c r="AM2793" s="3"/>
      <c r="AN2793" s="3"/>
    </row>
    <row r="2794" spans="1:40" x14ac:dyDescent="0.3">
      <c r="A2794" s="3">
        <v>2788</v>
      </c>
      <c r="B2794" s="3" t="str">
        <f>"201000001387"</f>
        <v>201000001387</v>
      </c>
      <c r="C2794" s="3">
        <v>39811</v>
      </c>
      <c r="D2794" s="3" t="s">
        <v>10226</v>
      </c>
      <c r="E2794" s="3">
        <v>20100366747</v>
      </c>
      <c r="F2794" s="3" t="s">
        <v>258</v>
      </c>
      <c r="G2794" s="3" t="s">
        <v>10227</v>
      </c>
      <c r="H2794" s="3" t="s">
        <v>56</v>
      </c>
      <c r="I2794" s="3" t="s">
        <v>56</v>
      </c>
      <c r="J2794" s="3" t="s">
        <v>185</v>
      </c>
      <c r="K2794" s="3" t="s">
        <v>10228</v>
      </c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C2794" s="3"/>
      <c r="AD2794" s="3"/>
      <c r="AE2794" s="3"/>
      <c r="AF2794" s="3"/>
      <c r="AG2794" s="3"/>
      <c r="AH2794" s="3"/>
      <c r="AI2794" s="3"/>
      <c r="AJ2794" s="3"/>
      <c r="AK2794" s="3" t="s">
        <v>504</v>
      </c>
      <c r="AL2794" s="4">
        <v>38369</v>
      </c>
      <c r="AM2794" s="3"/>
      <c r="AN2794" s="3"/>
    </row>
    <row r="2795" spans="1:40" x14ac:dyDescent="0.3">
      <c r="A2795" s="3">
        <v>2789</v>
      </c>
      <c r="B2795" s="3" t="str">
        <f>"1401323"</f>
        <v>1401323</v>
      </c>
      <c r="C2795" s="3">
        <v>3481</v>
      </c>
      <c r="D2795" s="3" t="s">
        <v>10229</v>
      </c>
      <c r="E2795" s="3">
        <v>20102314698</v>
      </c>
      <c r="F2795" s="3" t="s">
        <v>10230</v>
      </c>
      <c r="G2795" s="3" t="s">
        <v>10231</v>
      </c>
      <c r="H2795" s="3" t="s">
        <v>56</v>
      </c>
      <c r="I2795" s="3" t="s">
        <v>56</v>
      </c>
      <c r="J2795" s="3" t="s">
        <v>331</v>
      </c>
      <c r="K2795" s="3" t="s">
        <v>10232</v>
      </c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C2795" s="3"/>
      <c r="AD2795" s="3"/>
      <c r="AE2795" s="3"/>
      <c r="AF2795" s="3"/>
      <c r="AG2795" s="3"/>
      <c r="AH2795" s="3"/>
      <c r="AI2795" s="3"/>
      <c r="AJ2795" s="3"/>
      <c r="AK2795" s="3" t="s">
        <v>1087</v>
      </c>
      <c r="AL2795" s="4">
        <v>40417</v>
      </c>
      <c r="AM2795" s="3"/>
      <c r="AN2795" s="3" t="s">
        <v>1189</v>
      </c>
    </row>
    <row r="2796" spans="1:40" x14ac:dyDescent="0.3">
      <c r="A2796" s="3">
        <v>2790</v>
      </c>
      <c r="B2796" s="3" t="str">
        <f>"1566509"</f>
        <v>1566509</v>
      </c>
      <c r="C2796" s="3">
        <v>41137</v>
      </c>
      <c r="D2796" s="3" t="s">
        <v>10233</v>
      </c>
      <c r="E2796" s="3">
        <v>10165876852</v>
      </c>
      <c r="F2796" s="3" t="s">
        <v>10234</v>
      </c>
      <c r="G2796" s="3" t="s">
        <v>10235</v>
      </c>
      <c r="H2796" s="3" t="s">
        <v>318</v>
      </c>
      <c r="I2796" s="3" t="s">
        <v>319</v>
      </c>
      <c r="J2796" s="3" t="s">
        <v>319</v>
      </c>
      <c r="K2796" s="3" t="s">
        <v>10236</v>
      </c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C2796" s="3"/>
      <c r="AD2796" s="3"/>
      <c r="AE2796" s="3"/>
      <c r="AF2796" s="3"/>
      <c r="AG2796" s="3"/>
      <c r="AH2796" s="3"/>
      <c r="AI2796" s="3"/>
      <c r="AJ2796" s="3"/>
      <c r="AK2796" s="3" t="s">
        <v>81</v>
      </c>
      <c r="AL2796" s="4">
        <v>38623</v>
      </c>
      <c r="AM2796" s="3"/>
      <c r="AN2796" s="3"/>
    </row>
    <row r="2797" spans="1:40" x14ac:dyDescent="0.3">
      <c r="A2797" s="3">
        <v>2791</v>
      </c>
      <c r="B2797" s="3" t="str">
        <f>"201000001382"</f>
        <v>201000001382</v>
      </c>
      <c r="C2797" s="3">
        <v>2432</v>
      </c>
      <c r="D2797" s="3" t="s">
        <v>10237</v>
      </c>
      <c r="E2797" s="3">
        <v>20534841079</v>
      </c>
      <c r="F2797" s="3" t="s">
        <v>709</v>
      </c>
      <c r="G2797" s="3" t="s">
        <v>710</v>
      </c>
      <c r="H2797" s="3" t="s">
        <v>97</v>
      </c>
      <c r="I2797" s="3" t="s">
        <v>97</v>
      </c>
      <c r="J2797" s="3" t="s">
        <v>144</v>
      </c>
      <c r="K2797" s="3" t="s">
        <v>10238</v>
      </c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C2797" s="3"/>
      <c r="AD2797" s="3"/>
      <c r="AE2797" s="3"/>
      <c r="AF2797" s="3"/>
      <c r="AG2797" s="3"/>
      <c r="AH2797" s="3"/>
      <c r="AI2797" s="3"/>
      <c r="AJ2797" s="3"/>
      <c r="AK2797" s="3" t="s">
        <v>157</v>
      </c>
      <c r="AL2797" s="4">
        <v>36864</v>
      </c>
      <c r="AM2797" s="3"/>
      <c r="AN2797" s="3"/>
    </row>
    <row r="2798" spans="1:40" x14ac:dyDescent="0.3">
      <c r="A2798" s="3">
        <v>2792</v>
      </c>
      <c r="B2798" s="3" t="str">
        <f>"201000001381"</f>
        <v>201000001381</v>
      </c>
      <c r="C2798" s="3">
        <v>20586</v>
      </c>
      <c r="D2798" s="3" t="s">
        <v>10239</v>
      </c>
      <c r="E2798" s="3">
        <v>20397254101</v>
      </c>
      <c r="F2798" s="3" t="s">
        <v>10240</v>
      </c>
      <c r="G2798" s="3" t="s">
        <v>10241</v>
      </c>
      <c r="H2798" s="3" t="s">
        <v>44</v>
      </c>
      <c r="I2798" s="3" t="s">
        <v>45</v>
      </c>
      <c r="J2798" s="3" t="s">
        <v>45</v>
      </c>
      <c r="K2798" s="3" t="s">
        <v>10242</v>
      </c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C2798" s="3"/>
      <c r="AD2798" s="3"/>
      <c r="AE2798" s="3"/>
      <c r="AF2798" s="3"/>
      <c r="AG2798" s="3"/>
      <c r="AH2798" s="3"/>
      <c r="AI2798" s="3"/>
      <c r="AJ2798" s="3"/>
      <c r="AK2798" s="3" t="s">
        <v>81</v>
      </c>
      <c r="AL2798" s="4">
        <v>36819</v>
      </c>
      <c r="AM2798" s="3"/>
      <c r="AN2798" s="3"/>
    </row>
    <row r="2799" spans="1:40" x14ac:dyDescent="0.3">
      <c r="A2799" s="3">
        <v>2793</v>
      </c>
      <c r="B2799" s="3" t="str">
        <f>"201000001384"</f>
        <v>201000001384</v>
      </c>
      <c r="C2799" s="3">
        <v>34387</v>
      </c>
      <c r="D2799" s="3" t="s">
        <v>10243</v>
      </c>
      <c r="E2799" s="3">
        <v>20100366747</v>
      </c>
      <c r="F2799" s="3" t="s">
        <v>258</v>
      </c>
      <c r="G2799" s="3" t="s">
        <v>1055</v>
      </c>
      <c r="H2799" s="3" t="s">
        <v>56</v>
      </c>
      <c r="I2799" s="3" t="s">
        <v>56</v>
      </c>
      <c r="J2799" s="3" t="s">
        <v>185</v>
      </c>
      <c r="K2799" s="3" t="s">
        <v>10244</v>
      </c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C2799" s="3"/>
      <c r="AD2799" s="3"/>
      <c r="AE2799" s="3"/>
      <c r="AF2799" s="3"/>
      <c r="AG2799" s="3"/>
      <c r="AH2799" s="3"/>
      <c r="AI2799" s="3"/>
      <c r="AJ2799" s="3"/>
      <c r="AK2799" s="3" t="s">
        <v>10245</v>
      </c>
      <c r="AL2799" s="4">
        <v>37665</v>
      </c>
      <c r="AM2799" s="3"/>
      <c r="AN2799" s="3"/>
    </row>
    <row r="2800" spans="1:40" x14ac:dyDescent="0.3">
      <c r="A2800" s="3">
        <v>2794</v>
      </c>
      <c r="B2800" s="3" t="str">
        <f>"201600034618"</f>
        <v>201600034618</v>
      </c>
      <c r="C2800" s="3">
        <v>106044</v>
      </c>
      <c r="D2800" s="3" t="s">
        <v>10246</v>
      </c>
      <c r="E2800" s="3">
        <v>20100366747</v>
      </c>
      <c r="F2800" s="3" t="s">
        <v>258</v>
      </c>
      <c r="G2800" s="3" t="s">
        <v>335</v>
      </c>
      <c r="H2800" s="3" t="s">
        <v>56</v>
      </c>
      <c r="I2800" s="3" t="s">
        <v>56</v>
      </c>
      <c r="J2800" s="3" t="s">
        <v>185</v>
      </c>
      <c r="K2800" s="3" t="s">
        <v>10247</v>
      </c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C2800" s="3"/>
      <c r="AD2800" s="3"/>
      <c r="AE2800" s="3"/>
      <c r="AF2800" s="3"/>
      <c r="AG2800" s="3"/>
      <c r="AH2800" s="3"/>
      <c r="AI2800" s="3"/>
      <c r="AJ2800" s="3"/>
      <c r="AK2800" s="3" t="s">
        <v>579</v>
      </c>
      <c r="AL2800" s="4">
        <v>42457</v>
      </c>
      <c r="AM2800" s="3"/>
      <c r="AN2800" s="3" t="s">
        <v>262</v>
      </c>
    </row>
    <row r="2801" spans="1:40" x14ac:dyDescent="0.3">
      <c r="A2801" s="3">
        <v>2795</v>
      </c>
      <c r="B2801" s="3" t="str">
        <f>"201000001383"</f>
        <v>201000001383</v>
      </c>
      <c r="C2801" s="3">
        <v>34431</v>
      </c>
      <c r="D2801" s="3" t="s">
        <v>10248</v>
      </c>
      <c r="E2801" s="3">
        <v>10100102230</v>
      </c>
      <c r="F2801" s="3" t="s">
        <v>10249</v>
      </c>
      <c r="G2801" s="3" t="s">
        <v>10250</v>
      </c>
      <c r="H2801" s="3" t="s">
        <v>56</v>
      </c>
      <c r="I2801" s="3" t="s">
        <v>56</v>
      </c>
      <c r="J2801" s="3" t="s">
        <v>277</v>
      </c>
      <c r="K2801" s="3" t="s">
        <v>10251</v>
      </c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C2801" s="3"/>
      <c r="AD2801" s="3"/>
      <c r="AE2801" s="3"/>
      <c r="AF2801" s="3"/>
      <c r="AG2801" s="3"/>
      <c r="AH2801" s="3"/>
      <c r="AI2801" s="3"/>
      <c r="AJ2801" s="3"/>
      <c r="AK2801" s="3" t="s">
        <v>583</v>
      </c>
      <c r="AL2801" s="4">
        <v>37657</v>
      </c>
      <c r="AM2801" s="3"/>
      <c r="AN2801" s="3"/>
    </row>
    <row r="2802" spans="1:40" x14ac:dyDescent="0.3">
      <c r="A2802" s="3">
        <v>2796</v>
      </c>
      <c r="B2802" s="3" t="str">
        <f>"1108949"</f>
        <v>1108949</v>
      </c>
      <c r="C2802" s="3">
        <v>2394</v>
      </c>
      <c r="D2802" s="3">
        <v>989747</v>
      </c>
      <c r="E2802" s="3">
        <v>20161028577</v>
      </c>
      <c r="F2802" s="3" t="s">
        <v>10252</v>
      </c>
      <c r="G2802" s="3" t="s">
        <v>10253</v>
      </c>
      <c r="H2802" s="3" t="s">
        <v>75</v>
      </c>
      <c r="I2802" s="3" t="s">
        <v>75</v>
      </c>
      <c r="J2802" s="3" t="s">
        <v>76</v>
      </c>
      <c r="K2802" s="3" t="s">
        <v>10254</v>
      </c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C2802" s="3"/>
      <c r="AD2802" s="3"/>
      <c r="AE2802" s="3"/>
      <c r="AF2802" s="3"/>
      <c r="AG2802" s="3"/>
      <c r="AH2802" s="3"/>
      <c r="AI2802" s="3"/>
      <c r="AJ2802" s="3"/>
      <c r="AK2802" s="3" t="s">
        <v>157</v>
      </c>
      <c r="AL2802" s="4">
        <v>35495</v>
      </c>
      <c r="AM2802" s="3"/>
      <c r="AN2802" s="3"/>
    </row>
    <row r="2803" spans="1:40" x14ac:dyDescent="0.3">
      <c r="A2803" s="3">
        <v>2797</v>
      </c>
      <c r="B2803" s="3" t="str">
        <f>"201600192850"</f>
        <v>201600192850</v>
      </c>
      <c r="C2803" s="3">
        <v>125340</v>
      </c>
      <c r="D2803" s="3" t="s">
        <v>10255</v>
      </c>
      <c r="E2803" s="3">
        <v>20601009189</v>
      </c>
      <c r="F2803" s="3" t="s">
        <v>2431</v>
      </c>
      <c r="G2803" s="3" t="s">
        <v>10256</v>
      </c>
      <c r="H2803" s="3" t="s">
        <v>446</v>
      </c>
      <c r="I2803" s="3" t="s">
        <v>446</v>
      </c>
      <c r="J2803" s="3" t="s">
        <v>830</v>
      </c>
      <c r="K2803" s="3" t="s">
        <v>10257</v>
      </c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C2803" s="3"/>
      <c r="AD2803" s="3"/>
      <c r="AE2803" s="3"/>
      <c r="AF2803" s="3"/>
      <c r="AG2803" s="3"/>
      <c r="AH2803" s="3"/>
      <c r="AI2803" s="3"/>
      <c r="AJ2803" s="3"/>
      <c r="AK2803" s="3" t="s">
        <v>10258</v>
      </c>
      <c r="AL2803" s="4">
        <v>42740</v>
      </c>
      <c r="AM2803" s="3"/>
      <c r="AN2803" s="3" t="s">
        <v>2436</v>
      </c>
    </row>
    <row r="2804" spans="1:40" x14ac:dyDescent="0.3">
      <c r="A2804" s="3">
        <v>2798</v>
      </c>
      <c r="B2804" s="3" t="str">
        <f>"201800209373"</f>
        <v>201800209373</v>
      </c>
      <c r="C2804" s="3">
        <v>140400</v>
      </c>
      <c r="D2804" s="3" t="s">
        <v>10259</v>
      </c>
      <c r="E2804" s="3">
        <v>20510976887</v>
      </c>
      <c r="F2804" s="3" t="s">
        <v>693</v>
      </c>
      <c r="G2804" s="3" t="s">
        <v>3026</v>
      </c>
      <c r="H2804" s="3" t="s">
        <v>56</v>
      </c>
      <c r="I2804" s="3" t="s">
        <v>56</v>
      </c>
      <c r="J2804" s="3" t="s">
        <v>131</v>
      </c>
      <c r="K2804" s="3" t="s">
        <v>10260</v>
      </c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C2804" s="3"/>
      <c r="AD2804" s="3"/>
      <c r="AE2804" s="3"/>
      <c r="AF2804" s="3"/>
      <c r="AG2804" s="3"/>
      <c r="AH2804" s="3"/>
      <c r="AI2804" s="3"/>
      <c r="AJ2804" s="3"/>
      <c r="AK2804" s="3" t="s">
        <v>3028</v>
      </c>
      <c r="AL2804" s="4">
        <v>43455</v>
      </c>
      <c r="AM2804" s="3"/>
      <c r="AN2804" s="3" t="s">
        <v>671</v>
      </c>
    </row>
    <row r="2805" spans="1:40" x14ac:dyDescent="0.3">
      <c r="A2805" s="3">
        <v>2799</v>
      </c>
      <c r="B2805" s="3" t="str">
        <f>"201600034610"</f>
        <v>201600034610</v>
      </c>
      <c r="C2805" s="3">
        <v>106034</v>
      </c>
      <c r="D2805" s="3" t="s">
        <v>10261</v>
      </c>
      <c r="E2805" s="3">
        <v>20100366747</v>
      </c>
      <c r="F2805" s="3" t="s">
        <v>334</v>
      </c>
      <c r="G2805" s="3" t="s">
        <v>451</v>
      </c>
      <c r="H2805" s="3" t="s">
        <v>56</v>
      </c>
      <c r="I2805" s="3" t="s">
        <v>56</v>
      </c>
      <c r="J2805" s="3" t="s">
        <v>185</v>
      </c>
      <c r="K2805" s="3" t="s">
        <v>10262</v>
      </c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C2805" s="3"/>
      <c r="AD2805" s="3"/>
      <c r="AE2805" s="3"/>
      <c r="AF2805" s="3"/>
      <c r="AG2805" s="3"/>
      <c r="AH2805" s="3"/>
      <c r="AI2805" s="3"/>
      <c r="AJ2805" s="3"/>
      <c r="AK2805" s="3" t="s">
        <v>579</v>
      </c>
      <c r="AL2805" s="4">
        <v>42471</v>
      </c>
      <c r="AM2805" s="3"/>
      <c r="AN2805" s="3" t="s">
        <v>262</v>
      </c>
    </row>
    <row r="2806" spans="1:40" ht="27.95" x14ac:dyDescent="0.3">
      <c r="A2806" s="3">
        <v>2800</v>
      </c>
      <c r="B2806" s="3" t="str">
        <f>"1372523"</f>
        <v>1372523</v>
      </c>
      <c r="C2806" s="3">
        <v>16198</v>
      </c>
      <c r="D2806" s="3" t="s">
        <v>10263</v>
      </c>
      <c r="E2806" s="3">
        <v>20101371281</v>
      </c>
      <c r="F2806" s="3" t="s">
        <v>10264</v>
      </c>
      <c r="G2806" s="3" t="s">
        <v>10265</v>
      </c>
      <c r="H2806" s="3" t="s">
        <v>56</v>
      </c>
      <c r="I2806" s="3" t="s">
        <v>56</v>
      </c>
      <c r="J2806" s="3" t="s">
        <v>363</v>
      </c>
      <c r="K2806" s="3" t="s">
        <v>10266</v>
      </c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C2806" s="3"/>
      <c r="AD2806" s="3"/>
      <c r="AE2806" s="3"/>
      <c r="AF2806" s="3"/>
      <c r="AG2806" s="3"/>
      <c r="AH2806" s="3"/>
      <c r="AI2806" s="3"/>
      <c r="AJ2806" s="3"/>
      <c r="AK2806" s="3" t="s">
        <v>81</v>
      </c>
      <c r="AL2806" s="4">
        <v>37445</v>
      </c>
      <c r="AM2806" s="3"/>
      <c r="AN2806" s="3"/>
    </row>
    <row r="2807" spans="1:40" ht="27.95" x14ac:dyDescent="0.3">
      <c r="A2807" s="3">
        <v>2801</v>
      </c>
      <c r="B2807" s="3" t="str">
        <f>"201300023761"</f>
        <v>201300023761</v>
      </c>
      <c r="C2807" s="3">
        <v>100640</v>
      </c>
      <c r="D2807" s="3" t="s">
        <v>10267</v>
      </c>
      <c r="E2807" s="3">
        <v>20456139923</v>
      </c>
      <c r="F2807" s="3" t="s">
        <v>6556</v>
      </c>
      <c r="G2807" s="3" t="s">
        <v>10268</v>
      </c>
      <c r="H2807" s="3" t="s">
        <v>97</v>
      </c>
      <c r="I2807" s="3" t="s">
        <v>97</v>
      </c>
      <c r="J2807" s="3" t="s">
        <v>2064</v>
      </c>
      <c r="K2807" s="3" t="s">
        <v>10269</v>
      </c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C2807" s="3"/>
      <c r="AD2807" s="3"/>
      <c r="AE2807" s="3"/>
      <c r="AF2807" s="3"/>
      <c r="AG2807" s="3"/>
      <c r="AH2807" s="3"/>
      <c r="AI2807" s="3"/>
      <c r="AJ2807" s="3"/>
      <c r="AK2807" s="3" t="s">
        <v>3022</v>
      </c>
      <c r="AL2807" s="4">
        <v>41309</v>
      </c>
      <c r="AM2807" s="3"/>
      <c r="AN2807" s="3" t="s">
        <v>2067</v>
      </c>
    </row>
    <row r="2808" spans="1:40" x14ac:dyDescent="0.3">
      <c r="A2808" s="3">
        <v>2802</v>
      </c>
      <c r="B2808" s="3" t="str">
        <f>"1230622"</f>
        <v>1230622</v>
      </c>
      <c r="C2808" s="3">
        <v>15956</v>
      </c>
      <c r="D2808" s="3">
        <v>1230622</v>
      </c>
      <c r="E2808" s="3">
        <v>10093856045</v>
      </c>
      <c r="F2808" s="3" t="s">
        <v>2768</v>
      </c>
      <c r="G2808" s="3" t="s">
        <v>2769</v>
      </c>
      <c r="H2808" s="3" t="s">
        <v>56</v>
      </c>
      <c r="I2808" s="3" t="s">
        <v>56</v>
      </c>
      <c r="J2808" s="3" t="s">
        <v>185</v>
      </c>
      <c r="K2808" s="3" t="s">
        <v>10270</v>
      </c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C2808" s="3"/>
      <c r="AD2808" s="3"/>
      <c r="AE2808" s="3"/>
      <c r="AF2808" s="3"/>
      <c r="AG2808" s="3"/>
      <c r="AH2808" s="3"/>
      <c r="AI2808" s="3"/>
      <c r="AJ2808" s="3"/>
      <c r="AK2808" s="3" t="s">
        <v>65</v>
      </c>
      <c r="AL2808" s="4">
        <v>36286</v>
      </c>
      <c r="AM2808" s="3"/>
      <c r="AN2808" s="3"/>
    </row>
    <row r="2809" spans="1:40" x14ac:dyDescent="0.3">
      <c r="A2809" s="3">
        <v>2803</v>
      </c>
      <c r="B2809" s="3" t="str">
        <f>"1112646"</f>
        <v>1112646</v>
      </c>
      <c r="C2809" s="3">
        <v>2367</v>
      </c>
      <c r="D2809" s="3">
        <v>987122</v>
      </c>
      <c r="E2809" s="3">
        <v>10156380984</v>
      </c>
      <c r="F2809" s="3" t="s">
        <v>10271</v>
      </c>
      <c r="G2809" s="3" t="s">
        <v>10272</v>
      </c>
      <c r="H2809" s="3" t="s">
        <v>56</v>
      </c>
      <c r="I2809" s="3" t="s">
        <v>3997</v>
      </c>
      <c r="J2809" s="3" t="s">
        <v>3997</v>
      </c>
      <c r="K2809" s="3" t="s">
        <v>10273</v>
      </c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C2809" s="3"/>
      <c r="AD2809" s="3"/>
      <c r="AE2809" s="3"/>
      <c r="AF2809" s="3"/>
      <c r="AG2809" s="3"/>
      <c r="AH2809" s="3"/>
      <c r="AI2809" s="3"/>
      <c r="AJ2809" s="3"/>
      <c r="AK2809" s="3" t="s">
        <v>538</v>
      </c>
      <c r="AL2809" s="4">
        <v>35538</v>
      </c>
      <c r="AM2809" s="3"/>
      <c r="AN2809" s="3"/>
    </row>
    <row r="2810" spans="1:40" x14ac:dyDescent="0.3">
      <c r="A2810" s="3">
        <v>2804</v>
      </c>
      <c r="B2810" s="3" t="str">
        <f>"1958732"</f>
        <v>1958732</v>
      </c>
      <c r="C2810" s="3">
        <v>84576</v>
      </c>
      <c r="D2810" s="3" t="s">
        <v>10274</v>
      </c>
      <c r="E2810" s="3">
        <v>10106438345</v>
      </c>
      <c r="F2810" s="3" t="s">
        <v>1434</v>
      </c>
      <c r="G2810" s="3" t="s">
        <v>1435</v>
      </c>
      <c r="H2810" s="3" t="s">
        <v>97</v>
      </c>
      <c r="I2810" s="3" t="s">
        <v>1436</v>
      </c>
      <c r="J2810" s="3" t="s">
        <v>1437</v>
      </c>
      <c r="K2810" s="3" t="s">
        <v>10275</v>
      </c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C2810" s="3"/>
      <c r="AD2810" s="3"/>
      <c r="AE2810" s="3"/>
      <c r="AF2810" s="3"/>
      <c r="AG2810" s="3"/>
      <c r="AH2810" s="3"/>
      <c r="AI2810" s="3"/>
      <c r="AJ2810" s="3"/>
      <c r="AK2810" s="3" t="s">
        <v>1679</v>
      </c>
      <c r="AL2810" s="4">
        <v>40199</v>
      </c>
      <c r="AM2810" s="3"/>
      <c r="AN2810" s="3"/>
    </row>
    <row r="2811" spans="1:40" ht="27.95" x14ac:dyDescent="0.3">
      <c r="A2811" s="3">
        <v>2805</v>
      </c>
      <c r="B2811" s="3" t="str">
        <f>"201200006781"</f>
        <v>201200006781</v>
      </c>
      <c r="C2811" s="3">
        <v>95557</v>
      </c>
      <c r="D2811" s="3" t="s">
        <v>10276</v>
      </c>
      <c r="E2811" s="3">
        <v>10020365647</v>
      </c>
      <c r="F2811" s="3" t="s">
        <v>4562</v>
      </c>
      <c r="G2811" s="3" t="s">
        <v>10277</v>
      </c>
      <c r="H2811" s="3" t="s">
        <v>222</v>
      </c>
      <c r="I2811" s="3" t="s">
        <v>223</v>
      </c>
      <c r="J2811" s="3" t="s">
        <v>224</v>
      </c>
      <c r="K2811" s="3" t="s">
        <v>10278</v>
      </c>
      <c r="L2811" s="3" t="s">
        <v>10279</v>
      </c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C2811" s="3"/>
      <c r="AD2811" s="3"/>
      <c r="AE2811" s="3"/>
      <c r="AF2811" s="3"/>
      <c r="AG2811" s="3"/>
      <c r="AH2811" s="3"/>
      <c r="AI2811" s="3"/>
      <c r="AJ2811" s="3"/>
      <c r="AK2811" s="3" t="s">
        <v>470</v>
      </c>
      <c r="AL2811" s="4">
        <v>40926</v>
      </c>
      <c r="AM2811" s="3"/>
      <c r="AN2811" s="3" t="s">
        <v>4562</v>
      </c>
    </row>
    <row r="2812" spans="1:40" x14ac:dyDescent="0.3">
      <c r="A2812" s="3">
        <v>2806</v>
      </c>
      <c r="B2812" s="3" t="str">
        <f>"1112644"</f>
        <v>1112644</v>
      </c>
      <c r="C2812" s="3">
        <v>2366</v>
      </c>
      <c r="D2812" s="3">
        <v>987120</v>
      </c>
      <c r="E2812" s="3">
        <v>10156339780</v>
      </c>
      <c r="F2812" s="3" t="s">
        <v>10280</v>
      </c>
      <c r="G2812" s="3" t="s">
        <v>10281</v>
      </c>
      <c r="H2812" s="3" t="s">
        <v>56</v>
      </c>
      <c r="I2812" s="3" t="s">
        <v>3997</v>
      </c>
      <c r="J2812" s="3" t="s">
        <v>3997</v>
      </c>
      <c r="K2812" s="3" t="s">
        <v>10282</v>
      </c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C2812" s="3"/>
      <c r="AD2812" s="3"/>
      <c r="AE2812" s="3"/>
      <c r="AF2812" s="3"/>
      <c r="AG2812" s="3"/>
      <c r="AH2812" s="3"/>
      <c r="AI2812" s="3"/>
      <c r="AJ2812" s="3"/>
      <c r="AK2812" s="3" t="s">
        <v>157</v>
      </c>
      <c r="AL2812" s="4">
        <v>35538</v>
      </c>
      <c r="AM2812" s="3"/>
      <c r="AN2812" s="3"/>
    </row>
    <row r="2813" spans="1:40" x14ac:dyDescent="0.3">
      <c r="A2813" s="3">
        <v>2807</v>
      </c>
      <c r="B2813" s="3" t="str">
        <f>"201000001378"</f>
        <v>201000001378</v>
      </c>
      <c r="C2813" s="3">
        <v>18070</v>
      </c>
      <c r="D2813" s="3">
        <v>1091607</v>
      </c>
      <c r="E2813" s="3">
        <v>20100176450</v>
      </c>
      <c r="F2813" s="3" t="s">
        <v>651</v>
      </c>
      <c r="G2813" s="3" t="s">
        <v>769</v>
      </c>
      <c r="H2813" s="3" t="s">
        <v>56</v>
      </c>
      <c r="I2813" s="3" t="s">
        <v>56</v>
      </c>
      <c r="J2813" s="3" t="s">
        <v>653</v>
      </c>
      <c r="K2813" s="3" t="s">
        <v>10283</v>
      </c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C2813" s="3"/>
      <c r="AD2813" s="3"/>
      <c r="AE2813" s="3"/>
      <c r="AF2813" s="3"/>
      <c r="AG2813" s="3"/>
      <c r="AH2813" s="3"/>
      <c r="AI2813" s="3"/>
      <c r="AJ2813" s="3"/>
      <c r="AK2813" s="3" t="s">
        <v>233</v>
      </c>
      <c r="AL2813" s="4">
        <v>36546</v>
      </c>
      <c r="AM2813" s="3"/>
      <c r="AN2813" s="3"/>
    </row>
    <row r="2814" spans="1:40" x14ac:dyDescent="0.3">
      <c r="A2814" s="3">
        <v>2808</v>
      </c>
      <c r="B2814" s="3" t="str">
        <f>"201600029493"</f>
        <v>201600029493</v>
      </c>
      <c r="C2814" s="3">
        <v>119680</v>
      </c>
      <c r="D2814" s="3" t="s">
        <v>10284</v>
      </c>
      <c r="E2814" s="3">
        <v>10421533666</v>
      </c>
      <c r="F2814" s="3" t="s">
        <v>10285</v>
      </c>
      <c r="G2814" s="3" t="s">
        <v>10286</v>
      </c>
      <c r="H2814" s="3" t="s">
        <v>222</v>
      </c>
      <c r="I2814" s="3" t="s">
        <v>222</v>
      </c>
      <c r="J2814" s="3" t="s">
        <v>222</v>
      </c>
      <c r="K2814" s="3" t="s">
        <v>10287</v>
      </c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C2814" s="3"/>
      <c r="AD2814" s="3"/>
      <c r="AE2814" s="3"/>
      <c r="AF2814" s="3"/>
      <c r="AG2814" s="3"/>
      <c r="AH2814" s="3"/>
      <c r="AI2814" s="3"/>
      <c r="AJ2814" s="3"/>
      <c r="AK2814" s="3" t="s">
        <v>198</v>
      </c>
      <c r="AL2814" s="4">
        <v>42446</v>
      </c>
      <c r="AM2814" s="3"/>
      <c r="AN2814" s="3" t="s">
        <v>10285</v>
      </c>
    </row>
    <row r="2815" spans="1:40" x14ac:dyDescent="0.3">
      <c r="A2815" s="3">
        <v>2809</v>
      </c>
      <c r="B2815" s="3" t="str">
        <f>"201000001379"</f>
        <v>201000001379</v>
      </c>
      <c r="C2815" s="3">
        <v>3361</v>
      </c>
      <c r="D2815" s="3" t="s">
        <v>10288</v>
      </c>
      <c r="E2815" s="3">
        <v>10294114632</v>
      </c>
      <c r="F2815" s="3" t="s">
        <v>10289</v>
      </c>
      <c r="G2815" s="3" t="s">
        <v>10290</v>
      </c>
      <c r="H2815" s="3" t="s">
        <v>97</v>
      </c>
      <c r="I2815" s="3" t="s">
        <v>97</v>
      </c>
      <c r="J2815" s="3" t="s">
        <v>341</v>
      </c>
      <c r="K2815" s="3" t="s">
        <v>10291</v>
      </c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C2815" s="3"/>
      <c r="AD2815" s="3"/>
      <c r="AE2815" s="3"/>
      <c r="AF2815" s="3"/>
      <c r="AG2815" s="3"/>
      <c r="AH2815" s="3"/>
      <c r="AI2815" s="3"/>
      <c r="AJ2815" s="3"/>
      <c r="AK2815" s="3" t="s">
        <v>634</v>
      </c>
      <c r="AL2815" s="4">
        <v>37362</v>
      </c>
      <c r="AM2815" s="3"/>
      <c r="AN2815" s="3"/>
    </row>
    <row r="2816" spans="1:40" ht="27.95" x14ac:dyDescent="0.3">
      <c r="A2816" s="3">
        <v>2810</v>
      </c>
      <c r="B2816" s="3" t="str">
        <f>"1372520"</f>
        <v>1372520</v>
      </c>
      <c r="C2816" s="3">
        <v>16200</v>
      </c>
      <c r="D2816" s="3" t="s">
        <v>10292</v>
      </c>
      <c r="E2816" s="3">
        <v>20101371281</v>
      </c>
      <c r="F2816" s="3" t="s">
        <v>10264</v>
      </c>
      <c r="G2816" s="3" t="s">
        <v>10265</v>
      </c>
      <c r="H2816" s="3" t="s">
        <v>56</v>
      </c>
      <c r="I2816" s="3" t="s">
        <v>56</v>
      </c>
      <c r="J2816" s="3" t="s">
        <v>363</v>
      </c>
      <c r="K2816" s="3" t="s">
        <v>10293</v>
      </c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C2816" s="3"/>
      <c r="AD2816" s="3"/>
      <c r="AE2816" s="3"/>
      <c r="AF2816" s="3"/>
      <c r="AG2816" s="3"/>
      <c r="AH2816" s="3"/>
      <c r="AI2816" s="3"/>
      <c r="AJ2816" s="3"/>
      <c r="AK2816" s="3" t="s">
        <v>81</v>
      </c>
      <c r="AL2816" s="4">
        <v>37445</v>
      </c>
      <c r="AM2816" s="3"/>
      <c r="AN2816" s="3"/>
    </row>
    <row r="2817" spans="1:40" ht="27.95" x14ac:dyDescent="0.3">
      <c r="A2817" s="3">
        <v>2811</v>
      </c>
      <c r="B2817" s="3" t="str">
        <f>"202000010996"</f>
        <v>202000010996</v>
      </c>
      <c r="C2817" s="3">
        <v>101261</v>
      </c>
      <c r="D2817" s="3" t="s">
        <v>10294</v>
      </c>
      <c r="E2817" s="3">
        <v>20604178313</v>
      </c>
      <c r="F2817" s="3" t="s">
        <v>4322</v>
      </c>
      <c r="G2817" s="3" t="s">
        <v>5907</v>
      </c>
      <c r="H2817" s="3" t="s">
        <v>56</v>
      </c>
      <c r="I2817" s="3" t="s">
        <v>56</v>
      </c>
      <c r="J2817" s="3" t="s">
        <v>4324</v>
      </c>
      <c r="K2817" s="3" t="s">
        <v>10295</v>
      </c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C2817" s="3"/>
      <c r="AD2817" s="3"/>
      <c r="AE2817" s="3"/>
      <c r="AF2817" s="3"/>
      <c r="AG2817" s="3"/>
      <c r="AH2817" s="3"/>
      <c r="AI2817" s="3"/>
      <c r="AJ2817" s="3"/>
      <c r="AK2817" s="3" t="s">
        <v>218</v>
      </c>
      <c r="AL2817" s="4">
        <v>43859</v>
      </c>
      <c r="AM2817" s="3"/>
      <c r="AN2817" s="3" t="s">
        <v>4327</v>
      </c>
    </row>
    <row r="2818" spans="1:40" ht="27.95" x14ac:dyDescent="0.3">
      <c r="A2818" s="3">
        <v>2812</v>
      </c>
      <c r="B2818" s="3" t="str">
        <f>"202000010992"</f>
        <v>202000010992</v>
      </c>
      <c r="C2818" s="3">
        <v>63247</v>
      </c>
      <c r="D2818" s="3" t="s">
        <v>10296</v>
      </c>
      <c r="E2818" s="3">
        <v>20604178313</v>
      </c>
      <c r="F2818" s="3" t="s">
        <v>4322</v>
      </c>
      <c r="G2818" s="3" t="s">
        <v>4323</v>
      </c>
      <c r="H2818" s="3" t="s">
        <v>56</v>
      </c>
      <c r="I2818" s="3" t="s">
        <v>56</v>
      </c>
      <c r="J2818" s="3" t="s">
        <v>4324</v>
      </c>
      <c r="K2818" s="3" t="s">
        <v>10297</v>
      </c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C2818" s="3"/>
      <c r="AD2818" s="3"/>
      <c r="AE2818" s="3"/>
      <c r="AF2818" s="3"/>
      <c r="AG2818" s="3"/>
      <c r="AH2818" s="3"/>
      <c r="AI2818" s="3"/>
      <c r="AJ2818" s="3"/>
      <c r="AK2818" s="3" t="s">
        <v>898</v>
      </c>
      <c r="AL2818" s="4">
        <v>43859</v>
      </c>
      <c r="AM2818" s="3"/>
      <c r="AN2818" s="3" t="s">
        <v>4327</v>
      </c>
    </row>
    <row r="2819" spans="1:40" x14ac:dyDescent="0.3">
      <c r="A2819" s="3">
        <v>2813</v>
      </c>
      <c r="B2819" s="3" t="str">
        <f>"201000001377"</f>
        <v>201000001377</v>
      </c>
      <c r="C2819" s="3">
        <v>3322</v>
      </c>
      <c r="D2819" s="3" t="s">
        <v>10298</v>
      </c>
      <c r="E2819" s="3">
        <v>20332711157</v>
      </c>
      <c r="F2819" s="3" t="s">
        <v>1939</v>
      </c>
      <c r="G2819" s="3" t="s">
        <v>1940</v>
      </c>
      <c r="H2819" s="3" t="s">
        <v>75</v>
      </c>
      <c r="I2819" s="3" t="s">
        <v>75</v>
      </c>
      <c r="J2819" s="3" t="s">
        <v>76</v>
      </c>
      <c r="K2819" s="3" t="s">
        <v>10299</v>
      </c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C2819" s="3"/>
      <c r="AD2819" s="3"/>
      <c r="AE2819" s="3"/>
      <c r="AF2819" s="3"/>
      <c r="AG2819" s="3"/>
      <c r="AH2819" s="3"/>
      <c r="AI2819" s="3"/>
      <c r="AJ2819" s="3"/>
      <c r="AK2819" s="3" t="s">
        <v>187</v>
      </c>
      <c r="AL2819" s="4">
        <v>38358</v>
      </c>
      <c r="AM2819" s="3"/>
      <c r="AN2819" s="3"/>
    </row>
    <row r="2820" spans="1:40" x14ac:dyDescent="0.3">
      <c r="A2820" s="3">
        <v>2814</v>
      </c>
      <c r="B2820" s="3" t="str">
        <f>"201800209382"</f>
        <v>201800209382</v>
      </c>
      <c r="C2820" s="3">
        <v>140398</v>
      </c>
      <c r="D2820" s="3" t="s">
        <v>10300</v>
      </c>
      <c r="E2820" s="3">
        <v>20510976887</v>
      </c>
      <c r="F2820" s="3" t="s">
        <v>693</v>
      </c>
      <c r="G2820" s="3" t="s">
        <v>3026</v>
      </c>
      <c r="H2820" s="3" t="s">
        <v>56</v>
      </c>
      <c r="I2820" s="3" t="s">
        <v>56</v>
      </c>
      <c r="J2820" s="3" t="s">
        <v>131</v>
      </c>
      <c r="K2820" s="3" t="s">
        <v>10301</v>
      </c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C2820" s="3"/>
      <c r="AD2820" s="3"/>
      <c r="AE2820" s="3"/>
      <c r="AF2820" s="3"/>
      <c r="AG2820" s="3"/>
      <c r="AH2820" s="3"/>
      <c r="AI2820" s="3"/>
      <c r="AJ2820" s="3"/>
      <c r="AK2820" s="3" t="s">
        <v>3028</v>
      </c>
      <c r="AL2820" s="4">
        <v>43455</v>
      </c>
      <c r="AM2820" s="3"/>
      <c r="AN2820" s="3" t="s">
        <v>671</v>
      </c>
    </row>
    <row r="2821" spans="1:40" x14ac:dyDescent="0.3">
      <c r="A2821" s="3">
        <v>2815</v>
      </c>
      <c r="B2821" s="3" t="str">
        <f>"201000001376"</f>
        <v>201000001376</v>
      </c>
      <c r="C2821" s="3">
        <v>36610</v>
      </c>
      <c r="D2821" s="3" t="s">
        <v>10302</v>
      </c>
      <c r="E2821" s="3">
        <v>10103682229</v>
      </c>
      <c r="F2821" s="3" t="s">
        <v>2511</v>
      </c>
      <c r="G2821" s="3" t="s">
        <v>2512</v>
      </c>
      <c r="H2821" s="3" t="s">
        <v>386</v>
      </c>
      <c r="I2821" s="3" t="s">
        <v>387</v>
      </c>
      <c r="J2821" s="3" t="s">
        <v>2513</v>
      </c>
      <c r="K2821" s="3" t="s">
        <v>10303</v>
      </c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C2821" s="3"/>
      <c r="AD2821" s="3"/>
      <c r="AE2821" s="3"/>
      <c r="AF2821" s="3"/>
      <c r="AG2821" s="3"/>
      <c r="AH2821" s="3"/>
      <c r="AI2821" s="3"/>
      <c r="AJ2821" s="3"/>
      <c r="AK2821" s="3" t="s">
        <v>81</v>
      </c>
      <c r="AL2821" s="4">
        <v>38040</v>
      </c>
      <c r="AM2821" s="3"/>
      <c r="AN2821" s="3"/>
    </row>
    <row r="2822" spans="1:40" x14ac:dyDescent="0.3">
      <c r="A2822" s="3">
        <v>2816</v>
      </c>
      <c r="B2822" s="3" t="str">
        <f>"201000001375"</f>
        <v>201000001375</v>
      </c>
      <c r="C2822" s="3">
        <v>37886</v>
      </c>
      <c r="D2822" s="3" t="s">
        <v>10304</v>
      </c>
      <c r="E2822" s="3">
        <v>10103682229</v>
      </c>
      <c r="F2822" s="3" t="s">
        <v>2511</v>
      </c>
      <c r="G2822" s="3" t="s">
        <v>2512</v>
      </c>
      <c r="H2822" s="3" t="s">
        <v>386</v>
      </c>
      <c r="I2822" s="3" t="s">
        <v>387</v>
      </c>
      <c r="J2822" s="3" t="s">
        <v>2513</v>
      </c>
      <c r="K2822" s="3" t="s">
        <v>10305</v>
      </c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C2822" s="3"/>
      <c r="AD2822" s="3"/>
      <c r="AE2822" s="3"/>
      <c r="AF2822" s="3"/>
      <c r="AG2822" s="3"/>
      <c r="AH2822" s="3"/>
      <c r="AI2822" s="3"/>
      <c r="AJ2822" s="3"/>
      <c r="AK2822" s="3" t="s">
        <v>81</v>
      </c>
      <c r="AL2822" s="4">
        <v>38040</v>
      </c>
      <c r="AM2822" s="3"/>
      <c r="AN2822" s="3"/>
    </row>
    <row r="2823" spans="1:40" x14ac:dyDescent="0.3">
      <c r="A2823" s="3">
        <v>2817</v>
      </c>
      <c r="B2823" s="3" t="str">
        <f>"201600034623"</f>
        <v>201600034623</v>
      </c>
      <c r="C2823" s="3">
        <v>106030</v>
      </c>
      <c r="D2823" s="3" t="s">
        <v>10306</v>
      </c>
      <c r="E2823" s="3">
        <v>20100366747</v>
      </c>
      <c r="F2823" s="3" t="s">
        <v>258</v>
      </c>
      <c r="G2823" s="3" t="s">
        <v>451</v>
      </c>
      <c r="H2823" s="3" t="s">
        <v>56</v>
      </c>
      <c r="I2823" s="3" t="s">
        <v>56</v>
      </c>
      <c r="J2823" s="3" t="s">
        <v>185</v>
      </c>
      <c r="K2823" s="3" t="s">
        <v>10307</v>
      </c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C2823" s="3"/>
      <c r="AD2823" s="3"/>
      <c r="AE2823" s="3"/>
      <c r="AF2823" s="3"/>
      <c r="AG2823" s="3"/>
      <c r="AH2823" s="3"/>
      <c r="AI2823" s="3"/>
      <c r="AJ2823" s="3"/>
      <c r="AK2823" s="3" t="s">
        <v>579</v>
      </c>
      <c r="AL2823" s="4">
        <v>42488</v>
      </c>
      <c r="AM2823" s="3"/>
      <c r="AN2823" s="3" t="s">
        <v>262</v>
      </c>
    </row>
    <row r="2824" spans="1:40" ht="27.95" x14ac:dyDescent="0.3">
      <c r="A2824" s="3">
        <v>2818</v>
      </c>
      <c r="B2824" s="3" t="str">
        <f>"201000001374"</f>
        <v>201000001374</v>
      </c>
      <c r="C2824" s="3">
        <v>34535</v>
      </c>
      <c r="D2824" s="3" t="s">
        <v>10308</v>
      </c>
      <c r="E2824" s="3">
        <v>20404723392</v>
      </c>
      <c r="F2824" s="3" t="s">
        <v>642</v>
      </c>
      <c r="G2824" s="3" t="s">
        <v>3196</v>
      </c>
      <c r="H2824" s="3" t="s">
        <v>89</v>
      </c>
      <c r="I2824" s="3" t="s">
        <v>89</v>
      </c>
      <c r="J2824" s="3" t="s">
        <v>90</v>
      </c>
      <c r="K2824" s="3" t="s">
        <v>10309</v>
      </c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C2824" s="3"/>
      <c r="AD2824" s="3"/>
      <c r="AE2824" s="3"/>
      <c r="AF2824" s="3"/>
      <c r="AG2824" s="3"/>
      <c r="AH2824" s="3"/>
      <c r="AI2824" s="3"/>
      <c r="AJ2824" s="3"/>
      <c r="AK2824" s="3" t="s">
        <v>256</v>
      </c>
      <c r="AL2824" s="4">
        <v>37704</v>
      </c>
      <c r="AM2824" s="3"/>
      <c r="AN2824" s="3"/>
    </row>
    <row r="2825" spans="1:40" ht="27.95" x14ac:dyDescent="0.3">
      <c r="A2825" s="3">
        <v>2819</v>
      </c>
      <c r="B2825" s="3" t="str">
        <f>"201000001373"</f>
        <v>201000001373</v>
      </c>
      <c r="C2825" s="3">
        <v>34533</v>
      </c>
      <c r="D2825" s="3" t="s">
        <v>10310</v>
      </c>
      <c r="E2825" s="3">
        <v>20404723392</v>
      </c>
      <c r="F2825" s="3" t="s">
        <v>642</v>
      </c>
      <c r="G2825" s="3" t="s">
        <v>3196</v>
      </c>
      <c r="H2825" s="3" t="s">
        <v>89</v>
      </c>
      <c r="I2825" s="3" t="s">
        <v>89</v>
      </c>
      <c r="J2825" s="3" t="s">
        <v>90</v>
      </c>
      <c r="K2825" s="3" t="s">
        <v>10311</v>
      </c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C2825" s="3"/>
      <c r="AD2825" s="3"/>
      <c r="AE2825" s="3"/>
      <c r="AF2825" s="3"/>
      <c r="AG2825" s="3"/>
      <c r="AH2825" s="3"/>
      <c r="AI2825" s="3"/>
      <c r="AJ2825" s="3"/>
      <c r="AK2825" s="3" t="s">
        <v>7604</v>
      </c>
      <c r="AL2825" s="4">
        <v>37704</v>
      </c>
      <c r="AM2825" s="3"/>
      <c r="AN2825" s="3"/>
    </row>
    <row r="2826" spans="1:40" x14ac:dyDescent="0.3">
      <c r="A2826" s="3">
        <v>2820</v>
      </c>
      <c r="B2826" s="3" t="str">
        <f>"201600034629"</f>
        <v>201600034629</v>
      </c>
      <c r="C2826" s="3">
        <v>106033</v>
      </c>
      <c r="D2826" s="3" t="s">
        <v>10312</v>
      </c>
      <c r="E2826" s="3">
        <v>20509227668</v>
      </c>
      <c r="F2826" s="3" t="s">
        <v>4697</v>
      </c>
      <c r="G2826" s="3" t="s">
        <v>451</v>
      </c>
      <c r="H2826" s="3" t="s">
        <v>56</v>
      </c>
      <c r="I2826" s="3" t="s">
        <v>56</v>
      </c>
      <c r="J2826" s="3" t="s">
        <v>185</v>
      </c>
      <c r="K2826" s="3" t="s">
        <v>10313</v>
      </c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C2826" s="3"/>
      <c r="AD2826" s="3"/>
      <c r="AE2826" s="3"/>
      <c r="AF2826" s="3"/>
      <c r="AG2826" s="3"/>
      <c r="AH2826" s="3"/>
      <c r="AI2826" s="3"/>
      <c r="AJ2826" s="3"/>
      <c r="AK2826" s="3" t="s">
        <v>579</v>
      </c>
      <c r="AL2826" s="4">
        <v>42488</v>
      </c>
      <c r="AM2826" s="3"/>
      <c r="AN2826" s="3" t="s">
        <v>4384</v>
      </c>
    </row>
    <row r="2827" spans="1:40" ht="27.95" x14ac:dyDescent="0.3">
      <c r="A2827" s="3">
        <v>2821</v>
      </c>
      <c r="B2827" s="3" t="str">
        <f>"201000001372"</f>
        <v>201000001372</v>
      </c>
      <c r="C2827" s="3">
        <v>34433</v>
      </c>
      <c r="D2827" s="3" t="s">
        <v>10314</v>
      </c>
      <c r="E2827" s="3">
        <v>10053745364</v>
      </c>
      <c r="F2827" s="3" t="s">
        <v>10315</v>
      </c>
      <c r="G2827" s="3" t="s">
        <v>10316</v>
      </c>
      <c r="H2827" s="3" t="s">
        <v>75</v>
      </c>
      <c r="I2827" s="3" t="s">
        <v>75</v>
      </c>
      <c r="J2827" s="3" t="s">
        <v>76</v>
      </c>
      <c r="K2827" s="3" t="s">
        <v>10317</v>
      </c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C2827" s="3"/>
      <c r="AD2827" s="3"/>
      <c r="AE2827" s="3"/>
      <c r="AF2827" s="3"/>
      <c r="AG2827" s="3"/>
      <c r="AH2827" s="3"/>
      <c r="AI2827" s="3"/>
      <c r="AJ2827" s="3"/>
      <c r="AK2827" s="3" t="s">
        <v>583</v>
      </c>
      <c r="AL2827" s="4">
        <v>37657</v>
      </c>
      <c r="AM2827" s="3"/>
      <c r="AN2827" s="3"/>
    </row>
    <row r="2828" spans="1:40" x14ac:dyDescent="0.3">
      <c r="A2828" s="3">
        <v>2822</v>
      </c>
      <c r="B2828" s="3" t="str">
        <f>"201000001371"</f>
        <v>201000001371</v>
      </c>
      <c r="C2828" s="3">
        <v>34439</v>
      </c>
      <c r="D2828" s="3" t="s">
        <v>10318</v>
      </c>
      <c r="E2828" s="3">
        <v>10255689318</v>
      </c>
      <c r="F2828" s="3" t="s">
        <v>10319</v>
      </c>
      <c r="G2828" s="3" t="s">
        <v>10320</v>
      </c>
      <c r="H2828" s="3" t="s">
        <v>75</v>
      </c>
      <c r="I2828" s="3" t="s">
        <v>75</v>
      </c>
      <c r="J2828" s="3" t="s">
        <v>76</v>
      </c>
      <c r="K2828" s="3" t="s">
        <v>10321</v>
      </c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C2828" s="3"/>
      <c r="AD2828" s="3"/>
      <c r="AE2828" s="3"/>
      <c r="AF2828" s="3"/>
      <c r="AG2828" s="3"/>
      <c r="AH2828" s="3"/>
      <c r="AI2828" s="3"/>
      <c r="AJ2828" s="3"/>
      <c r="AK2828" s="3" t="s">
        <v>583</v>
      </c>
      <c r="AL2828" s="4">
        <v>37657</v>
      </c>
      <c r="AM2828" s="3"/>
      <c r="AN2828" s="3"/>
    </row>
    <row r="2829" spans="1:40" x14ac:dyDescent="0.3">
      <c r="A2829" s="3">
        <v>2823</v>
      </c>
      <c r="B2829" s="3" t="str">
        <f>"1211795"</f>
        <v>1211795</v>
      </c>
      <c r="C2829" s="3">
        <v>15458</v>
      </c>
      <c r="D2829" s="3">
        <v>1211795</v>
      </c>
      <c r="E2829" s="3">
        <v>20100366747</v>
      </c>
      <c r="F2829" s="3" t="s">
        <v>258</v>
      </c>
      <c r="G2829" s="3" t="s">
        <v>1055</v>
      </c>
      <c r="H2829" s="3" t="s">
        <v>56</v>
      </c>
      <c r="I2829" s="3" t="s">
        <v>56</v>
      </c>
      <c r="J2829" s="3" t="s">
        <v>185</v>
      </c>
      <c r="K2829" s="3" t="s">
        <v>10322</v>
      </c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C2829" s="3"/>
      <c r="AD2829" s="3"/>
      <c r="AE2829" s="3"/>
      <c r="AF2829" s="3"/>
      <c r="AG2829" s="3"/>
      <c r="AH2829" s="3"/>
      <c r="AI2829" s="3"/>
      <c r="AJ2829" s="3"/>
      <c r="AK2829" s="3" t="s">
        <v>546</v>
      </c>
      <c r="AL2829" s="4">
        <v>36131</v>
      </c>
      <c r="AM2829" s="3"/>
      <c r="AN2829" s="3"/>
    </row>
    <row r="2830" spans="1:40" x14ac:dyDescent="0.3">
      <c r="A2830" s="3">
        <v>2824</v>
      </c>
      <c r="B2830" s="3" t="str">
        <f>"201000001370"</f>
        <v>201000001370</v>
      </c>
      <c r="C2830" s="3">
        <v>21734</v>
      </c>
      <c r="D2830" s="3" t="s">
        <v>10323</v>
      </c>
      <c r="E2830" s="3">
        <v>20470088240</v>
      </c>
      <c r="F2830" s="3" t="s">
        <v>3372</v>
      </c>
      <c r="G2830" s="3" t="s">
        <v>3373</v>
      </c>
      <c r="H2830" s="3" t="s">
        <v>75</v>
      </c>
      <c r="I2830" s="3" t="s">
        <v>75</v>
      </c>
      <c r="J2830" s="3" t="s">
        <v>2698</v>
      </c>
      <c r="K2830" s="3" t="s">
        <v>10324</v>
      </c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C2830" s="3"/>
      <c r="AD2830" s="3"/>
      <c r="AE2830" s="3"/>
      <c r="AF2830" s="3"/>
      <c r="AG2830" s="3"/>
      <c r="AH2830" s="3"/>
      <c r="AI2830" s="3"/>
      <c r="AJ2830" s="3"/>
      <c r="AK2830" s="3" t="s">
        <v>52</v>
      </c>
      <c r="AL2830" s="4">
        <v>37340</v>
      </c>
      <c r="AM2830" s="3"/>
      <c r="AN2830" s="3"/>
    </row>
    <row r="2831" spans="1:40" ht="27.95" x14ac:dyDescent="0.3">
      <c r="A2831" s="3">
        <v>2825</v>
      </c>
      <c r="B2831" s="3" t="str">
        <f>"201900187504"</f>
        <v>201900187504</v>
      </c>
      <c r="C2831" s="3">
        <v>147760</v>
      </c>
      <c r="D2831" s="3" t="s">
        <v>10325</v>
      </c>
      <c r="E2831" s="3">
        <v>20349366330</v>
      </c>
      <c r="F2831" s="3" t="s">
        <v>3977</v>
      </c>
      <c r="G2831" s="3" t="s">
        <v>10326</v>
      </c>
      <c r="H2831" s="3" t="s">
        <v>56</v>
      </c>
      <c r="I2831" s="3" t="s">
        <v>56</v>
      </c>
      <c r="J2831" s="3" t="s">
        <v>331</v>
      </c>
      <c r="K2831" s="3" t="s">
        <v>10327</v>
      </c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C2831" s="3"/>
      <c r="AD2831" s="3"/>
      <c r="AE2831" s="3"/>
      <c r="AF2831" s="3"/>
      <c r="AG2831" s="3"/>
      <c r="AH2831" s="3"/>
      <c r="AI2831" s="3"/>
      <c r="AJ2831" s="3"/>
      <c r="AK2831" s="3" t="s">
        <v>546</v>
      </c>
      <c r="AL2831" s="4">
        <v>43789</v>
      </c>
      <c r="AM2831" s="3"/>
      <c r="AN2831" s="3" t="s">
        <v>3980</v>
      </c>
    </row>
    <row r="2832" spans="1:40" x14ac:dyDescent="0.3">
      <c r="A2832" s="3">
        <v>2826</v>
      </c>
      <c r="B2832" s="3" t="str">
        <f>"201800209388"</f>
        <v>201800209388</v>
      </c>
      <c r="C2832" s="3">
        <v>140402</v>
      </c>
      <c r="D2832" s="3" t="s">
        <v>10328</v>
      </c>
      <c r="E2832" s="3">
        <v>20510976887</v>
      </c>
      <c r="F2832" s="3" t="s">
        <v>693</v>
      </c>
      <c r="G2832" s="3" t="s">
        <v>3026</v>
      </c>
      <c r="H2832" s="3" t="s">
        <v>56</v>
      </c>
      <c r="I2832" s="3" t="s">
        <v>56</v>
      </c>
      <c r="J2832" s="3" t="s">
        <v>131</v>
      </c>
      <c r="K2832" s="3" t="s">
        <v>10329</v>
      </c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C2832" s="3"/>
      <c r="AD2832" s="3"/>
      <c r="AE2832" s="3"/>
      <c r="AF2832" s="3"/>
      <c r="AG2832" s="3"/>
      <c r="AH2832" s="3"/>
      <c r="AI2832" s="3"/>
      <c r="AJ2832" s="3"/>
      <c r="AK2832" s="3" t="s">
        <v>3028</v>
      </c>
      <c r="AL2832" s="4">
        <v>43461</v>
      </c>
      <c r="AM2832" s="3"/>
      <c r="AN2832" s="3" t="s">
        <v>671</v>
      </c>
    </row>
    <row r="2833" spans="1:40" x14ac:dyDescent="0.3">
      <c r="A2833" s="3">
        <v>2827</v>
      </c>
      <c r="B2833" s="3" t="str">
        <f>"201700112612"</f>
        <v>201700112612</v>
      </c>
      <c r="C2833" s="3">
        <v>130575</v>
      </c>
      <c r="D2833" s="3" t="s">
        <v>10330</v>
      </c>
      <c r="E2833" s="3">
        <v>20490963562</v>
      </c>
      <c r="F2833" s="3" t="s">
        <v>10331</v>
      </c>
      <c r="G2833" s="3" t="s">
        <v>10332</v>
      </c>
      <c r="H2833" s="3" t="s">
        <v>446</v>
      </c>
      <c r="I2833" s="3" t="s">
        <v>6066</v>
      </c>
      <c r="J2833" s="3" t="s">
        <v>10333</v>
      </c>
      <c r="K2833" s="3" t="s">
        <v>10334</v>
      </c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C2833" s="3"/>
      <c r="AD2833" s="3"/>
      <c r="AE2833" s="3"/>
      <c r="AF2833" s="3"/>
      <c r="AG2833" s="3"/>
      <c r="AH2833" s="3"/>
      <c r="AI2833" s="3"/>
      <c r="AJ2833" s="3"/>
      <c r="AK2833" s="3" t="s">
        <v>157</v>
      </c>
      <c r="AL2833" s="4">
        <v>42940</v>
      </c>
      <c r="AM2833" s="3"/>
      <c r="AN2833" s="3" t="s">
        <v>10335</v>
      </c>
    </row>
    <row r="2834" spans="1:40" x14ac:dyDescent="0.3">
      <c r="A2834" s="3">
        <v>2828</v>
      </c>
      <c r="B2834" s="3" t="str">
        <f>"1676331"</f>
        <v>1676331</v>
      </c>
      <c r="C2834" s="3">
        <v>44962</v>
      </c>
      <c r="D2834" s="3" t="s">
        <v>10336</v>
      </c>
      <c r="E2834" s="3">
        <v>10102560782</v>
      </c>
      <c r="F2834" s="3" t="s">
        <v>10337</v>
      </c>
      <c r="G2834" s="3" t="s">
        <v>10338</v>
      </c>
      <c r="H2834" s="3" t="s">
        <v>56</v>
      </c>
      <c r="I2834" s="3" t="s">
        <v>56</v>
      </c>
      <c r="J2834" s="3" t="s">
        <v>363</v>
      </c>
      <c r="K2834" s="3" t="s">
        <v>10339</v>
      </c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C2834" s="3"/>
      <c r="AD2834" s="3"/>
      <c r="AE2834" s="3"/>
      <c r="AF2834" s="3"/>
      <c r="AG2834" s="3"/>
      <c r="AH2834" s="3"/>
      <c r="AI2834" s="3"/>
      <c r="AJ2834" s="3"/>
      <c r="AK2834" s="3" t="s">
        <v>1467</v>
      </c>
      <c r="AL2834" s="4">
        <v>39162</v>
      </c>
      <c r="AM2834" s="3"/>
      <c r="AN2834" s="3"/>
    </row>
    <row r="2835" spans="1:40" x14ac:dyDescent="0.3">
      <c r="A2835" s="3">
        <v>2829</v>
      </c>
      <c r="B2835" s="3" t="str">
        <f>"1583791"</f>
        <v>1583791</v>
      </c>
      <c r="C2835" s="3">
        <v>41956</v>
      </c>
      <c r="D2835" s="3" t="s">
        <v>10340</v>
      </c>
      <c r="E2835" s="3">
        <v>10026894099</v>
      </c>
      <c r="F2835" s="3" t="s">
        <v>532</v>
      </c>
      <c r="G2835" s="3" t="s">
        <v>9265</v>
      </c>
      <c r="H2835" s="3" t="s">
        <v>50</v>
      </c>
      <c r="I2835" s="3" t="s">
        <v>50</v>
      </c>
      <c r="J2835" s="3" t="s">
        <v>98</v>
      </c>
      <c r="K2835" s="3" t="s">
        <v>10341</v>
      </c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C2835" s="3"/>
      <c r="AD2835" s="3"/>
      <c r="AE2835" s="3"/>
      <c r="AF2835" s="3"/>
      <c r="AG2835" s="3"/>
      <c r="AH2835" s="3"/>
      <c r="AI2835" s="3"/>
      <c r="AJ2835" s="3"/>
      <c r="AK2835" s="3" t="s">
        <v>81</v>
      </c>
      <c r="AL2835" s="4">
        <v>38688</v>
      </c>
      <c r="AM2835" s="3"/>
      <c r="AN2835" s="3"/>
    </row>
    <row r="2836" spans="1:40" ht="27.95" x14ac:dyDescent="0.3">
      <c r="A2836" s="3">
        <v>2830</v>
      </c>
      <c r="B2836" s="3" t="str">
        <f>"1590578"</f>
        <v>1590578</v>
      </c>
      <c r="C2836" s="3">
        <v>41223</v>
      </c>
      <c r="D2836" s="3" t="s">
        <v>10342</v>
      </c>
      <c r="E2836" s="3">
        <v>20100076749</v>
      </c>
      <c r="F2836" s="3" t="s">
        <v>159</v>
      </c>
      <c r="G2836" s="3" t="s">
        <v>10343</v>
      </c>
      <c r="H2836" s="3" t="s">
        <v>56</v>
      </c>
      <c r="I2836" s="3" t="s">
        <v>56</v>
      </c>
      <c r="J2836" s="3" t="s">
        <v>121</v>
      </c>
      <c r="K2836" s="3" t="s">
        <v>10344</v>
      </c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C2836" s="3"/>
      <c r="AD2836" s="3"/>
      <c r="AE2836" s="3"/>
      <c r="AF2836" s="3"/>
      <c r="AG2836" s="3"/>
      <c r="AH2836" s="3"/>
      <c r="AI2836" s="3"/>
      <c r="AJ2836" s="3"/>
      <c r="AK2836" s="3" t="s">
        <v>2978</v>
      </c>
      <c r="AL2836" s="4">
        <v>38800</v>
      </c>
      <c r="AM2836" s="3"/>
      <c r="AN2836" s="3"/>
    </row>
    <row r="2837" spans="1:40" x14ac:dyDescent="0.3">
      <c r="A2837" s="3">
        <v>2831</v>
      </c>
      <c r="B2837" s="3" t="str">
        <f>"1419446"</f>
        <v>1419446</v>
      </c>
      <c r="C2837" s="3">
        <v>88821</v>
      </c>
      <c r="D2837" s="3" t="s">
        <v>10345</v>
      </c>
      <c r="E2837" s="3">
        <v>20516822202</v>
      </c>
      <c r="F2837" s="3" t="s">
        <v>1850</v>
      </c>
      <c r="G2837" s="3" t="s">
        <v>1851</v>
      </c>
      <c r="H2837" s="3" t="s">
        <v>75</v>
      </c>
      <c r="I2837" s="3" t="s">
        <v>75</v>
      </c>
      <c r="J2837" s="3" t="s">
        <v>76</v>
      </c>
      <c r="K2837" s="3" t="s">
        <v>10346</v>
      </c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C2837" s="3"/>
      <c r="AD2837" s="3"/>
      <c r="AE2837" s="3"/>
      <c r="AF2837" s="3"/>
      <c r="AG2837" s="3"/>
      <c r="AH2837" s="3"/>
      <c r="AI2837" s="3"/>
      <c r="AJ2837" s="3"/>
      <c r="AK2837" s="3" t="s">
        <v>655</v>
      </c>
      <c r="AL2837" s="4">
        <v>40450</v>
      </c>
      <c r="AM2837" s="3"/>
      <c r="AN2837" s="3" t="s">
        <v>1853</v>
      </c>
    </row>
    <row r="2838" spans="1:40" x14ac:dyDescent="0.3">
      <c r="A2838" s="3">
        <v>2832</v>
      </c>
      <c r="B2838" s="3" t="str">
        <f>"201700014465"</f>
        <v>201700014465</v>
      </c>
      <c r="C2838" s="3">
        <v>125146</v>
      </c>
      <c r="D2838" s="3" t="s">
        <v>10347</v>
      </c>
      <c r="E2838" s="3">
        <v>10449261505</v>
      </c>
      <c r="F2838" s="3" t="s">
        <v>10348</v>
      </c>
      <c r="G2838" s="3" t="s">
        <v>10349</v>
      </c>
      <c r="H2838" s="3" t="s">
        <v>222</v>
      </c>
      <c r="I2838" s="3" t="s">
        <v>223</v>
      </c>
      <c r="J2838" s="3" t="s">
        <v>224</v>
      </c>
      <c r="K2838" s="3" t="s">
        <v>10350</v>
      </c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C2838" s="3"/>
      <c r="AD2838" s="3"/>
      <c r="AE2838" s="3"/>
      <c r="AF2838" s="3"/>
      <c r="AG2838" s="3"/>
      <c r="AH2838" s="3"/>
      <c r="AI2838" s="3"/>
      <c r="AJ2838" s="3"/>
      <c r="AK2838" s="3" t="s">
        <v>1053</v>
      </c>
      <c r="AL2838" s="4">
        <v>42785</v>
      </c>
      <c r="AM2838" s="3"/>
      <c r="AN2838" s="3" t="s">
        <v>10348</v>
      </c>
    </row>
    <row r="2839" spans="1:40" x14ac:dyDescent="0.3">
      <c r="A2839" s="3">
        <v>2833</v>
      </c>
      <c r="B2839" s="3" t="str">
        <f>"1388215"</f>
        <v>1388215</v>
      </c>
      <c r="C2839" s="3">
        <v>33481</v>
      </c>
      <c r="D2839" s="3" t="s">
        <v>10351</v>
      </c>
      <c r="E2839" s="3">
        <v>20476335672</v>
      </c>
      <c r="F2839" s="3" t="s">
        <v>4637</v>
      </c>
      <c r="G2839" s="3" t="s">
        <v>4638</v>
      </c>
      <c r="H2839" s="3" t="s">
        <v>75</v>
      </c>
      <c r="I2839" s="3" t="s">
        <v>75</v>
      </c>
      <c r="J2839" s="3" t="s">
        <v>4639</v>
      </c>
      <c r="K2839" s="3" t="s">
        <v>10352</v>
      </c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C2839" s="3"/>
      <c r="AD2839" s="3"/>
      <c r="AE2839" s="3"/>
      <c r="AF2839" s="3"/>
      <c r="AG2839" s="3"/>
      <c r="AH2839" s="3"/>
      <c r="AI2839" s="3"/>
      <c r="AJ2839" s="3"/>
      <c r="AK2839" s="3" t="s">
        <v>1573</v>
      </c>
      <c r="AL2839" s="4">
        <v>37568</v>
      </c>
      <c r="AM2839" s="3"/>
      <c r="AN2839" s="3"/>
    </row>
    <row r="2840" spans="1:40" x14ac:dyDescent="0.3">
      <c r="A2840" s="3">
        <v>2834</v>
      </c>
      <c r="B2840" s="3" t="str">
        <f>"201000001369"</f>
        <v>201000001369</v>
      </c>
      <c r="C2840" s="3">
        <v>15952</v>
      </c>
      <c r="D2840" s="3" t="s">
        <v>10353</v>
      </c>
      <c r="E2840" s="3">
        <v>10296954077</v>
      </c>
      <c r="F2840" s="3" t="s">
        <v>10354</v>
      </c>
      <c r="G2840" s="3" t="s">
        <v>10355</v>
      </c>
      <c r="H2840" s="3" t="s">
        <v>97</v>
      </c>
      <c r="I2840" s="3" t="s">
        <v>97</v>
      </c>
      <c r="J2840" s="3" t="s">
        <v>254</v>
      </c>
      <c r="K2840" s="3" t="s">
        <v>10356</v>
      </c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C2840" s="3"/>
      <c r="AD2840" s="3"/>
      <c r="AE2840" s="3"/>
      <c r="AF2840" s="3"/>
      <c r="AG2840" s="3"/>
      <c r="AH2840" s="3"/>
      <c r="AI2840" s="3"/>
      <c r="AJ2840" s="3"/>
      <c r="AK2840" s="3" t="s">
        <v>802</v>
      </c>
      <c r="AL2840" s="4">
        <v>37349</v>
      </c>
      <c r="AM2840" s="3"/>
      <c r="AN2840" s="3"/>
    </row>
    <row r="2841" spans="1:40" x14ac:dyDescent="0.3">
      <c r="A2841" s="3">
        <v>2835</v>
      </c>
      <c r="B2841" s="3" t="str">
        <f>"201000001367"</f>
        <v>201000001367</v>
      </c>
      <c r="C2841" s="3">
        <v>19334</v>
      </c>
      <c r="D2841" s="3" t="s">
        <v>10357</v>
      </c>
      <c r="E2841" s="3">
        <v>17496328515</v>
      </c>
      <c r="F2841" s="3" t="s">
        <v>10358</v>
      </c>
      <c r="G2841" s="3" t="s">
        <v>10114</v>
      </c>
      <c r="H2841" s="3" t="s">
        <v>97</v>
      </c>
      <c r="I2841" s="3" t="s">
        <v>97</v>
      </c>
      <c r="J2841" s="3" t="s">
        <v>1459</v>
      </c>
      <c r="K2841" s="3" t="s">
        <v>10359</v>
      </c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C2841" s="3"/>
      <c r="AD2841" s="3"/>
      <c r="AE2841" s="3"/>
      <c r="AF2841" s="3"/>
      <c r="AG2841" s="3"/>
      <c r="AH2841" s="3"/>
      <c r="AI2841" s="3"/>
      <c r="AJ2841" s="3"/>
      <c r="AK2841" s="3" t="s">
        <v>546</v>
      </c>
      <c r="AL2841" s="4">
        <v>36732</v>
      </c>
      <c r="AM2841" s="3"/>
      <c r="AN2841" s="3"/>
    </row>
    <row r="2842" spans="1:40" ht="27.95" x14ac:dyDescent="0.3">
      <c r="A2842" s="3">
        <v>2836</v>
      </c>
      <c r="B2842" s="3" t="str">
        <f>"1461433"</f>
        <v>1461433</v>
      </c>
      <c r="C2842" s="3">
        <v>90513</v>
      </c>
      <c r="D2842" s="3" t="s">
        <v>10360</v>
      </c>
      <c r="E2842" s="3">
        <v>20480297441</v>
      </c>
      <c r="F2842" s="3" t="s">
        <v>10361</v>
      </c>
      <c r="G2842" s="3" t="s">
        <v>10362</v>
      </c>
      <c r="H2842" s="3" t="s">
        <v>318</v>
      </c>
      <c r="I2842" s="3" t="s">
        <v>319</v>
      </c>
      <c r="J2842" s="3" t="s">
        <v>495</v>
      </c>
      <c r="K2842" s="3" t="s">
        <v>10363</v>
      </c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C2842" s="3"/>
      <c r="AD2842" s="3"/>
      <c r="AE2842" s="3"/>
      <c r="AF2842" s="3"/>
      <c r="AG2842" s="3"/>
      <c r="AH2842" s="3"/>
      <c r="AI2842" s="3"/>
      <c r="AJ2842" s="3"/>
      <c r="AK2842" s="3" t="s">
        <v>187</v>
      </c>
      <c r="AL2842" s="4">
        <v>40554</v>
      </c>
      <c r="AM2842" s="3"/>
      <c r="AN2842" s="3" t="s">
        <v>1799</v>
      </c>
    </row>
    <row r="2843" spans="1:40" x14ac:dyDescent="0.3">
      <c r="A2843" s="3">
        <v>2837</v>
      </c>
      <c r="B2843" s="3" t="str">
        <f>"201000001368"</f>
        <v>201000001368</v>
      </c>
      <c r="C2843" s="3">
        <v>21105</v>
      </c>
      <c r="D2843" s="3" t="s">
        <v>10364</v>
      </c>
      <c r="E2843" s="3">
        <v>20120807430</v>
      </c>
      <c r="F2843" s="3" t="s">
        <v>10365</v>
      </c>
      <c r="G2843" s="3" t="s">
        <v>10366</v>
      </c>
      <c r="H2843" s="3" t="s">
        <v>97</v>
      </c>
      <c r="I2843" s="3" t="s">
        <v>97</v>
      </c>
      <c r="J2843" s="3" t="s">
        <v>970</v>
      </c>
      <c r="K2843" s="3" t="s">
        <v>10367</v>
      </c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C2843" s="3"/>
      <c r="AD2843" s="3"/>
      <c r="AE2843" s="3"/>
      <c r="AF2843" s="3"/>
      <c r="AG2843" s="3"/>
      <c r="AH2843" s="3"/>
      <c r="AI2843" s="3"/>
      <c r="AJ2843" s="3"/>
      <c r="AK2843" s="3" t="s">
        <v>218</v>
      </c>
      <c r="AL2843" s="4">
        <v>37056</v>
      </c>
      <c r="AM2843" s="3"/>
      <c r="AN2843" s="3"/>
    </row>
    <row r="2844" spans="1:40" x14ac:dyDescent="0.3">
      <c r="A2844" s="3">
        <v>2838</v>
      </c>
      <c r="B2844" s="3" t="str">
        <f>"1501982"</f>
        <v>1501982</v>
      </c>
      <c r="C2844" s="3">
        <v>83797</v>
      </c>
      <c r="D2844" s="3" t="s">
        <v>10368</v>
      </c>
      <c r="E2844" s="3">
        <v>10095944472</v>
      </c>
      <c r="F2844" s="3" t="s">
        <v>10369</v>
      </c>
      <c r="G2844" s="3" t="s">
        <v>10370</v>
      </c>
      <c r="H2844" s="3" t="s">
        <v>1208</v>
      </c>
      <c r="I2844" s="3" t="s">
        <v>2525</v>
      </c>
      <c r="J2844" s="3" t="s">
        <v>2525</v>
      </c>
      <c r="K2844" s="3" t="s">
        <v>10371</v>
      </c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C2844" s="3"/>
      <c r="AD2844" s="3"/>
      <c r="AE2844" s="3"/>
      <c r="AF2844" s="3"/>
      <c r="AG2844" s="3"/>
      <c r="AH2844" s="3"/>
      <c r="AI2844" s="3"/>
      <c r="AJ2844" s="3"/>
      <c r="AK2844" s="3" t="s">
        <v>6623</v>
      </c>
      <c r="AL2844" s="4">
        <v>40799</v>
      </c>
      <c r="AM2844" s="3"/>
      <c r="AN2844" s="3" t="s">
        <v>10369</v>
      </c>
    </row>
    <row r="2845" spans="1:40" ht="27.95" x14ac:dyDescent="0.3">
      <c r="A2845" s="3">
        <v>2839</v>
      </c>
      <c r="B2845" s="3" t="str">
        <f>"201300102815"</f>
        <v>201300102815</v>
      </c>
      <c r="C2845" s="3">
        <v>103441</v>
      </c>
      <c r="D2845" s="3" t="s">
        <v>10372</v>
      </c>
      <c r="E2845" s="3">
        <v>20293033804</v>
      </c>
      <c r="F2845" s="3" t="s">
        <v>10373</v>
      </c>
      <c r="G2845" s="3" t="s">
        <v>10374</v>
      </c>
      <c r="H2845" s="3" t="s">
        <v>56</v>
      </c>
      <c r="I2845" s="3" t="s">
        <v>56</v>
      </c>
      <c r="J2845" s="3" t="s">
        <v>3942</v>
      </c>
      <c r="K2845" s="3" t="s">
        <v>10375</v>
      </c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C2845" s="3"/>
      <c r="AD2845" s="3"/>
      <c r="AE2845" s="3"/>
      <c r="AF2845" s="3"/>
      <c r="AG2845" s="3"/>
      <c r="AH2845" s="3"/>
      <c r="AI2845" s="3"/>
      <c r="AJ2845" s="3"/>
      <c r="AK2845" s="3" t="s">
        <v>10376</v>
      </c>
      <c r="AL2845" s="4">
        <v>41439</v>
      </c>
      <c r="AM2845" s="3"/>
      <c r="AN2845" s="3" t="s">
        <v>10377</v>
      </c>
    </row>
    <row r="2846" spans="1:40" x14ac:dyDescent="0.3">
      <c r="A2846" s="3">
        <v>2840</v>
      </c>
      <c r="B2846" s="3" t="str">
        <f>"1302989"</f>
        <v>1302989</v>
      </c>
      <c r="C2846" s="3">
        <v>20604</v>
      </c>
      <c r="D2846" s="3">
        <v>1302989</v>
      </c>
      <c r="E2846" s="3">
        <v>20293033804</v>
      </c>
      <c r="F2846" s="3" t="s">
        <v>6241</v>
      </c>
      <c r="G2846" s="3" t="s">
        <v>6242</v>
      </c>
      <c r="H2846" s="3" t="s">
        <v>75</v>
      </c>
      <c r="I2846" s="3" t="s">
        <v>75</v>
      </c>
      <c r="J2846" s="3" t="s">
        <v>4639</v>
      </c>
      <c r="K2846" s="3" t="s">
        <v>10378</v>
      </c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C2846" s="3"/>
      <c r="AD2846" s="3"/>
      <c r="AE2846" s="3"/>
      <c r="AF2846" s="3"/>
      <c r="AG2846" s="3"/>
      <c r="AH2846" s="3"/>
      <c r="AI2846" s="3"/>
      <c r="AJ2846" s="3"/>
      <c r="AK2846" s="3" t="s">
        <v>65</v>
      </c>
      <c r="AL2846" s="4">
        <v>36873</v>
      </c>
      <c r="AM2846" s="3"/>
      <c r="AN2846" s="3"/>
    </row>
    <row r="2847" spans="1:40" x14ac:dyDescent="0.3">
      <c r="A2847" s="3">
        <v>2841</v>
      </c>
      <c r="B2847" s="3" t="str">
        <f>"1129660"</f>
        <v>1129660</v>
      </c>
      <c r="C2847" s="3">
        <v>3358</v>
      </c>
      <c r="D2847" s="3">
        <v>1129660</v>
      </c>
      <c r="E2847" s="3">
        <v>10153457676</v>
      </c>
      <c r="F2847" s="3" t="s">
        <v>10379</v>
      </c>
      <c r="G2847" s="3" t="s">
        <v>10380</v>
      </c>
      <c r="H2847" s="3" t="s">
        <v>56</v>
      </c>
      <c r="I2847" s="3" t="s">
        <v>422</v>
      </c>
      <c r="J2847" s="3" t="s">
        <v>423</v>
      </c>
      <c r="K2847" s="3" t="s">
        <v>10381</v>
      </c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C2847" s="3"/>
      <c r="AD2847" s="3"/>
      <c r="AE2847" s="3"/>
      <c r="AF2847" s="3"/>
      <c r="AG2847" s="3"/>
      <c r="AH2847" s="3"/>
      <c r="AI2847" s="3"/>
      <c r="AJ2847" s="3"/>
      <c r="AK2847" s="3" t="s">
        <v>5733</v>
      </c>
      <c r="AL2847" s="4">
        <v>35592</v>
      </c>
      <c r="AM2847" s="3"/>
      <c r="AN2847" s="3"/>
    </row>
    <row r="2848" spans="1:40" x14ac:dyDescent="0.3">
      <c r="A2848" s="3">
        <v>2842</v>
      </c>
      <c r="B2848" s="3" t="str">
        <f>"201400093515"</f>
        <v>201400093515</v>
      </c>
      <c r="C2848" s="3">
        <v>88453</v>
      </c>
      <c r="D2848" s="3" t="s">
        <v>10382</v>
      </c>
      <c r="E2848" s="3">
        <v>20174640514</v>
      </c>
      <c r="F2848" s="3" t="s">
        <v>3043</v>
      </c>
      <c r="G2848" s="3" t="s">
        <v>10383</v>
      </c>
      <c r="H2848" s="3" t="s">
        <v>75</v>
      </c>
      <c r="I2848" s="3" t="s">
        <v>75</v>
      </c>
      <c r="J2848" s="3" t="s">
        <v>76</v>
      </c>
      <c r="K2848" s="3" t="s">
        <v>10384</v>
      </c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C2848" s="3"/>
      <c r="AD2848" s="3"/>
      <c r="AE2848" s="3"/>
      <c r="AF2848" s="3"/>
      <c r="AG2848" s="3"/>
      <c r="AH2848" s="3"/>
      <c r="AI2848" s="3"/>
      <c r="AJ2848" s="3"/>
      <c r="AK2848" s="3" t="s">
        <v>256</v>
      </c>
      <c r="AL2848" s="4">
        <v>41845</v>
      </c>
      <c r="AM2848" s="3"/>
      <c r="AN2848" s="3" t="s">
        <v>3046</v>
      </c>
    </row>
    <row r="2849" spans="1:40" ht="27.95" x14ac:dyDescent="0.3">
      <c r="A2849" s="3">
        <v>2843</v>
      </c>
      <c r="B2849" s="3" t="str">
        <f>"201900113018"</f>
        <v>201900113018</v>
      </c>
      <c r="C2849" s="3">
        <v>145198</v>
      </c>
      <c r="D2849" s="3" t="s">
        <v>10385</v>
      </c>
      <c r="E2849" s="3">
        <v>10258478890</v>
      </c>
      <c r="F2849" s="3" t="s">
        <v>5186</v>
      </c>
      <c r="G2849" s="3" t="s">
        <v>10386</v>
      </c>
      <c r="H2849" s="3" t="s">
        <v>56</v>
      </c>
      <c r="I2849" s="3" t="s">
        <v>56</v>
      </c>
      <c r="J2849" s="3" t="s">
        <v>63</v>
      </c>
      <c r="K2849" s="3" t="s">
        <v>10387</v>
      </c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C2849" s="3"/>
      <c r="AD2849" s="3"/>
      <c r="AE2849" s="3"/>
      <c r="AF2849" s="3"/>
      <c r="AG2849" s="3"/>
      <c r="AH2849" s="3"/>
      <c r="AI2849" s="3"/>
      <c r="AJ2849" s="3"/>
      <c r="AK2849" s="3" t="s">
        <v>768</v>
      </c>
      <c r="AL2849" s="4">
        <v>43662</v>
      </c>
      <c r="AM2849" s="3"/>
      <c r="AN2849" s="3" t="s">
        <v>5186</v>
      </c>
    </row>
    <row r="2850" spans="1:40" x14ac:dyDescent="0.3">
      <c r="A2850" s="3">
        <v>2844</v>
      </c>
      <c r="B2850" s="3" t="str">
        <f>"1181666"</f>
        <v>1181666</v>
      </c>
      <c r="C2850" s="3">
        <v>13892</v>
      </c>
      <c r="D2850" s="3">
        <v>1181666</v>
      </c>
      <c r="E2850" s="3">
        <v>10066653981</v>
      </c>
      <c r="F2850" s="3" t="s">
        <v>10388</v>
      </c>
      <c r="G2850" s="3" t="s">
        <v>10389</v>
      </c>
      <c r="H2850" s="3" t="s">
        <v>56</v>
      </c>
      <c r="I2850" s="3" t="s">
        <v>56</v>
      </c>
      <c r="J2850" s="3" t="s">
        <v>838</v>
      </c>
      <c r="K2850" s="3" t="s">
        <v>10390</v>
      </c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C2850" s="3"/>
      <c r="AD2850" s="3"/>
      <c r="AE2850" s="3"/>
      <c r="AF2850" s="3"/>
      <c r="AG2850" s="3"/>
      <c r="AH2850" s="3"/>
      <c r="AI2850" s="3"/>
      <c r="AJ2850" s="3"/>
      <c r="AK2850" s="3" t="s">
        <v>4501</v>
      </c>
      <c r="AL2850" s="4">
        <v>35921</v>
      </c>
      <c r="AM2850" s="3"/>
      <c r="AN2850" s="3"/>
    </row>
    <row r="2851" spans="1:40" x14ac:dyDescent="0.3">
      <c r="A2851" s="3">
        <v>2845</v>
      </c>
      <c r="B2851" s="3" t="str">
        <f>"1979744"</f>
        <v>1979744</v>
      </c>
      <c r="C2851" s="3">
        <v>85896</v>
      </c>
      <c r="D2851" s="3" t="s">
        <v>10391</v>
      </c>
      <c r="E2851" s="3">
        <v>10445159951</v>
      </c>
      <c r="F2851" s="3" t="s">
        <v>10392</v>
      </c>
      <c r="G2851" s="3" t="s">
        <v>10393</v>
      </c>
      <c r="H2851" s="3" t="s">
        <v>56</v>
      </c>
      <c r="I2851" s="3" t="s">
        <v>56</v>
      </c>
      <c r="J2851" s="3" t="s">
        <v>277</v>
      </c>
      <c r="K2851" s="3" t="s">
        <v>10394</v>
      </c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C2851" s="3"/>
      <c r="AD2851" s="3"/>
      <c r="AE2851" s="3"/>
      <c r="AF2851" s="3"/>
      <c r="AG2851" s="3"/>
      <c r="AH2851" s="3"/>
      <c r="AI2851" s="3"/>
      <c r="AJ2851" s="3"/>
      <c r="AK2851" s="3" t="s">
        <v>1326</v>
      </c>
      <c r="AL2851" s="4">
        <v>40288</v>
      </c>
      <c r="AM2851" s="3"/>
      <c r="AN2851" s="3"/>
    </row>
    <row r="2852" spans="1:40" x14ac:dyDescent="0.3">
      <c r="A2852" s="3">
        <v>2846</v>
      </c>
      <c r="B2852" s="3" t="str">
        <f>"1417348"</f>
        <v>1417348</v>
      </c>
      <c r="C2852" s="3">
        <v>21642</v>
      </c>
      <c r="D2852" s="3" t="s">
        <v>10395</v>
      </c>
      <c r="E2852" s="3">
        <v>10103577026</v>
      </c>
      <c r="F2852" s="3" t="s">
        <v>10396</v>
      </c>
      <c r="G2852" s="3" t="s">
        <v>2512</v>
      </c>
      <c r="H2852" s="3" t="s">
        <v>386</v>
      </c>
      <c r="I2852" s="3" t="s">
        <v>387</v>
      </c>
      <c r="J2852" s="3" t="s">
        <v>2513</v>
      </c>
      <c r="K2852" s="3" t="s">
        <v>10397</v>
      </c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C2852" s="3"/>
      <c r="AD2852" s="3"/>
      <c r="AE2852" s="3"/>
      <c r="AF2852" s="3"/>
      <c r="AG2852" s="3"/>
      <c r="AH2852" s="3"/>
      <c r="AI2852" s="3"/>
      <c r="AJ2852" s="3"/>
      <c r="AK2852" s="3" t="s">
        <v>218</v>
      </c>
      <c r="AL2852" s="4">
        <v>37776</v>
      </c>
      <c r="AM2852" s="3"/>
      <c r="AN2852" s="3"/>
    </row>
    <row r="2853" spans="1:40" x14ac:dyDescent="0.3">
      <c r="A2853" s="3">
        <v>2847</v>
      </c>
      <c r="B2853" s="3" t="str">
        <f>"1630135"</f>
        <v>1630135</v>
      </c>
      <c r="C2853" s="3">
        <v>43719</v>
      </c>
      <c r="D2853" s="3" t="s">
        <v>10398</v>
      </c>
      <c r="E2853" s="3">
        <v>20404723392</v>
      </c>
      <c r="F2853" s="3" t="s">
        <v>642</v>
      </c>
      <c r="G2853" s="3" t="s">
        <v>10399</v>
      </c>
      <c r="H2853" s="3" t="s">
        <v>237</v>
      </c>
      <c r="I2853" s="3" t="s">
        <v>5105</v>
      </c>
      <c r="J2853" s="3" t="s">
        <v>5105</v>
      </c>
      <c r="K2853" s="3" t="s">
        <v>10400</v>
      </c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C2853" s="3"/>
      <c r="AD2853" s="3"/>
      <c r="AE2853" s="3"/>
      <c r="AF2853" s="3"/>
      <c r="AG2853" s="3"/>
      <c r="AH2853" s="3"/>
      <c r="AI2853" s="3"/>
      <c r="AJ2853" s="3"/>
      <c r="AK2853" s="3" t="s">
        <v>546</v>
      </c>
      <c r="AL2853" s="4">
        <v>38938</v>
      </c>
      <c r="AM2853" s="3"/>
      <c r="AN2853" s="3"/>
    </row>
    <row r="2854" spans="1:40" x14ac:dyDescent="0.3">
      <c r="A2854" s="3">
        <v>2848</v>
      </c>
      <c r="B2854" s="3" t="str">
        <f>"1630136"</f>
        <v>1630136</v>
      </c>
      <c r="C2854" s="3">
        <v>43720</v>
      </c>
      <c r="D2854" s="3" t="s">
        <v>10401</v>
      </c>
      <c r="E2854" s="3">
        <v>20404723392</v>
      </c>
      <c r="F2854" s="3" t="s">
        <v>642</v>
      </c>
      <c r="G2854" s="3" t="s">
        <v>10399</v>
      </c>
      <c r="H2854" s="3" t="s">
        <v>237</v>
      </c>
      <c r="I2854" s="3" t="s">
        <v>5105</v>
      </c>
      <c r="J2854" s="3" t="s">
        <v>5105</v>
      </c>
      <c r="K2854" s="3" t="s">
        <v>10402</v>
      </c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C2854" s="3"/>
      <c r="AD2854" s="3"/>
      <c r="AE2854" s="3"/>
      <c r="AF2854" s="3"/>
      <c r="AG2854" s="3"/>
      <c r="AH2854" s="3"/>
      <c r="AI2854" s="3"/>
      <c r="AJ2854" s="3"/>
      <c r="AK2854" s="3" t="s">
        <v>10403</v>
      </c>
      <c r="AL2854" s="4">
        <v>38938</v>
      </c>
      <c r="AM2854" s="3"/>
      <c r="AN2854" s="3"/>
    </row>
    <row r="2855" spans="1:40" ht="41.95" x14ac:dyDescent="0.3">
      <c r="A2855" s="3">
        <v>2849</v>
      </c>
      <c r="B2855" s="3" t="str">
        <f>"201800187038"</f>
        <v>201800187038</v>
      </c>
      <c r="C2855" s="3">
        <v>139587</v>
      </c>
      <c r="D2855" s="3" t="s">
        <v>10404</v>
      </c>
      <c r="E2855" s="3">
        <v>20478005289</v>
      </c>
      <c r="F2855" s="3" t="s">
        <v>6783</v>
      </c>
      <c r="G2855" s="3" t="s">
        <v>1933</v>
      </c>
      <c r="H2855" s="3" t="s">
        <v>56</v>
      </c>
      <c r="I2855" s="3" t="s">
        <v>56</v>
      </c>
      <c r="J2855" s="3" t="s">
        <v>363</v>
      </c>
      <c r="K2855" s="3" t="s">
        <v>10405</v>
      </c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C2855" s="3"/>
      <c r="AD2855" s="3"/>
      <c r="AE2855" s="3"/>
      <c r="AF2855" s="3"/>
      <c r="AG2855" s="3"/>
      <c r="AH2855" s="3"/>
      <c r="AI2855" s="3"/>
      <c r="AJ2855" s="3"/>
      <c r="AK2855" s="3" t="s">
        <v>1273</v>
      </c>
      <c r="AL2855" s="4">
        <v>43418</v>
      </c>
      <c r="AM2855" s="3"/>
      <c r="AN2855" s="3" t="s">
        <v>372</v>
      </c>
    </row>
    <row r="2856" spans="1:40" ht="27.95" x14ac:dyDescent="0.3">
      <c r="A2856" s="3">
        <v>2850</v>
      </c>
      <c r="B2856" s="3" t="str">
        <f>"201300102804"</f>
        <v>201300102804</v>
      </c>
      <c r="C2856" s="3">
        <v>103439</v>
      </c>
      <c r="D2856" s="3" t="s">
        <v>10406</v>
      </c>
      <c r="E2856" s="3">
        <v>20293033804</v>
      </c>
      <c r="F2856" s="3" t="s">
        <v>10373</v>
      </c>
      <c r="G2856" s="3" t="s">
        <v>10407</v>
      </c>
      <c r="H2856" s="3" t="s">
        <v>56</v>
      </c>
      <c r="I2856" s="3" t="s">
        <v>56</v>
      </c>
      <c r="J2856" s="3" t="s">
        <v>3942</v>
      </c>
      <c r="K2856" s="3" t="s">
        <v>10408</v>
      </c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C2856" s="3"/>
      <c r="AD2856" s="3"/>
      <c r="AE2856" s="3"/>
      <c r="AF2856" s="3"/>
      <c r="AG2856" s="3"/>
      <c r="AH2856" s="3"/>
      <c r="AI2856" s="3"/>
      <c r="AJ2856" s="3"/>
      <c r="AK2856" s="3" t="s">
        <v>10376</v>
      </c>
      <c r="AL2856" s="4">
        <v>41439</v>
      </c>
      <c r="AM2856" s="3"/>
      <c r="AN2856" s="3" t="s">
        <v>10377</v>
      </c>
    </row>
    <row r="2857" spans="1:40" x14ac:dyDescent="0.3">
      <c r="A2857" s="3">
        <v>2851</v>
      </c>
      <c r="B2857" s="3" t="str">
        <f>"201000001390"</f>
        <v>201000001390</v>
      </c>
      <c r="C2857" s="3">
        <v>39791</v>
      </c>
      <c r="D2857" s="3" t="s">
        <v>10409</v>
      </c>
      <c r="E2857" s="3">
        <v>20501548589</v>
      </c>
      <c r="F2857" s="3" t="s">
        <v>4109</v>
      </c>
      <c r="G2857" s="3" t="s">
        <v>6267</v>
      </c>
      <c r="H2857" s="3" t="s">
        <v>56</v>
      </c>
      <c r="I2857" s="3" t="s">
        <v>56</v>
      </c>
      <c r="J2857" s="3" t="s">
        <v>63</v>
      </c>
      <c r="K2857" s="3" t="s">
        <v>10410</v>
      </c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C2857" s="3"/>
      <c r="AD2857" s="3"/>
      <c r="AE2857" s="3"/>
      <c r="AF2857" s="3"/>
      <c r="AG2857" s="3"/>
      <c r="AH2857" s="3"/>
      <c r="AI2857" s="3"/>
      <c r="AJ2857" s="3"/>
      <c r="AK2857" s="3" t="s">
        <v>568</v>
      </c>
      <c r="AL2857" s="4">
        <v>38385</v>
      </c>
      <c r="AM2857" s="3"/>
      <c r="AN2857" s="3"/>
    </row>
    <row r="2858" spans="1:40" x14ac:dyDescent="0.3">
      <c r="A2858" s="3">
        <v>2852</v>
      </c>
      <c r="B2858" s="3" t="str">
        <f>"201000001391"</f>
        <v>201000001391</v>
      </c>
      <c r="C2858" s="3">
        <v>38193</v>
      </c>
      <c r="D2858" s="3" t="s">
        <v>10411</v>
      </c>
      <c r="E2858" s="3">
        <v>10071673249</v>
      </c>
      <c r="F2858" s="3" t="s">
        <v>7116</v>
      </c>
      <c r="G2858" s="3" t="s">
        <v>10412</v>
      </c>
      <c r="H2858" s="3" t="s">
        <v>56</v>
      </c>
      <c r="I2858" s="3" t="s">
        <v>56</v>
      </c>
      <c r="J2858" s="3" t="s">
        <v>57</v>
      </c>
      <c r="K2858" s="3" t="s">
        <v>10413</v>
      </c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C2858" s="3"/>
      <c r="AD2858" s="3"/>
      <c r="AE2858" s="3"/>
      <c r="AF2858" s="3"/>
      <c r="AG2858" s="3"/>
      <c r="AH2858" s="3"/>
      <c r="AI2858" s="3"/>
      <c r="AJ2858" s="3"/>
      <c r="AK2858" s="3" t="s">
        <v>81</v>
      </c>
      <c r="AL2858" s="4">
        <v>38385</v>
      </c>
      <c r="AM2858" s="3"/>
      <c r="AN2858" s="3"/>
    </row>
    <row r="2859" spans="1:40" x14ac:dyDescent="0.3">
      <c r="A2859" s="3">
        <v>2853</v>
      </c>
      <c r="B2859" s="3" t="str">
        <f>"201000001394"</f>
        <v>201000001394</v>
      </c>
      <c r="C2859" s="3">
        <v>3619</v>
      </c>
      <c r="D2859" s="3">
        <v>1145813</v>
      </c>
      <c r="E2859" s="3">
        <v>10026282522</v>
      </c>
      <c r="F2859" s="3" t="s">
        <v>10414</v>
      </c>
      <c r="G2859" s="3" t="s">
        <v>10415</v>
      </c>
      <c r="H2859" s="3" t="s">
        <v>50</v>
      </c>
      <c r="I2859" s="3" t="s">
        <v>10416</v>
      </c>
      <c r="J2859" s="3" t="s">
        <v>10416</v>
      </c>
      <c r="K2859" s="3" t="s">
        <v>10417</v>
      </c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C2859" s="3"/>
      <c r="AD2859" s="3"/>
      <c r="AE2859" s="3"/>
      <c r="AF2859" s="3"/>
      <c r="AG2859" s="3"/>
      <c r="AH2859" s="3"/>
      <c r="AI2859" s="3"/>
      <c r="AJ2859" s="3"/>
      <c r="AK2859" s="3" t="s">
        <v>419</v>
      </c>
      <c r="AL2859" s="4">
        <v>36692</v>
      </c>
      <c r="AM2859" s="3"/>
      <c r="AN2859" s="3"/>
    </row>
    <row r="2860" spans="1:40" x14ac:dyDescent="0.3">
      <c r="A2860" s="3">
        <v>2854</v>
      </c>
      <c r="B2860" s="3" t="str">
        <f>"1154137"</f>
        <v>1154137</v>
      </c>
      <c r="C2860" s="3">
        <v>3649</v>
      </c>
      <c r="D2860" s="3">
        <v>1154137</v>
      </c>
      <c r="E2860" s="3">
        <v>20510740760</v>
      </c>
      <c r="F2860" s="3" t="s">
        <v>10126</v>
      </c>
      <c r="G2860" s="3" t="s">
        <v>10418</v>
      </c>
      <c r="H2860" s="3" t="s">
        <v>318</v>
      </c>
      <c r="I2860" s="3" t="s">
        <v>319</v>
      </c>
      <c r="J2860" s="3" t="s">
        <v>319</v>
      </c>
      <c r="K2860" s="3" t="s">
        <v>10419</v>
      </c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C2860" s="3"/>
      <c r="AD2860" s="3"/>
      <c r="AE2860" s="3"/>
      <c r="AF2860" s="3"/>
      <c r="AG2860" s="3"/>
      <c r="AH2860" s="3"/>
      <c r="AI2860" s="3"/>
      <c r="AJ2860" s="3"/>
      <c r="AK2860" s="3" t="s">
        <v>52</v>
      </c>
      <c r="AL2860" s="4">
        <v>35718</v>
      </c>
      <c r="AM2860" s="3"/>
      <c r="AN2860" s="3"/>
    </row>
    <row r="2861" spans="1:40" x14ac:dyDescent="0.3">
      <c r="A2861" s="3">
        <v>2855</v>
      </c>
      <c r="B2861" s="3" t="str">
        <f>"201000001395"</f>
        <v>201000001395</v>
      </c>
      <c r="C2861" s="3">
        <v>19726</v>
      </c>
      <c r="D2861" s="3" t="s">
        <v>10420</v>
      </c>
      <c r="E2861" s="3">
        <v>10032406136</v>
      </c>
      <c r="F2861" s="3" t="s">
        <v>10421</v>
      </c>
      <c r="G2861" s="3" t="s">
        <v>10422</v>
      </c>
      <c r="H2861" s="3" t="s">
        <v>50</v>
      </c>
      <c r="I2861" s="3" t="s">
        <v>50</v>
      </c>
      <c r="J2861" s="3" t="s">
        <v>98</v>
      </c>
      <c r="K2861" s="3" t="s">
        <v>10423</v>
      </c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C2861" s="3"/>
      <c r="AD2861" s="3"/>
      <c r="AE2861" s="3"/>
      <c r="AF2861" s="3"/>
      <c r="AG2861" s="3"/>
      <c r="AH2861" s="3"/>
      <c r="AI2861" s="3"/>
      <c r="AJ2861" s="3"/>
      <c r="AK2861" s="3" t="s">
        <v>6966</v>
      </c>
      <c r="AL2861" s="4">
        <v>36623</v>
      </c>
      <c r="AM2861" s="3"/>
      <c r="AN2861" s="3"/>
    </row>
    <row r="2862" spans="1:40" x14ac:dyDescent="0.3">
      <c r="A2862" s="3">
        <v>2856</v>
      </c>
      <c r="B2862" s="3" t="str">
        <f>"1154138"</f>
        <v>1154138</v>
      </c>
      <c r="C2862" s="3">
        <v>3651</v>
      </c>
      <c r="D2862" s="3">
        <v>1154138</v>
      </c>
      <c r="E2862" s="3">
        <v>20510740760</v>
      </c>
      <c r="F2862" s="3" t="s">
        <v>10126</v>
      </c>
      <c r="G2862" s="3" t="s">
        <v>10418</v>
      </c>
      <c r="H2862" s="3" t="s">
        <v>318</v>
      </c>
      <c r="I2862" s="3" t="s">
        <v>319</v>
      </c>
      <c r="J2862" s="3" t="s">
        <v>319</v>
      </c>
      <c r="K2862" s="3" t="s">
        <v>10424</v>
      </c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C2862" s="3"/>
      <c r="AD2862" s="3"/>
      <c r="AE2862" s="3"/>
      <c r="AF2862" s="3"/>
      <c r="AG2862" s="3"/>
      <c r="AH2862" s="3"/>
      <c r="AI2862" s="3"/>
      <c r="AJ2862" s="3"/>
      <c r="AK2862" s="3" t="s">
        <v>52</v>
      </c>
      <c r="AL2862" s="4">
        <v>35718</v>
      </c>
      <c r="AM2862" s="3"/>
      <c r="AN2862" s="3"/>
    </row>
    <row r="2863" spans="1:40" x14ac:dyDescent="0.3">
      <c r="A2863" s="3">
        <v>2857</v>
      </c>
      <c r="B2863" s="3" t="str">
        <f>"201000001392"</f>
        <v>201000001392</v>
      </c>
      <c r="C2863" s="3">
        <v>39797</v>
      </c>
      <c r="D2863" s="3" t="s">
        <v>10425</v>
      </c>
      <c r="E2863" s="3">
        <v>20501548589</v>
      </c>
      <c r="F2863" s="3" t="s">
        <v>4109</v>
      </c>
      <c r="G2863" s="3" t="s">
        <v>6267</v>
      </c>
      <c r="H2863" s="3" t="s">
        <v>56</v>
      </c>
      <c r="I2863" s="3" t="s">
        <v>56</v>
      </c>
      <c r="J2863" s="3" t="s">
        <v>63</v>
      </c>
      <c r="K2863" s="3" t="s">
        <v>10426</v>
      </c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C2863" s="3"/>
      <c r="AD2863" s="3"/>
      <c r="AE2863" s="3"/>
      <c r="AF2863" s="3"/>
      <c r="AG2863" s="3"/>
      <c r="AH2863" s="3"/>
      <c r="AI2863" s="3"/>
      <c r="AJ2863" s="3"/>
      <c r="AK2863" s="3" t="s">
        <v>10427</v>
      </c>
      <c r="AL2863" s="4">
        <v>38385</v>
      </c>
      <c r="AM2863" s="3"/>
      <c r="AN2863" s="3"/>
    </row>
    <row r="2864" spans="1:40" x14ac:dyDescent="0.3">
      <c r="A2864" s="3">
        <v>2858</v>
      </c>
      <c r="B2864" s="3" t="str">
        <f>"1301097"</f>
        <v>1301097</v>
      </c>
      <c r="C2864" s="3">
        <v>1667</v>
      </c>
      <c r="D2864" s="3">
        <v>1301097</v>
      </c>
      <c r="E2864" s="3">
        <v>20415747986</v>
      </c>
      <c r="F2864" s="3" t="s">
        <v>3554</v>
      </c>
      <c r="G2864" s="3" t="s">
        <v>10428</v>
      </c>
      <c r="H2864" s="3" t="s">
        <v>56</v>
      </c>
      <c r="I2864" s="3" t="s">
        <v>56</v>
      </c>
      <c r="J2864" s="3" t="s">
        <v>331</v>
      </c>
      <c r="K2864" s="3" t="s">
        <v>10429</v>
      </c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C2864" s="3"/>
      <c r="AD2864" s="3"/>
      <c r="AE2864" s="3"/>
      <c r="AF2864" s="3"/>
      <c r="AG2864" s="3"/>
      <c r="AH2864" s="3"/>
      <c r="AI2864" s="3"/>
      <c r="AJ2864" s="3"/>
      <c r="AK2864" s="3" t="s">
        <v>81</v>
      </c>
      <c r="AL2864" s="4">
        <v>36850</v>
      </c>
      <c r="AM2864" s="3"/>
      <c r="AN2864" s="3"/>
    </row>
    <row r="2865" spans="1:40" x14ac:dyDescent="0.3">
      <c r="A2865" s="3">
        <v>2859</v>
      </c>
      <c r="B2865" s="3" t="str">
        <f>"201000001393"</f>
        <v>201000001393</v>
      </c>
      <c r="C2865" s="3">
        <v>19619</v>
      </c>
      <c r="D2865" s="3" t="s">
        <v>10430</v>
      </c>
      <c r="E2865" s="3">
        <v>10028054616</v>
      </c>
      <c r="F2865" s="3" t="s">
        <v>10431</v>
      </c>
      <c r="G2865" s="3" t="s">
        <v>10432</v>
      </c>
      <c r="H2865" s="3" t="s">
        <v>50</v>
      </c>
      <c r="I2865" s="3" t="s">
        <v>50</v>
      </c>
      <c r="J2865" s="3" t="s">
        <v>50</v>
      </c>
      <c r="K2865" s="3" t="s">
        <v>10433</v>
      </c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C2865" s="3"/>
      <c r="AD2865" s="3"/>
      <c r="AE2865" s="3"/>
      <c r="AF2865" s="3"/>
      <c r="AG2865" s="3"/>
      <c r="AH2865" s="3"/>
      <c r="AI2865" s="3"/>
      <c r="AJ2865" s="3"/>
      <c r="AK2865" s="3" t="s">
        <v>634</v>
      </c>
      <c r="AL2865" s="4">
        <v>36719</v>
      </c>
      <c r="AM2865" s="3"/>
      <c r="AN2865" s="3"/>
    </row>
    <row r="2866" spans="1:40" x14ac:dyDescent="0.3">
      <c r="A2866" s="3">
        <v>2860</v>
      </c>
      <c r="B2866" s="3" t="str">
        <f>"1308648"</f>
        <v>1308648</v>
      </c>
      <c r="C2866" s="3">
        <v>20627</v>
      </c>
      <c r="D2866" s="3" t="s">
        <v>10434</v>
      </c>
      <c r="E2866" s="3">
        <v>20100366747</v>
      </c>
      <c r="F2866" s="3" t="s">
        <v>258</v>
      </c>
      <c r="G2866" s="3" t="s">
        <v>1055</v>
      </c>
      <c r="H2866" s="3" t="s">
        <v>56</v>
      </c>
      <c r="I2866" s="3" t="s">
        <v>56</v>
      </c>
      <c r="J2866" s="3" t="s">
        <v>185</v>
      </c>
      <c r="K2866" s="3" t="s">
        <v>10435</v>
      </c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C2866" s="3"/>
      <c r="AD2866" s="3"/>
      <c r="AE2866" s="3"/>
      <c r="AF2866" s="3"/>
      <c r="AG2866" s="3"/>
      <c r="AH2866" s="3"/>
      <c r="AI2866" s="3"/>
      <c r="AJ2866" s="3"/>
      <c r="AK2866" s="3" t="s">
        <v>233</v>
      </c>
      <c r="AL2866" s="4">
        <v>36920</v>
      </c>
      <c r="AM2866" s="3"/>
      <c r="AN2866" s="3"/>
    </row>
    <row r="2867" spans="1:40" x14ac:dyDescent="0.3">
      <c r="A2867" s="3">
        <v>2861</v>
      </c>
      <c r="B2867" s="3" t="str">
        <f>"201000001398"</f>
        <v>201000001398</v>
      </c>
      <c r="C2867" s="3">
        <v>42653</v>
      </c>
      <c r="D2867" s="3" t="s">
        <v>10436</v>
      </c>
      <c r="E2867" s="3">
        <v>20134424100</v>
      </c>
      <c r="F2867" s="3" t="s">
        <v>10437</v>
      </c>
      <c r="G2867" s="3" t="s">
        <v>10438</v>
      </c>
      <c r="H2867" s="3" t="s">
        <v>44</v>
      </c>
      <c r="I2867" s="3" t="s">
        <v>45</v>
      </c>
      <c r="J2867" s="3" t="s">
        <v>45</v>
      </c>
      <c r="K2867" s="3" t="s">
        <v>10439</v>
      </c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C2867" s="3"/>
      <c r="AD2867" s="3"/>
      <c r="AE2867" s="3"/>
      <c r="AF2867" s="3"/>
      <c r="AG2867" s="3"/>
      <c r="AH2867" s="3"/>
      <c r="AI2867" s="3"/>
      <c r="AJ2867" s="3"/>
      <c r="AK2867" s="3" t="s">
        <v>546</v>
      </c>
      <c r="AL2867" s="4">
        <v>36909</v>
      </c>
      <c r="AM2867" s="3"/>
      <c r="AN2867" s="3"/>
    </row>
    <row r="2868" spans="1:40" x14ac:dyDescent="0.3">
      <c r="A2868" s="3">
        <v>2862</v>
      </c>
      <c r="B2868" s="3" t="str">
        <f>"1590117"</f>
        <v>1590117</v>
      </c>
      <c r="C2868" s="3">
        <v>40859</v>
      </c>
      <c r="D2868" s="3" t="s">
        <v>10440</v>
      </c>
      <c r="E2868" s="3">
        <v>10200363952</v>
      </c>
      <c r="F2868" s="3" t="s">
        <v>10441</v>
      </c>
      <c r="G2868" s="3" t="s">
        <v>10442</v>
      </c>
      <c r="H2868" s="3" t="s">
        <v>237</v>
      </c>
      <c r="I2868" s="3" t="s">
        <v>868</v>
      </c>
      <c r="J2868" s="3" t="s">
        <v>868</v>
      </c>
      <c r="K2868" s="3" t="s">
        <v>10443</v>
      </c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C2868" s="3"/>
      <c r="AD2868" s="3"/>
      <c r="AE2868" s="3"/>
      <c r="AF2868" s="3"/>
      <c r="AG2868" s="3"/>
      <c r="AH2868" s="3"/>
      <c r="AI2868" s="3"/>
      <c r="AJ2868" s="3"/>
      <c r="AK2868" s="3" t="s">
        <v>157</v>
      </c>
      <c r="AL2868" s="4">
        <v>38755</v>
      </c>
      <c r="AM2868" s="3"/>
      <c r="AN2868" s="3"/>
    </row>
    <row r="2869" spans="1:40" x14ac:dyDescent="0.3">
      <c r="A2869" s="3">
        <v>2863</v>
      </c>
      <c r="B2869" s="3" t="str">
        <f>"201000001396"</f>
        <v>201000001396</v>
      </c>
      <c r="C2869" s="3">
        <v>19598</v>
      </c>
      <c r="D2869" s="3" t="s">
        <v>10444</v>
      </c>
      <c r="E2869" s="3">
        <v>10038293171</v>
      </c>
      <c r="F2869" s="3" t="s">
        <v>10445</v>
      </c>
      <c r="G2869" s="3" t="s">
        <v>10446</v>
      </c>
      <c r="H2869" s="3" t="s">
        <v>50</v>
      </c>
      <c r="I2869" s="3" t="s">
        <v>638</v>
      </c>
      <c r="J2869" s="3" t="s">
        <v>639</v>
      </c>
      <c r="K2869" s="3" t="s">
        <v>10447</v>
      </c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C2869" s="3"/>
      <c r="AD2869" s="3"/>
      <c r="AE2869" s="3"/>
      <c r="AF2869" s="3"/>
      <c r="AG2869" s="3"/>
      <c r="AH2869" s="3"/>
      <c r="AI2869" s="3"/>
      <c r="AJ2869" s="3"/>
      <c r="AK2869" s="3" t="s">
        <v>226</v>
      </c>
      <c r="AL2869" s="4">
        <v>36649</v>
      </c>
      <c r="AM2869" s="3"/>
      <c r="AN2869" s="3"/>
    </row>
    <row r="2870" spans="1:40" x14ac:dyDescent="0.3">
      <c r="A2870" s="3">
        <v>2864</v>
      </c>
      <c r="B2870" s="3" t="str">
        <f>"201000001397"</f>
        <v>201000001397</v>
      </c>
      <c r="C2870" s="3">
        <v>20645</v>
      </c>
      <c r="D2870" s="3" t="s">
        <v>10448</v>
      </c>
      <c r="E2870" s="3">
        <v>10038668671</v>
      </c>
      <c r="F2870" s="3" t="s">
        <v>10449</v>
      </c>
      <c r="G2870" s="3" t="s">
        <v>10450</v>
      </c>
      <c r="H2870" s="3" t="s">
        <v>50</v>
      </c>
      <c r="I2870" s="3" t="s">
        <v>638</v>
      </c>
      <c r="J2870" s="3" t="s">
        <v>774</v>
      </c>
      <c r="K2870" s="3" t="s">
        <v>10451</v>
      </c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C2870" s="3"/>
      <c r="AD2870" s="3"/>
      <c r="AE2870" s="3"/>
      <c r="AF2870" s="3"/>
      <c r="AG2870" s="3"/>
      <c r="AH2870" s="3"/>
      <c r="AI2870" s="3"/>
      <c r="AJ2870" s="3"/>
      <c r="AK2870" s="3" t="s">
        <v>230</v>
      </c>
      <c r="AL2870" s="4">
        <v>36804</v>
      </c>
      <c r="AM2870" s="3"/>
      <c r="AN2870" s="3"/>
    </row>
    <row r="2871" spans="1:40" x14ac:dyDescent="0.3">
      <c r="A2871" s="3">
        <v>2865</v>
      </c>
      <c r="B2871" s="3" t="str">
        <f>"201600012393"</f>
        <v>201600012393</v>
      </c>
      <c r="C2871" s="3">
        <v>40916</v>
      </c>
      <c r="D2871" s="3" t="s">
        <v>10452</v>
      </c>
      <c r="E2871" s="3">
        <v>20100366747</v>
      </c>
      <c r="F2871" s="3" t="s">
        <v>258</v>
      </c>
      <c r="G2871" s="3" t="s">
        <v>10453</v>
      </c>
      <c r="H2871" s="3" t="s">
        <v>56</v>
      </c>
      <c r="I2871" s="3" t="s">
        <v>56</v>
      </c>
      <c r="J2871" s="3" t="s">
        <v>185</v>
      </c>
      <c r="K2871" s="3" t="s">
        <v>10454</v>
      </c>
      <c r="L2871" s="3" t="s">
        <v>10455</v>
      </c>
      <c r="M2871" s="3" t="s">
        <v>10456</v>
      </c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C2871" s="3"/>
      <c r="AD2871" s="3"/>
      <c r="AE2871" s="3"/>
      <c r="AF2871" s="3"/>
      <c r="AG2871" s="3"/>
      <c r="AH2871" s="3"/>
      <c r="AI2871" s="3"/>
      <c r="AJ2871" s="3"/>
      <c r="AK2871" s="3" t="s">
        <v>10457</v>
      </c>
      <c r="AL2871" s="4">
        <v>42416</v>
      </c>
      <c r="AM2871" s="3"/>
      <c r="AN2871" s="3" t="s">
        <v>262</v>
      </c>
    </row>
    <row r="2872" spans="1:40" x14ac:dyDescent="0.3">
      <c r="A2872" s="3">
        <v>2866</v>
      </c>
      <c r="B2872" s="3" t="str">
        <f>"1377951"</f>
        <v>1377951</v>
      </c>
      <c r="C2872" s="3">
        <v>86786</v>
      </c>
      <c r="D2872" s="3" t="s">
        <v>10458</v>
      </c>
      <c r="E2872" s="3">
        <v>20517243133</v>
      </c>
      <c r="F2872" s="3" t="s">
        <v>10459</v>
      </c>
      <c r="G2872" s="3" t="s">
        <v>10460</v>
      </c>
      <c r="H2872" s="3" t="s">
        <v>97</v>
      </c>
      <c r="I2872" s="3" t="s">
        <v>97</v>
      </c>
      <c r="J2872" s="3" t="s">
        <v>417</v>
      </c>
      <c r="K2872" s="3" t="s">
        <v>10461</v>
      </c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C2872" s="3"/>
      <c r="AD2872" s="3"/>
      <c r="AE2872" s="3"/>
      <c r="AF2872" s="3"/>
      <c r="AG2872" s="3"/>
      <c r="AH2872" s="3"/>
      <c r="AI2872" s="3"/>
      <c r="AJ2872" s="3"/>
      <c r="AK2872" s="3" t="s">
        <v>10462</v>
      </c>
      <c r="AL2872" s="4">
        <v>40371</v>
      </c>
      <c r="AM2872" s="3"/>
      <c r="AN2872" s="3" t="s">
        <v>2058</v>
      </c>
    </row>
    <row r="2873" spans="1:40" x14ac:dyDescent="0.3">
      <c r="A2873" s="3">
        <v>2867</v>
      </c>
      <c r="B2873" s="3" t="str">
        <f>"1461412"</f>
        <v>1461412</v>
      </c>
      <c r="C2873" s="3">
        <v>90538</v>
      </c>
      <c r="D2873" s="3" t="s">
        <v>10463</v>
      </c>
      <c r="E2873" s="3">
        <v>10427742208</v>
      </c>
      <c r="F2873" s="3" t="s">
        <v>10464</v>
      </c>
      <c r="G2873" s="3" t="s">
        <v>10465</v>
      </c>
      <c r="H2873" s="3" t="s">
        <v>237</v>
      </c>
      <c r="I2873" s="3" t="s">
        <v>868</v>
      </c>
      <c r="J2873" s="3" t="s">
        <v>2537</v>
      </c>
      <c r="K2873" s="3" t="s">
        <v>10466</v>
      </c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C2873" s="3"/>
      <c r="AD2873" s="3"/>
      <c r="AE2873" s="3"/>
      <c r="AF2873" s="3"/>
      <c r="AG2873" s="3"/>
      <c r="AH2873" s="3"/>
      <c r="AI2873" s="3"/>
      <c r="AJ2873" s="3"/>
      <c r="AK2873" s="3" t="s">
        <v>7808</v>
      </c>
      <c r="AL2873" s="4">
        <v>40554</v>
      </c>
      <c r="AM2873" s="3"/>
      <c r="AN2873" s="3" t="s">
        <v>10464</v>
      </c>
    </row>
    <row r="2874" spans="1:40" x14ac:dyDescent="0.3">
      <c r="A2874" s="3">
        <v>2868</v>
      </c>
      <c r="B2874" s="3" t="str">
        <f>"201000001389"</f>
        <v>201000001389</v>
      </c>
      <c r="C2874" s="3">
        <v>39849</v>
      </c>
      <c r="D2874" s="3" t="s">
        <v>10467</v>
      </c>
      <c r="E2874" s="3">
        <v>20501548589</v>
      </c>
      <c r="F2874" s="3" t="s">
        <v>4109</v>
      </c>
      <c r="G2874" s="3" t="s">
        <v>6267</v>
      </c>
      <c r="H2874" s="3" t="s">
        <v>56</v>
      </c>
      <c r="I2874" s="3" t="s">
        <v>56</v>
      </c>
      <c r="J2874" s="3" t="s">
        <v>63</v>
      </c>
      <c r="K2874" s="3" t="s">
        <v>10468</v>
      </c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C2874" s="3"/>
      <c r="AD2874" s="3"/>
      <c r="AE2874" s="3"/>
      <c r="AF2874" s="3"/>
      <c r="AG2874" s="3"/>
      <c r="AH2874" s="3"/>
      <c r="AI2874" s="3"/>
      <c r="AJ2874" s="3"/>
      <c r="AK2874" s="3" t="s">
        <v>10427</v>
      </c>
      <c r="AL2874" s="4">
        <v>38385</v>
      </c>
      <c r="AM2874" s="3"/>
      <c r="AN2874" s="3"/>
    </row>
    <row r="2875" spans="1:40" ht="27.95" x14ac:dyDescent="0.3">
      <c r="A2875" s="3">
        <v>2869</v>
      </c>
      <c r="B2875" s="3" t="str">
        <f>"201800148711"</f>
        <v>201800148711</v>
      </c>
      <c r="C2875" s="3">
        <v>138457</v>
      </c>
      <c r="D2875" s="3" t="s">
        <v>10469</v>
      </c>
      <c r="E2875" s="3">
        <v>20525521509</v>
      </c>
      <c r="F2875" s="3" t="s">
        <v>189</v>
      </c>
      <c r="G2875" s="3" t="s">
        <v>815</v>
      </c>
      <c r="H2875" s="3" t="s">
        <v>50</v>
      </c>
      <c r="I2875" s="3" t="s">
        <v>50</v>
      </c>
      <c r="J2875" s="3" t="s">
        <v>50</v>
      </c>
      <c r="K2875" s="3" t="s">
        <v>10470</v>
      </c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C2875" s="3"/>
      <c r="AD2875" s="3"/>
      <c r="AE2875" s="3"/>
      <c r="AF2875" s="3"/>
      <c r="AG2875" s="3"/>
      <c r="AH2875" s="3"/>
      <c r="AI2875" s="3"/>
      <c r="AJ2875" s="3"/>
      <c r="AK2875" s="3" t="s">
        <v>602</v>
      </c>
      <c r="AL2875" s="4">
        <v>43354</v>
      </c>
      <c r="AM2875" s="3"/>
      <c r="AN2875" s="3" t="s">
        <v>817</v>
      </c>
    </row>
    <row r="2876" spans="1:40" ht="27.95" x14ac:dyDescent="0.3">
      <c r="A2876" s="3">
        <v>2870</v>
      </c>
      <c r="B2876" s="3" t="str">
        <f>"1702886"</f>
        <v>1702886</v>
      </c>
      <c r="C2876" s="3">
        <v>45644</v>
      </c>
      <c r="D2876" s="3" t="s">
        <v>10471</v>
      </c>
      <c r="E2876" s="3">
        <v>10400978153</v>
      </c>
      <c r="F2876" s="3" t="s">
        <v>2784</v>
      </c>
      <c r="G2876" s="3" t="s">
        <v>10472</v>
      </c>
      <c r="H2876" s="3" t="s">
        <v>56</v>
      </c>
      <c r="I2876" s="3" t="s">
        <v>56</v>
      </c>
      <c r="J2876" s="3" t="s">
        <v>63</v>
      </c>
      <c r="K2876" s="3" t="s">
        <v>10473</v>
      </c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C2876" s="3"/>
      <c r="AD2876" s="3"/>
      <c r="AE2876" s="3"/>
      <c r="AF2876" s="3"/>
      <c r="AG2876" s="3"/>
      <c r="AH2876" s="3"/>
      <c r="AI2876" s="3"/>
      <c r="AJ2876" s="3"/>
      <c r="AK2876" s="3" t="s">
        <v>1514</v>
      </c>
      <c r="AL2876" s="4">
        <v>39274</v>
      </c>
      <c r="AM2876" s="3"/>
      <c r="AN2876" s="3"/>
    </row>
    <row r="2877" spans="1:40" x14ac:dyDescent="0.3">
      <c r="A2877" s="3">
        <v>2871</v>
      </c>
      <c r="B2877" s="3" t="str">
        <f>"1702885"</f>
        <v>1702885</v>
      </c>
      <c r="C2877" s="3">
        <v>45490</v>
      </c>
      <c r="D2877" s="3" t="s">
        <v>10474</v>
      </c>
      <c r="E2877" s="3">
        <v>10400978153</v>
      </c>
      <c r="F2877" s="3" t="s">
        <v>2784</v>
      </c>
      <c r="G2877" s="3" t="s">
        <v>10475</v>
      </c>
      <c r="H2877" s="3" t="s">
        <v>75</v>
      </c>
      <c r="I2877" s="3" t="s">
        <v>75</v>
      </c>
      <c r="J2877" s="3" t="s">
        <v>76</v>
      </c>
      <c r="K2877" s="3" t="s">
        <v>10476</v>
      </c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C2877" s="3"/>
      <c r="AD2877" s="3"/>
      <c r="AE2877" s="3"/>
      <c r="AF2877" s="3"/>
      <c r="AG2877" s="3"/>
      <c r="AH2877" s="3"/>
      <c r="AI2877" s="3"/>
      <c r="AJ2877" s="3"/>
      <c r="AK2877" s="3" t="s">
        <v>10477</v>
      </c>
      <c r="AL2877" s="4">
        <v>39274</v>
      </c>
      <c r="AM2877" s="3"/>
      <c r="AN2877" s="3"/>
    </row>
    <row r="2878" spans="1:40" x14ac:dyDescent="0.3">
      <c r="A2878" s="3">
        <v>2872</v>
      </c>
      <c r="B2878" s="3" t="str">
        <f>"1302991"</f>
        <v>1302991</v>
      </c>
      <c r="C2878" s="3">
        <v>20603</v>
      </c>
      <c r="D2878" s="3">
        <v>1302991</v>
      </c>
      <c r="E2878" s="3">
        <v>20293033804</v>
      </c>
      <c r="F2878" s="3" t="s">
        <v>6241</v>
      </c>
      <c r="G2878" s="3" t="s">
        <v>6242</v>
      </c>
      <c r="H2878" s="3" t="s">
        <v>75</v>
      </c>
      <c r="I2878" s="3" t="s">
        <v>75</v>
      </c>
      <c r="J2878" s="3" t="s">
        <v>4639</v>
      </c>
      <c r="K2878" s="3" t="s">
        <v>10478</v>
      </c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C2878" s="3"/>
      <c r="AD2878" s="3"/>
      <c r="AE2878" s="3"/>
      <c r="AF2878" s="3"/>
      <c r="AG2878" s="3"/>
      <c r="AH2878" s="3"/>
      <c r="AI2878" s="3"/>
      <c r="AJ2878" s="3"/>
      <c r="AK2878" s="3" t="s">
        <v>65</v>
      </c>
      <c r="AL2878" s="4">
        <v>36873</v>
      </c>
      <c r="AM2878" s="3"/>
      <c r="AN2878" s="3"/>
    </row>
    <row r="2879" spans="1:40" x14ac:dyDescent="0.3">
      <c r="A2879" s="3">
        <v>2873</v>
      </c>
      <c r="B2879" s="3" t="str">
        <f>"201800146589"</f>
        <v>201800146589</v>
      </c>
      <c r="C2879" s="3">
        <v>138390</v>
      </c>
      <c r="D2879" s="3" t="s">
        <v>10479</v>
      </c>
      <c r="E2879" s="3">
        <v>10457426386</v>
      </c>
      <c r="F2879" s="3" t="s">
        <v>10480</v>
      </c>
      <c r="G2879" s="3" t="s">
        <v>10481</v>
      </c>
      <c r="H2879" s="3" t="s">
        <v>56</v>
      </c>
      <c r="I2879" s="3" t="s">
        <v>56</v>
      </c>
      <c r="J2879" s="3" t="s">
        <v>116</v>
      </c>
      <c r="K2879" s="3" t="s">
        <v>10482</v>
      </c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C2879" s="3"/>
      <c r="AD2879" s="3"/>
      <c r="AE2879" s="3"/>
      <c r="AF2879" s="3"/>
      <c r="AG2879" s="3"/>
      <c r="AH2879" s="3"/>
      <c r="AI2879" s="3"/>
      <c r="AJ2879" s="3"/>
      <c r="AK2879" s="3" t="s">
        <v>1538</v>
      </c>
      <c r="AL2879" s="4">
        <v>43348</v>
      </c>
      <c r="AM2879" s="3"/>
      <c r="AN2879" s="3" t="s">
        <v>10480</v>
      </c>
    </row>
    <row r="2880" spans="1:40" x14ac:dyDescent="0.3">
      <c r="A2880" s="3">
        <v>2874</v>
      </c>
      <c r="B2880" s="3" t="str">
        <f>"1743480"</f>
        <v>1743480</v>
      </c>
      <c r="C2880" s="3">
        <v>37035</v>
      </c>
      <c r="D2880" s="3" t="s">
        <v>10483</v>
      </c>
      <c r="E2880" s="3">
        <v>10103615441</v>
      </c>
      <c r="F2880" s="3" t="s">
        <v>10484</v>
      </c>
      <c r="G2880" s="3" t="s">
        <v>10485</v>
      </c>
      <c r="H2880" s="3" t="s">
        <v>56</v>
      </c>
      <c r="I2880" s="3" t="s">
        <v>56</v>
      </c>
      <c r="J2880" s="3" t="s">
        <v>277</v>
      </c>
      <c r="K2880" s="3" t="s">
        <v>10486</v>
      </c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C2880" s="3"/>
      <c r="AD2880" s="3"/>
      <c r="AE2880" s="3"/>
      <c r="AF2880" s="3"/>
      <c r="AG2880" s="3"/>
      <c r="AH2880" s="3"/>
      <c r="AI2880" s="3"/>
      <c r="AJ2880" s="3"/>
      <c r="AK2880" s="3" t="s">
        <v>1586</v>
      </c>
      <c r="AL2880" s="4">
        <v>39436</v>
      </c>
      <c r="AM2880" s="3"/>
      <c r="AN2880" s="3"/>
    </row>
    <row r="2881" spans="1:40" x14ac:dyDescent="0.3">
      <c r="A2881" s="3">
        <v>2875</v>
      </c>
      <c r="B2881" s="3" t="str">
        <f>"201400026207"</f>
        <v>201400026207</v>
      </c>
      <c r="C2881" s="3">
        <v>108235</v>
      </c>
      <c r="D2881" s="3" t="s">
        <v>10487</v>
      </c>
      <c r="E2881" s="3">
        <v>10200218553</v>
      </c>
      <c r="F2881" s="3" t="s">
        <v>10488</v>
      </c>
      <c r="G2881" s="3" t="s">
        <v>10489</v>
      </c>
      <c r="H2881" s="3" t="s">
        <v>386</v>
      </c>
      <c r="I2881" s="3" t="s">
        <v>387</v>
      </c>
      <c r="J2881" s="3" t="s">
        <v>386</v>
      </c>
      <c r="K2881" s="3" t="s">
        <v>10490</v>
      </c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C2881" s="3"/>
      <c r="AD2881" s="3"/>
      <c r="AE2881" s="3"/>
      <c r="AF2881" s="3"/>
      <c r="AG2881" s="3"/>
      <c r="AH2881" s="3"/>
      <c r="AI2881" s="3"/>
      <c r="AJ2881" s="3"/>
      <c r="AK2881" s="3" t="s">
        <v>8000</v>
      </c>
      <c r="AL2881" s="4">
        <v>41708</v>
      </c>
      <c r="AM2881" s="3"/>
      <c r="AN2881" s="3" t="s">
        <v>10488</v>
      </c>
    </row>
    <row r="2882" spans="1:40" x14ac:dyDescent="0.3">
      <c r="A2882" s="3">
        <v>2876</v>
      </c>
      <c r="B2882" s="3" t="str">
        <f>"201700031382"</f>
        <v>201700031382</v>
      </c>
      <c r="C2882" s="3">
        <v>121043</v>
      </c>
      <c r="D2882" s="3" t="s">
        <v>10491</v>
      </c>
      <c r="E2882" s="3">
        <v>20351516560</v>
      </c>
      <c r="F2882" s="3" t="s">
        <v>515</v>
      </c>
      <c r="G2882" s="3" t="s">
        <v>516</v>
      </c>
      <c r="H2882" s="3" t="s">
        <v>395</v>
      </c>
      <c r="I2882" s="3" t="s">
        <v>396</v>
      </c>
      <c r="J2882" s="3" t="s">
        <v>397</v>
      </c>
      <c r="K2882" s="3" t="s">
        <v>10492</v>
      </c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C2882" s="3"/>
      <c r="AD2882" s="3"/>
      <c r="AE2882" s="3"/>
      <c r="AF2882" s="3"/>
      <c r="AG2882" s="3"/>
      <c r="AH2882" s="3"/>
      <c r="AI2882" s="3"/>
      <c r="AJ2882" s="3"/>
      <c r="AK2882" s="3" t="s">
        <v>2394</v>
      </c>
      <c r="AL2882" s="4">
        <v>42920</v>
      </c>
      <c r="AM2882" s="3"/>
      <c r="AN2882" s="3" t="s">
        <v>519</v>
      </c>
    </row>
    <row r="2883" spans="1:40" x14ac:dyDescent="0.3">
      <c r="A2883" s="3">
        <v>2877</v>
      </c>
      <c r="B2883" s="3" t="str">
        <f>"1462592"</f>
        <v>1462592</v>
      </c>
      <c r="C2883" s="3">
        <v>84857</v>
      </c>
      <c r="D2883" s="3" t="s">
        <v>10493</v>
      </c>
      <c r="E2883" s="3">
        <v>20454210230</v>
      </c>
      <c r="F2883" s="3" t="s">
        <v>10494</v>
      </c>
      <c r="G2883" s="3" t="s">
        <v>10495</v>
      </c>
      <c r="H2883" s="3" t="s">
        <v>97</v>
      </c>
      <c r="I2883" s="3" t="s">
        <v>97</v>
      </c>
      <c r="J2883" s="3" t="s">
        <v>341</v>
      </c>
      <c r="K2883" s="3" t="s">
        <v>10496</v>
      </c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C2883" s="3"/>
      <c r="AD2883" s="3"/>
      <c r="AE2883" s="3"/>
      <c r="AF2883" s="3"/>
      <c r="AG2883" s="3"/>
      <c r="AH2883" s="3"/>
      <c r="AI2883" s="3"/>
      <c r="AJ2883" s="3"/>
      <c r="AK2883" s="3" t="s">
        <v>1354</v>
      </c>
      <c r="AL2883" s="4">
        <v>40561</v>
      </c>
      <c r="AM2883" s="3"/>
      <c r="AN2883" s="3" t="s">
        <v>10497</v>
      </c>
    </row>
    <row r="2884" spans="1:40" x14ac:dyDescent="0.3">
      <c r="A2884" s="3">
        <v>2878</v>
      </c>
      <c r="B2884" s="3" t="str">
        <f>"201700031385"</f>
        <v>201700031385</v>
      </c>
      <c r="C2884" s="3">
        <v>121040</v>
      </c>
      <c r="D2884" s="3" t="s">
        <v>10498</v>
      </c>
      <c r="E2884" s="3">
        <v>20351516560</v>
      </c>
      <c r="F2884" s="3" t="s">
        <v>515</v>
      </c>
      <c r="G2884" s="3" t="s">
        <v>516</v>
      </c>
      <c r="H2884" s="3" t="s">
        <v>395</v>
      </c>
      <c r="I2884" s="3" t="s">
        <v>396</v>
      </c>
      <c r="J2884" s="3" t="s">
        <v>397</v>
      </c>
      <c r="K2884" s="3" t="s">
        <v>10499</v>
      </c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C2884" s="3"/>
      <c r="AD2884" s="3"/>
      <c r="AE2884" s="3"/>
      <c r="AF2884" s="3"/>
      <c r="AG2884" s="3"/>
      <c r="AH2884" s="3"/>
      <c r="AI2884" s="3"/>
      <c r="AJ2884" s="3"/>
      <c r="AK2884" s="3" t="s">
        <v>518</v>
      </c>
      <c r="AL2884" s="4">
        <v>42920</v>
      </c>
      <c r="AM2884" s="3"/>
      <c r="AN2884" s="3" t="s">
        <v>519</v>
      </c>
    </row>
    <row r="2885" spans="1:40" ht="41.95" x14ac:dyDescent="0.3">
      <c r="A2885" s="3">
        <v>2879</v>
      </c>
      <c r="B2885" s="3" t="str">
        <f>"201800184101"</f>
        <v>201800184101</v>
      </c>
      <c r="C2885" s="3">
        <v>139497</v>
      </c>
      <c r="D2885" s="3" t="s">
        <v>10500</v>
      </c>
      <c r="E2885" s="3">
        <v>20478005289</v>
      </c>
      <c r="F2885" s="3" t="s">
        <v>957</v>
      </c>
      <c r="G2885" s="3" t="s">
        <v>7560</v>
      </c>
      <c r="H2885" s="3" t="s">
        <v>56</v>
      </c>
      <c r="I2885" s="3" t="s">
        <v>56</v>
      </c>
      <c r="J2885" s="3" t="s">
        <v>363</v>
      </c>
      <c r="K2885" s="3" t="s">
        <v>10501</v>
      </c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C2885" s="3"/>
      <c r="AD2885" s="3"/>
      <c r="AE2885" s="3"/>
      <c r="AF2885" s="3"/>
      <c r="AG2885" s="3"/>
      <c r="AH2885" s="3"/>
      <c r="AI2885" s="3"/>
      <c r="AJ2885" s="3"/>
      <c r="AK2885" s="3" t="s">
        <v>1273</v>
      </c>
      <c r="AL2885" s="4">
        <v>43412</v>
      </c>
      <c r="AM2885" s="3"/>
      <c r="AN2885" s="3" t="s">
        <v>372</v>
      </c>
    </row>
    <row r="2886" spans="1:40" x14ac:dyDescent="0.3">
      <c r="A2886" s="3">
        <v>2880</v>
      </c>
      <c r="B2886" s="3" t="str">
        <f>"201300128729"</f>
        <v>201300128729</v>
      </c>
      <c r="C2886" s="3">
        <v>104479</v>
      </c>
      <c r="D2886" s="3" t="s">
        <v>10502</v>
      </c>
      <c r="E2886" s="3">
        <v>20543992942</v>
      </c>
      <c r="F2886" s="3" t="s">
        <v>10503</v>
      </c>
      <c r="G2886" s="3" t="s">
        <v>10504</v>
      </c>
      <c r="H2886" s="3" t="s">
        <v>56</v>
      </c>
      <c r="I2886" s="3" t="s">
        <v>56</v>
      </c>
      <c r="J2886" s="3" t="s">
        <v>57</v>
      </c>
      <c r="K2886" s="3" t="s">
        <v>10505</v>
      </c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C2886" s="3"/>
      <c r="AD2886" s="3"/>
      <c r="AE2886" s="3"/>
      <c r="AF2886" s="3"/>
      <c r="AG2886" s="3"/>
      <c r="AH2886" s="3"/>
      <c r="AI2886" s="3"/>
      <c r="AJ2886" s="3"/>
      <c r="AK2886" s="3" t="s">
        <v>1721</v>
      </c>
      <c r="AL2886" s="4">
        <v>41498</v>
      </c>
      <c r="AM2886" s="3"/>
      <c r="AN2886" s="3" t="s">
        <v>543</v>
      </c>
    </row>
    <row r="2887" spans="1:40" x14ac:dyDescent="0.3">
      <c r="A2887" s="3">
        <v>2881</v>
      </c>
      <c r="B2887" s="3" t="str">
        <f>"1573844"</f>
        <v>1573844</v>
      </c>
      <c r="C2887" s="3">
        <v>38830</v>
      </c>
      <c r="D2887" s="3" t="s">
        <v>10506</v>
      </c>
      <c r="E2887" s="3">
        <v>10096364755</v>
      </c>
      <c r="F2887" s="3" t="s">
        <v>8796</v>
      </c>
      <c r="G2887" s="3" t="s">
        <v>10507</v>
      </c>
      <c r="H2887" s="3" t="s">
        <v>56</v>
      </c>
      <c r="I2887" s="3" t="s">
        <v>56</v>
      </c>
      <c r="J2887" s="3" t="s">
        <v>481</v>
      </c>
      <c r="K2887" s="3" t="s">
        <v>10508</v>
      </c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C2887" s="3"/>
      <c r="AD2887" s="3"/>
      <c r="AE2887" s="3"/>
      <c r="AF2887" s="3"/>
      <c r="AG2887" s="3"/>
      <c r="AH2887" s="3"/>
      <c r="AI2887" s="3"/>
      <c r="AJ2887" s="3"/>
      <c r="AK2887" s="3" t="s">
        <v>81</v>
      </c>
      <c r="AL2887" s="4">
        <v>38685</v>
      </c>
      <c r="AM2887" s="3"/>
      <c r="AN2887" s="3"/>
    </row>
    <row r="2888" spans="1:40" x14ac:dyDescent="0.3">
      <c r="A2888" s="3">
        <v>2882</v>
      </c>
      <c r="B2888" s="3" t="str">
        <f>"1496304"</f>
        <v>1496304</v>
      </c>
      <c r="C2888" s="3">
        <v>42951</v>
      </c>
      <c r="D2888" s="3" t="s">
        <v>10509</v>
      </c>
      <c r="E2888" s="3">
        <v>10204262140</v>
      </c>
      <c r="F2888" s="3" t="s">
        <v>4459</v>
      </c>
      <c r="G2888" s="3" t="s">
        <v>4460</v>
      </c>
      <c r="H2888" s="3" t="s">
        <v>56</v>
      </c>
      <c r="I2888" s="3" t="s">
        <v>56</v>
      </c>
      <c r="J2888" s="3" t="s">
        <v>1677</v>
      </c>
      <c r="K2888" s="3" t="s">
        <v>10510</v>
      </c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C2888" s="3"/>
      <c r="AD2888" s="3"/>
      <c r="AE2888" s="3"/>
      <c r="AF2888" s="3"/>
      <c r="AG2888" s="3"/>
      <c r="AH2888" s="3"/>
      <c r="AI2888" s="3"/>
      <c r="AJ2888" s="3"/>
      <c r="AK2888" s="3" t="s">
        <v>9069</v>
      </c>
      <c r="AL2888" s="4">
        <v>40767</v>
      </c>
      <c r="AM2888" s="3"/>
      <c r="AN2888" s="3" t="s">
        <v>4459</v>
      </c>
    </row>
    <row r="2889" spans="1:40" x14ac:dyDescent="0.3">
      <c r="A2889" s="3">
        <v>2883</v>
      </c>
      <c r="B2889" s="3" t="str">
        <f>"1494751"</f>
        <v>1494751</v>
      </c>
      <c r="C2889" s="3">
        <v>39702</v>
      </c>
      <c r="D2889" s="3" t="s">
        <v>10511</v>
      </c>
      <c r="E2889" s="3">
        <v>10106454731</v>
      </c>
      <c r="F2889" s="3" t="s">
        <v>10512</v>
      </c>
      <c r="G2889" s="3" t="s">
        <v>10513</v>
      </c>
      <c r="H2889" s="3" t="s">
        <v>56</v>
      </c>
      <c r="I2889" s="3" t="s">
        <v>56</v>
      </c>
      <c r="J2889" s="3" t="s">
        <v>1677</v>
      </c>
      <c r="K2889" s="3" t="s">
        <v>10514</v>
      </c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C2889" s="3"/>
      <c r="AD2889" s="3"/>
      <c r="AE2889" s="3"/>
      <c r="AF2889" s="3"/>
      <c r="AG2889" s="3"/>
      <c r="AH2889" s="3"/>
      <c r="AI2889" s="3"/>
      <c r="AJ2889" s="3"/>
      <c r="AK2889" s="3" t="s">
        <v>2856</v>
      </c>
      <c r="AL2889" s="4">
        <v>38271</v>
      </c>
      <c r="AM2889" s="3"/>
      <c r="AN2889" s="3"/>
    </row>
    <row r="2890" spans="1:40" x14ac:dyDescent="0.3">
      <c r="A2890" s="3">
        <v>2884</v>
      </c>
      <c r="B2890" s="3" t="str">
        <f>"1329416"</f>
        <v>1329416</v>
      </c>
      <c r="C2890" s="3">
        <v>21110</v>
      </c>
      <c r="D2890" s="3" t="s">
        <v>10515</v>
      </c>
      <c r="E2890" s="3">
        <v>20352425894</v>
      </c>
      <c r="F2890" s="3" t="s">
        <v>6886</v>
      </c>
      <c r="G2890" s="3" t="s">
        <v>9642</v>
      </c>
      <c r="H2890" s="3" t="s">
        <v>56</v>
      </c>
      <c r="I2890" s="3" t="s">
        <v>56</v>
      </c>
      <c r="J2890" s="3" t="s">
        <v>572</v>
      </c>
      <c r="K2890" s="3" t="s">
        <v>10516</v>
      </c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C2890" s="3"/>
      <c r="AD2890" s="3"/>
      <c r="AE2890" s="3"/>
      <c r="AF2890" s="3"/>
      <c r="AG2890" s="3"/>
      <c r="AH2890" s="3"/>
      <c r="AI2890" s="3"/>
      <c r="AJ2890" s="3"/>
      <c r="AK2890" s="3" t="s">
        <v>546</v>
      </c>
      <c r="AL2890" s="4">
        <v>37095</v>
      </c>
      <c r="AM2890" s="3"/>
      <c r="AN2890" s="3"/>
    </row>
    <row r="2891" spans="1:40" ht="27.95" x14ac:dyDescent="0.3">
      <c r="A2891" s="3">
        <v>2885</v>
      </c>
      <c r="B2891" s="3" t="str">
        <f>"1894935"</f>
        <v>1894935</v>
      </c>
      <c r="C2891" s="3">
        <v>83480</v>
      </c>
      <c r="D2891" s="3" t="s">
        <v>10517</v>
      </c>
      <c r="E2891" s="3">
        <v>20404723392</v>
      </c>
      <c r="F2891" s="3" t="s">
        <v>87</v>
      </c>
      <c r="G2891" s="3" t="s">
        <v>10518</v>
      </c>
      <c r="H2891" s="3" t="s">
        <v>89</v>
      </c>
      <c r="I2891" s="3" t="s">
        <v>89</v>
      </c>
      <c r="J2891" s="3" t="s">
        <v>90</v>
      </c>
      <c r="K2891" s="3" t="s">
        <v>10519</v>
      </c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C2891" s="3"/>
      <c r="AD2891" s="3"/>
      <c r="AE2891" s="3"/>
      <c r="AF2891" s="3"/>
      <c r="AG2891" s="3"/>
      <c r="AH2891" s="3"/>
      <c r="AI2891" s="3"/>
      <c r="AJ2891" s="3"/>
      <c r="AK2891" s="3" t="s">
        <v>47</v>
      </c>
      <c r="AL2891" s="4">
        <v>39968</v>
      </c>
      <c r="AM2891" s="3"/>
      <c r="AN2891" s="3"/>
    </row>
    <row r="2892" spans="1:40" ht="41.95" x14ac:dyDescent="0.3">
      <c r="A2892" s="3">
        <v>2886</v>
      </c>
      <c r="B2892" s="3" t="str">
        <f>"201800184107"</f>
        <v>201800184107</v>
      </c>
      <c r="C2892" s="3">
        <v>139498</v>
      </c>
      <c r="D2892" s="3" t="s">
        <v>10520</v>
      </c>
      <c r="E2892" s="3">
        <v>20478005289</v>
      </c>
      <c r="F2892" s="3" t="s">
        <v>957</v>
      </c>
      <c r="G2892" s="3" t="s">
        <v>7560</v>
      </c>
      <c r="H2892" s="3" t="s">
        <v>56</v>
      </c>
      <c r="I2892" s="3" t="s">
        <v>56</v>
      </c>
      <c r="J2892" s="3" t="s">
        <v>363</v>
      </c>
      <c r="K2892" s="3" t="s">
        <v>10521</v>
      </c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C2892" s="3"/>
      <c r="AD2892" s="3"/>
      <c r="AE2892" s="3"/>
      <c r="AF2892" s="3"/>
      <c r="AG2892" s="3"/>
      <c r="AH2892" s="3"/>
      <c r="AI2892" s="3"/>
      <c r="AJ2892" s="3"/>
      <c r="AK2892" s="3" t="s">
        <v>1273</v>
      </c>
      <c r="AL2892" s="4">
        <v>43412</v>
      </c>
      <c r="AM2892" s="3"/>
      <c r="AN2892" s="3" t="s">
        <v>372</v>
      </c>
    </row>
    <row r="2893" spans="1:40" ht="27.95" x14ac:dyDescent="0.3">
      <c r="A2893" s="3">
        <v>2887</v>
      </c>
      <c r="B2893" s="3" t="str">
        <f>"1680750"</f>
        <v>1680750</v>
      </c>
      <c r="C2893" s="3">
        <v>45419</v>
      </c>
      <c r="D2893" s="3" t="s">
        <v>10522</v>
      </c>
      <c r="E2893" s="3">
        <v>20502244907</v>
      </c>
      <c r="F2893" s="3" t="s">
        <v>10523</v>
      </c>
      <c r="G2893" s="3" t="s">
        <v>10524</v>
      </c>
      <c r="H2893" s="3" t="s">
        <v>75</v>
      </c>
      <c r="I2893" s="3" t="s">
        <v>75</v>
      </c>
      <c r="J2893" s="3" t="s">
        <v>1358</v>
      </c>
      <c r="K2893" s="3" t="s">
        <v>10525</v>
      </c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C2893" s="3"/>
      <c r="AD2893" s="3"/>
      <c r="AE2893" s="3"/>
      <c r="AF2893" s="3"/>
      <c r="AG2893" s="3"/>
      <c r="AH2893" s="3"/>
      <c r="AI2893" s="3"/>
      <c r="AJ2893" s="3"/>
      <c r="AK2893" s="3" t="s">
        <v>7656</v>
      </c>
      <c r="AL2893" s="4">
        <v>39217</v>
      </c>
      <c r="AM2893" s="3"/>
      <c r="AN2893" s="3"/>
    </row>
    <row r="2894" spans="1:40" x14ac:dyDescent="0.3">
      <c r="A2894" s="3">
        <v>2888</v>
      </c>
      <c r="B2894" s="3" t="str">
        <f>"1513622"</f>
        <v>1513622</v>
      </c>
      <c r="C2894" s="3">
        <v>93338</v>
      </c>
      <c r="D2894" s="3" t="s">
        <v>10526</v>
      </c>
      <c r="E2894" s="3">
        <v>10431642447</v>
      </c>
      <c r="F2894" s="3" t="s">
        <v>6136</v>
      </c>
      <c r="G2894" s="3" t="s">
        <v>10527</v>
      </c>
      <c r="H2894" s="3" t="s">
        <v>97</v>
      </c>
      <c r="I2894" s="3" t="s">
        <v>97</v>
      </c>
      <c r="J2894" s="3" t="s">
        <v>144</v>
      </c>
      <c r="K2894" s="3" t="s">
        <v>10528</v>
      </c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C2894" s="3"/>
      <c r="AD2894" s="3"/>
      <c r="AE2894" s="3"/>
      <c r="AF2894" s="3"/>
      <c r="AG2894" s="3"/>
      <c r="AH2894" s="3"/>
      <c r="AI2894" s="3"/>
      <c r="AJ2894" s="3"/>
      <c r="AK2894" s="3" t="s">
        <v>162</v>
      </c>
      <c r="AL2894" s="4">
        <v>40890</v>
      </c>
      <c r="AM2894" s="3"/>
      <c r="AN2894" s="3" t="s">
        <v>6136</v>
      </c>
    </row>
    <row r="2895" spans="1:40" ht="27.95" x14ac:dyDescent="0.3">
      <c r="A2895" s="3">
        <v>2889</v>
      </c>
      <c r="B2895" s="3" t="str">
        <f>"201800158119"</f>
        <v>201800158119</v>
      </c>
      <c r="C2895" s="3">
        <v>134213</v>
      </c>
      <c r="D2895" s="3" t="s">
        <v>10529</v>
      </c>
      <c r="E2895" s="3">
        <v>20492851834</v>
      </c>
      <c r="F2895" s="3" t="s">
        <v>10530</v>
      </c>
      <c r="G2895" s="3" t="s">
        <v>10531</v>
      </c>
      <c r="H2895" s="3" t="s">
        <v>56</v>
      </c>
      <c r="I2895" s="3" t="s">
        <v>56</v>
      </c>
      <c r="J2895" s="3" t="s">
        <v>363</v>
      </c>
      <c r="K2895" s="3" t="s">
        <v>10532</v>
      </c>
      <c r="L2895" s="3" t="s">
        <v>10533</v>
      </c>
      <c r="M2895" s="3" t="s">
        <v>10534</v>
      </c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C2895" s="3"/>
      <c r="AD2895" s="3"/>
      <c r="AE2895" s="3"/>
      <c r="AF2895" s="3"/>
      <c r="AG2895" s="3"/>
      <c r="AH2895" s="3"/>
      <c r="AI2895" s="3"/>
      <c r="AJ2895" s="3"/>
      <c r="AK2895" s="3" t="s">
        <v>1935</v>
      </c>
      <c r="AL2895" s="4">
        <v>43370</v>
      </c>
      <c r="AM2895" s="3"/>
      <c r="AN2895" s="3" t="s">
        <v>10535</v>
      </c>
    </row>
    <row r="2896" spans="1:40" x14ac:dyDescent="0.3">
      <c r="A2896" s="3">
        <v>2890</v>
      </c>
      <c r="B2896" s="3" t="str">
        <f>"201600146370"</f>
        <v>201600146370</v>
      </c>
      <c r="C2896" s="3">
        <v>124458</v>
      </c>
      <c r="D2896" s="3" t="s">
        <v>10536</v>
      </c>
      <c r="E2896" s="3">
        <v>20393711974</v>
      </c>
      <c r="F2896" s="3" t="s">
        <v>978</v>
      </c>
      <c r="G2896" s="3" t="s">
        <v>10537</v>
      </c>
      <c r="H2896" s="3" t="s">
        <v>395</v>
      </c>
      <c r="I2896" s="3" t="s">
        <v>396</v>
      </c>
      <c r="J2896" s="3" t="s">
        <v>490</v>
      </c>
      <c r="K2896" s="3" t="s">
        <v>10538</v>
      </c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C2896" s="3"/>
      <c r="AD2896" s="3"/>
      <c r="AE2896" s="3"/>
      <c r="AF2896" s="3"/>
      <c r="AG2896" s="3"/>
      <c r="AH2896" s="3"/>
      <c r="AI2896" s="3"/>
      <c r="AJ2896" s="3"/>
      <c r="AK2896" s="3" t="s">
        <v>794</v>
      </c>
      <c r="AL2896" s="4">
        <v>42791</v>
      </c>
      <c r="AM2896" s="3"/>
      <c r="AN2896" s="3" t="s">
        <v>982</v>
      </c>
    </row>
    <row r="2897" spans="1:40" ht="27.95" x14ac:dyDescent="0.3">
      <c r="A2897" s="3">
        <v>2891</v>
      </c>
      <c r="B2897" s="3" t="str">
        <f>"1769562"</f>
        <v>1769562</v>
      </c>
      <c r="C2897" s="3">
        <v>37004</v>
      </c>
      <c r="D2897" s="3" t="s">
        <v>10539</v>
      </c>
      <c r="E2897" s="3">
        <v>10255171637</v>
      </c>
      <c r="F2897" s="3" t="s">
        <v>10540</v>
      </c>
      <c r="G2897" s="3" t="s">
        <v>10541</v>
      </c>
      <c r="H2897" s="3" t="s">
        <v>75</v>
      </c>
      <c r="I2897" s="3" t="s">
        <v>75</v>
      </c>
      <c r="J2897" s="3" t="s">
        <v>76</v>
      </c>
      <c r="K2897" s="3" t="s">
        <v>10542</v>
      </c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C2897" s="3"/>
      <c r="AD2897" s="3"/>
      <c r="AE2897" s="3"/>
      <c r="AF2897" s="3"/>
      <c r="AG2897" s="3"/>
      <c r="AH2897" s="3"/>
      <c r="AI2897" s="3"/>
      <c r="AJ2897" s="3"/>
      <c r="AK2897" s="3" t="s">
        <v>81</v>
      </c>
      <c r="AL2897" s="4">
        <v>39561</v>
      </c>
      <c r="AM2897" s="3"/>
      <c r="AN2897" s="3"/>
    </row>
    <row r="2898" spans="1:40" x14ac:dyDescent="0.3">
      <c r="A2898" s="3">
        <v>2892</v>
      </c>
      <c r="B2898" s="3" t="str">
        <f>"1280616"</f>
        <v>1280616</v>
      </c>
      <c r="C2898" s="3">
        <v>19548</v>
      </c>
      <c r="D2898" s="3">
        <v>1280616</v>
      </c>
      <c r="E2898" s="3">
        <v>10102968323</v>
      </c>
      <c r="F2898" s="3" t="s">
        <v>10543</v>
      </c>
      <c r="G2898" s="3" t="s">
        <v>10544</v>
      </c>
      <c r="H2898" s="3" t="s">
        <v>56</v>
      </c>
      <c r="I2898" s="3" t="s">
        <v>56</v>
      </c>
      <c r="J2898" s="3" t="s">
        <v>10545</v>
      </c>
      <c r="K2898" s="3" t="s">
        <v>10546</v>
      </c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C2898" s="3"/>
      <c r="AD2898" s="3"/>
      <c r="AE2898" s="3"/>
      <c r="AF2898" s="3"/>
      <c r="AG2898" s="3"/>
      <c r="AH2898" s="3"/>
      <c r="AI2898" s="3"/>
      <c r="AJ2898" s="3"/>
      <c r="AK2898" s="3" t="s">
        <v>81</v>
      </c>
      <c r="AL2898" s="4">
        <v>36677</v>
      </c>
      <c r="AM2898" s="3"/>
      <c r="AN2898" s="3"/>
    </row>
    <row r="2899" spans="1:40" ht="27.95" x14ac:dyDescent="0.3">
      <c r="A2899" s="3">
        <v>2893</v>
      </c>
      <c r="B2899" s="3" t="str">
        <f>"201300134294"</f>
        <v>201300134294</v>
      </c>
      <c r="C2899" s="3">
        <v>43316</v>
      </c>
      <c r="D2899" s="3" t="s">
        <v>10547</v>
      </c>
      <c r="E2899" s="3">
        <v>20543992942</v>
      </c>
      <c r="F2899" s="3" t="s">
        <v>540</v>
      </c>
      <c r="G2899" s="3" t="s">
        <v>7564</v>
      </c>
      <c r="H2899" s="3" t="s">
        <v>56</v>
      </c>
      <c r="I2899" s="3" t="s">
        <v>56</v>
      </c>
      <c r="J2899" s="3" t="s">
        <v>57</v>
      </c>
      <c r="K2899" s="3" t="s">
        <v>10548</v>
      </c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C2899" s="3"/>
      <c r="AD2899" s="3"/>
      <c r="AE2899" s="3"/>
      <c r="AF2899" s="3"/>
      <c r="AG2899" s="3"/>
      <c r="AH2899" s="3"/>
      <c r="AI2899" s="3"/>
      <c r="AJ2899" s="3"/>
      <c r="AK2899" s="3" t="s">
        <v>10549</v>
      </c>
      <c r="AL2899" s="3" t="s">
        <v>290</v>
      </c>
      <c r="AM2899" s="3"/>
      <c r="AN2899" s="3" t="s">
        <v>543</v>
      </c>
    </row>
    <row r="2900" spans="1:40" x14ac:dyDescent="0.3">
      <c r="A2900" s="3">
        <v>2894</v>
      </c>
      <c r="B2900" s="3" t="str">
        <f>"1428270"</f>
        <v>1428270</v>
      </c>
      <c r="C2900" s="3">
        <v>35402</v>
      </c>
      <c r="D2900" s="3" t="s">
        <v>10550</v>
      </c>
      <c r="E2900" s="3">
        <v>20153236551</v>
      </c>
      <c r="F2900" s="3" t="s">
        <v>1179</v>
      </c>
      <c r="G2900" s="3" t="s">
        <v>10551</v>
      </c>
      <c r="H2900" s="3" t="s">
        <v>56</v>
      </c>
      <c r="I2900" s="3" t="s">
        <v>422</v>
      </c>
      <c r="J2900" s="3" t="s">
        <v>869</v>
      </c>
      <c r="K2900" s="3" t="s">
        <v>10552</v>
      </c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C2900" s="3"/>
      <c r="AD2900" s="3"/>
      <c r="AE2900" s="3"/>
      <c r="AF2900" s="3"/>
      <c r="AG2900" s="3"/>
      <c r="AH2900" s="3"/>
      <c r="AI2900" s="3"/>
      <c r="AJ2900" s="3"/>
      <c r="AK2900" s="3" t="s">
        <v>81</v>
      </c>
      <c r="AL2900" s="4">
        <v>37903</v>
      </c>
      <c r="AM2900" s="3"/>
      <c r="AN2900" s="3"/>
    </row>
    <row r="2901" spans="1:40" ht="27.95" x14ac:dyDescent="0.3">
      <c r="A2901" s="3">
        <v>2895</v>
      </c>
      <c r="B2901" s="3" t="str">
        <f>"1438193"</f>
        <v>1438193</v>
      </c>
      <c r="C2901" s="3">
        <v>35794</v>
      </c>
      <c r="D2901" s="3" t="s">
        <v>10553</v>
      </c>
      <c r="E2901" s="3">
        <v>10412209392</v>
      </c>
      <c r="F2901" s="3" t="s">
        <v>10554</v>
      </c>
      <c r="G2901" s="3" t="s">
        <v>10555</v>
      </c>
      <c r="H2901" s="3" t="s">
        <v>97</v>
      </c>
      <c r="I2901" s="3" t="s">
        <v>97</v>
      </c>
      <c r="J2901" s="3" t="s">
        <v>254</v>
      </c>
      <c r="K2901" s="3" t="s">
        <v>10556</v>
      </c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C2901" s="3"/>
      <c r="AD2901" s="3"/>
      <c r="AE2901" s="3"/>
      <c r="AF2901" s="3"/>
      <c r="AG2901" s="3"/>
      <c r="AH2901" s="3"/>
      <c r="AI2901" s="3"/>
      <c r="AJ2901" s="3"/>
      <c r="AK2901" s="3" t="s">
        <v>52</v>
      </c>
      <c r="AL2901" s="4">
        <v>37923</v>
      </c>
      <c r="AM2901" s="3"/>
      <c r="AN2901" s="3"/>
    </row>
    <row r="2902" spans="1:40" x14ac:dyDescent="0.3">
      <c r="A2902" s="3">
        <v>2896</v>
      </c>
      <c r="B2902" s="3" t="str">
        <f>"1274061"</f>
        <v>1274061</v>
      </c>
      <c r="C2902" s="3">
        <v>18148</v>
      </c>
      <c r="D2902" s="3" t="s">
        <v>10557</v>
      </c>
      <c r="E2902" s="3">
        <v>10092572833</v>
      </c>
      <c r="F2902" s="3" t="s">
        <v>10558</v>
      </c>
      <c r="G2902" s="3" t="s">
        <v>10559</v>
      </c>
      <c r="H2902" s="3" t="s">
        <v>97</v>
      </c>
      <c r="I2902" s="3" t="s">
        <v>97</v>
      </c>
      <c r="J2902" s="3" t="s">
        <v>6512</v>
      </c>
      <c r="K2902" s="3" t="s">
        <v>10560</v>
      </c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C2902" s="3"/>
      <c r="AD2902" s="3"/>
      <c r="AE2902" s="3"/>
      <c r="AF2902" s="3"/>
      <c r="AG2902" s="3"/>
      <c r="AH2902" s="3"/>
      <c r="AI2902" s="3"/>
      <c r="AJ2902" s="3"/>
      <c r="AK2902" s="3" t="s">
        <v>81</v>
      </c>
      <c r="AL2902" s="4">
        <v>36581</v>
      </c>
      <c r="AM2902" s="3"/>
      <c r="AN2902" s="3"/>
    </row>
    <row r="2903" spans="1:40" x14ac:dyDescent="0.3">
      <c r="A2903" s="3">
        <v>2897</v>
      </c>
      <c r="B2903" s="3" t="str">
        <f>"1108893"</f>
        <v>1108893</v>
      </c>
      <c r="C2903" s="3">
        <v>2267</v>
      </c>
      <c r="D2903" s="3">
        <v>954792</v>
      </c>
      <c r="E2903" s="3">
        <v>20100809088</v>
      </c>
      <c r="F2903" s="3" t="s">
        <v>2177</v>
      </c>
      <c r="G2903" s="3" t="s">
        <v>2178</v>
      </c>
      <c r="H2903" s="3" t="s">
        <v>56</v>
      </c>
      <c r="I2903" s="3" t="s">
        <v>56</v>
      </c>
      <c r="J2903" s="3" t="s">
        <v>313</v>
      </c>
      <c r="K2903" s="3" t="s">
        <v>10561</v>
      </c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C2903" s="3"/>
      <c r="AD2903" s="3"/>
      <c r="AE2903" s="3"/>
      <c r="AF2903" s="3"/>
      <c r="AG2903" s="3"/>
      <c r="AH2903" s="3"/>
      <c r="AI2903" s="3"/>
      <c r="AJ2903" s="3"/>
      <c r="AK2903" s="3" t="s">
        <v>167</v>
      </c>
      <c r="AL2903" s="4">
        <v>35495</v>
      </c>
      <c r="AM2903" s="3"/>
      <c r="AN2903" s="3"/>
    </row>
    <row r="2904" spans="1:40" x14ac:dyDescent="0.3">
      <c r="A2904" s="3">
        <v>2898</v>
      </c>
      <c r="B2904" s="3" t="str">
        <f>"1785037"</f>
        <v>1785037</v>
      </c>
      <c r="C2904" s="3">
        <v>62687</v>
      </c>
      <c r="D2904" s="3" t="s">
        <v>10562</v>
      </c>
      <c r="E2904" s="3">
        <v>10292917177</v>
      </c>
      <c r="F2904" s="3" t="s">
        <v>444</v>
      </c>
      <c r="G2904" s="3" t="s">
        <v>10563</v>
      </c>
      <c r="H2904" s="3" t="s">
        <v>446</v>
      </c>
      <c r="I2904" s="3" t="s">
        <v>446</v>
      </c>
      <c r="J2904" s="3" t="s">
        <v>447</v>
      </c>
      <c r="K2904" s="3" t="s">
        <v>10564</v>
      </c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C2904" s="3"/>
      <c r="AD2904" s="3"/>
      <c r="AE2904" s="3"/>
      <c r="AF2904" s="3"/>
      <c r="AG2904" s="3"/>
      <c r="AH2904" s="3"/>
      <c r="AI2904" s="3"/>
      <c r="AJ2904" s="3"/>
      <c r="AK2904" s="3" t="s">
        <v>477</v>
      </c>
      <c r="AL2904" s="4">
        <v>39563</v>
      </c>
      <c r="AM2904" s="3"/>
      <c r="AN2904" s="3"/>
    </row>
    <row r="2905" spans="1:40" ht="27.95" x14ac:dyDescent="0.3">
      <c r="A2905" s="3">
        <v>2899</v>
      </c>
      <c r="B2905" s="3" t="str">
        <f>"201300128720"</f>
        <v>201300128720</v>
      </c>
      <c r="C2905" s="3">
        <v>104478</v>
      </c>
      <c r="D2905" s="3" t="s">
        <v>10565</v>
      </c>
      <c r="E2905" s="3">
        <v>20543992942</v>
      </c>
      <c r="F2905" s="3" t="s">
        <v>540</v>
      </c>
      <c r="G2905" s="3" t="s">
        <v>10566</v>
      </c>
      <c r="H2905" s="3" t="s">
        <v>56</v>
      </c>
      <c r="I2905" s="3" t="s">
        <v>56</v>
      </c>
      <c r="J2905" s="3" t="s">
        <v>57</v>
      </c>
      <c r="K2905" s="3" t="s">
        <v>10567</v>
      </c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C2905" s="3"/>
      <c r="AD2905" s="3"/>
      <c r="AE2905" s="3"/>
      <c r="AF2905" s="3"/>
      <c r="AG2905" s="3"/>
      <c r="AH2905" s="3"/>
      <c r="AI2905" s="3"/>
      <c r="AJ2905" s="3"/>
      <c r="AK2905" s="3" t="s">
        <v>813</v>
      </c>
      <c r="AL2905" s="3" t="s">
        <v>290</v>
      </c>
      <c r="AM2905" s="3"/>
      <c r="AN2905" s="3" t="s">
        <v>10568</v>
      </c>
    </row>
    <row r="2906" spans="1:40" x14ac:dyDescent="0.3">
      <c r="A2906" s="3">
        <v>2900</v>
      </c>
      <c r="B2906" s="3" t="str">
        <f>"1149384"</f>
        <v>1149384</v>
      </c>
      <c r="C2906" s="3">
        <v>3311</v>
      </c>
      <c r="D2906" s="3">
        <v>1149384</v>
      </c>
      <c r="E2906" s="3">
        <v>10103124650</v>
      </c>
      <c r="F2906" s="3" t="s">
        <v>10569</v>
      </c>
      <c r="G2906" s="3" t="s">
        <v>10570</v>
      </c>
      <c r="H2906" s="3" t="s">
        <v>56</v>
      </c>
      <c r="I2906" s="3" t="s">
        <v>56</v>
      </c>
      <c r="J2906" s="3" t="s">
        <v>185</v>
      </c>
      <c r="K2906" s="3" t="s">
        <v>10571</v>
      </c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C2906" s="3"/>
      <c r="AD2906" s="3"/>
      <c r="AE2906" s="3"/>
      <c r="AF2906" s="3"/>
      <c r="AG2906" s="3"/>
      <c r="AH2906" s="3"/>
      <c r="AI2906" s="3"/>
      <c r="AJ2906" s="3"/>
      <c r="AK2906" s="3" t="s">
        <v>81</v>
      </c>
      <c r="AL2906" s="4">
        <v>35681</v>
      </c>
      <c r="AM2906" s="3"/>
      <c r="AN2906" s="3"/>
    </row>
    <row r="2907" spans="1:40" ht="27.95" x14ac:dyDescent="0.3">
      <c r="A2907" s="3">
        <v>2901</v>
      </c>
      <c r="B2907" s="3" t="str">
        <f>"201300128716"</f>
        <v>201300128716</v>
      </c>
      <c r="C2907" s="3">
        <v>104477</v>
      </c>
      <c r="D2907" s="3" t="s">
        <v>10572</v>
      </c>
      <c r="E2907" s="3">
        <v>20543992942</v>
      </c>
      <c r="F2907" s="3" t="s">
        <v>10503</v>
      </c>
      <c r="G2907" s="3" t="s">
        <v>10573</v>
      </c>
      <c r="H2907" s="3" t="s">
        <v>56</v>
      </c>
      <c r="I2907" s="3" t="s">
        <v>56</v>
      </c>
      <c r="J2907" s="3" t="s">
        <v>57</v>
      </c>
      <c r="K2907" s="3" t="s">
        <v>10574</v>
      </c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C2907" s="3"/>
      <c r="AD2907" s="3"/>
      <c r="AE2907" s="3"/>
      <c r="AF2907" s="3"/>
      <c r="AG2907" s="3"/>
      <c r="AH2907" s="3"/>
      <c r="AI2907" s="3"/>
      <c r="AJ2907" s="3"/>
      <c r="AK2907" s="3" t="s">
        <v>2587</v>
      </c>
      <c r="AL2907" s="4">
        <v>41498</v>
      </c>
      <c r="AM2907" s="3"/>
      <c r="AN2907" s="3" t="s">
        <v>543</v>
      </c>
    </row>
    <row r="2908" spans="1:40" x14ac:dyDescent="0.3">
      <c r="A2908" s="3">
        <v>2902</v>
      </c>
      <c r="B2908" s="3" t="str">
        <f>"1879013"</f>
        <v>1879013</v>
      </c>
      <c r="C2908" s="3">
        <v>2734</v>
      </c>
      <c r="D2908" s="3" t="s">
        <v>10575</v>
      </c>
      <c r="E2908" s="3">
        <v>20250459981</v>
      </c>
      <c r="F2908" s="3" t="s">
        <v>1351</v>
      </c>
      <c r="G2908" s="3" t="s">
        <v>10576</v>
      </c>
      <c r="H2908" s="3" t="s">
        <v>56</v>
      </c>
      <c r="I2908" s="3" t="s">
        <v>56</v>
      </c>
      <c r="J2908" s="3" t="s">
        <v>273</v>
      </c>
      <c r="K2908" s="3" t="s">
        <v>10577</v>
      </c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C2908" s="3"/>
      <c r="AD2908" s="3"/>
      <c r="AE2908" s="3"/>
      <c r="AF2908" s="3"/>
      <c r="AG2908" s="3"/>
      <c r="AH2908" s="3"/>
      <c r="AI2908" s="3"/>
      <c r="AJ2908" s="3"/>
      <c r="AK2908" s="3" t="s">
        <v>192</v>
      </c>
      <c r="AL2908" s="4">
        <v>39932</v>
      </c>
      <c r="AM2908" s="3"/>
      <c r="AN2908" s="3"/>
    </row>
    <row r="2909" spans="1:40" x14ac:dyDescent="0.3">
      <c r="A2909" s="3">
        <v>2903</v>
      </c>
      <c r="B2909" s="3" t="str">
        <f>"1275593"</f>
        <v>1275593</v>
      </c>
      <c r="C2909" s="3">
        <v>18184</v>
      </c>
      <c r="D2909" s="3">
        <v>1275593</v>
      </c>
      <c r="E2909" s="3">
        <v>10069577216</v>
      </c>
      <c r="F2909" s="3" t="s">
        <v>10578</v>
      </c>
      <c r="G2909" s="3" t="s">
        <v>10579</v>
      </c>
      <c r="H2909" s="3" t="s">
        <v>56</v>
      </c>
      <c r="I2909" s="3" t="s">
        <v>56</v>
      </c>
      <c r="J2909" s="3" t="s">
        <v>481</v>
      </c>
      <c r="K2909" s="3" t="s">
        <v>10580</v>
      </c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C2909" s="3"/>
      <c r="AD2909" s="3"/>
      <c r="AE2909" s="3"/>
      <c r="AF2909" s="3"/>
      <c r="AG2909" s="3"/>
      <c r="AH2909" s="3"/>
      <c r="AI2909" s="3"/>
      <c r="AJ2909" s="3"/>
      <c r="AK2909" s="3" t="s">
        <v>81</v>
      </c>
      <c r="AL2909" s="4">
        <v>36622</v>
      </c>
      <c r="AM2909" s="3"/>
      <c r="AN2909" s="3"/>
    </row>
    <row r="2910" spans="1:40" x14ac:dyDescent="0.3">
      <c r="A2910" s="3">
        <v>2904</v>
      </c>
      <c r="B2910" s="3" t="str">
        <f>"1513529"</f>
        <v>1513529</v>
      </c>
      <c r="C2910" s="3">
        <v>90204</v>
      </c>
      <c r="D2910" s="3" t="s">
        <v>10581</v>
      </c>
      <c r="E2910" s="3">
        <v>20479819565</v>
      </c>
      <c r="F2910" s="3" t="s">
        <v>10582</v>
      </c>
      <c r="G2910" s="3" t="s">
        <v>10583</v>
      </c>
      <c r="H2910" s="3" t="s">
        <v>357</v>
      </c>
      <c r="I2910" s="3" t="s">
        <v>2569</v>
      </c>
      <c r="J2910" s="3" t="s">
        <v>2569</v>
      </c>
      <c r="K2910" s="3" t="s">
        <v>10584</v>
      </c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C2910" s="3"/>
      <c r="AD2910" s="3"/>
      <c r="AE2910" s="3"/>
      <c r="AF2910" s="3"/>
      <c r="AG2910" s="3"/>
      <c r="AH2910" s="3"/>
      <c r="AI2910" s="3"/>
      <c r="AJ2910" s="3"/>
      <c r="AK2910" s="3" t="s">
        <v>157</v>
      </c>
      <c r="AL2910" s="4">
        <v>40878</v>
      </c>
      <c r="AM2910" s="3"/>
      <c r="AN2910" s="3" t="s">
        <v>10585</v>
      </c>
    </row>
    <row r="2911" spans="1:40" x14ac:dyDescent="0.3">
      <c r="A2911" s="3">
        <v>2905</v>
      </c>
      <c r="B2911" s="3" t="str">
        <f>"1282161"</f>
        <v>1282161</v>
      </c>
      <c r="C2911" s="3">
        <v>19027</v>
      </c>
      <c r="D2911" s="3">
        <v>1282161</v>
      </c>
      <c r="E2911" s="3">
        <v>10089586190</v>
      </c>
      <c r="F2911" s="3" t="s">
        <v>8505</v>
      </c>
      <c r="G2911" s="3" t="s">
        <v>8506</v>
      </c>
      <c r="H2911" s="3" t="s">
        <v>56</v>
      </c>
      <c r="I2911" s="3" t="s">
        <v>56</v>
      </c>
      <c r="J2911" s="3" t="s">
        <v>1043</v>
      </c>
      <c r="K2911" s="3" t="s">
        <v>10586</v>
      </c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C2911" s="3"/>
      <c r="AD2911" s="3"/>
      <c r="AE2911" s="3"/>
      <c r="AF2911" s="3"/>
      <c r="AG2911" s="3"/>
      <c r="AH2911" s="3"/>
      <c r="AI2911" s="3"/>
      <c r="AJ2911" s="3"/>
      <c r="AK2911" s="3" t="s">
        <v>162</v>
      </c>
      <c r="AL2911" s="4">
        <v>36696</v>
      </c>
      <c r="AM2911" s="3"/>
      <c r="AN2911" s="3"/>
    </row>
    <row r="2912" spans="1:40" x14ac:dyDescent="0.3">
      <c r="A2912" s="3">
        <v>2906</v>
      </c>
      <c r="B2912" s="3" t="str">
        <f>"1126277"</f>
        <v>1126277</v>
      </c>
      <c r="C2912" s="3">
        <v>3267</v>
      </c>
      <c r="D2912" s="3">
        <v>1052493</v>
      </c>
      <c r="E2912" s="3">
        <v>20100873681</v>
      </c>
      <c r="F2912" s="3" t="s">
        <v>1241</v>
      </c>
      <c r="G2912" s="3" t="s">
        <v>1047</v>
      </c>
      <c r="H2912" s="3" t="s">
        <v>56</v>
      </c>
      <c r="I2912" s="3" t="s">
        <v>56</v>
      </c>
      <c r="J2912" s="3" t="s">
        <v>363</v>
      </c>
      <c r="K2912" s="3" t="s">
        <v>10587</v>
      </c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C2912" s="3"/>
      <c r="AD2912" s="3"/>
      <c r="AE2912" s="3"/>
      <c r="AF2912" s="3"/>
      <c r="AG2912" s="3"/>
      <c r="AH2912" s="3"/>
      <c r="AI2912" s="3"/>
      <c r="AJ2912" s="3"/>
      <c r="AK2912" s="3" t="s">
        <v>52</v>
      </c>
      <c r="AL2912" s="4">
        <v>35573</v>
      </c>
      <c r="AM2912" s="3"/>
      <c r="AN2912" s="3"/>
    </row>
    <row r="2913" spans="1:40" ht="27.95" x14ac:dyDescent="0.3">
      <c r="A2913" s="3">
        <v>2907</v>
      </c>
      <c r="B2913" s="3" t="str">
        <f>"201900196670"</f>
        <v>201900196670</v>
      </c>
      <c r="C2913" s="3">
        <v>128065</v>
      </c>
      <c r="D2913" s="3" t="s">
        <v>10588</v>
      </c>
      <c r="E2913" s="3">
        <v>20455486948</v>
      </c>
      <c r="F2913" s="3" t="s">
        <v>1382</v>
      </c>
      <c r="G2913" s="3" t="s">
        <v>10589</v>
      </c>
      <c r="H2913" s="3" t="s">
        <v>97</v>
      </c>
      <c r="I2913" s="3" t="s">
        <v>97</v>
      </c>
      <c r="J2913" s="3" t="s">
        <v>144</v>
      </c>
      <c r="K2913" s="3" t="s">
        <v>10590</v>
      </c>
      <c r="L2913" s="3" t="s">
        <v>10591</v>
      </c>
      <c r="M2913" s="3" t="s">
        <v>10592</v>
      </c>
      <c r="N2913" s="3" t="s">
        <v>5966</v>
      </c>
      <c r="O2913" s="3" t="s">
        <v>10593</v>
      </c>
      <c r="P2913" s="3" t="s">
        <v>10594</v>
      </c>
      <c r="Q2913" s="3" t="s">
        <v>10595</v>
      </c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C2913" s="3"/>
      <c r="AD2913" s="3"/>
      <c r="AE2913" s="3"/>
      <c r="AF2913" s="3"/>
      <c r="AG2913" s="3"/>
      <c r="AH2913" s="3"/>
      <c r="AI2913" s="3"/>
      <c r="AJ2913" s="3"/>
      <c r="AK2913" s="3" t="s">
        <v>470</v>
      </c>
      <c r="AL2913" s="4">
        <v>43802</v>
      </c>
      <c r="AM2913" s="3"/>
      <c r="AN2913" s="3" t="s">
        <v>1396</v>
      </c>
    </row>
    <row r="2914" spans="1:40" ht="27.95" x14ac:dyDescent="0.3">
      <c r="A2914" s="3">
        <v>2908</v>
      </c>
      <c r="B2914" s="3" t="str">
        <f>"201500134790"</f>
        <v>201500134790</v>
      </c>
      <c r="C2914" s="3">
        <v>117913</v>
      </c>
      <c r="D2914" s="3" t="s">
        <v>10596</v>
      </c>
      <c r="E2914" s="3">
        <v>20554151532</v>
      </c>
      <c r="F2914" s="3" t="s">
        <v>10597</v>
      </c>
      <c r="G2914" s="3" t="s">
        <v>10598</v>
      </c>
      <c r="H2914" s="3" t="s">
        <v>56</v>
      </c>
      <c r="I2914" s="3" t="s">
        <v>56</v>
      </c>
      <c r="J2914" s="3" t="s">
        <v>277</v>
      </c>
      <c r="K2914" s="3" t="s">
        <v>10599</v>
      </c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C2914" s="3"/>
      <c r="AD2914" s="3"/>
      <c r="AE2914" s="3"/>
      <c r="AF2914" s="3"/>
      <c r="AG2914" s="3"/>
      <c r="AH2914" s="3"/>
      <c r="AI2914" s="3"/>
      <c r="AJ2914" s="3"/>
      <c r="AK2914" s="3" t="s">
        <v>10600</v>
      </c>
      <c r="AL2914" s="4">
        <v>42307</v>
      </c>
      <c r="AM2914" s="3"/>
      <c r="AN2914" s="3" t="s">
        <v>3735</v>
      </c>
    </row>
    <row r="2915" spans="1:40" ht="27.95" x14ac:dyDescent="0.3">
      <c r="A2915" s="3">
        <v>2909</v>
      </c>
      <c r="B2915" s="3" t="str">
        <f>"201600033585"</f>
        <v>201600033585</v>
      </c>
      <c r="C2915" s="3">
        <v>93335</v>
      </c>
      <c r="D2915" s="3" t="s">
        <v>10601</v>
      </c>
      <c r="E2915" s="3">
        <v>20572246575</v>
      </c>
      <c r="F2915" s="3" t="s">
        <v>10602</v>
      </c>
      <c r="G2915" s="3" t="s">
        <v>10603</v>
      </c>
      <c r="H2915" s="3" t="s">
        <v>172</v>
      </c>
      <c r="I2915" s="3" t="s">
        <v>4506</v>
      </c>
      <c r="J2915" s="3" t="s">
        <v>10604</v>
      </c>
      <c r="K2915" s="3" t="s">
        <v>10605</v>
      </c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C2915" s="3"/>
      <c r="AD2915" s="3"/>
      <c r="AE2915" s="3"/>
      <c r="AF2915" s="3"/>
      <c r="AG2915" s="3"/>
      <c r="AH2915" s="3"/>
      <c r="AI2915" s="3"/>
      <c r="AJ2915" s="3"/>
      <c r="AK2915" s="3" t="s">
        <v>321</v>
      </c>
      <c r="AL2915" s="4">
        <v>42446</v>
      </c>
      <c r="AM2915" s="3"/>
      <c r="AN2915" s="3" t="s">
        <v>10606</v>
      </c>
    </row>
    <row r="2916" spans="1:40" x14ac:dyDescent="0.3">
      <c r="A2916" s="3">
        <v>2910</v>
      </c>
      <c r="B2916" s="3" t="str">
        <f>"1176095"</f>
        <v>1176095</v>
      </c>
      <c r="C2916" s="3">
        <v>6558</v>
      </c>
      <c r="D2916" s="3" t="s">
        <v>10607</v>
      </c>
      <c r="E2916" s="3">
        <v>20257364438</v>
      </c>
      <c r="F2916" s="3" t="s">
        <v>10608</v>
      </c>
      <c r="G2916" s="3" t="s">
        <v>10609</v>
      </c>
      <c r="H2916" s="3" t="s">
        <v>56</v>
      </c>
      <c r="I2916" s="3" t="s">
        <v>56</v>
      </c>
      <c r="J2916" s="3" t="s">
        <v>277</v>
      </c>
      <c r="K2916" s="3" t="s">
        <v>10610</v>
      </c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C2916" s="3"/>
      <c r="AD2916" s="3"/>
      <c r="AE2916" s="3"/>
      <c r="AF2916" s="3"/>
      <c r="AG2916" s="3"/>
      <c r="AH2916" s="3"/>
      <c r="AI2916" s="3"/>
      <c r="AJ2916" s="3"/>
      <c r="AK2916" s="3" t="s">
        <v>546</v>
      </c>
      <c r="AL2916" s="4">
        <v>36895</v>
      </c>
      <c r="AM2916" s="3"/>
      <c r="AN2916" s="3"/>
    </row>
    <row r="2917" spans="1:40" x14ac:dyDescent="0.3">
      <c r="A2917" s="3">
        <v>2911</v>
      </c>
      <c r="B2917" s="3" t="str">
        <f>"201000001408"</f>
        <v>201000001408</v>
      </c>
      <c r="C2917" s="3">
        <v>33306</v>
      </c>
      <c r="D2917" s="3" t="s">
        <v>10611</v>
      </c>
      <c r="E2917" s="3">
        <v>20153236551</v>
      </c>
      <c r="F2917" s="3" t="s">
        <v>1179</v>
      </c>
      <c r="G2917" s="3" t="s">
        <v>4228</v>
      </c>
      <c r="H2917" s="3" t="s">
        <v>56</v>
      </c>
      <c r="I2917" s="3" t="s">
        <v>422</v>
      </c>
      <c r="J2917" s="3" t="s">
        <v>869</v>
      </c>
      <c r="K2917" s="3" t="s">
        <v>10612</v>
      </c>
      <c r="L2917" s="3" t="s">
        <v>10613</v>
      </c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C2917" s="3"/>
      <c r="AD2917" s="3"/>
      <c r="AE2917" s="3"/>
      <c r="AF2917" s="3"/>
      <c r="AG2917" s="3"/>
      <c r="AH2917" s="3"/>
      <c r="AI2917" s="3"/>
      <c r="AJ2917" s="3"/>
      <c r="AK2917" s="3" t="s">
        <v>10614</v>
      </c>
      <c r="AL2917" s="4">
        <v>37484</v>
      </c>
      <c r="AM2917" s="3"/>
      <c r="AN2917" s="3"/>
    </row>
    <row r="2918" spans="1:40" x14ac:dyDescent="0.3">
      <c r="A2918" s="3">
        <v>2912</v>
      </c>
      <c r="B2918" s="3" t="str">
        <f>"201000001409"</f>
        <v>201000001409</v>
      </c>
      <c r="C2918" s="3">
        <v>33552</v>
      </c>
      <c r="D2918" s="3" t="s">
        <v>10615</v>
      </c>
      <c r="E2918" s="3">
        <v>20100366747</v>
      </c>
      <c r="F2918" s="3" t="s">
        <v>258</v>
      </c>
      <c r="G2918" s="3" t="s">
        <v>1055</v>
      </c>
      <c r="H2918" s="3" t="s">
        <v>56</v>
      </c>
      <c r="I2918" s="3" t="s">
        <v>56</v>
      </c>
      <c r="J2918" s="3" t="s">
        <v>185</v>
      </c>
      <c r="K2918" s="3" t="s">
        <v>10616</v>
      </c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C2918" s="3"/>
      <c r="AD2918" s="3"/>
      <c r="AE2918" s="3"/>
      <c r="AF2918" s="3"/>
      <c r="AG2918" s="3"/>
      <c r="AH2918" s="3"/>
      <c r="AI2918" s="3"/>
      <c r="AJ2918" s="3"/>
      <c r="AK2918" s="3" t="s">
        <v>546</v>
      </c>
      <c r="AL2918" s="4">
        <v>37540</v>
      </c>
      <c r="AM2918" s="3"/>
      <c r="AN2918" s="3"/>
    </row>
    <row r="2919" spans="1:40" x14ac:dyDescent="0.3">
      <c r="A2919" s="3">
        <v>2913</v>
      </c>
      <c r="B2919" s="3" t="str">
        <f>"1176096"</f>
        <v>1176096</v>
      </c>
      <c r="C2919" s="3">
        <v>6559</v>
      </c>
      <c r="D2919" s="3" t="s">
        <v>10617</v>
      </c>
      <c r="E2919" s="3">
        <v>20257364438</v>
      </c>
      <c r="F2919" s="3" t="s">
        <v>3192</v>
      </c>
      <c r="G2919" s="3" t="s">
        <v>3193</v>
      </c>
      <c r="H2919" s="3" t="s">
        <v>56</v>
      </c>
      <c r="I2919" s="3" t="s">
        <v>56</v>
      </c>
      <c r="J2919" s="3" t="s">
        <v>715</v>
      </c>
      <c r="K2919" s="3" t="s">
        <v>10618</v>
      </c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C2919" s="3"/>
      <c r="AD2919" s="3"/>
      <c r="AE2919" s="3"/>
      <c r="AF2919" s="3"/>
      <c r="AG2919" s="3"/>
      <c r="AH2919" s="3"/>
      <c r="AI2919" s="3"/>
      <c r="AJ2919" s="3"/>
      <c r="AK2919" s="3" t="s">
        <v>1341</v>
      </c>
      <c r="AL2919" s="4">
        <v>36895</v>
      </c>
      <c r="AM2919" s="3"/>
      <c r="AN2919" s="3"/>
    </row>
    <row r="2920" spans="1:40" x14ac:dyDescent="0.3">
      <c r="A2920" s="3">
        <v>2914</v>
      </c>
      <c r="B2920" s="3" t="str">
        <f>"201000001400"</f>
        <v>201000001400</v>
      </c>
      <c r="C2920" s="3">
        <v>19653</v>
      </c>
      <c r="D2920" s="3" t="s">
        <v>10619</v>
      </c>
      <c r="E2920" s="3">
        <v>10036966152</v>
      </c>
      <c r="F2920" s="3" t="s">
        <v>10620</v>
      </c>
      <c r="G2920" s="3" t="s">
        <v>10621</v>
      </c>
      <c r="H2920" s="3" t="s">
        <v>50</v>
      </c>
      <c r="I2920" s="3" t="s">
        <v>10416</v>
      </c>
      <c r="J2920" s="3" t="s">
        <v>10416</v>
      </c>
      <c r="K2920" s="3" t="s">
        <v>10622</v>
      </c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C2920" s="3"/>
      <c r="AD2920" s="3"/>
      <c r="AE2920" s="3"/>
      <c r="AF2920" s="3"/>
      <c r="AG2920" s="3"/>
      <c r="AH2920" s="3"/>
      <c r="AI2920" s="3"/>
      <c r="AJ2920" s="3"/>
      <c r="AK2920" s="3" t="s">
        <v>546</v>
      </c>
      <c r="AL2920" s="4">
        <v>36797</v>
      </c>
      <c r="AM2920" s="3"/>
      <c r="AN2920" s="3"/>
    </row>
    <row r="2921" spans="1:40" x14ac:dyDescent="0.3">
      <c r="A2921" s="3">
        <v>2915</v>
      </c>
      <c r="B2921" s="3" t="str">
        <f>"201000001401"</f>
        <v>201000001401</v>
      </c>
      <c r="C2921" s="3">
        <v>18138</v>
      </c>
      <c r="D2921" s="3" t="s">
        <v>10623</v>
      </c>
      <c r="E2921" s="3">
        <v>10038580545</v>
      </c>
      <c r="F2921" s="3" t="s">
        <v>10624</v>
      </c>
      <c r="G2921" s="3" t="s">
        <v>10625</v>
      </c>
      <c r="H2921" s="3" t="s">
        <v>50</v>
      </c>
      <c r="I2921" s="3" t="s">
        <v>638</v>
      </c>
      <c r="J2921" s="3" t="s">
        <v>639</v>
      </c>
      <c r="K2921" s="3" t="s">
        <v>10626</v>
      </c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C2921" s="3"/>
      <c r="AD2921" s="3"/>
      <c r="AE2921" s="3"/>
      <c r="AF2921" s="3"/>
      <c r="AG2921" s="3"/>
      <c r="AH2921" s="3"/>
      <c r="AI2921" s="3"/>
      <c r="AJ2921" s="3"/>
      <c r="AK2921" s="3" t="s">
        <v>226</v>
      </c>
      <c r="AL2921" s="4">
        <v>36565</v>
      </c>
      <c r="AM2921" s="3"/>
      <c r="AN2921" s="3"/>
    </row>
    <row r="2922" spans="1:40" x14ac:dyDescent="0.3">
      <c r="A2922" s="3">
        <v>2916</v>
      </c>
      <c r="B2922" s="3" t="str">
        <f>"201000001402"</f>
        <v>201000001402</v>
      </c>
      <c r="C2922" s="3">
        <v>18202</v>
      </c>
      <c r="D2922" s="3" t="s">
        <v>10627</v>
      </c>
      <c r="E2922" s="3">
        <v>10033516377</v>
      </c>
      <c r="F2922" s="3" t="s">
        <v>10628</v>
      </c>
      <c r="G2922" s="3" t="s">
        <v>10629</v>
      </c>
      <c r="H2922" s="3" t="s">
        <v>50</v>
      </c>
      <c r="I2922" s="3" t="s">
        <v>638</v>
      </c>
      <c r="J2922" s="3" t="s">
        <v>639</v>
      </c>
      <c r="K2922" s="3" t="s">
        <v>10630</v>
      </c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C2922" s="3"/>
      <c r="AD2922" s="3"/>
      <c r="AE2922" s="3"/>
      <c r="AF2922" s="3"/>
      <c r="AG2922" s="3"/>
      <c r="AH2922" s="3"/>
      <c r="AI2922" s="3"/>
      <c r="AJ2922" s="3"/>
      <c r="AK2922" s="3" t="s">
        <v>574</v>
      </c>
      <c r="AL2922" s="4">
        <v>36591</v>
      </c>
      <c r="AM2922" s="3"/>
      <c r="AN2922" s="3"/>
    </row>
    <row r="2923" spans="1:40" x14ac:dyDescent="0.3">
      <c r="A2923" s="3">
        <v>2917</v>
      </c>
      <c r="B2923" s="3" t="str">
        <f>"201700118285"</f>
        <v>201700118285</v>
      </c>
      <c r="C2923" s="3">
        <v>108285</v>
      </c>
      <c r="D2923" s="3" t="s">
        <v>10631</v>
      </c>
      <c r="E2923" s="3">
        <v>20601661552</v>
      </c>
      <c r="F2923" s="3" t="s">
        <v>3481</v>
      </c>
      <c r="G2923" s="3" t="s">
        <v>456</v>
      </c>
      <c r="H2923" s="3" t="s">
        <v>172</v>
      </c>
      <c r="I2923" s="3" t="s">
        <v>172</v>
      </c>
      <c r="J2923" s="3" t="s">
        <v>173</v>
      </c>
      <c r="K2923" s="3" t="s">
        <v>10632</v>
      </c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C2923" s="3"/>
      <c r="AD2923" s="3"/>
      <c r="AE2923" s="3"/>
      <c r="AF2923" s="3"/>
      <c r="AG2923" s="3"/>
      <c r="AH2923" s="3"/>
      <c r="AI2923" s="3"/>
      <c r="AJ2923" s="3"/>
      <c r="AK2923" s="3" t="s">
        <v>1341</v>
      </c>
      <c r="AL2923" s="4">
        <v>42950</v>
      </c>
      <c r="AM2923" s="3"/>
      <c r="AN2923" s="3" t="s">
        <v>460</v>
      </c>
    </row>
    <row r="2924" spans="1:40" x14ac:dyDescent="0.3">
      <c r="A2924" s="3">
        <v>2918</v>
      </c>
      <c r="B2924" s="3" t="str">
        <f>"1577118"</f>
        <v>1577118</v>
      </c>
      <c r="C2924" s="3">
        <v>42368</v>
      </c>
      <c r="D2924" s="3" t="s">
        <v>10633</v>
      </c>
      <c r="E2924" s="3">
        <v>17160215046</v>
      </c>
      <c r="F2924" s="3" t="s">
        <v>10634</v>
      </c>
      <c r="G2924" s="3" t="s">
        <v>10635</v>
      </c>
      <c r="H2924" s="3" t="s">
        <v>56</v>
      </c>
      <c r="I2924" s="3" t="s">
        <v>56</v>
      </c>
      <c r="J2924" s="3" t="s">
        <v>63</v>
      </c>
      <c r="K2924" s="3" t="s">
        <v>10636</v>
      </c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C2924" s="3"/>
      <c r="AD2924" s="3"/>
      <c r="AE2924" s="3"/>
      <c r="AF2924" s="3"/>
      <c r="AG2924" s="3"/>
      <c r="AH2924" s="3"/>
      <c r="AI2924" s="3"/>
      <c r="AJ2924" s="3"/>
      <c r="AK2924" s="3" t="s">
        <v>10637</v>
      </c>
      <c r="AL2924" s="4">
        <v>38700</v>
      </c>
      <c r="AM2924" s="3"/>
      <c r="AN2924" s="3"/>
    </row>
    <row r="2925" spans="1:40" x14ac:dyDescent="0.3">
      <c r="A2925" s="3">
        <v>2919</v>
      </c>
      <c r="B2925" s="3" t="str">
        <f>"201000001403"</f>
        <v>201000001403</v>
      </c>
      <c r="C2925" s="3">
        <v>20591</v>
      </c>
      <c r="D2925" s="3" t="s">
        <v>10638</v>
      </c>
      <c r="E2925" s="3">
        <v>10195200047</v>
      </c>
      <c r="F2925" s="3" t="s">
        <v>10639</v>
      </c>
      <c r="G2925" s="3" t="s">
        <v>10640</v>
      </c>
      <c r="H2925" s="3" t="s">
        <v>44</v>
      </c>
      <c r="I2925" s="3" t="s">
        <v>8442</v>
      </c>
      <c r="J2925" s="3" t="s">
        <v>8443</v>
      </c>
      <c r="K2925" s="3" t="s">
        <v>10641</v>
      </c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C2925" s="3"/>
      <c r="AD2925" s="3"/>
      <c r="AE2925" s="3"/>
      <c r="AF2925" s="3"/>
      <c r="AG2925" s="3"/>
      <c r="AH2925" s="3"/>
      <c r="AI2925" s="3"/>
      <c r="AJ2925" s="3"/>
      <c r="AK2925" s="3" t="s">
        <v>187</v>
      </c>
      <c r="AL2925" s="4">
        <v>36960</v>
      </c>
      <c r="AM2925" s="3"/>
      <c r="AN2925" s="3"/>
    </row>
    <row r="2926" spans="1:40" ht="27.95" x14ac:dyDescent="0.3">
      <c r="A2926" s="3">
        <v>2920</v>
      </c>
      <c r="B2926" s="3" t="str">
        <f>"1577117"</f>
        <v>1577117</v>
      </c>
      <c r="C2926" s="3">
        <v>42335</v>
      </c>
      <c r="D2926" s="3" t="s">
        <v>10642</v>
      </c>
      <c r="E2926" s="3">
        <v>17160215046</v>
      </c>
      <c r="F2926" s="3" t="s">
        <v>10634</v>
      </c>
      <c r="G2926" s="3" t="s">
        <v>10643</v>
      </c>
      <c r="H2926" s="3" t="s">
        <v>56</v>
      </c>
      <c r="I2926" s="3" t="s">
        <v>56</v>
      </c>
      <c r="J2926" s="3" t="s">
        <v>63</v>
      </c>
      <c r="K2926" s="3" t="s">
        <v>10644</v>
      </c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C2926" s="3"/>
      <c r="AD2926" s="3"/>
      <c r="AE2926" s="3"/>
      <c r="AF2926" s="3"/>
      <c r="AG2926" s="3"/>
      <c r="AH2926" s="3"/>
      <c r="AI2926" s="3"/>
      <c r="AJ2926" s="3"/>
      <c r="AK2926" s="3" t="s">
        <v>157</v>
      </c>
      <c r="AL2926" s="4">
        <v>38700</v>
      </c>
      <c r="AM2926" s="3"/>
      <c r="AN2926" s="3"/>
    </row>
    <row r="2927" spans="1:40" x14ac:dyDescent="0.3">
      <c r="A2927" s="3">
        <v>2921</v>
      </c>
      <c r="B2927" s="3" t="str">
        <f>"201000001404"</f>
        <v>201000001404</v>
      </c>
      <c r="C2927" s="3">
        <v>21107</v>
      </c>
      <c r="D2927" s="3" t="s">
        <v>10645</v>
      </c>
      <c r="E2927" s="3">
        <v>10182017162</v>
      </c>
      <c r="F2927" s="3" t="s">
        <v>10646</v>
      </c>
      <c r="G2927" s="3" t="s">
        <v>10647</v>
      </c>
      <c r="H2927" s="3" t="s">
        <v>44</v>
      </c>
      <c r="I2927" s="3" t="s">
        <v>45</v>
      </c>
      <c r="J2927" s="3" t="s">
        <v>726</v>
      </c>
      <c r="K2927" s="3" t="s">
        <v>10648</v>
      </c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C2927" s="3"/>
      <c r="AD2927" s="3"/>
      <c r="AE2927" s="3"/>
      <c r="AF2927" s="3"/>
      <c r="AG2927" s="3"/>
      <c r="AH2927" s="3"/>
      <c r="AI2927" s="3"/>
      <c r="AJ2927" s="3"/>
      <c r="AK2927" s="3" t="s">
        <v>81</v>
      </c>
      <c r="AL2927" s="4">
        <v>37055</v>
      </c>
      <c r="AM2927" s="3"/>
      <c r="AN2927" s="3"/>
    </row>
    <row r="2928" spans="1:40" x14ac:dyDescent="0.3">
      <c r="A2928" s="3">
        <v>2922</v>
      </c>
      <c r="B2928" s="3" t="str">
        <f>"1578934"</f>
        <v>1578934</v>
      </c>
      <c r="C2928" s="3">
        <v>42295</v>
      </c>
      <c r="D2928" s="3" t="s">
        <v>10649</v>
      </c>
      <c r="E2928" s="3">
        <v>10161783531</v>
      </c>
      <c r="F2928" s="3" t="s">
        <v>10650</v>
      </c>
      <c r="G2928" s="3" t="s">
        <v>10651</v>
      </c>
      <c r="H2928" s="3" t="s">
        <v>56</v>
      </c>
      <c r="I2928" s="3" t="s">
        <v>56</v>
      </c>
      <c r="J2928" s="3" t="s">
        <v>63</v>
      </c>
      <c r="K2928" s="3" t="s">
        <v>10652</v>
      </c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C2928" s="3"/>
      <c r="AD2928" s="3"/>
      <c r="AE2928" s="3"/>
      <c r="AF2928" s="3"/>
      <c r="AG2928" s="3"/>
      <c r="AH2928" s="3"/>
      <c r="AI2928" s="3"/>
      <c r="AJ2928" s="3"/>
      <c r="AK2928" s="3" t="s">
        <v>10653</v>
      </c>
      <c r="AL2928" s="4">
        <v>38705</v>
      </c>
      <c r="AM2928" s="3"/>
      <c r="AN2928" s="3"/>
    </row>
    <row r="2929" spans="1:40" x14ac:dyDescent="0.3">
      <c r="A2929" s="3">
        <v>2923</v>
      </c>
      <c r="B2929" s="3" t="str">
        <f>"201000001405"</f>
        <v>201000001405</v>
      </c>
      <c r="C2929" s="3">
        <v>21272</v>
      </c>
      <c r="D2929" s="3" t="s">
        <v>10654</v>
      </c>
      <c r="E2929" s="3">
        <v>10164364718</v>
      </c>
      <c r="F2929" s="3" t="s">
        <v>10655</v>
      </c>
      <c r="G2929" s="3" t="s">
        <v>10656</v>
      </c>
      <c r="H2929" s="3" t="s">
        <v>318</v>
      </c>
      <c r="I2929" s="3" t="s">
        <v>319</v>
      </c>
      <c r="J2929" s="3" t="s">
        <v>319</v>
      </c>
      <c r="K2929" s="3" t="s">
        <v>10657</v>
      </c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C2929" s="3"/>
      <c r="AD2929" s="3"/>
      <c r="AE2929" s="3"/>
      <c r="AF2929" s="3"/>
      <c r="AG2929" s="3"/>
      <c r="AH2929" s="3"/>
      <c r="AI2929" s="3"/>
      <c r="AJ2929" s="3"/>
      <c r="AK2929" s="3" t="s">
        <v>321</v>
      </c>
      <c r="AL2929" s="4">
        <v>37081</v>
      </c>
      <c r="AM2929" s="3"/>
      <c r="AN2929" s="3"/>
    </row>
    <row r="2930" spans="1:40" x14ac:dyDescent="0.3">
      <c r="A2930" s="3">
        <v>2924</v>
      </c>
      <c r="B2930" s="3" t="str">
        <f>"201000001406"</f>
        <v>201000001406</v>
      </c>
      <c r="C2930" s="3">
        <v>2449</v>
      </c>
      <c r="D2930" s="3" t="s">
        <v>10658</v>
      </c>
      <c r="E2930" s="3">
        <v>20131321784</v>
      </c>
      <c r="F2930" s="3" t="s">
        <v>6179</v>
      </c>
      <c r="G2930" s="3" t="s">
        <v>6180</v>
      </c>
      <c r="H2930" s="3" t="s">
        <v>56</v>
      </c>
      <c r="I2930" s="3" t="s">
        <v>56</v>
      </c>
      <c r="J2930" s="3" t="s">
        <v>363</v>
      </c>
      <c r="K2930" s="3" t="s">
        <v>10659</v>
      </c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C2930" s="3"/>
      <c r="AD2930" s="3"/>
      <c r="AE2930" s="3"/>
      <c r="AF2930" s="3"/>
      <c r="AG2930" s="3"/>
      <c r="AH2930" s="3"/>
      <c r="AI2930" s="3"/>
      <c r="AJ2930" s="3"/>
      <c r="AK2930" s="3" t="s">
        <v>634</v>
      </c>
      <c r="AL2930" s="4">
        <v>37327</v>
      </c>
      <c r="AM2930" s="3"/>
      <c r="AN2930" s="3"/>
    </row>
    <row r="2931" spans="1:40" ht="27.95" x14ac:dyDescent="0.3">
      <c r="A2931" s="3">
        <v>2925</v>
      </c>
      <c r="B2931" s="3" t="str">
        <f>"201000001407"</f>
        <v>201000001407</v>
      </c>
      <c r="C2931" s="3">
        <v>42665</v>
      </c>
      <c r="D2931" s="3" t="s">
        <v>10660</v>
      </c>
      <c r="E2931" s="3">
        <v>20100007348</v>
      </c>
      <c r="F2931" s="3" t="s">
        <v>10661</v>
      </c>
      <c r="G2931" s="3" t="s">
        <v>10662</v>
      </c>
      <c r="H2931" s="3" t="s">
        <v>56</v>
      </c>
      <c r="I2931" s="3" t="s">
        <v>56</v>
      </c>
      <c r="J2931" s="3" t="s">
        <v>105</v>
      </c>
      <c r="K2931" s="3" t="s">
        <v>10663</v>
      </c>
      <c r="L2931" s="3" t="s">
        <v>10664</v>
      </c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C2931" s="3"/>
      <c r="AD2931" s="3"/>
      <c r="AE2931" s="3"/>
      <c r="AF2931" s="3"/>
      <c r="AG2931" s="3"/>
      <c r="AH2931" s="3"/>
      <c r="AI2931" s="3"/>
      <c r="AJ2931" s="3"/>
      <c r="AK2931" s="3" t="s">
        <v>3812</v>
      </c>
      <c r="AL2931" s="4">
        <v>37495</v>
      </c>
      <c r="AM2931" s="3"/>
      <c r="AN2931" s="3"/>
    </row>
    <row r="2932" spans="1:40" x14ac:dyDescent="0.3">
      <c r="A2932" s="3">
        <v>2926</v>
      </c>
      <c r="B2932" s="3" t="str">
        <f>"1160149"</f>
        <v>1160149</v>
      </c>
      <c r="C2932" s="3">
        <v>6149</v>
      </c>
      <c r="D2932" s="3">
        <v>1160149</v>
      </c>
      <c r="E2932" s="3">
        <v>10067961400</v>
      </c>
      <c r="F2932" s="3" t="s">
        <v>2189</v>
      </c>
      <c r="G2932" s="3" t="s">
        <v>2190</v>
      </c>
      <c r="H2932" s="3" t="s">
        <v>56</v>
      </c>
      <c r="I2932" s="3" t="s">
        <v>56</v>
      </c>
      <c r="J2932" s="3" t="s">
        <v>1339</v>
      </c>
      <c r="K2932" s="3" t="s">
        <v>10665</v>
      </c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C2932" s="3"/>
      <c r="AD2932" s="3"/>
      <c r="AE2932" s="3"/>
      <c r="AF2932" s="3"/>
      <c r="AG2932" s="3"/>
      <c r="AH2932" s="3"/>
      <c r="AI2932" s="3"/>
      <c r="AJ2932" s="3"/>
      <c r="AK2932" s="3" t="s">
        <v>65</v>
      </c>
      <c r="AL2932" s="4">
        <v>35761</v>
      </c>
      <c r="AM2932" s="3"/>
      <c r="AN2932" s="3"/>
    </row>
    <row r="2933" spans="1:40" x14ac:dyDescent="0.3">
      <c r="A2933" s="3">
        <v>2927</v>
      </c>
      <c r="B2933" s="3" t="str">
        <f>"1126283"</f>
        <v>1126283</v>
      </c>
      <c r="C2933" s="3">
        <v>3328</v>
      </c>
      <c r="D2933" s="3">
        <v>959092</v>
      </c>
      <c r="E2933" s="3">
        <v>10084943580</v>
      </c>
      <c r="F2933" s="3" t="s">
        <v>10666</v>
      </c>
      <c r="G2933" s="3" t="s">
        <v>10667</v>
      </c>
      <c r="H2933" s="3" t="s">
        <v>56</v>
      </c>
      <c r="I2933" s="3" t="s">
        <v>56</v>
      </c>
      <c r="J2933" s="3" t="s">
        <v>63</v>
      </c>
      <c r="K2933" s="3" t="s">
        <v>10668</v>
      </c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C2933" s="3"/>
      <c r="AD2933" s="3"/>
      <c r="AE2933" s="3"/>
      <c r="AF2933" s="3"/>
      <c r="AG2933" s="3"/>
      <c r="AH2933" s="3"/>
      <c r="AI2933" s="3"/>
      <c r="AJ2933" s="3"/>
      <c r="AK2933" s="3" t="s">
        <v>306</v>
      </c>
      <c r="AL2933" s="4">
        <v>35573</v>
      </c>
      <c r="AM2933" s="3"/>
      <c r="AN2933" s="3"/>
    </row>
    <row r="2934" spans="1:40" x14ac:dyDescent="0.3">
      <c r="A2934" s="3">
        <v>2928</v>
      </c>
      <c r="B2934" s="3" t="str">
        <f>"201700045125"</f>
        <v>201700045125</v>
      </c>
      <c r="C2934" s="3">
        <v>114639</v>
      </c>
      <c r="D2934" s="3" t="s">
        <v>10669</v>
      </c>
      <c r="E2934" s="3">
        <v>20450509125</v>
      </c>
      <c r="F2934" s="3" t="s">
        <v>1862</v>
      </c>
      <c r="G2934" s="3" t="s">
        <v>10670</v>
      </c>
      <c r="H2934" s="3" t="s">
        <v>446</v>
      </c>
      <c r="I2934" s="3" t="s">
        <v>895</v>
      </c>
      <c r="J2934" s="3" t="s">
        <v>896</v>
      </c>
      <c r="K2934" s="3" t="s">
        <v>10671</v>
      </c>
      <c r="L2934" s="3" t="s">
        <v>10672</v>
      </c>
      <c r="M2934" s="3" t="s">
        <v>10672</v>
      </c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C2934" s="3"/>
      <c r="AD2934" s="3"/>
      <c r="AE2934" s="3"/>
      <c r="AF2934" s="3"/>
      <c r="AG2934" s="3"/>
      <c r="AH2934" s="3"/>
      <c r="AI2934" s="3"/>
      <c r="AJ2934" s="3"/>
      <c r="AK2934" s="3" t="s">
        <v>150</v>
      </c>
      <c r="AL2934" s="4">
        <v>42831</v>
      </c>
      <c r="AM2934" s="3"/>
      <c r="AN2934" s="3" t="s">
        <v>1866</v>
      </c>
    </row>
    <row r="2935" spans="1:40" x14ac:dyDescent="0.3">
      <c r="A2935" s="3">
        <v>2929</v>
      </c>
      <c r="B2935" s="3" t="str">
        <f>"1756137"</f>
        <v>1756137</v>
      </c>
      <c r="C2935" s="3">
        <v>60699</v>
      </c>
      <c r="D2935" s="3" t="s">
        <v>10673</v>
      </c>
      <c r="E2935" s="3">
        <v>20506762694</v>
      </c>
      <c r="F2935" s="3" t="s">
        <v>10674</v>
      </c>
      <c r="G2935" s="3" t="s">
        <v>10675</v>
      </c>
      <c r="H2935" s="3" t="s">
        <v>56</v>
      </c>
      <c r="I2935" s="3" t="s">
        <v>56</v>
      </c>
      <c r="J2935" s="3" t="s">
        <v>363</v>
      </c>
      <c r="K2935" s="3" t="s">
        <v>10676</v>
      </c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C2935" s="3"/>
      <c r="AD2935" s="3"/>
      <c r="AE2935" s="3"/>
      <c r="AF2935" s="3"/>
      <c r="AG2935" s="3"/>
      <c r="AH2935" s="3"/>
      <c r="AI2935" s="3"/>
      <c r="AJ2935" s="3"/>
      <c r="AK2935" s="3" t="s">
        <v>5597</v>
      </c>
      <c r="AL2935" s="4">
        <v>39507</v>
      </c>
      <c r="AM2935" s="3"/>
      <c r="AN2935" s="3"/>
    </row>
    <row r="2936" spans="1:40" x14ac:dyDescent="0.3">
      <c r="A2936" s="3">
        <v>2930</v>
      </c>
      <c r="B2936" s="3" t="str">
        <f>"201000001410"</f>
        <v>201000001410</v>
      </c>
      <c r="C2936" s="3">
        <v>34141</v>
      </c>
      <c r="D2936" s="3" t="s">
        <v>10677</v>
      </c>
      <c r="E2936" s="3">
        <v>10085148881</v>
      </c>
      <c r="F2936" s="3" t="s">
        <v>2142</v>
      </c>
      <c r="G2936" s="3" t="s">
        <v>2143</v>
      </c>
      <c r="H2936" s="3" t="s">
        <v>56</v>
      </c>
      <c r="I2936" s="3" t="s">
        <v>56</v>
      </c>
      <c r="J2936" s="3" t="s">
        <v>63</v>
      </c>
      <c r="K2936" s="3" t="s">
        <v>10678</v>
      </c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C2936" s="3"/>
      <c r="AD2936" s="3"/>
      <c r="AE2936" s="3"/>
      <c r="AF2936" s="3"/>
      <c r="AG2936" s="3"/>
      <c r="AH2936" s="3"/>
      <c r="AI2936" s="3"/>
      <c r="AJ2936" s="3"/>
      <c r="AK2936" s="3" t="s">
        <v>546</v>
      </c>
      <c r="AL2936" s="4">
        <v>37813</v>
      </c>
      <c r="AM2936" s="3"/>
      <c r="AN2936" s="3"/>
    </row>
    <row r="2937" spans="1:40" x14ac:dyDescent="0.3">
      <c r="A2937" s="3">
        <v>2931</v>
      </c>
      <c r="B2937" s="3" t="str">
        <f>"1123187"</f>
        <v>1123187</v>
      </c>
      <c r="C2937" s="3">
        <v>2310</v>
      </c>
      <c r="D2937" s="3">
        <v>955418</v>
      </c>
      <c r="E2937" s="3">
        <v>20293658146</v>
      </c>
      <c r="F2937" s="3" t="s">
        <v>3726</v>
      </c>
      <c r="G2937" s="3" t="s">
        <v>10679</v>
      </c>
      <c r="H2937" s="3" t="s">
        <v>56</v>
      </c>
      <c r="I2937" s="3" t="s">
        <v>56</v>
      </c>
      <c r="J2937" s="3" t="s">
        <v>63</v>
      </c>
      <c r="K2937" s="3" t="s">
        <v>10680</v>
      </c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C2937" s="3"/>
      <c r="AD2937" s="3"/>
      <c r="AE2937" s="3"/>
      <c r="AF2937" s="3"/>
      <c r="AG2937" s="3"/>
      <c r="AH2937" s="3"/>
      <c r="AI2937" s="3"/>
      <c r="AJ2937" s="3"/>
      <c r="AK2937" s="3" t="s">
        <v>583</v>
      </c>
      <c r="AL2937" s="4">
        <v>35564</v>
      </c>
      <c r="AM2937" s="3"/>
      <c r="AN2937" s="3"/>
    </row>
    <row r="2938" spans="1:40" x14ac:dyDescent="0.3">
      <c r="A2938" s="3">
        <v>2932</v>
      </c>
      <c r="B2938" s="3" t="str">
        <f>"201900078543"</f>
        <v>201900078543</v>
      </c>
      <c r="C2938" s="3">
        <v>123096</v>
      </c>
      <c r="D2938" s="3" t="s">
        <v>10681</v>
      </c>
      <c r="E2938" s="3">
        <v>20600688341</v>
      </c>
      <c r="F2938" s="3" t="s">
        <v>10682</v>
      </c>
      <c r="G2938" s="3" t="s">
        <v>10683</v>
      </c>
      <c r="H2938" s="3" t="s">
        <v>357</v>
      </c>
      <c r="I2938" s="3" t="s">
        <v>357</v>
      </c>
      <c r="J2938" s="3" t="s">
        <v>357</v>
      </c>
      <c r="K2938" s="3" t="s">
        <v>10684</v>
      </c>
      <c r="L2938" s="3" t="s">
        <v>10685</v>
      </c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C2938" s="3"/>
      <c r="AD2938" s="3"/>
      <c r="AE2938" s="3"/>
      <c r="AF2938" s="3"/>
      <c r="AG2938" s="3"/>
      <c r="AH2938" s="3"/>
      <c r="AI2938" s="3"/>
      <c r="AJ2938" s="3"/>
      <c r="AK2938" s="3" t="s">
        <v>6146</v>
      </c>
      <c r="AL2938" s="4">
        <v>43602</v>
      </c>
      <c r="AM2938" s="3"/>
      <c r="AN2938" s="3" t="s">
        <v>10686</v>
      </c>
    </row>
    <row r="2939" spans="1:40" x14ac:dyDescent="0.3">
      <c r="A2939" s="3">
        <v>2933</v>
      </c>
      <c r="B2939" s="3" t="str">
        <f>"201000001413"</f>
        <v>201000001413</v>
      </c>
      <c r="C2939" s="3">
        <v>37662</v>
      </c>
      <c r="D2939" s="3" t="s">
        <v>10687</v>
      </c>
      <c r="E2939" s="3">
        <v>10159508761</v>
      </c>
      <c r="F2939" s="3" t="s">
        <v>10688</v>
      </c>
      <c r="G2939" s="3" t="s">
        <v>10689</v>
      </c>
      <c r="H2939" s="3" t="s">
        <v>56</v>
      </c>
      <c r="I2939" s="3" t="s">
        <v>1869</v>
      </c>
      <c r="J2939" s="3" t="s">
        <v>1869</v>
      </c>
      <c r="K2939" s="3" t="s">
        <v>10690</v>
      </c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C2939" s="3"/>
      <c r="AD2939" s="3"/>
      <c r="AE2939" s="3"/>
      <c r="AF2939" s="3"/>
      <c r="AG2939" s="3"/>
      <c r="AH2939" s="3"/>
      <c r="AI2939" s="3"/>
      <c r="AJ2939" s="3"/>
      <c r="AK2939" s="3" t="s">
        <v>81</v>
      </c>
      <c r="AL2939" s="4">
        <v>38218</v>
      </c>
      <c r="AM2939" s="3"/>
      <c r="AN2939" s="3"/>
    </row>
    <row r="2940" spans="1:40" x14ac:dyDescent="0.3">
      <c r="A2940" s="3">
        <v>2934</v>
      </c>
      <c r="B2940" s="3" t="str">
        <f>"1132938"</f>
        <v>1132938</v>
      </c>
      <c r="C2940" s="3">
        <v>3518</v>
      </c>
      <c r="D2940" s="3" t="s">
        <v>10691</v>
      </c>
      <c r="E2940" s="3">
        <v>20133577735</v>
      </c>
      <c r="F2940" s="3" t="s">
        <v>5369</v>
      </c>
      <c r="G2940" s="3" t="s">
        <v>5370</v>
      </c>
      <c r="H2940" s="3" t="s">
        <v>271</v>
      </c>
      <c r="I2940" s="3" t="s">
        <v>552</v>
      </c>
      <c r="J2940" s="3" t="s">
        <v>4652</v>
      </c>
      <c r="K2940" s="3" t="s">
        <v>10692</v>
      </c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C2940" s="3"/>
      <c r="AD2940" s="3"/>
      <c r="AE2940" s="3"/>
      <c r="AF2940" s="3"/>
      <c r="AG2940" s="3"/>
      <c r="AH2940" s="3"/>
      <c r="AI2940" s="3"/>
      <c r="AJ2940" s="3"/>
      <c r="AK2940" s="3" t="s">
        <v>81</v>
      </c>
      <c r="AL2940" s="4">
        <v>36795</v>
      </c>
      <c r="AM2940" s="3"/>
      <c r="AN2940" s="3"/>
    </row>
    <row r="2941" spans="1:40" x14ac:dyDescent="0.3">
      <c r="A2941" s="3">
        <v>2935</v>
      </c>
      <c r="B2941" s="3" t="str">
        <f>"201000001414"</f>
        <v>201000001414</v>
      </c>
      <c r="C2941" s="3">
        <v>36259</v>
      </c>
      <c r="D2941" s="3" t="s">
        <v>10693</v>
      </c>
      <c r="E2941" s="3">
        <v>10098802831</v>
      </c>
      <c r="F2941" s="3" t="s">
        <v>5137</v>
      </c>
      <c r="G2941" s="3" t="s">
        <v>10694</v>
      </c>
      <c r="H2941" s="3" t="s">
        <v>56</v>
      </c>
      <c r="I2941" s="3" t="s">
        <v>56</v>
      </c>
      <c r="J2941" s="3" t="s">
        <v>185</v>
      </c>
      <c r="K2941" s="3" t="s">
        <v>10695</v>
      </c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C2941" s="3"/>
      <c r="AD2941" s="3"/>
      <c r="AE2941" s="3"/>
      <c r="AF2941" s="3"/>
      <c r="AG2941" s="3"/>
      <c r="AH2941" s="3"/>
      <c r="AI2941" s="3"/>
      <c r="AJ2941" s="3"/>
      <c r="AK2941" s="3" t="s">
        <v>5140</v>
      </c>
      <c r="AL2941" s="4">
        <v>38131</v>
      </c>
      <c r="AM2941" s="3"/>
      <c r="AN2941" s="3"/>
    </row>
    <row r="2942" spans="1:40" x14ac:dyDescent="0.3">
      <c r="A2942" s="3">
        <v>2936</v>
      </c>
      <c r="B2942" s="3" t="str">
        <f>"201000001411"</f>
        <v>201000001411</v>
      </c>
      <c r="C2942" s="3">
        <v>34355</v>
      </c>
      <c r="D2942" s="3" t="s">
        <v>10696</v>
      </c>
      <c r="E2942" s="3">
        <v>10093817732</v>
      </c>
      <c r="F2942" s="3" t="s">
        <v>3167</v>
      </c>
      <c r="G2942" s="3" t="s">
        <v>3168</v>
      </c>
      <c r="H2942" s="3" t="s">
        <v>56</v>
      </c>
      <c r="I2942" s="3" t="s">
        <v>56</v>
      </c>
      <c r="J2942" s="3" t="s">
        <v>185</v>
      </c>
      <c r="K2942" s="3" t="s">
        <v>10697</v>
      </c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C2942" s="3"/>
      <c r="AD2942" s="3"/>
      <c r="AE2942" s="3"/>
      <c r="AF2942" s="3"/>
      <c r="AG2942" s="3"/>
      <c r="AH2942" s="3"/>
      <c r="AI2942" s="3"/>
      <c r="AJ2942" s="3"/>
      <c r="AK2942" s="3" t="s">
        <v>634</v>
      </c>
      <c r="AL2942" s="4">
        <v>37750</v>
      </c>
      <c r="AM2942" s="3"/>
      <c r="AN2942" s="3"/>
    </row>
    <row r="2943" spans="1:40" x14ac:dyDescent="0.3">
      <c r="A2943" s="3">
        <v>2937</v>
      </c>
      <c r="B2943" s="3" t="str">
        <f>"201300150566"</f>
        <v>201300150566</v>
      </c>
      <c r="C2943" s="3">
        <v>105359</v>
      </c>
      <c r="D2943" s="3" t="s">
        <v>10698</v>
      </c>
      <c r="E2943" s="3">
        <v>10010512668</v>
      </c>
      <c r="F2943" s="3" t="s">
        <v>10699</v>
      </c>
      <c r="G2943" s="3" t="s">
        <v>10700</v>
      </c>
      <c r="H2943" s="3" t="s">
        <v>172</v>
      </c>
      <c r="I2943" s="3" t="s">
        <v>4506</v>
      </c>
      <c r="J2943" s="3" t="s">
        <v>10604</v>
      </c>
      <c r="K2943" s="3" t="s">
        <v>10701</v>
      </c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C2943" s="3"/>
      <c r="AD2943" s="3"/>
      <c r="AE2943" s="3"/>
      <c r="AF2943" s="3"/>
      <c r="AG2943" s="3"/>
      <c r="AH2943" s="3"/>
      <c r="AI2943" s="3"/>
      <c r="AJ2943" s="3"/>
      <c r="AK2943" s="3" t="s">
        <v>634</v>
      </c>
      <c r="AL2943" s="3" t="s">
        <v>290</v>
      </c>
      <c r="AM2943" s="3"/>
      <c r="AN2943" s="3" t="s">
        <v>10699</v>
      </c>
    </row>
    <row r="2944" spans="1:40" x14ac:dyDescent="0.3">
      <c r="A2944" s="3">
        <v>2938</v>
      </c>
      <c r="B2944" s="3" t="str">
        <f>"1387543"</f>
        <v>1387543</v>
      </c>
      <c r="C2944" s="3">
        <v>33295</v>
      </c>
      <c r="D2944" s="3" t="s">
        <v>10702</v>
      </c>
      <c r="E2944" s="3">
        <v>20133577735</v>
      </c>
      <c r="F2944" s="3" t="s">
        <v>5369</v>
      </c>
      <c r="G2944" s="3" t="s">
        <v>10703</v>
      </c>
      <c r="H2944" s="3" t="s">
        <v>44</v>
      </c>
      <c r="I2944" s="3" t="s">
        <v>45</v>
      </c>
      <c r="J2944" s="3" t="s">
        <v>45</v>
      </c>
      <c r="K2944" s="3" t="s">
        <v>10704</v>
      </c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C2944" s="3"/>
      <c r="AD2944" s="3"/>
      <c r="AE2944" s="3"/>
      <c r="AF2944" s="3"/>
      <c r="AG2944" s="3"/>
      <c r="AH2944" s="3"/>
      <c r="AI2944" s="3"/>
      <c r="AJ2944" s="3"/>
      <c r="AK2944" s="3" t="s">
        <v>157</v>
      </c>
      <c r="AL2944" s="4">
        <v>37501</v>
      </c>
      <c r="AM2944" s="3"/>
      <c r="AN2944" s="3"/>
    </row>
    <row r="2945" spans="1:40" x14ac:dyDescent="0.3">
      <c r="A2945" s="3">
        <v>2939</v>
      </c>
      <c r="B2945" s="3" t="str">
        <f>"201000001417"</f>
        <v>201000001417</v>
      </c>
      <c r="C2945" s="3">
        <v>36517</v>
      </c>
      <c r="D2945" s="3" t="s">
        <v>10705</v>
      </c>
      <c r="E2945" s="3">
        <v>20100176450</v>
      </c>
      <c r="F2945" s="3" t="s">
        <v>651</v>
      </c>
      <c r="G2945" s="3" t="s">
        <v>1121</v>
      </c>
      <c r="H2945" s="3" t="s">
        <v>56</v>
      </c>
      <c r="I2945" s="3" t="s">
        <v>56</v>
      </c>
      <c r="J2945" s="3" t="s">
        <v>653</v>
      </c>
      <c r="K2945" s="3" t="s">
        <v>10706</v>
      </c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C2945" s="3"/>
      <c r="AD2945" s="3"/>
      <c r="AE2945" s="3"/>
      <c r="AF2945" s="3"/>
      <c r="AG2945" s="3"/>
      <c r="AH2945" s="3"/>
      <c r="AI2945" s="3"/>
      <c r="AJ2945" s="3"/>
      <c r="AK2945" s="3" t="s">
        <v>679</v>
      </c>
      <c r="AL2945" s="4">
        <v>38105</v>
      </c>
      <c r="AM2945" s="3"/>
      <c r="AN2945" s="3"/>
    </row>
    <row r="2946" spans="1:40" ht="27.95" x14ac:dyDescent="0.3">
      <c r="A2946" s="3">
        <v>2940</v>
      </c>
      <c r="B2946" s="3" t="str">
        <f>"201000001415"</f>
        <v>201000001415</v>
      </c>
      <c r="C2946" s="3">
        <v>36723</v>
      </c>
      <c r="D2946" s="3" t="s">
        <v>10707</v>
      </c>
      <c r="E2946" s="3">
        <v>10327896984</v>
      </c>
      <c r="F2946" s="3" t="s">
        <v>10708</v>
      </c>
      <c r="G2946" s="3" t="s">
        <v>10709</v>
      </c>
      <c r="H2946" s="3" t="s">
        <v>56</v>
      </c>
      <c r="I2946" s="3" t="s">
        <v>56</v>
      </c>
      <c r="J2946" s="3" t="s">
        <v>363</v>
      </c>
      <c r="K2946" s="3" t="s">
        <v>10710</v>
      </c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C2946" s="3"/>
      <c r="AD2946" s="3"/>
      <c r="AE2946" s="3"/>
      <c r="AF2946" s="3"/>
      <c r="AG2946" s="3"/>
      <c r="AH2946" s="3"/>
      <c r="AI2946" s="3"/>
      <c r="AJ2946" s="3"/>
      <c r="AK2946" s="3" t="s">
        <v>52</v>
      </c>
      <c r="AL2946" s="4">
        <v>38216</v>
      </c>
      <c r="AM2946" s="3"/>
      <c r="AN2946" s="3"/>
    </row>
    <row r="2947" spans="1:40" x14ac:dyDescent="0.3">
      <c r="A2947" s="3">
        <v>2941</v>
      </c>
      <c r="B2947" s="3" t="str">
        <f>"1132932"</f>
        <v>1132932</v>
      </c>
      <c r="C2947" s="3">
        <v>3517</v>
      </c>
      <c r="D2947" s="3" t="s">
        <v>10711</v>
      </c>
      <c r="E2947" s="3">
        <v>20157076311</v>
      </c>
      <c r="F2947" s="3" t="s">
        <v>10712</v>
      </c>
      <c r="G2947" s="3" t="s">
        <v>5370</v>
      </c>
      <c r="H2947" s="3" t="s">
        <v>44</v>
      </c>
      <c r="I2947" s="3" t="s">
        <v>45</v>
      </c>
      <c r="J2947" s="3" t="s">
        <v>45</v>
      </c>
      <c r="K2947" s="3" t="s">
        <v>10713</v>
      </c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C2947" s="3"/>
      <c r="AD2947" s="3"/>
      <c r="AE2947" s="3"/>
      <c r="AF2947" s="3"/>
      <c r="AG2947" s="3"/>
      <c r="AH2947" s="3"/>
      <c r="AI2947" s="3"/>
      <c r="AJ2947" s="3"/>
      <c r="AK2947" s="3" t="s">
        <v>81</v>
      </c>
      <c r="AL2947" s="4">
        <v>36795</v>
      </c>
      <c r="AM2947" s="3"/>
      <c r="AN2947" s="3"/>
    </row>
    <row r="2948" spans="1:40" x14ac:dyDescent="0.3">
      <c r="A2948" s="3">
        <v>2942</v>
      </c>
      <c r="B2948" s="3" t="str">
        <f>"1577121"</f>
        <v>1577121</v>
      </c>
      <c r="C2948" s="3">
        <v>42364</v>
      </c>
      <c r="D2948" s="3" t="s">
        <v>10714</v>
      </c>
      <c r="E2948" s="3">
        <v>10161783531</v>
      </c>
      <c r="F2948" s="3" t="s">
        <v>10650</v>
      </c>
      <c r="G2948" s="3" t="s">
        <v>10715</v>
      </c>
      <c r="H2948" s="3" t="s">
        <v>56</v>
      </c>
      <c r="I2948" s="3" t="s">
        <v>56</v>
      </c>
      <c r="J2948" s="3" t="s">
        <v>63</v>
      </c>
      <c r="K2948" s="3" t="s">
        <v>10716</v>
      </c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C2948" s="3"/>
      <c r="AD2948" s="3"/>
      <c r="AE2948" s="3"/>
      <c r="AF2948" s="3"/>
      <c r="AG2948" s="3"/>
      <c r="AH2948" s="3"/>
      <c r="AI2948" s="3"/>
      <c r="AJ2948" s="3"/>
      <c r="AK2948" s="3" t="s">
        <v>1248</v>
      </c>
      <c r="AL2948" s="4">
        <v>38700</v>
      </c>
      <c r="AM2948" s="3"/>
      <c r="AN2948" s="3"/>
    </row>
    <row r="2949" spans="1:40" x14ac:dyDescent="0.3">
      <c r="A2949" s="3">
        <v>2943</v>
      </c>
      <c r="B2949" s="3" t="str">
        <f>"201000001421"</f>
        <v>201000001421</v>
      </c>
      <c r="C2949" s="3">
        <v>36795</v>
      </c>
      <c r="D2949" s="3" t="s">
        <v>10717</v>
      </c>
      <c r="E2949" s="3">
        <v>10071673249</v>
      </c>
      <c r="F2949" s="3" t="s">
        <v>7116</v>
      </c>
      <c r="G2949" s="3" t="s">
        <v>8509</v>
      </c>
      <c r="H2949" s="3" t="s">
        <v>56</v>
      </c>
      <c r="I2949" s="3" t="s">
        <v>56</v>
      </c>
      <c r="J2949" s="3" t="s">
        <v>57</v>
      </c>
      <c r="K2949" s="3" t="s">
        <v>10718</v>
      </c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C2949" s="3"/>
      <c r="AD2949" s="3"/>
      <c r="AE2949" s="3"/>
      <c r="AF2949" s="3"/>
      <c r="AG2949" s="3"/>
      <c r="AH2949" s="3"/>
      <c r="AI2949" s="3"/>
      <c r="AJ2949" s="3"/>
      <c r="AK2949" s="3" t="s">
        <v>607</v>
      </c>
      <c r="AL2949" s="4">
        <v>38390</v>
      </c>
      <c r="AM2949" s="3"/>
      <c r="AN2949" s="3"/>
    </row>
    <row r="2950" spans="1:40" x14ac:dyDescent="0.3">
      <c r="A2950" s="3">
        <v>2944</v>
      </c>
      <c r="B2950" s="3" t="str">
        <f>"201000001420"</f>
        <v>201000001420</v>
      </c>
      <c r="C2950" s="3">
        <v>34375</v>
      </c>
      <c r="D2950" s="3" t="s">
        <v>10719</v>
      </c>
      <c r="E2950" s="3">
        <v>10417990963</v>
      </c>
      <c r="F2950" s="3" t="s">
        <v>10720</v>
      </c>
      <c r="G2950" s="3" t="s">
        <v>10721</v>
      </c>
      <c r="H2950" s="3" t="s">
        <v>56</v>
      </c>
      <c r="I2950" s="3" t="s">
        <v>56</v>
      </c>
      <c r="J2950" s="3" t="s">
        <v>1604</v>
      </c>
      <c r="K2950" s="3" t="s">
        <v>10722</v>
      </c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C2950" s="3"/>
      <c r="AD2950" s="3"/>
      <c r="AE2950" s="3"/>
      <c r="AF2950" s="3"/>
      <c r="AG2950" s="3"/>
      <c r="AH2950" s="3"/>
      <c r="AI2950" s="3"/>
      <c r="AJ2950" s="3"/>
      <c r="AK2950" s="3" t="s">
        <v>10723</v>
      </c>
      <c r="AL2950" s="4">
        <v>38075</v>
      </c>
      <c r="AM2950" s="3"/>
      <c r="AN2950" s="3"/>
    </row>
    <row r="2951" spans="1:40" ht="27.95" x14ac:dyDescent="0.3">
      <c r="A2951" s="3">
        <v>2945</v>
      </c>
      <c r="B2951" s="3" t="str">
        <f>"201000001427"</f>
        <v>201000001427</v>
      </c>
      <c r="C2951" s="3">
        <v>37313</v>
      </c>
      <c r="D2951" s="3" t="s">
        <v>10724</v>
      </c>
      <c r="E2951" s="3">
        <v>20100076749</v>
      </c>
      <c r="F2951" s="3" t="s">
        <v>159</v>
      </c>
      <c r="G2951" s="3" t="s">
        <v>160</v>
      </c>
      <c r="H2951" s="3" t="s">
        <v>216</v>
      </c>
      <c r="I2951" s="3" t="s">
        <v>216</v>
      </c>
      <c r="J2951" s="3" t="s">
        <v>216</v>
      </c>
      <c r="K2951" s="3" t="s">
        <v>10725</v>
      </c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C2951" s="3"/>
      <c r="AD2951" s="3"/>
      <c r="AE2951" s="3"/>
      <c r="AF2951" s="3"/>
      <c r="AG2951" s="3"/>
      <c r="AH2951" s="3"/>
      <c r="AI2951" s="3"/>
      <c r="AJ2951" s="3"/>
      <c r="AK2951" s="3" t="s">
        <v>546</v>
      </c>
      <c r="AL2951" s="4">
        <v>38622</v>
      </c>
      <c r="AM2951" s="3"/>
      <c r="AN2951" s="3"/>
    </row>
    <row r="2952" spans="1:40" ht="27.95" x14ac:dyDescent="0.3">
      <c r="A2952" s="3">
        <v>2946</v>
      </c>
      <c r="B2952" s="3" t="str">
        <f>"201000001426"</f>
        <v>201000001426</v>
      </c>
      <c r="C2952" s="3">
        <v>41184</v>
      </c>
      <c r="D2952" s="3" t="s">
        <v>10726</v>
      </c>
      <c r="E2952" s="3">
        <v>20100076749</v>
      </c>
      <c r="F2952" s="3" t="s">
        <v>159</v>
      </c>
      <c r="G2952" s="3" t="s">
        <v>160</v>
      </c>
      <c r="H2952" s="3" t="s">
        <v>56</v>
      </c>
      <c r="I2952" s="3" t="s">
        <v>56</v>
      </c>
      <c r="J2952" s="3" t="s">
        <v>121</v>
      </c>
      <c r="K2952" s="3" t="s">
        <v>10727</v>
      </c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C2952" s="3"/>
      <c r="AD2952" s="3"/>
      <c r="AE2952" s="3"/>
      <c r="AF2952" s="3"/>
      <c r="AG2952" s="3"/>
      <c r="AH2952" s="3"/>
      <c r="AI2952" s="3"/>
      <c r="AJ2952" s="3"/>
      <c r="AK2952" s="3" t="s">
        <v>546</v>
      </c>
      <c r="AL2952" s="4">
        <v>38622</v>
      </c>
      <c r="AM2952" s="3"/>
      <c r="AN2952" s="3"/>
    </row>
    <row r="2953" spans="1:40" ht="27.95" x14ac:dyDescent="0.3">
      <c r="A2953" s="3">
        <v>2947</v>
      </c>
      <c r="B2953" s="3" t="str">
        <f>"201000001429"</f>
        <v>201000001429</v>
      </c>
      <c r="C2953" s="3">
        <v>6460</v>
      </c>
      <c r="D2953" s="3">
        <v>1165611</v>
      </c>
      <c r="E2953" s="3">
        <v>20100076749</v>
      </c>
      <c r="F2953" s="3" t="s">
        <v>159</v>
      </c>
      <c r="G2953" s="3" t="s">
        <v>8978</v>
      </c>
      <c r="H2953" s="3" t="s">
        <v>56</v>
      </c>
      <c r="I2953" s="3" t="s">
        <v>56</v>
      </c>
      <c r="J2953" s="3" t="s">
        <v>121</v>
      </c>
      <c r="K2953" s="3" t="s">
        <v>10728</v>
      </c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C2953" s="3"/>
      <c r="AD2953" s="3"/>
      <c r="AE2953" s="3"/>
      <c r="AF2953" s="3"/>
      <c r="AG2953" s="3"/>
      <c r="AH2953" s="3"/>
      <c r="AI2953" s="3"/>
      <c r="AJ2953" s="3"/>
      <c r="AK2953" s="3" t="s">
        <v>81</v>
      </c>
      <c r="AL2953" s="4">
        <v>35850</v>
      </c>
      <c r="AM2953" s="3"/>
      <c r="AN2953" s="3"/>
    </row>
    <row r="2954" spans="1:40" ht="27.95" x14ac:dyDescent="0.3">
      <c r="A2954" s="3">
        <v>2948</v>
      </c>
      <c r="B2954" s="3" t="str">
        <f>"201000001428"</f>
        <v>201000001428</v>
      </c>
      <c r="C2954" s="3">
        <v>41253</v>
      </c>
      <c r="D2954" s="3" t="s">
        <v>10729</v>
      </c>
      <c r="E2954" s="3">
        <v>20100076749</v>
      </c>
      <c r="F2954" s="3" t="s">
        <v>159</v>
      </c>
      <c r="G2954" s="3" t="s">
        <v>160</v>
      </c>
      <c r="H2954" s="3" t="s">
        <v>56</v>
      </c>
      <c r="I2954" s="3" t="s">
        <v>56</v>
      </c>
      <c r="J2954" s="3" t="s">
        <v>121</v>
      </c>
      <c r="K2954" s="3" t="s">
        <v>10730</v>
      </c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C2954" s="3"/>
      <c r="AD2954" s="3"/>
      <c r="AE2954" s="3"/>
      <c r="AF2954" s="3"/>
      <c r="AG2954" s="3"/>
      <c r="AH2954" s="3"/>
      <c r="AI2954" s="3"/>
      <c r="AJ2954" s="3"/>
      <c r="AK2954" s="3" t="s">
        <v>4603</v>
      </c>
      <c r="AL2954" s="4">
        <v>38622</v>
      </c>
      <c r="AM2954" s="3"/>
      <c r="AN2954" s="3"/>
    </row>
    <row r="2955" spans="1:40" x14ac:dyDescent="0.3">
      <c r="A2955" s="3">
        <v>2949</v>
      </c>
      <c r="B2955" s="3" t="str">
        <f>"201000001423"</f>
        <v>201000001423</v>
      </c>
      <c r="C2955" s="3">
        <v>19754</v>
      </c>
      <c r="D2955" s="3" t="s">
        <v>10731</v>
      </c>
      <c r="E2955" s="3">
        <v>10167237377</v>
      </c>
      <c r="F2955" s="3" t="s">
        <v>10732</v>
      </c>
      <c r="G2955" s="3" t="s">
        <v>10733</v>
      </c>
      <c r="H2955" s="3" t="s">
        <v>50</v>
      </c>
      <c r="I2955" s="3" t="s">
        <v>50</v>
      </c>
      <c r="J2955" s="3" t="s">
        <v>98</v>
      </c>
      <c r="K2955" s="3" t="s">
        <v>10734</v>
      </c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C2955" s="3"/>
      <c r="AD2955" s="3"/>
      <c r="AE2955" s="3"/>
      <c r="AF2955" s="3"/>
      <c r="AG2955" s="3"/>
      <c r="AH2955" s="3"/>
      <c r="AI2955" s="3"/>
      <c r="AJ2955" s="3"/>
      <c r="AK2955" s="3" t="s">
        <v>614</v>
      </c>
      <c r="AL2955" s="4">
        <v>37649</v>
      </c>
      <c r="AM2955" s="3"/>
      <c r="AN2955" s="3"/>
    </row>
    <row r="2956" spans="1:40" ht="27.95" x14ac:dyDescent="0.3">
      <c r="A2956" s="3">
        <v>2950</v>
      </c>
      <c r="B2956" s="3" t="str">
        <f>"201000001422"</f>
        <v>201000001422</v>
      </c>
      <c r="C2956" s="3">
        <v>36391</v>
      </c>
      <c r="D2956" s="3" t="s">
        <v>10735</v>
      </c>
      <c r="E2956" s="3">
        <v>10065943633</v>
      </c>
      <c r="F2956" s="3" t="s">
        <v>10736</v>
      </c>
      <c r="G2956" s="3" t="s">
        <v>10737</v>
      </c>
      <c r="H2956" s="3" t="s">
        <v>56</v>
      </c>
      <c r="I2956" s="3" t="s">
        <v>56</v>
      </c>
      <c r="J2956" s="3" t="s">
        <v>309</v>
      </c>
      <c r="K2956" s="3" t="s">
        <v>10738</v>
      </c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C2956" s="3"/>
      <c r="AD2956" s="3"/>
      <c r="AE2956" s="3"/>
      <c r="AF2956" s="3"/>
      <c r="AG2956" s="3"/>
      <c r="AH2956" s="3"/>
      <c r="AI2956" s="3"/>
      <c r="AJ2956" s="3"/>
      <c r="AK2956" s="3" t="s">
        <v>353</v>
      </c>
      <c r="AL2956" s="4">
        <v>38293</v>
      </c>
      <c r="AM2956" s="3"/>
      <c r="AN2956" s="3"/>
    </row>
    <row r="2957" spans="1:40" ht="27.95" x14ac:dyDescent="0.3">
      <c r="A2957" s="3">
        <v>2951</v>
      </c>
      <c r="B2957" s="3" t="str">
        <f>"201000001425"</f>
        <v>201000001425</v>
      </c>
      <c r="C2957" s="3">
        <v>39163</v>
      </c>
      <c r="D2957" s="3" t="s">
        <v>10739</v>
      </c>
      <c r="E2957" s="3">
        <v>20100076749</v>
      </c>
      <c r="F2957" s="3" t="s">
        <v>159</v>
      </c>
      <c r="G2957" s="3" t="s">
        <v>160</v>
      </c>
      <c r="H2957" s="3" t="s">
        <v>75</v>
      </c>
      <c r="I2957" s="3" t="s">
        <v>75</v>
      </c>
      <c r="J2957" s="3" t="s">
        <v>3874</v>
      </c>
      <c r="K2957" s="3" t="s">
        <v>10740</v>
      </c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C2957" s="3"/>
      <c r="AD2957" s="3"/>
      <c r="AE2957" s="3"/>
      <c r="AF2957" s="3"/>
      <c r="AG2957" s="3"/>
      <c r="AH2957" s="3"/>
      <c r="AI2957" s="3"/>
      <c r="AJ2957" s="3"/>
      <c r="AK2957" s="3" t="s">
        <v>167</v>
      </c>
      <c r="AL2957" s="4">
        <v>38621</v>
      </c>
      <c r="AM2957" s="3"/>
      <c r="AN2957" s="3"/>
    </row>
    <row r="2958" spans="1:40" ht="27.95" x14ac:dyDescent="0.3">
      <c r="A2958" s="3">
        <v>2952</v>
      </c>
      <c r="B2958" s="3" t="str">
        <f>"1577467"</f>
        <v>1577467</v>
      </c>
      <c r="C2958" s="3">
        <v>42266</v>
      </c>
      <c r="D2958" s="3" t="s">
        <v>10741</v>
      </c>
      <c r="E2958" s="3">
        <v>20508069015</v>
      </c>
      <c r="F2958" s="3" t="s">
        <v>10742</v>
      </c>
      <c r="G2958" s="3" t="s">
        <v>6344</v>
      </c>
      <c r="H2958" s="3" t="s">
        <v>56</v>
      </c>
      <c r="I2958" s="3" t="s">
        <v>56</v>
      </c>
      <c r="J2958" s="3" t="s">
        <v>432</v>
      </c>
      <c r="K2958" s="3" t="s">
        <v>10743</v>
      </c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C2958" s="3"/>
      <c r="AD2958" s="3"/>
      <c r="AE2958" s="3"/>
      <c r="AF2958" s="3"/>
      <c r="AG2958" s="3"/>
      <c r="AH2958" s="3"/>
      <c r="AI2958" s="3"/>
      <c r="AJ2958" s="3"/>
      <c r="AK2958" s="3" t="s">
        <v>5696</v>
      </c>
      <c r="AL2958" s="4">
        <v>38700</v>
      </c>
      <c r="AM2958" s="3"/>
      <c r="AN2958" s="3"/>
    </row>
    <row r="2959" spans="1:40" ht="27.95" x14ac:dyDescent="0.3">
      <c r="A2959" s="3">
        <v>2953</v>
      </c>
      <c r="B2959" s="3" t="str">
        <f>"201000001424"</f>
        <v>201000001424</v>
      </c>
      <c r="C2959" s="3">
        <v>37547</v>
      </c>
      <c r="D2959" s="3" t="s">
        <v>10744</v>
      </c>
      <c r="E2959" s="3">
        <v>20100076749</v>
      </c>
      <c r="F2959" s="3" t="s">
        <v>159</v>
      </c>
      <c r="G2959" s="3" t="s">
        <v>2636</v>
      </c>
      <c r="H2959" s="3" t="s">
        <v>56</v>
      </c>
      <c r="I2959" s="3" t="s">
        <v>56</v>
      </c>
      <c r="J2959" s="3" t="s">
        <v>121</v>
      </c>
      <c r="K2959" s="3" t="s">
        <v>10745</v>
      </c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C2959" s="3"/>
      <c r="AD2959" s="3"/>
      <c r="AE2959" s="3"/>
      <c r="AF2959" s="3"/>
      <c r="AG2959" s="3"/>
      <c r="AH2959" s="3"/>
      <c r="AI2959" s="3"/>
      <c r="AJ2959" s="3"/>
      <c r="AK2959" s="3" t="s">
        <v>538</v>
      </c>
      <c r="AL2959" s="4">
        <v>38362</v>
      </c>
      <c r="AM2959" s="3"/>
      <c r="AN2959" s="3"/>
    </row>
    <row r="2960" spans="1:40" x14ac:dyDescent="0.3">
      <c r="A2960" s="3">
        <v>2954</v>
      </c>
      <c r="B2960" s="3" t="str">
        <f>"1551393"</f>
        <v>1551393</v>
      </c>
      <c r="C2960" s="3">
        <v>37661</v>
      </c>
      <c r="D2960" s="3" t="s">
        <v>10746</v>
      </c>
      <c r="E2960" s="3">
        <v>10257125764</v>
      </c>
      <c r="F2960" s="3" t="s">
        <v>10747</v>
      </c>
      <c r="G2960" s="3" t="s">
        <v>10748</v>
      </c>
      <c r="H2960" s="3" t="s">
        <v>75</v>
      </c>
      <c r="I2960" s="3" t="s">
        <v>75</v>
      </c>
      <c r="J2960" s="3" t="s">
        <v>76</v>
      </c>
      <c r="K2960" s="3" t="s">
        <v>10749</v>
      </c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C2960" s="3"/>
      <c r="AD2960" s="3"/>
      <c r="AE2960" s="3"/>
      <c r="AF2960" s="3"/>
      <c r="AG2960" s="3"/>
      <c r="AH2960" s="3"/>
      <c r="AI2960" s="3"/>
      <c r="AJ2960" s="3"/>
      <c r="AK2960" s="3" t="s">
        <v>81</v>
      </c>
      <c r="AL2960" s="4">
        <v>38575</v>
      </c>
      <c r="AM2960" s="3"/>
      <c r="AN2960" s="3"/>
    </row>
    <row r="2961" spans="1:40" x14ac:dyDescent="0.3">
      <c r="A2961" s="3">
        <v>2955</v>
      </c>
      <c r="B2961" s="3" t="str">
        <f>"1332193"</f>
        <v>1332193</v>
      </c>
      <c r="C2961" s="3">
        <v>21249</v>
      </c>
      <c r="D2961" s="3" t="s">
        <v>10750</v>
      </c>
      <c r="E2961" s="3">
        <v>10065603361</v>
      </c>
      <c r="F2961" s="3" t="s">
        <v>6516</v>
      </c>
      <c r="G2961" s="3" t="s">
        <v>1047</v>
      </c>
      <c r="H2961" s="3" t="s">
        <v>56</v>
      </c>
      <c r="I2961" s="3" t="s">
        <v>56</v>
      </c>
      <c r="J2961" s="3" t="s">
        <v>715</v>
      </c>
      <c r="K2961" s="3" t="s">
        <v>10751</v>
      </c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C2961" s="3"/>
      <c r="AD2961" s="3"/>
      <c r="AE2961" s="3"/>
      <c r="AF2961" s="3"/>
      <c r="AG2961" s="3"/>
      <c r="AH2961" s="3"/>
      <c r="AI2961" s="3"/>
      <c r="AJ2961" s="3"/>
      <c r="AK2961" s="3" t="s">
        <v>802</v>
      </c>
      <c r="AL2961" s="4">
        <v>37119</v>
      </c>
      <c r="AM2961" s="3"/>
      <c r="AN2961" s="3"/>
    </row>
    <row r="2962" spans="1:40" x14ac:dyDescent="0.3">
      <c r="A2962" s="3">
        <v>2956</v>
      </c>
      <c r="B2962" s="3" t="str">
        <f>"1332194"</f>
        <v>1332194</v>
      </c>
      <c r="C2962" s="3">
        <v>21252</v>
      </c>
      <c r="D2962" s="3" t="s">
        <v>10752</v>
      </c>
      <c r="E2962" s="3">
        <v>10065603361</v>
      </c>
      <c r="F2962" s="3" t="s">
        <v>6516</v>
      </c>
      <c r="G2962" s="3" t="s">
        <v>1047</v>
      </c>
      <c r="H2962" s="3" t="s">
        <v>56</v>
      </c>
      <c r="I2962" s="3" t="s">
        <v>56</v>
      </c>
      <c r="J2962" s="3" t="s">
        <v>715</v>
      </c>
      <c r="K2962" s="3" t="s">
        <v>10753</v>
      </c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C2962" s="3"/>
      <c r="AD2962" s="3"/>
      <c r="AE2962" s="3"/>
      <c r="AF2962" s="3"/>
      <c r="AG2962" s="3"/>
      <c r="AH2962" s="3"/>
      <c r="AI2962" s="3"/>
      <c r="AJ2962" s="3"/>
      <c r="AK2962" s="3" t="s">
        <v>4148</v>
      </c>
      <c r="AL2962" s="4">
        <v>37119</v>
      </c>
      <c r="AM2962" s="3"/>
      <c r="AN2962" s="3"/>
    </row>
    <row r="2963" spans="1:40" x14ac:dyDescent="0.3">
      <c r="A2963" s="3">
        <v>2957</v>
      </c>
      <c r="B2963" s="3" t="str">
        <f>"201800209400"</f>
        <v>201800209400</v>
      </c>
      <c r="C2963" s="3">
        <v>140395</v>
      </c>
      <c r="D2963" s="3" t="s">
        <v>10754</v>
      </c>
      <c r="E2963" s="3">
        <v>20510976887</v>
      </c>
      <c r="F2963" s="3" t="s">
        <v>693</v>
      </c>
      <c r="G2963" s="3" t="s">
        <v>3026</v>
      </c>
      <c r="H2963" s="3" t="s">
        <v>56</v>
      </c>
      <c r="I2963" s="3" t="s">
        <v>56</v>
      </c>
      <c r="J2963" s="3" t="s">
        <v>131</v>
      </c>
      <c r="K2963" s="3" t="s">
        <v>10755</v>
      </c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C2963" s="3"/>
      <c r="AD2963" s="3"/>
      <c r="AE2963" s="3"/>
      <c r="AF2963" s="3"/>
      <c r="AG2963" s="3"/>
      <c r="AH2963" s="3"/>
      <c r="AI2963" s="3"/>
      <c r="AJ2963" s="3"/>
      <c r="AK2963" s="3" t="s">
        <v>3028</v>
      </c>
      <c r="AL2963" s="4">
        <v>43461</v>
      </c>
      <c r="AM2963" s="3"/>
      <c r="AN2963" s="3" t="s">
        <v>671</v>
      </c>
    </row>
    <row r="2964" spans="1:40" x14ac:dyDescent="0.3">
      <c r="A2964" s="3">
        <v>2958</v>
      </c>
      <c r="B2964" s="3" t="str">
        <f>"1608662"</f>
        <v>1608662</v>
      </c>
      <c r="C2964" s="3">
        <v>38849</v>
      </c>
      <c r="D2964" s="3" t="s">
        <v>10756</v>
      </c>
      <c r="E2964" s="3">
        <v>10251835999</v>
      </c>
      <c r="F2964" s="3" t="s">
        <v>10757</v>
      </c>
      <c r="G2964" s="3" t="s">
        <v>8284</v>
      </c>
      <c r="H2964" s="3" t="s">
        <v>446</v>
      </c>
      <c r="I2964" s="3" t="s">
        <v>446</v>
      </c>
      <c r="J2964" s="3" t="s">
        <v>447</v>
      </c>
      <c r="K2964" s="3" t="s">
        <v>10758</v>
      </c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C2964" s="3"/>
      <c r="AD2964" s="3"/>
      <c r="AE2964" s="3"/>
      <c r="AF2964" s="3"/>
      <c r="AG2964" s="3"/>
      <c r="AH2964" s="3"/>
      <c r="AI2964" s="3"/>
      <c r="AJ2964" s="3"/>
      <c r="AK2964" s="3" t="s">
        <v>5228</v>
      </c>
      <c r="AL2964" s="4">
        <v>38856</v>
      </c>
      <c r="AM2964" s="3"/>
      <c r="AN2964" s="3"/>
    </row>
    <row r="2965" spans="1:40" x14ac:dyDescent="0.3">
      <c r="A2965" s="3">
        <v>2959</v>
      </c>
      <c r="B2965" s="3" t="str">
        <f>"1332192"</f>
        <v>1332192</v>
      </c>
      <c r="C2965" s="3">
        <v>21248</v>
      </c>
      <c r="D2965" s="3" t="s">
        <v>10759</v>
      </c>
      <c r="E2965" s="3">
        <v>10065603361</v>
      </c>
      <c r="F2965" s="3" t="s">
        <v>6516</v>
      </c>
      <c r="G2965" s="3" t="s">
        <v>1047</v>
      </c>
      <c r="H2965" s="3" t="s">
        <v>56</v>
      </c>
      <c r="I2965" s="3" t="s">
        <v>56</v>
      </c>
      <c r="J2965" s="3" t="s">
        <v>715</v>
      </c>
      <c r="K2965" s="3" t="s">
        <v>10760</v>
      </c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C2965" s="3"/>
      <c r="AD2965" s="3"/>
      <c r="AE2965" s="3"/>
      <c r="AF2965" s="3"/>
      <c r="AG2965" s="3"/>
      <c r="AH2965" s="3"/>
      <c r="AI2965" s="3"/>
      <c r="AJ2965" s="3"/>
      <c r="AK2965" s="3" t="s">
        <v>802</v>
      </c>
      <c r="AL2965" s="4">
        <v>37119</v>
      </c>
      <c r="AM2965" s="3"/>
      <c r="AN2965" s="3"/>
    </row>
    <row r="2966" spans="1:40" x14ac:dyDescent="0.3">
      <c r="A2966" s="3">
        <v>2960</v>
      </c>
      <c r="B2966" s="3" t="str">
        <f>"201300183040"</f>
        <v>201300183040</v>
      </c>
      <c r="C2966" s="3">
        <v>97410</v>
      </c>
      <c r="D2966" s="3" t="s">
        <v>10761</v>
      </c>
      <c r="E2966" s="3">
        <v>20113539594</v>
      </c>
      <c r="F2966" s="3" t="s">
        <v>164</v>
      </c>
      <c r="G2966" s="3" t="s">
        <v>165</v>
      </c>
      <c r="H2966" s="3" t="s">
        <v>50</v>
      </c>
      <c r="I2966" s="3" t="s">
        <v>50</v>
      </c>
      <c r="J2966" s="3" t="s">
        <v>50</v>
      </c>
      <c r="K2966" s="3" t="s">
        <v>10762</v>
      </c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C2966" s="3"/>
      <c r="AD2966" s="3"/>
      <c r="AE2966" s="3"/>
      <c r="AF2966" s="3"/>
      <c r="AG2966" s="3"/>
      <c r="AH2966" s="3"/>
      <c r="AI2966" s="3"/>
      <c r="AJ2966" s="3"/>
      <c r="AK2966" s="3" t="s">
        <v>5789</v>
      </c>
      <c r="AL2966" s="4">
        <v>41612</v>
      </c>
      <c r="AM2966" s="3"/>
      <c r="AN2966" s="3" t="s">
        <v>626</v>
      </c>
    </row>
    <row r="2967" spans="1:40" x14ac:dyDescent="0.3">
      <c r="A2967" s="3">
        <v>2961</v>
      </c>
      <c r="B2967" s="3" t="str">
        <f>"1332198"</f>
        <v>1332198</v>
      </c>
      <c r="C2967" s="3">
        <v>21251</v>
      </c>
      <c r="D2967" s="3" t="s">
        <v>10763</v>
      </c>
      <c r="E2967" s="3">
        <v>10065603361</v>
      </c>
      <c r="F2967" s="3" t="s">
        <v>6516</v>
      </c>
      <c r="G2967" s="3" t="s">
        <v>1047</v>
      </c>
      <c r="H2967" s="3" t="s">
        <v>56</v>
      </c>
      <c r="I2967" s="3" t="s">
        <v>56</v>
      </c>
      <c r="J2967" s="3" t="s">
        <v>715</v>
      </c>
      <c r="K2967" s="3" t="s">
        <v>10764</v>
      </c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C2967" s="3"/>
      <c r="AD2967" s="3"/>
      <c r="AE2967" s="3"/>
      <c r="AF2967" s="3"/>
      <c r="AG2967" s="3"/>
      <c r="AH2967" s="3"/>
      <c r="AI2967" s="3"/>
      <c r="AJ2967" s="3"/>
      <c r="AK2967" s="3" t="s">
        <v>118</v>
      </c>
      <c r="AL2967" s="4">
        <v>37119</v>
      </c>
      <c r="AM2967" s="3"/>
      <c r="AN2967" s="3"/>
    </row>
    <row r="2968" spans="1:40" x14ac:dyDescent="0.3">
      <c r="A2968" s="3">
        <v>2962</v>
      </c>
      <c r="B2968" s="3" t="str">
        <f>"1332196"</f>
        <v>1332196</v>
      </c>
      <c r="C2968" s="3">
        <v>21250</v>
      </c>
      <c r="D2968" s="3" t="s">
        <v>10765</v>
      </c>
      <c r="E2968" s="3">
        <v>10092238381</v>
      </c>
      <c r="F2968" s="3" t="s">
        <v>3303</v>
      </c>
      <c r="G2968" s="3" t="s">
        <v>1047</v>
      </c>
      <c r="H2968" s="3" t="s">
        <v>56</v>
      </c>
      <c r="I2968" s="3" t="s">
        <v>56</v>
      </c>
      <c r="J2968" s="3" t="s">
        <v>715</v>
      </c>
      <c r="K2968" s="3" t="s">
        <v>10766</v>
      </c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C2968" s="3"/>
      <c r="AD2968" s="3"/>
      <c r="AE2968" s="3"/>
      <c r="AF2968" s="3"/>
      <c r="AG2968" s="3"/>
      <c r="AH2968" s="3"/>
      <c r="AI2968" s="3"/>
      <c r="AJ2968" s="3"/>
      <c r="AK2968" s="3" t="s">
        <v>1297</v>
      </c>
      <c r="AL2968" s="4">
        <v>37119</v>
      </c>
      <c r="AM2968" s="3"/>
      <c r="AN2968" s="3"/>
    </row>
    <row r="2969" spans="1:40" ht="27.95" x14ac:dyDescent="0.3">
      <c r="A2969" s="3">
        <v>2963</v>
      </c>
      <c r="B2969" s="3" t="str">
        <f>"201000001430"</f>
        <v>201000001430</v>
      </c>
      <c r="C2969" s="3">
        <v>6458</v>
      </c>
      <c r="D2969" s="3">
        <v>1165615</v>
      </c>
      <c r="E2969" s="3">
        <v>20100076749</v>
      </c>
      <c r="F2969" s="3" t="s">
        <v>159</v>
      </c>
      <c r="G2969" s="3" t="s">
        <v>8978</v>
      </c>
      <c r="H2969" s="3" t="s">
        <v>56</v>
      </c>
      <c r="I2969" s="3" t="s">
        <v>56</v>
      </c>
      <c r="J2969" s="3" t="s">
        <v>121</v>
      </c>
      <c r="K2969" s="3" t="s">
        <v>10767</v>
      </c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C2969" s="3"/>
      <c r="AD2969" s="3"/>
      <c r="AE2969" s="3"/>
      <c r="AF2969" s="3"/>
      <c r="AG2969" s="3"/>
      <c r="AH2969" s="3"/>
      <c r="AI2969" s="3"/>
      <c r="AJ2969" s="3"/>
      <c r="AK2969" s="3" t="s">
        <v>1514</v>
      </c>
      <c r="AL2969" s="4">
        <v>35850</v>
      </c>
      <c r="AM2969" s="3"/>
      <c r="AN2969" s="3"/>
    </row>
    <row r="2970" spans="1:40" ht="27.95" x14ac:dyDescent="0.3">
      <c r="A2970" s="3">
        <v>2964</v>
      </c>
      <c r="B2970" s="3" t="str">
        <f>"201000001431"</f>
        <v>201000001431</v>
      </c>
      <c r="C2970" s="3">
        <v>41298</v>
      </c>
      <c r="D2970" s="3" t="s">
        <v>10768</v>
      </c>
      <c r="E2970" s="3">
        <v>20100076749</v>
      </c>
      <c r="F2970" s="3" t="s">
        <v>159</v>
      </c>
      <c r="G2970" s="3" t="s">
        <v>8978</v>
      </c>
      <c r="H2970" s="3" t="s">
        <v>56</v>
      </c>
      <c r="I2970" s="3" t="s">
        <v>56</v>
      </c>
      <c r="J2970" s="3" t="s">
        <v>121</v>
      </c>
      <c r="K2970" s="3" t="s">
        <v>10769</v>
      </c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C2970" s="3"/>
      <c r="AD2970" s="3"/>
      <c r="AE2970" s="3"/>
      <c r="AF2970" s="3"/>
      <c r="AG2970" s="3"/>
      <c r="AH2970" s="3"/>
      <c r="AI2970" s="3"/>
      <c r="AJ2970" s="3"/>
      <c r="AK2970" s="3" t="s">
        <v>7856</v>
      </c>
      <c r="AL2970" s="4">
        <v>38601</v>
      </c>
      <c r="AM2970" s="3"/>
      <c r="AN2970" s="3"/>
    </row>
    <row r="2971" spans="1:40" ht="27.95" x14ac:dyDescent="0.3">
      <c r="A2971" s="3">
        <v>2965</v>
      </c>
      <c r="B2971" s="3" t="str">
        <f>"202000147876"</f>
        <v>202000147876</v>
      </c>
      <c r="C2971" s="3">
        <v>83795</v>
      </c>
      <c r="D2971" s="3" t="s">
        <v>10770</v>
      </c>
      <c r="E2971" s="3">
        <v>20455751528</v>
      </c>
      <c r="F2971" s="3" t="s">
        <v>142</v>
      </c>
      <c r="G2971" s="3" t="s">
        <v>10771</v>
      </c>
      <c r="H2971" s="3" t="s">
        <v>97</v>
      </c>
      <c r="I2971" s="3" t="s">
        <v>97</v>
      </c>
      <c r="J2971" s="3" t="s">
        <v>144</v>
      </c>
      <c r="K2971" s="3" t="s">
        <v>10772</v>
      </c>
      <c r="L2971" s="3" t="s">
        <v>7449</v>
      </c>
      <c r="M2971" s="3" t="s">
        <v>7450</v>
      </c>
      <c r="N2971" s="3" t="s">
        <v>7396</v>
      </c>
      <c r="O2971" s="3" t="s">
        <v>146</v>
      </c>
      <c r="P2971" s="3" t="s">
        <v>7446</v>
      </c>
      <c r="Q2971" s="3" t="s">
        <v>8427</v>
      </c>
      <c r="R2971" s="3" t="s">
        <v>5811</v>
      </c>
      <c r="S2971" s="3" t="s">
        <v>3751</v>
      </c>
      <c r="T2971" s="3" t="s">
        <v>7955</v>
      </c>
      <c r="U2971" s="3" t="s">
        <v>5681</v>
      </c>
      <c r="V2971" s="3" t="s">
        <v>8127</v>
      </c>
      <c r="W2971" s="3" t="s">
        <v>7400</v>
      </c>
      <c r="X2971" s="3"/>
      <c r="Y2971" s="3"/>
      <c r="Z2971" s="3"/>
      <c r="AA2971" s="3"/>
      <c r="AB2971" s="3"/>
      <c r="AC2971" s="3"/>
      <c r="AD2971" s="3"/>
      <c r="AE2971" s="3"/>
      <c r="AF2971" s="3"/>
      <c r="AG2971" s="3"/>
      <c r="AH2971" s="3"/>
      <c r="AI2971" s="3"/>
      <c r="AJ2971" s="3"/>
      <c r="AK2971" s="3" t="s">
        <v>150</v>
      </c>
      <c r="AL2971" s="4">
        <v>44131</v>
      </c>
      <c r="AM2971" s="3"/>
      <c r="AN2971" s="3" t="s">
        <v>1333</v>
      </c>
    </row>
    <row r="2972" spans="1:40" ht="27.95" x14ac:dyDescent="0.3">
      <c r="A2972" s="3">
        <v>2966</v>
      </c>
      <c r="B2972" s="3" t="str">
        <f>"201000001432"</f>
        <v>201000001432</v>
      </c>
      <c r="C2972" s="3">
        <v>41300</v>
      </c>
      <c r="D2972" s="3" t="s">
        <v>10773</v>
      </c>
      <c r="E2972" s="3">
        <v>20100076749</v>
      </c>
      <c r="F2972" s="3" t="s">
        <v>159</v>
      </c>
      <c r="G2972" s="3" t="s">
        <v>8978</v>
      </c>
      <c r="H2972" s="3" t="s">
        <v>56</v>
      </c>
      <c r="I2972" s="3" t="s">
        <v>56</v>
      </c>
      <c r="J2972" s="3" t="s">
        <v>121</v>
      </c>
      <c r="K2972" s="3" t="s">
        <v>10774</v>
      </c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C2972" s="3"/>
      <c r="AD2972" s="3"/>
      <c r="AE2972" s="3"/>
      <c r="AF2972" s="3"/>
      <c r="AG2972" s="3"/>
      <c r="AH2972" s="3"/>
      <c r="AI2972" s="3"/>
      <c r="AJ2972" s="3"/>
      <c r="AK2972" s="3" t="s">
        <v>7856</v>
      </c>
      <c r="AL2972" s="4">
        <v>38601</v>
      </c>
      <c r="AM2972" s="3"/>
      <c r="AN2972" s="3"/>
    </row>
    <row r="2973" spans="1:40" x14ac:dyDescent="0.3">
      <c r="A2973" s="3">
        <v>2967</v>
      </c>
      <c r="B2973" s="3" t="str">
        <f>"202000122388"</f>
        <v>202000122388</v>
      </c>
      <c r="C2973" s="3">
        <v>151272</v>
      </c>
      <c r="D2973" s="3" t="s">
        <v>10775</v>
      </c>
      <c r="E2973" s="3">
        <v>20350428225</v>
      </c>
      <c r="F2973" s="3" t="s">
        <v>9654</v>
      </c>
      <c r="G2973" s="3" t="s">
        <v>10776</v>
      </c>
      <c r="H2973" s="3" t="s">
        <v>3837</v>
      </c>
      <c r="I2973" s="3" t="s">
        <v>4994</v>
      </c>
      <c r="J2973" s="3" t="s">
        <v>4994</v>
      </c>
      <c r="K2973" s="3" t="s">
        <v>10777</v>
      </c>
      <c r="L2973" s="3" t="s">
        <v>9658</v>
      </c>
      <c r="M2973" s="3" t="s">
        <v>9659</v>
      </c>
      <c r="N2973" s="3" t="s">
        <v>9661</v>
      </c>
      <c r="O2973" s="3" t="s">
        <v>9662</v>
      </c>
      <c r="P2973" s="3" t="s">
        <v>9663</v>
      </c>
      <c r="Q2973" s="3" t="s">
        <v>9660</v>
      </c>
      <c r="R2973" s="3" t="s">
        <v>9664</v>
      </c>
      <c r="S2973" s="3" t="s">
        <v>9657</v>
      </c>
      <c r="T2973" s="3" t="s">
        <v>9665</v>
      </c>
      <c r="U2973" s="3" t="s">
        <v>9666</v>
      </c>
      <c r="V2973" s="3" t="s">
        <v>9667</v>
      </c>
      <c r="W2973" s="3"/>
      <c r="X2973" s="3"/>
      <c r="Y2973" s="3"/>
      <c r="Z2973" s="3"/>
      <c r="AA2973" s="3"/>
      <c r="AB2973" s="3"/>
      <c r="AC2973" s="3"/>
      <c r="AD2973" s="3"/>
      <c r="AE2973" s="3"/>
      <c r="AF2973" s="3"/>
      <c r="AG2973" s="3"/>
      <c r="AH2973" s="3"/>
      <c r="AI2973" s="3"/>
      <c r="AJ2973" s="3"/>
      <c r="AK2973" s="3" t="s">
        <v>6692</v>
      </c>
      <c r="AL2973" s="4">
        <v>44092</v>
      </c>
      <c r="AM2973" s="3"/>
      <c r="AN2973" s="3" t="s">
        <v>9668</v>
      </c>
    </row>
    <row r="2974" spans="1:40" x14ac:dyDescent="0.3">
      <c r="A2974" s="3">
        <v>2968</v>
      </c>
      <c r="B2974" s="3" t="str">
        <f>"1117732"</f>
        <v>1117732</v>
      </c>
      <c r="C2974" s="3">
        <v>2582</v>
      </c>
      <c r="D2974" s="3">
        <v>1052300</v>
      </c>
      <c r="E2974" s="3">
        <v>10040160375</v>
      </c>
      <c r="F2974" s="3" t="s">
        <v>10778</v>
      </c>
      <c r="G2974" s="3" t="s">
        <v>10779</v>
      </c>
      <c r="H2974" s="3" t="s">
        <v>1946</v>
      </c>
      <c r="I2974" s="3" t="s">
        <v>1946</v>
      </c>
      <c r="J2974" s="3" t="s">
        <v>2957</v>
      </c>
      <c r="K2974" s="3" t="s">
        <v>10780</v>
      </c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C2974" s="3"/>
      <c r="AD2974" s="3"/>
      <c r="AE2974" s="3"/>
      <c r="AF2974" s="3"/>
      <c r="AG2974" s="3"/>
      <c r="AH2974" s="3"/>
      <c r="AI2974" s="3"/>
      <c r="AJ2974" s="3"/>
      <c r="AK2974" s="3" t="s">
        <v>1014</v>
      </c>
      <c r="AL2974" s="4">
        <v>35550</v>
      </c>
      <c r="AM2974" s="3"/>
      <c r="AN2974" s="3"/>
    </row>
    <row r="2975" spans="1:40" ht="27.95" x14ac:dyDescent="0.3">
      <c r="A2975" s="3">
        <v>2969</v>
      </c>
      <c r="B2975" s="3" t="str">
        <f>"201000001434"</f>
        <v>201000001434</v>
      </c>
      <c r="C2975" s="3">
        <v>41301</v>
      </c>
      <c r="D2975" s="3" t="s">
        <v>10781</v>
      </c>
      <c r="E2975" s="3">
        <v>20100076749</v>
      </c>
      <c r="F2975" s="3" t="s">
        <v>159</v>
      </c>
      <c r="G2975" s="3" t="s">
        <v>8978</v>
      </c>
      <c r="H2975" s="3" t="s">
        <v>56</v>
      </c>
      <c r="I2975" s="3" t="s">
        <v>56</v>
      </c>
      <c r="J2975" s="3" t="s">
        <v>121</v>
      </c>
      <c r="K2975" s="3" t="s">
        <v>10782</v>
      </c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C2975" s="3"/>
      <c r="AD2975" s="3"/>
      <c r="AE2975" s="3"/>
      <c r="AF2975" s="3"/>
      <c r="AG2975" s="3"/>
      <c r="AH2975" s="3"/>
      <c r="AI2975" s="3"/>
      <c r="AJ2975" s="3"/>
      <c r="AK2975" s="3" t="s">
        <v>7856</v>
      </c>
      <c r="AL2975" s="4">
        <v>38601</v>
      </c>
      <c r="AM2975" s="3"/>
      <c r="AN2975" s="3"/>
    </row>
    <row r="2976" spans="1:40" ht="27.95" x14ac:dyDescent="0.3">
      <c r="A2976" s="3">
        <v>2970</v>
      </c>
      <c r="B2976" s="3" t="str">
        <f>"201000001433"</f>
        <v>201000001433</v>
      </c>
      <c r="C2976" s="3">
        <v>41290</v>
      </c>
      <c r="D2976" s="3" t="s">
        <v>10783</v>
      </c>
      <c r="E2976" s="3">
        <v>20100076749</v>
      </c>
      <c r="F2976" s="3" t="s">
        <v>159</v>
      </c>
      <c r="G2976" s="3" t="s">
        <v>8978</v>
      </c>
      <c r="H2976" s="3" t="s">
        <v>56</v>
      </c>
      <c r="I2976" s="3" t="s">
        <v>56</v>
      </c>
      <c r="J2976" s="3" t="s">
        <v>121</v>
      </c>
      <c r="K2976" s="3" t="s">
        <v>10784</v>
      </c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C2976" s="3"/>
      <c r="AD2976" s="3"/>
      <c r="AE2976" s="3"/>
      <c r="AF2976" s="3"/>
      <c r="AG2976" s="3"/>
      <c r="AH2976" s="3"/>
      <c r="AI2976" s="3"/>
      <c r="AJ2976" s="3"/>
      <c r="AK2976" s="3" t="s">
        <v>7856</v>
      </c>
      <c r="AL2976" s="4">
        <v>38601</v>
      </c>
      <c r="AM2976" s="3"/>
      <c r="AN2976" s="3"/>
    </row>
    <row r="2977" spans="1:40" x14ac:dyDescent="0.3">
      <c r="A2977" s="3">
        <v>2971</v>
      </c>
      <c r="B2977" s="3" t="str">
        <f>"201400011392"</f>
        <v>201400011392</v>
      </c>
      <c r="C2977" s="3">
        <v>20587</v>
      </c>
      <c r="D2977" s="3" t="s">
        <v>10785</v>
      </c>
      <c r="E2977" s="3">
        <v>10428616516</v>
      </c>
      <c r="F2977" s="3" t="s">
        <v>3963</v>
      </c>
      <c r="G2977" s="3" t="s">
        <v>10786</v>
      </c>
      <c r="H2977" s="3" t="s">
        <v>44</v>
      </c>
      <c r="I2977" s="3" t="s">
        <v>45</v>
      </c>
      <c r="J2977" s="3" t="s">
        <v>45</v>
      </c>
      <c r="K2977" s="3" t="s">
        <v>10787</v>
      </c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C2977" s="3"/>
      <c r="AD2977" s="3"/>
      <c r="AE2977" s="3"/>
      <c r="AF2977" s="3"/>
      <c r="AG2977" s="3"/>
      <c r="AH2977" s="3"/>
      <c r="AI2977" s="3"/>
      <c r="AJ2977" s="3"/>
      <c r="AK2977" s="3" t="s">
        <v>187</v>
      </c>
      <c r="AL2977" s="4">
        <v>41688</v>
      </c>
      <c r="AM2977" s="3"/>
      <c r="AN2977" s="3" t="s">
        <v>3963</v>
      </c>
    </row>
    <row r="2978" spans="1:40" x14ac:dyDescent="0.3">
      <c r="A2978" s="3">
        <v>2972</v>
      </c>
      <c r="B2978" s="3" t="str">
        <f>"201700108675"</f>
        <v>201700108675</v>
      </c>
      <c r="C2978" s="3">
        <v>62689</v>
      </c>
      <c r="D2978" s="3" t="s">
        <v>10788</v>
      </c>
      <c r="E2978" s="3">
        <v>10292917177</v>
      </c>
      <c r="F2978" s="3" t="s">
        <v>444</v>
      </c>
      <c r="G2978" s="3" t="s">
        <v>4673</v>
      </c>
      <c r="H2978" s="3" t="s">
        <v>97</v>
      </c>
      <c r="I2978" s="3" t="s">
        <v>97</v>
      </c>
      <c r="J2978" s="3" t="s">
        <v>326</v>
      </c>
      <c r="K2978" s="3" t="s">
        <v>10789</v>
      </c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C2978" s="3"/>
      <c r="AD2978" s="3"/>
      <c r="AE2978" s="3"/>
      <c r="AF2978" s="3"/>
      <c r="AG2978" s="3"/>
      <c r="AH2978" s="3"/>
      <c r="AI2978" s="3"/>
      <c r="AJ2978" s="3"/>
      <c r="AK2978" s="3" t="s">
        <v>477</v>
      </c>
      <c r="AL2978" s="4">
        <v>42933</v>
      </c>
      <c r="AM2978" s="3"/>
      <c r="AN2978" s="3" t="s">
        <v>444</v>
      </c>
    </row>
    <row r="2979" spans="1:40" x14ac:dyDescent="0.3">
      <c r="A2979" s="3">
        <v>2973</v>
      </c>
      <c r="B2979" s="3" t="str">
        <f>"1360872"</f>
        <v>1360872</v>
      </c>
      <c r="C2979" s="3">
        <v>87122</v>
      </c>
      <c r="D2979" s="3" t="s">
        <v>10790</v>
      </c>
      <c r="E2979" s="3">
        <v>10293096916</v>
      </c>
      <c r="F2979" s="3" t="s">
        <v>4265</v>
      </c>
      <c r="G2979" s="3" t="s">
        <v>10791</v>
      </c>
      <c r="H2979" s="3" t="s">
        <v>97</v>
      </c>
      <c r="I2979" s="3" t="s">
        <v>97</v>
      </c>
      <c r="J2979" s="3" t="s">
        <v>97</v>
      </c>
      <c r="K2979" s="3" t="s">
        <v>10792</v>
      </c>
      <c r="L2979" s="3" t="s">
        <v>10793</v>
      </c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C2979" s="3"/>
      <c r="AD2979" s="3"/>
      <c r="AE2979" s="3"/>
      <c r="AF2979" s="3"/>
      <c r="AG2979" s="3"/>
      <c r="AH2979" s="3"/>
      <c r="AI2979" s="3"/>
      <c r="AJ2979" s="3"/>
      <c r="AK2979" s="3" t="s">
        <v>150</v>
      </c>
      <c r="AL2979" s="4">
        <v>40333</v>
      </c>
      <c r="AM2979" s="3"/>
      <c r="AN2979" s="3" t="s">
        <v>4265</v>
      </c>
    </row>
    <row r="2980" spans="1:40" ht="27.95" x14ac:dyDescent="0.3">
      <c r="A2980" s="3">
        <v>2974</v>
      </c>
      <c r="B2980" s="3" t="str">
        <f>"1676254"</f>
        <v>1676254</v>
      </c>
      <c r="C2980" s="3">
        <v>39064</v>
      </c>
      <c r="D2980" s="3" t="s">
        <v>10794</v>
      </c>
      <c r="E2980" s="3">
        <v>20508069015</v>
      </c>
      <c r="F2980" s="3" t="s">
        <v>5592</v>
      </c>
      <c r="G2980" s="3" t="s">
        <v>5593</v>
      </c>
      <c r="H2980" s="3" t="s">
        <v>56</v>
      </c>
      <c r="I2980" s="3" t="s">
        <v>56</v>
      </c>
      <c r="J2980" s="3" t="s">
        <v>572</v>
      </c>
      <c r="K2980" s="3" t="s">
        <v>10795</v>
      </c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C2980" s="3"/>
      <c r="AD2980" s="3"/>
      <c r="AE2980" s="3"/>
      <c r="AF2980" s="3"/>
      <c r="AG2980" s="3"/>
      <c r="AH2980" s="3"/>
      <c r="AI2980" s="3"/>
      <c r="AJ2980" s="3"/>
      <c r="AK2980" s="3" t="s">
        <v>65</v>
      </c>
      <c r="AL2980" s="4">
        <v>39162</v>
      </c>
      <c r="AM2980" s="3"/>
      <c r="AN2980" s="3"/>
    </row>
    <row r="2981" spans="1:40" x14ac:dyDescent="0.3">
      <c r="A2981" s="3">
        <v>2975</v>
      </c>
      <c r="B2981" s="3" t="str">
        <f>"1375758"</f>
        <v>1375758</v>
      </c>
      <c r="C2981" s="3">
        <v>33337</v>
      </c>
      <c r="D2981" s="3" t="s">
        <v>10796</v>
      </c>
      <c r="E2981" s="3">
        <v>20101205780</v>
      </c>
      <c r="F2981" s="3" t="s">
        <v>2016</v>
      </c>
      <c r="G2981" s="3" t="s">
        <v>2017</v>
      </c>
      <c r="H2981" s="3" t="s">
        <v>56</v>
      </c>
      <c r="I2981" s="3" t="s">
        <v>56</v>
      </c>
      <c r="J2981" s="3" t="s">
        <v>273</v>
      </c>
      <c r="K2981" s="3" t="s">
        <v>10797</v>
      </c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C2981" s="3"/>
      <c r="AD2981" s="3"/>
      <c r="AE2981" s="3"/>
      <c r="AF2981" s="3"/>
      <c r="AG2981" s="3"/>
      <c r="AH2981" s="3"/>
      <c r="AI2981" s="3"/>
      <c r="AJ2981" s="3"/>
      <c r="AK2981" s="3" t="s">
        <v>187</v>
      </c>
      <c r="AL2981" s="4">
        <v>37475</v>
      </c>
      <c r="AM2981" s="3"/>
      <c r="AN2981" s="3"/>
    </row>
    <row r="2982" spans="1:40" x14ac:dyDescent="0.3">
      <c r="A2982" s="3">
        <v>2976</v>
      </c>
      <c r="B2982" s="3" t="str">
        <f>"201700129743"</f>
        <v>201700129743</v>
      </c>
      <c r="C2982" s="3">
        <v>131171</v>
      </c>
      <c r="D2982" s="3" t="s">
        <v>10798</v>
      </c>
      <c r="E2982" s="3">
        <v>20113539594</v>
      </c>
      <c r="F2982" s="3" t="s">
        <v>164</v>
      </c>
      <c r="G2982" s="3" t="s">
        <v>10799</v>
      </c>
      <c r="H2982" s="3" t="s">
        <v>50</v>
      </c>
      <c r="I2982" s="3" t="s">
        <v>50</v>
      </c>
      <c r="J2982" s="3" t="s">
        <v>50</v>
      </c>
      <c r="K2982" s="3" t="s">
        <v>10800</v>
      </c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C2982" s="3"/>
      <c r="AD2982" s="3"/>
      <c r="AE2982" s="3"/>
      <c r="AF2982" s="3"/>
      <c r="AG2982" s="3"/>
      <c r="AH2982" s="3"/>
      <c r="AI2982" s="3"/>
      <c r="AJ2982" s="3"/>
      <c r="AK2982" s="3" t="s">
        <v>1341</v>
      </c>
      <c r="AL2982" s="4">
        <v>42969</v>
      </c>
      <c r="AM2982" s="3"/>
      <c r="AN2982" s="3" t="s">
        <v>4103</v>
      </c>
    </row>
    <row r="2983" spans="1:40" ht="27.95" x14ac:dyDescent="0.3">
      <c r="A2983" s="3">
        <v>2977</v>
      </c>
      <c r="B2983" s="3" t="str">
        <f>"1676252"</f>
        <v>1676252</v>
      </c>
      <c r="C2983" s="3">
        <v>39066</v>
      </c>
      <c r="D2983" s="3" t="s">
        <v>10801</v>
      </c>
      <c r="E2983" s="3">
        <v>20508069015</v>
      </c>
      <c r="F2983" s="3" t="s">
        <v>5592</v>
      </c>
      <c r="G2983" s="3" t="s">
        <v>5593</v>
      </c>
      <c r="H2983" s="3" t="s">
        <v>56</v>
      </c>
      <c r="I2983" s="3" t="s">
        <v>56</v>
      </c>
      <c r="J2983" s="3" t="s">
        <v>572</v>
      </c>
      <c r="K2983" s="3" t="s">
        <v>10802</v>
      </c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C2983" s="3"/>
      <c r="AD2983" s="3"/>
      <c r="AE2983" s="3"/>
      <c r="AF2983" s="3"/>
      <c r="AG2983" s="3"/>
      <c r="AH2983" s="3"/>
      <c r="AI2983" s="3"/>
      <c r="AJ2983" s="3"/>
      <c r="AK2983" s="3" t="s">
        <v>65</v>
      </c>
      <c r="AL2983" s="4">
        <v>39162</v>
      </c>
      <c r="AM2983" s="3"/>
      <c r="AN2983" s="3"/>
    </row>
    <row r="2984" spans="1:40" x14ac:dyDescent="0.3">
      <c r="A2984" s="3">
        <v>2978</v>
      </c>
      <c r="B2984" s="3" t="str">
        <f>"201200023621"</f>
        <v>201200023621</v>
      </c>
      <c r="C2984" s="3">
        <v>95940</v>
      </c>
      <c r="D2984" s="3" t="s">
        <v>10803</v>
      </c>
      <c r="E2984" s="3">
        <v>10103804499</v>
      </c>
      <c r="F2984" s="3" t="s">
        <v>5561</v>
      </c>
      <c r="G2984" s="3" t="s">
        <v>10804</v>
      </c>
      <c r="H2984" s="3" t="s">
        <v>56</v>
      </c>
      <c r="I2984" s="3" t="s">
        <v>56</v>
      </c>
      <c r="J2984" s="3" t="s">
        <v>481</v>
      </c>
      <c r="K2984" s="3" t="s">
        <v>10805</v>
      </c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C2984" s="3"/>
      <c r="AD2984" s="3"/>
      <c r="AE2984" s="3"/>
      <c r="AF2984" s="3"/>
      <c r="AG2984" s="3"/>
      <c r="AH2984" s="3"/>
      <c r="AI2984" s="3"/>
      <c r="AJ2984" s="3"/>
      <c r="AK2984" s="3" t="s">
        <v>10806</v>
      </c>
      <c r="AL2984" s="4">
        <v>40962</v>
      </c>
      <c r="AM2984" s="3"/>
      <c r="AN2984" s="3" t="s">
        <v>5561</v>
      </c>
    </row>
    <row r="2985" spans="1:40" ht="27.95" x14ac:dyDescent="0.3">
      <c r="A2985" s="3">
        <v>2979</v>
      </c>
      <c r="B2985" s="3" t="str">
        <f>"1676259"</f>
        <v>1676259</v>
      </c>
      <c r="C2985" s="3">
        <v>40336</v>
      </c>
      <c r="D2985" s="3" t="s">
        <v>10807</v>
      </c>
      <c r="E2985" s="3">
        <v>20508069015</v>
      </c>
      <c r="F2985" s="3" t="s">
        <v>5592</v>
      </c>
      <c r="G2985" s="3" t="s">
        <v>5593</v>
      </c>
      <c r="H2985" s="3" t="s">
        <v>56</v>
      </c>
      <c r="I2985" s="3" t="s">
        <v>56</v>
      </c>
      <c r="J2985" s="3" t="s">
        <v>572</v>
      </c>
      <c r="K2985" s="3" t="s">
        <v>10808</v>
      </c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C2985" s="3"/>
      <c r="AD2985" s="3"/>
      <c r="AE2985" s="3"/>
      <c r="AF2985" s="3"/>
      <c r="AG2985" s="3"/>
      <c r="AH2985" s="3"/>
      <c r="AI2985" s="3"/>
      <c r="AJ2985" s="3"/>
      <c r="AK2985" s="3" t="s">
        <v>65</v>
      </c>
      <c r="AL2985" s="4">
        <v>39162</v>
      </c>
      <c r="AM2985" s="3"/>
      <c r="AN2985" s="3"/>
    </row>
    <row r="2986" spans="1:40" ht="27.95" x14ac:dyDescent="0.3">
      <c r="A2986" s="3">
        <v>2980</v>
      </c>
      <c r="B2986" s="3" t="str">
        <f>"1676257"</f>
        <v>1676257</v>
      </c>
      <c r="C2986" s="3">
        <v>39065</v>
      </c>
      <c r="D2986" s="3" t="s">
        <v>10809</v>
      </c>
      <c r="E2986" s="3">
        <v>20508069015</v>
      </c>
      <c r="F2986" s="3" t="s">
        <v>5592</v>
      </c>
      <c r="G2986" s="3" t="s">
        <v>5593</v>
      </c>
      <c r="H2986" s="3" t="s">
        <v>56</v>
      </c>
      <c r="I2986" s="3" t="s">
        <v>56</v>
      </c>
      <c r="J2986" s="3" t="s">
        <v>572</v>
      </c>
      <c r="K2986" s="3" t="s">
        <v>10810</v>
      </c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C2986" s="3"/>
      <c r="AD2986" s="3"/>
      <c r="AE2986" s="3"/>
      <c r="AF2986" s="3"/>
      <c r="AG2986" s="3"/>
      <c r="AH2986" s="3"/>
      <c r="AI2986" s="3"/>
      <c r="AJ2986" s="3"/>
      <c r="AK2986" s="3" t="s">
        <v>65</v>
      </c>
      <c r="AL2986" s="4">
        <v>39162</v>
      </c>
      <c r="AM2986" s="3"/>
      <c r="AN2986" s="3"/>
    </row>
    <row r="2987" spans="1:40" ht="27.95" x14ac:dyDescent="0.3">
      <c r="A2987" s="3">
        <v>2981</v>
      </c>
      <c r="B2987" s="3" t="str">
        <f>"201700013766"</f>
        <v>201700013766</v>
      </c>
      <c r="C2987" s="3">
        <v>126288</v>
      </c>
      <c r="D2987" s="3" t="s">
        <v>10811</v>
      </c>
      <c r="E2987" s="3">
        <v>10075258556</v>
      </c>
      <c r="F2987" s="3" t="s">
        <v>10812</v>
      </c>
      <c r="G2987" s="3" t="s">
        <v>10813</v>
      </c>
      <c r="H2987" s="3" t="s">
        <v>56</v>
      </c>
      <c r="I2987" s="3" t="s">
        <v>56</v>
      </c>
      <c r="J2987" s="3" t="s">
        <v>313</v>
      </c>
      <c r="K2987" s="3" t="s">
        <v>10814</v>
      </c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C2987" s="3"/>
      <c r="AD2987" s="3"/>
      <c r="AE2987" s="3"/>
      <c r="AF2987" s="3"/>
      <c r="AG2987" s="3"/>
      <c r="AH2987" s="3"/>
      <c r="AI2987" s="3"/>
      <c r="AJ2987" s="3"/>
      <c r="AK2987" s="3" t="s">
        <v>2978</v>
      </c>
      <c r="AL2987" s="4">
        <v>42772</v>
      </c>
      <c r="AM2987" s="3"/>
      <c r="AN2987" s="3" t="s">
        <v>10812</v>
      </c>
    </row>
    <row r="2988" spans="1:40" x14ac:dyDescent="0.3">
      <c r="A2988" s="3">
        <v>2982</v>
      </c>
      <c r="B2988" s="3" t="str">
        <f>"1401244"</f>
        <v>1401244</v>
      </c>
      <c r="C2988" s="3">
        <v>33845</v>
      </c>
      <c r="D2988" s="3" t="s">
        <v>10815</v>
      </c>
      <c r="E2988" s="3">
        <v>20131321784</v>
      </c>
      <c r="F2988" s="3" t="s">
        <v>6179</v>
      </c>
      <c r="G2988" s="3" t="s">
        <v>6180</v>
      </c>
      <c r="H2988" s="3" t="s">
        <v>56</v>
      </c>
      <c r="I2988" s="3" t="s">
        <v>56</v>
      </c>
      <c r="J2988" s="3" t="s">
        <v>363</v>
      </c>
      <c r="K2988" s="3" t="s">
        <v>10816</v>
      </c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C2988" s="3"/>
      <c r="AD2988" s="3"/>
      <c r="AE2988" s="3"/>
      <c r="AF2988" s="3"/>
      <c r="AG2988" s="3"/>
      <c r="AH2988" s="3"/>
      <c r="AI2988" s="3"/>
      <c r="AJ2988" s="3"/>
      <c r="AK2988" s="3" t="s">
        <v>81</v>
      </c>
      <c r="AL2988" s="4">
        <v>37699</v>
      </c>
      <c r="AM2988" s="3"/>
      <c r="AN2988" s="3"/>
    </row>
    <row r="2989" spans="1:40" x14ac:dyDescent="0.3">
      <c r="A2989" s="3">
        <v>2983</v>
      </c>
      <c r="B2989" s="3" t="str">
        <f>"1306453"</f>
        <v>1306453</v>
      </c>
      <c r="C2989" s="3">
        <v>20578</v>
      </c>
      <c r="D2989" s="3" t="s">
        <v>10817</v>
      </c>
      <c r="E2989" s="3">
        <v>10243769359</v>
      </c>
      <c r="F2989" s="3" t="s">
        <v>4865</v>
      </c>
      <c r="G2989" s="3" t="s">
        <v>10818</v>
      </c>
      <c r="H2989" s="3" t="s">
        <v>97</v>
      </c>
      <c r="I2989" s="3" t="s">
        <v>97</v>
      </c>
      <c r="J2989" s="3" t="s">
        <v>6512</v>
      </c>
      <c r="K2989" s="3" t="s">
        <v>10819</v>
      </c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C2989" s="3"/>
      <c r="AD2989" s="3"/>
      <c r="AE2989" s="3"/>
      <c r="AF2989" s="3"/>
      <c r="AG2989" s="3"/>
      <c r="AH2989" s="3"/>
      <c r="AI2989" s="3"/>
      <c r="AJ2989" s="3"/>
      <c r="AK2989" s="3" t="s">
        <v>525</v>
      </c>
      <c r="AL2989" s="4">
        <v>36889</v>
      </c>
      <c r="AM2989" s="3"/>
      <c r="AN2989" s="3"/>
    </row>
    <row r="2990" spans="1:40" ht="27.95" x14ac:dyDescent="0.3">
      <c r="A2990" s="3">
        <v>2984</v>
      </c>
      <c r="B2990" s="3" t="str">
        <f>"202000129152"</f>
        <v>202000129152</v>
      </c>
      <c r="C2990" s="3">
        <v>151437</v>
      </c>
      <c r="D2990" s="3" t="s">
        <v>10820</v>
      </c>
      <c r="E2990" s="3">
        <v>20547314426</v>
      </c>
      <c r="F2990" s="3" t="s">
        <v>1202</v>
      </c>
      <c r="G2990" s="3" t="s">
        <v>10821</v>
      </c>
      <c r="H2990" s="3" t="s">
        <v>56</v>
      </c>
      <c r="I2990" s="3" t="s">
        <v>56</v>
      </c>
      <c r="J2990" s="3" t="s">
        <v>273</v>
      </c>
      <c r="K2990" s="3" t="s">
        <v>10822</v>
      </c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C2990" s="3"/>
      <c r="AD2990" s="3"/>
      <c r="AE2990" s="3"/>
      <c r="AF2990" s="3"/>
      <c r="AG2990" s="3"/>
      <c r="AH2990" s="3"/>
      <c r="AI2990" s="3"/>
      <c r="AJ2990" s="3"/>
      <c r="AK2990" s="3" t="s">
        <v>3028</v>
      </c>
      <c r="AL2990" s="4">
        <v>44106</v>
      </c>
      <c r="AM2990" s="3"/>
      <c r="AN2990" s="3" t="s">
        <v>9810</v>
      </c>
    </row>
    <row r="2991" spans="1:40" ht="27.95" x14ac:dyDescent="0.3">
      <c r="A2991" s="3">
        <v>2985</v>
      </c>
      <c r="B2991" s="3" t="str">
        <f>"1676266"</f>
        <v>1676266</v>
      </c>
      <c r="C2991" s="3">
        <v>40557</v>
      </c>
      <c r="D2991" s="3" t="s">
        <v>10823</v>
      </c>
      <c r="E2991" s="3">
        <v>20508069015</v>
      </c>
      <c r="F2991" s="3" t="s">
        <v>5592</v>
      </c>
      <c r="G2991" s="3" t="s">
        <v>5593</v>
      </c>
      <c r="H2991" s="3" t="s">
        <v>56</v>
      </c>
      <c r="I2991" s="3" t="s">
        <v>56</v>
      </c>
      <c r="J2991" s="3" t="s">
        <v>572</v>
      </c>
      <c r="K2991" s="3" t="s">
        <v>10824</v>
      </c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C2991" s="3"/>
      <c r="AD2991" s="3"/>
      <c r="AE2991" s="3"/>
      <c r="AF2991" s="3"/>
      <c r="AG2991" s="3"/>
      <c r="AH2991" s="3"/>
      <c r="AI2991" s="3"/>
      <c r="AJ2991" s="3"/>
      <c r="AK2991" s="3" t="s">
        <v>65</v>
      </c>
      <c r="AL2991" s="4">
        <v>39162</v>
      </c>
      <c r="AM2991" s="3"/>
      <c r="AN2991" s="3"/>
    </row>
    <row r="2992" spans="1:40" x14ac:dyDescent="0.3">
      <c r="A2992" s="3">
        <v>2986</v>
      </c>
      <c r="B2992" s="3" t="str">
        <f>"201700129737"</f>
        <v>201700129737</v>
      </c>
      <c r="C2992" s="3">
        <v>131172</v>
      </c>
      <c r="D2992" s="3" t="s">
        <v>10825</v>
      </c>
      <c r="E2992" s="3">
        <v>20113539594</v>
      </c>
      <c r="F2992" s="3" t="s">
        <v>164</v>
      </c>
      <c r="G2992" s="3" t="s">
        <v>10799</v>
      </c>
      <c r="H2992" s="3" t="s">
        <v>50</v>
      </c>
      <c r="I2992" s="3" t="s">
        <v>50</v>
      </c>
      <c r="J2992" s="3" t="s">
        <v>50</v>
      </c>
      <c r="K2992" s="3" t="s">
        <v>10826</v>
      </c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C2992" s="3"/>
      <c r="AD2992" s="3"/>
      <c r="AE2992" s="3"/>
      <c r="AF2992" s="3"/>
      <c r="AG2992" s="3"/>
      <c r="AH2992" s="3"/>
      <c r="AI2992" s="3"/>
      <c r="AJ2992" s="3"/>
      <c r="AK2992" s="3" t="s">
        <v>1341</v>
      </c>
      <c r="AL2992" s="4">
        <v>42969</v>
      </c>
      <c r="AM2992" s="3"/>
      <c r="AN2992" s="3" t="s">
        <v>4103</v>
      </c>
    </row>
    <row r="2993" spans="1:40" ht="27.95" x14ac:dyDescent="0.3">
      <c r="A2993" s="3">
        <v>2987</v>
      </c>
      <c r="B2993" s="3" t="str">
        <f>"1676261"</f>
        <v>1676261</v>
      </c>
      <c r="C2993" s="3">
        <v>40584</v>
      </c>
      <c r="D2993" s="3" t="s">
        <v>10827</v>
      </c>
      <c r="E2993" s="3">
        <v>20508069015</v>
      </c>
      <c r="F2993" s="3" t="s">
        <v>5592</v>
      </c>
      <c r="G2993" s="3" t="s">
        <v>5593</v>
      </c>
      <c r="H2993" s="3" t="s">
        <v>56</v>
      </c>
      <c r="I2993" s="3" t="s">
        <v>56</v>
      </c>
      <c r="J2993" s="3" t="s">
        <v>572</v>
      </c>
      <c r="K2993" s="3" t="s">
        <v>10828</v>
      </c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C2993" s="3"/>
      <c r="AD2993" s="3"/>
      <c r="AE2993" s="3"/>
      <c r="AF2993" s="3"/>
      <c r="AG2993" s="3"/>
      <c r="AH2993" s="3"/>
      <c r="AI2993" s="3"/>
      <c r="AJ2993" s="3"/>
      <c r="AK2993" s="3" t="s">
        <v>65</v>
      </c>
      <c r="AL2993" s="4">
        <v>39181</v>
      </c>
      <c r="AM2993" s="3"/>
      <c r="AN2993" s="3"/>
    </row>
    <row r="2994" spans="1:40" ht="27.95" x14ac:dyDescent="0.3">
      <c r="A2994" s="3">
        <v>2988</v>
      </c>
      <c r="B2994" s="3" t="str">
        <f>"1398562"</f>
        <v>1398562</v>
      </c>
      <c r="C2994" s="3">
        <v>85840</v>
      </c>
      <c r="D2994" s="3" t="s">
        <v>10829</v>
      </c>
      <c r="E2994" s="3">
        <v>10433234443</v>
      </c>
      <c r="F2994" s="3" t="s">
        <v>10830</v>
      </c>
      <c r="G2994" s="3" t="s">
        <v>10831</v>
      </c>
      <c r="H2994" s="3" t="s">
        <v>56</v>
      </c>
      <c r="I2994" s="3" t="s">
        <v>56</v>
      </c>
      <c r="J2994" s="3" t="s">
        <v>715</v>
      </c>
      <c r="K2994" s="3" t="s">
        <v>10832</v>
      </c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C2994" s="3"/>
      <c r="AD2994" s="3"/>
      <c r="AE2994" s="3"/>
      <c r="AF2994" s="3"/>
      <c r="AG2994" s="3"/>
      <c r="AH2994" s="3"/>
      <c r="AI2994" s="3"/>
      <c r="AJ2994" s="3"/>
      <c r="AK2994" s="3" t="s">
        <v>8152</v>
      </c>
      <c r="AL2994" s="4">
        <v>40413</v>
      </c>
      <c r="AM2994" s="3"/>
      <c r="AN2994" s="3" t="s">
        <v>10830</v>
      </c>
    </row>
    <row r="2995" spans="1:40" ht="27.95" x14ac:dyDescent="0.3">
      <c r="A2995" s="3">
        <v>2989</v>
      </c>
      <c r="B2995" s="3" t="str">
        <f>"1676268"</f>
        <v>1676268</v>
      </c>
      <c r="C2995" s="3">
        <v>41244</v>
      </c>
      <c r="D2995" s="3" t="s">
        <v>10833</v>
      </c>
      <c r="E2995" s="3">
        <v>20508069015</v>
      </c>
      <c r="F2995" s="3" t="s">
        <v>6583</v>
      </c>
      <c r="G2995" s="3" t="s">
        <v>10834</v>
      </c>
      <c r="H2995" s="3" t="s">
        <v>56</v>
      </c>
      <c r="I2995" s="3" t="s">
        <v>56</v>
      </c>
      <c r="J2995" s="3" t="s">
        <v>572</v>
      </c>
      <c r="K2995" s="3" t="s">
        <v>10835</v>
      </c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C2995" s="3"/>
      <c r="AD2995" s="3"/>
      <c r="AE2995" s="3"/>
      <c r="AF2995" s="3"/>
      <c r="AG2995" s="3"/>
      <c r="AH2995" s="3"/>
      <c r="AI2995" s="3"/>
      <c r="AJ2995" s="3"/>
      <c r="AK2995" s="3" t="s">
        <v>9045</v>
      </c>
      <c r="AL2995" s="4">
        <v>39162</v>
      </c>
      <c r="AM2995" s="3"/>
      <c r="AN2995" s="3"/>
    </row>
    <row r="2996" spans="1:40" x14ac:dyDescent="0.3">
      <c r="A2996" s="3">
        <v>2990</v>
      </c>
      <c r="B2996" s="3" t="str">
        <f>"1402812"</f>
        <v>1402812</v>
      </c>
      <c r="C2996" s="3">
        <v>33681</v>
      </c>
      <c r="D2996" s="3" t="s">
        <v>10836</v>
      </c>
      <c r="E2996" s="3">
        <v>10090869081</v>
      </c>
      <c r="F2996" s="3" t="s">
        <v>825</v>
      </c>
      <c r="G2996" s="3" t="s">
        <v>10837</v>
      </c>
      <c r="H2996" s="3" t="s">
        <v>56</v>
      </c>
      <c r="I2996" s="3" t="s">
        <v>56</v>
      </c>
      <c r="J2996" s="3" t="s">
        <v>277</v>
      </c>
      <c r="K2996" s="3" t="s">
        <v>10838</v>
      </c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C2996" s="3"/>
      <c r="AD2996" s="3"/>
      <c r="AE2996" s="3"/>
      <c r="AF2996" s="3"/>
      <c r="AG2996" s="3"/>
      <c r="AH2996" s="3"/>
      <c r="AI2996" s="3"/>
      <c r="AJ2996" s="3"/>
      <c r="AK2996" s="3" t="s">
        <v>525</v>
      </c>
      <c r="AL2996" s="4">
        <v>37691</v>
      </c>
      <c r="AM2996" s="3"/>
      <c r="AN2996" s="3"/>
    </row>
    <row r="2997" spans="1:40" x14ac:dyDescent="0.3">
      <c r="A2997" s="3">
        <v>2991</v>
      </c>
      <c r="B2997" s="3" t="str">
        <f>"201300095232"</f>
        <v>201300095232</v>
      </c>
      <c r="C2997" s="3">
        <v>103138</v>
      </c>
      <c r="D2997" s="3" t="s">
        <v>10839</v>
      </c>
      <c r="E2997" s="3">
        <v>20450609774</v>
      </c>
      <c r="F2997" s="3" t="s">
        <v>10840</v>
      </c>
      <c r="G2997" s="3" t="s">
        <v>10841</v>
      </c>
      <c r="H2997" s="3" t="s">
        <v>1208</v>
      </c>
      <c r="I2997" s="3" t="s">
        <v>1209</v>
      </c>
      <c r="J2997" s="3" t="s">
        <v>1209</v>
      </c>
      <c r="K2997" s="3" t="s">
        <v>10842</v>
      </c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C2997" s="3"/>
      <c r="AD2997" s="3"/>
      <c r="AE2997" s="3"/>
      <c r="AF2997" s="3"/>
      <c r="AG2997" s="3"/>
      <c r="AH2997" s="3"/>
      <c r="AI2997" s="3"/>
      <c r="AJ2997" s="3"/>
      <c r="AK2997" s="3" t="s">
        <v>167</v>
      </c>
      <c r="AL2997" s="3" t="s">
        <v>290</v>
      </c>
      <c r="AM2997" s="3"/>
      <c r="AN2997" s="3" t="s">
        <v>5248</v>
      </c>
    </row>
    <row r="2998" spans="1:40" x14ac:dyDescent="0.3">
      <c r="A2998" s="3">
        <v>2992</v>
      </c>
      <c r="B2998" s="3" t="str">
        <f>"1410753"</f>
        <v>1410753</v>
      </c>
      <c r="C2998" s="3">
        <v>82666</v>
      </c>
      <c r="D2998" s="3" t="s">
        <v>10843</v>
      </c>
      <c r="E2998" s="3">
        <v>10020365647</v>
      </c>
      <c r="F2998" s="3" t="s">
        <v>4562</v>
      </c>
      <c r="G2998" s="3" t="s">
        <v>10844</v>
      </c>
      <c r="H2998" s="3" t="s">
        <v>446</v>
      </c>
      <c r="I2998" s="3" t="s">
        <v>446</v>
      </c>
      <c r="J2998" s="3" t="s">
        <v>830</v>
      </c>
      <c r="K2998" s="3" t="s">
        <v>10845</v>
      </c>
      <c r="L2998" s="3" t="s">
        <v>10846</v>
      </c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C2998" s="3"/>
      <c r="AD2998" s="3"/>
      <c r="AE2998" s="3"/>
      <c r="AF2998" s="3"/>
      <c r="AG2998" s="3"/>
      <c r="AH2998" s="3"/>
      <c r="AI2998" s="3"/>
      <c r="AJ2998" s="3"/>
      <c r="AK2998" s="3" t="s">
        <v>10847</v>
      </c>
      <c r="AL2998" s="4">
        <v>40436</v>
      </c>
      <c r="AM2998" s="3"/>
      <c r="AN2998" s="3" t="s">
        <v>4562</v>
      </c>
    </row>
    <row r="2999" spans="1:40" x14ac:dyDescent="0.3">
      <c r="A2999" s="3">
        <v>2993</v>
      </c>
      <c r="B2999" s="3" t="str">
        <f>"1314161"</f>
        <v>1314161</v>
      </c>
      <c r="C2999" s="3">
        <v>6518</v>
      </c>
      <c r="D2999" s="3" t="s">
        <v>10848</v>
      </c>
      <c r="E2999" s="3">
        <v>20100873681</v>
      </c>
      <c r="F2999" s="3" t="s">
        <v>1241</v>
      </c>
      <c r="G2999" s="3" t="s">
        <v>10849</v>
      </c>
      <c r="H2999" s="3" t="s">
        <v>56</v>
      </c>
      <c r="I2999" s="3" t="s">
        <v>56</v>
      </c>
      <c r="J2999" s="3" t="s">
        <v>715</v>
      </c>
      <c r="K2999" s="3" t="s">
        <v>10850</v>
      </c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C2999" s="3"/>
      <c r="AD2999" s="3"/>
      <c r="AE2999" s="3"/>
      <c r="AF2999" s="3"/>
      <c r="AG2999" s="3"/>
      <c r="AH2999" s="3"/>
      <c r="AI2999" s="3"/>
      <c r="AJ2999" s="3"/>
      <c r="AK2999" s="3" t="s">
        <v>946</v>
      </c>
      <c r="AL2999" s="4">
        <v>36971</v>
      </c>
      <c r="AM2999" s="3"/>
      <c r="AN2999" s="3"/>
    </row>
    <row r="3000" spans="1:40" ht="27.95" x14ac:dyDescent="0.3">
      <c r="A3000" s="3">
        <v>2994</v>
      </c>
      <c r="B3000" s="3" t="str">
        <f>"1467340"</f>
        <v>1467340</v>
      </c>
      <c r="C3000" s="3">
        <v>89537</v>
      </c>
      <c r="D3000" s="3" t="s">
        <v>10851</v>
      </c>
      <c r="E3000" s="3">
        <v>10100153349</v>
      </c>
      <c r="F3000" s="3" t="s">
        <v>10852</v>
      </c>
      <c r="G3000" s="3" t="s">
        <v>10853</v>
      </c>
      <c r="H3000" s="3" t="s">
        <v>743</v>
      </c>
      <c r="I3000" s="3" t="s">
        <v>1031</v>
      </c>
      <c r="J3000" s="3" t="s">
        <v>1031</v>
      </c>
      <c r="K3000" s="3" t="s">
        <v>10854</v>
      </c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C3000" s="3"/>
      <c r="AD3000" s="3"/>
      <c r="AE3000" s="3"/>
      <c r="AF3000" s="3"/>
      <c r="AG3000" s="3"/>
      <c r="AH3000" s="3"/>
      <c r="AI3000" s="3"/>
      <c r="AJ3000" s="3"/>
      <c r="AK3000" s="3" t="s">
        <v>226</v>
      </c>
      <c r="AL3000" s="4">
        <v>40583</v>
      </c>
      <c r="AM3000" s="3"/>
      <c r="AN3000" s="3" t="s">
        <v>10852</v>
      </c>
    </row>
    <row r="3001" spans="1:40" x14ac:dyDescent="0.3">
      <c r="A3001" s="3">
        <v>2995</v>
      </c>
      <c r="B3001" s="3" t="str">
        <f>"1180051"</f>
        <v>1180051</v>
      </c>
      <c r="C3001" s="3">
        <v>13872</v>
      </c>
      <c r="D3001" s="3">
        <v>1180051</v>
      </c>
      <c r="E3001" s="3">
        <v>10179877657</v>
      </c>
      <c r="F3001" s="3" t="s">
        <v>10855</v>
      </c>
      <c r="G3001" s="3" t="s">
        <v>10856</v>
      </c>
      <c r="H3001" s="3" t="s">
        <v>44</v>
      </c>
      <c r="I3001" s="3" t="s">
        <v>45</v>
      </c>
      <c r="J3001" s="3" t="s">
        <v>726</v>
      </c>
      <c r="K3001" s="3" t="s">
        <v>10857</v>
      </c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C3001" s="3"/>
      <c r="AD3001" s="3"/>
      <c r="AE3001" s="3"/>
      <c r="AF3001" s="3"/>
      <c r="AG3001" s="3"/>
      <c r="AH3001" s="3"/>
      <c r="AI3001" s="3"/>
      <c r="AJ3001" s="3"/>
      <c r="AK3001" s="3" t="s">
        <v>52</v>
      </c>
      <c r="AL3001" s="4">
        <v>35905</v>
      </c>
      <c r="AM3001" s="3"/>
      <c r="AN3001" s="3"/>
    </row>
    <row r="3002" spans="1:40" x14ac:dyDescent="0.3">
      <c r="A3002" s="3">
        <v>2996</v>
      </c>
      <c r="B3002" s="3" t="str">
        <f>"201600095616"</f>
        <v>201600095616</v>
      </c>
      <c r="C3002" s="3">
        <v>6395</v>
      </c>
      <c r="D3002" s="3" t="s">
        <v>10858</v>
      </c>
      <c r="E3002" s="3">
        <v>20262254268</v>
      </c>
      <c r="F3002" s="3" t="s">
        <v>103</v>
      </c>
      <c r="G3002" s="3" t="s">
        <v>104</v>
      </c>
      <c r="H3002" s="3" t="s">
        <v>56</v>
      </c>
      <c r="I3002" s="3" t="s">
        <v>56</v>
      </c>
      <c r="J3002" s="3" t="s">
        <v>105</v>
      </c>
      <c r="K3002" s="3" t="s">
        <v>10859</v>
      </c>
      <c r="L3002" s="3" t="s">
        <v>1072</v>
      </c>
      <c r="M3002" s="3" t="s">
        <v>1072</v>
      </c>
      <c r="N3002" s="3" t="s">
        <v>1075</v>
      </c>
      <c r="O3002" s="3" t="s">
        <v>1075</v>
      </c>
      <c r="P3002" s="3" t="s">
        <v>1074</v>
      </c>
      <c r="Q3002" s="3" t="s">
        <v>1074</v>
      </c>
      <c r="R3002" s="3" t="s">
        <v>861</v>
      </c>
      <c r="S3002" s="3" t="s">
        <v>861</v>
      </c>
      <c r="T3002" s="3" t="s">
        <v>1076</v>
      </c>
      <c r="U3002" s="3" t="s">
        <v>1076</v>
      </c>
      <c r="V3002" s="3" t="s">
        <v>1078</v>
      </c>
      <c r="W3002" s="3" t="s">
        <v>1078</v>
      </c>
      <c r="X3002" s="3" t="s">
        <v>1073</v>
      </c>
      <c r="Y3002" s="3" t="s">
        <v>1073</v>
      </c>
      <c r="Z3002" s="3"/>
      <c r="AA3002" s="3"/>
      <c r="AB3002" s="3"/>
      <c r="AC3002" s="3"/>
      <c r="AD3002" s="3"/>
      <c r="AE3002" s="3"/>
      <c r="AF3002" s="3"/>
      <c r="AG3002" s="3"/>
      <c r="AH3002" s="3"/>
      <c r="AI3002" s="3"/>
      <c r="AJ3002" s="3"/>
      <c r="AK3002" s="3" t="s">
        <v>10860</v>
      </c>
      <c r="AL3002" s="4">
        <v>42601</v>
      </c>
      <c r="AM3002" s="3"/>
      <c r="AN3002" s="3" t="s">
        <v>113</v>
      </c>
    </row>
    <row r="3003" spans="1:40" ht="27.95" x14ac:dyDescent="0.3">
      <c r="A3003" s="3">
        <v>2997</v>
      </c>
      <c r="B3003" s="3" t="str">
        <f>"201600118070"</f>
        <v>201600118070</v>
      </c>
      <c r="C3003" s="3">
        <v>122396</v>
      </c>
      <c r="D3003" s="3" t="s">
        <v>10861</v>
      </c>
      <c r="E3003" s="3">
        <v>20524417490</v>
      </c>
      <c r="F3003" s="3" t="s">
        <v>10862</v>
      </c>
      <c r="G3003" s="3" t="s">
        <v>10863</v>
      </c>
      <c r="H3003" s="3" t="s">
        <v>56</v>
      </c>
      <c r="I3003" s="3" t="s">
        <v>56</v>
      </c>
      <c r="J3003" s="3" t="s">
        <v>363</v>
      </c>
      <c r="K3003" s="3" t="s">
        <v>10864</v>
      </c>
      <c r="L3003" s="3" t="s">
        <v>10865</v>
      </c>
      <c r="M3003" s="3" t="s">
        <v>10866</v>
      </c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C3003" s="3"/>
      <c r="AD3003" s="3"/>
      <c r="AE3003" s="3"/>
      <c r="AF3003" s="3"/>
      <c r="AG3003" s="3"/>
      <c r="AH3003" s="3"/>
      <c r="AI3003" s="3"/>
      <c r="AJ3003" s="3"/>
      <c r="AK3003" s="3" t="s">
        <v>10867</v>
      </c>
      <c r="AL3003" s="4">
        <v>42618</v>
      </c>
      <c r="AM3003" s="3"/>
      <c r="AN3003" s="3" t="s">
        <v>10868</v>
      </c>
    </row>
    <row r="3004" spans="1:40" x14ac:dyDescent="0.3">
      <c r="A3004" s="3">
        <v>2998</v>
      </c>
      <c r="B3004" s="3" t="str">
        <f>"202000015956"</f>
        <v>202000015956</v>
      </c>
      <c r="C3004" s="3">
        <v>149015</v>
      </c>
      <c r="D3004" s="3" t="s">
        <v>10869</v>
      </c>
      <c r="E3004" s="3">
        <v>20452732701</v>
      </c>
      <c r="F3004" s="3" t="s">
        <v>384</v>
      </c>
      <c r="G3004" s="3" t="s">
        <v>10870</v>
      </c>
      <c r="H3004" s="3" t="s">
        <v>386</v>
      </c>
      <c r="I3004" s="3" t="s">
        <v>387</v>
      </c>
      <c r="J3004" s="3" t="s">
        <v>388</v>
      </c>
      <c r="K3004" s="3" t="s">
        <v>10871</v>
      </c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C3004" s="3"/>
      <c r="AD3004" s="3"/>
      <c r="AE3004" s="3"/>
      <c r="AF3004" s="3"/>
      <c r="AG3004" s="3"/>
      <c r="AH3004" s="3"/>
      <c r="AI3004" s="3"/>
      <c r="AJ3004" s="3"/>
      <c r="AK3004" s="3" t="s">
        <v>546</v>
      </c>
      <c r="AL3004" s="4">
        <v>43936</v>
      </c>
      <c r="AM3004" s="3"/>
      <c r="AN3004" s="3" t="s">
        <v>391</v>
      </c>
    </row>
    <row r="3005" spans="1:40" x14ac:dyDescent="0.3">
      <c r="A3005" s="3">
        <v>2999</v>
      </c>
      <c r="B3005" s="3" t="str">
        <f>"201400161873"</f>
        <v>201400161873</v>
      </c>
      <c r="C3005" s="3">
        <v>112369</v>
      </c>
      <c r="D3005" s="3" t="s">
        <v>10872</v>
      </c>
      <c r="E3005" s="3">
        <v>20491700417</v>
      </c>
      <c r="F3005" s="3" t="s">
        <v>10873</v>
      </c>
      <c r="G3005" s="3" t="s">
        <v>10874</v>
      </c>
      <c r="H3005" s="3" t="s">
        <v>318</v>
      </c>
      <c r="I3005" s="3" t="s">
        <v>319</v>
      </c>
      <c r="J3005" s="3" t="s">
        <v>495</v>
      </c>
      <c r="K3005" s="3" t="s">
        <v>10875</v>
      </c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C3005" s="3"/>
      <c r="AD3005" s="3"/>
      <c r="AE3005" s="3"/>
      <c r="AF3005" s="3"/>
      <c r="AG3005" s="3"/>
      <c r="AH3005" s="3"/>
      <c r="AI3005" s="3"/>
      <c r="AJ3005" s="3"/>
      <c r="AK3005" s="3" t="s">
        <v>592</v>
      </c>
      <c r="AL3005" s="4">
        <v>41995</v>
      </c>
      <c r="AM3005" s="3"/>
      <c r="AN3005" s="3" t="s">
        <v>569</v>
      </c>
    </row>
    <row r="3006" spans="1:40" x14ac:dyDescent="0.3">
      <c r="A3006" s="3">
        <v>3000</v>
      </c>
      <c r="B3006" s="3" t="str">
        <f>"201600008252"</f>
        <v>201600008252</v>
      </c>
      <c r="C3006" s="3">
        <v>119520</v>
      </c>
      <c r="D3006" s="3" t="s">
        <v>10876</v>
      </c>
      <c r="E3006" s="3">
        <v>10801658453</v>
      </c>
      <c r="F3006" s="3" t="s">
        <v>10877</v>
      </c>
      <c r="G3006" s="3" t="s">
        <v>10878</v>
      </c>
      <c r="H3006" s="3" t="s">
        <v>56</v>
      </c>
      <c r="I3006" s="3" t="s">
        <v>56</v>
      </c>
      <c r="J3006" s="3" t="s">
        <v>56</v>
      </c>
      <c r="K3006" s="3" t="s">
        <v>10879</v>
      </c>
      <c r="L3006" s="3" t="s">
        <v>10880</v>
      </c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C3006" s="3"/>
      <c r="AD3006" s="3"/>
      <c r="AE3006" s="3"/>
      <c r="AF3006" s="3"/>
      <c r="AG3006" s="3"/>
      <c r="AH3006" s="3"/>
      <c r="AI3006" s="3"/>
      <c r="AJ3006" s="3"/>
      <c r="AK3006" s="3" t="s">
        <v>986</v>
      </c>
      <c r="AL3006" s="4">
        <v>42422</v>
      </c>
      <c r="AM3006" s="3"/>
      <c r="AN3006" s="3" t="s">
        <v>10877</v>
      </c>
    </row>
    <row r="3007" spans="1:40" x14ac:dyDescent="0.3">
      <c r="A3007" s="3">
        <v>3001</v>
      </c>
      <c r="B3007" s="3" t="str">
        <f>"201800057357"</f>
        <v>201800057357</v>
      </c>
      <c r="C3007" s="3">
        <v>91893</v>
      </c>
      <c r="D3007" s="3" t="s">
        <v>10881</v>
      </c>
      <c r="E3007" s="3">
        <v>20539718810</v>
      </c>
      <c r="F3007" s="3" t="s">
        <v>6208</v>
      </c>
      <c r="G3007" s="3" t="s">
        <v>6209</v>
      </c>
      <c r="H3007" s="3" t="s">
        <v>44</v>
      </c>
      <c r="I3007" s="3" t="s">
        <v>45</v>
      </c>
      <c r="J3007" s="3" t="s">
        <v>6245</v>
      </c>
      <c r="K3007" s="3" t="s">
        <v>10882</v>
      </c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C3007" s="3"/>
      <c r="AD3007" s="3"/>
      <c r="AE3007" s="3"/>
      <c r="AF3007" s="3"/>
      <c r="AG3007" s="3"/>
      <c r="AH3007" s="3"/>
      <c r="AI3007" s="3"/>
      <c r="AJ3007" s="3"/>
      <c r="AK3007" s="3" t="s">
        <v>10883</v>
      </c>
      <c r="AL3007" s="4">
        <v>43209</v>
      </c>
      <c r="AM3007" s="3"/>
      <c r="AN3007" s="3" t="s">
        <v>6211</v>
      </c>
    </row>
    <row r="3008" spans="1:40" ht="27.95" x14ac:dyDescent="0.3">
      <c r="A3008" s="3">
        <v>3002</v>
      </c>
      <c r="B3008" s="3" t="str">
        <f>"1556207"</f>
        <v>1556207</v>
      </c>
      <c r="C3008" s="3">
        <v>41291</v>
      </c>
      <c r="D3008" s="3" t="s">
        <v>10884</v>
      </c>
      <c r="E3008" s="3">
        <v>20100076749</v>
      </c>
      <c r="F3008" s="3" t="s">
        <v>159</v>
      </c>
      <c r="G3008" s="3" t="s">
        <v>8978</v>
      </c>
      <c r="H3008" s="3" t="s">
        <v>56</v>
      </c>
      <c r="I3008" s="3" t="s">
        <v>56</v>
      </c>
      <c r="J3008" s="3" t="s">
        <v>121</v>
      </c>
      <c r="K3008" s="3" t="s">
        <v>10885</v>
      </c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C3008" s="3"/>
      <c r="AD3008" s="3"/>
      <c r="AE3008" s="3"/>
      <c r="AF3008" s="3"/>
      <c r="AG3008" s="3"/>
      <c r="AH3008" s="3"/>
      <c r="AI3008" s="3"/>
      <c r="AJ3008" s="3"/>
      <c r="AK3008" s="3" t="s">
        <v>7856</v>
      </c>
      <c r="AL3008" s="4">
        <v>38601</v>
      </c>
      <c r="AM3008" s="3"/>
      <c r="AN3008" s="3"/>
    </row>
    <row r="3009" spans="1:40" ht="27.95" x14ac:dyDescent="0.3">
      <c r="A3009" s="3">
        <v>3003</v>
      </c>
      <c r="B3009" s="3" t="str">
        <f>"201700167870"</f>
        <v>201700167870</v>
      </c>
      <c r="C3009" s="3">
        <v>132275</v>
      </c>
      <c r="D3009" s="3" t="s">
        <v>10886</v>
      </c>
      <c r="E3009" s="3">
        <v>10015486860</v>
      </c>
      <c r="F3009" s="3" t="s">
        <v>1464</v>
      </c>
      <c r="G3009" s="3" t="s">
        <v>10887</v>
      </c>
      <c r="H3009" s="3" t="s">
        <v>97</v>
      </c>
      <c r="I3009" s="3" t="s">
        <v>97</v>
      </c>
      <c r="J3009" s="3" t="s">
        <v>144</v>
      </c>
      <c r="K3009" s="3" t="s">
        <v>10888</v>
      </c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C3009" s="3"/>
      <c r="AD3009" s="3"/>
      <c r="AE3009" s="3"/>
      <c r="AF3009" s="3"/>
      <c r="AG3009" s="3"/>
      <c r="AH3009" s="3"/>
      <c r="AI3009" s="3"/>
      <c r="AJ3009" s="3"/>
      <c r="AK3009" s="3" t="s">
        <v>211</v>
      </c>
      <c r="AL3009" s="4">
        <v>43020</v>
      </c>
      <c r="AM3009" s="3"/>
      <c r="AN3009" s="3" t="s">
        <v>1464</v>
      </c>
    </row>
    <row r="3010" spans="1:40" x14ac:dyDescent="0.3">
      <c r="A3010" s="3">
        <v>3004</v>
      </c>
      <c r="B3010" s="3" t="str">
        <f>"201200091132"</f>
        <v>201200091132</v>
      </c>
      <c r="C3010" s="3">
        <v>97041</v>
      </c>
      <c r="D3010" s="3" t="s">
        <v>10889</v>
      </c>
      <c r="E3010" s="3">
        <v>20516822202</v>
      </c>
      <c r="F3010" s="3" t="s">
        <v>6200</v>
      </c>
      <c r="G3010" s="3" t="s">
        <v>4187</v>
      </c>
      <c r="H3010" s="3" t="s">
        <v>75</v>
      </c>
      <c r="I3010" s="3" t="s">
        <v>75</v>
      </c>
      <c r="J3010" s="3" t="s">
        <v>1358</v>
      </c>
      <c r="K3010" s="3" t="s">
        <v>10890</v>
      </c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C3010" s="3"/>
      <c r="AD3010" s="3"/>
      <c r="AE3010" s="3"/>
      <c r="AF3010" s="3"/>
      <c r="AG3010" s="3"/>
      <c r="AH3010" s="3"/>
      <c r="AI3010" s="3"/>
      <c r="AJ3010" s="3"/>
      <c r="AK3010" s="3" t="s">
        <v>4038</v>
      </c>
      <c r="AL3010" s="4">
        <v>41060</v>
      </c>
      <c r="AM3010" s="3"/>
      <c r="AN3010" s="3" t="s">
        <v>2748</v>
      </c>
    </row>
    <row r="3011" spans="1:40" x14ac:dyDescent="0.3">
      <c r="A3011" s="3">
        <v>3005</v>
      </c>
      <c r="B3011" s="3" t="str">
        <f>"201800057350"</f>
        <v>201800057350</v>
      </c>
      <c r="C3011" s="3">
        <v>60429</v>
      </c>
      <c r="D3011" s="3" t="s">
        <v>10891</v>
      </c>
      <c r="E3011" s="3">
        <v>20539718810</v>
      </c>
      <c r="F3011" s="3" t="s">
        <v>6208</v>
      </c>
      <c r="G3011" s="3" t="s">
        <v>6209</v>
      </c>
      <c r="H3011" s="3" t="s">
        <v>44</v>
      </c>
      <c r="I3011" s="3" t="s">
        <v>45</v>
      </c>
      <c r="J3011" s="3" t="s">
        <v>45</v>
      </c>
      <c r="K3011" s="3" t="s">
        <v>10892</v>
      </c>
      <c r="L3011" s="3" t="s">
        <v>10893</v>
      </c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C3011" s="3"/>
      <c r="AD3011" s="3"/>
      <c r="AE3011" s="3"/>
      <c r="AF3011" s="3"/>
      <c r="AG3011" s="3"/>
      <c r="AH3011" s="3"/>
      <c r="AI3011" s="3"/>
      <c r="AJ3011" s="3"/>
      <c r="AK3011" s="3" t="s">
        <v>157</v>
      </c>
      <c r="AL3011" s="4">
        <v>43207</v>
      </c>
      <c r="AM3011" s="3"/>
      <c r="AN3011" s="3" t="s">
        <v>6211</v>
      </c>
    </row>
    <row r="3012" spans="1:40" ht="27.95" x14ac:dyDescent="0.3">
      <c r="A3012" s="3">
        <v>3006</v>
      </c>
      <c r="B3012" s="3" t="str">
        <f>"201900050121"</f>
        <v>201900050121</v>
      </c>
      <c r="C3012" s="3">
        <v>139014</v>
      </c>
      <c r="D3012" s="3" t="s">
        <v>10894</v>
      </c>
      <c r="E3012" s="3">
        <v>20570802055</v>
      </c>
      <c r="F3012" s="3" t="s">
        <v>10895</v>
      </c>
      <c r="G3012" s="3" t="s">
        <v>10896</v>
      </c>
      <c r="H3012" s="3" t="s">
        <v>357</v>
      </c>
      <c r="I3012" s="3" t="s">
        <v>7966</v>
      </c>
      <c r="J3012" s="3" t="s">
        <v>10897</v>
      </c>
      <c r="K3012" s="3" t="s">
        <v>10898</v>
      </c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C3012" s="3"/>
      <c r="AD3012" s="3"/>
      <c r="AE3012" s="3"/>
      <c r="AF3012" s="3"/>
      <c r="AG3012" s="3"/>
      <c r="AH3012" s="3"/>
      <c r="AI3012" s="3"/>
      <c r="AJ3012" s="3"/>
      <c r="AK3012" s="3" t="s">
        <v>157</v>
      </c>
      <c r="AL3012" s="4">
        <v>43557</v>
      </c>
      <c r="AM3012" s="3"/>
      <c r="AN3012" s="3" t="s">
        <v>10899</v>
      </c>
    </row>
    <row r="3013" spans="1:40" x14ac:dyDescent="0.3">
      <c r="A3013" s="3">
        <v>3007</v>
      </c>
      <c r="B3013" s="3" t="str">
        <f>"201700167877"</f>
        <v>201700167877</v>
      </c>
      <c r="C3013" s="3">
        <v>132276</v>
      </c>
      <c r="D3013" s="3" t="s">
        <v>10900</v>
      </c>
      <c r="E3013" s="3">
        <v>10247185921</v>
      </c>
      <c r="F3013" s="3" t="s">
        <v>10901</v>
      </c>
      <c r="G3013" s="3" t="s">
        <v>10902</v>
      </c>
      <c r="H3013" s="3" t="s">
        <v>446</v>
      </c>
      <c r="I3013" s="3" t="s">
        <v>895</v>
      </c>
      <c r="J3013" s="3" t="s">
        <v>896</v>
      </c>
      <c r="K3013" s="3" t="s">
        <v>10903</v>
      </c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C3013" s="3"/>
      <c r="AD3013" s="3"/>
      <c r="AE3013" s="3"/>
      <c r="AF3013" s="3"/>
      <c r="AG3013" s="3"/>
      <c r="AH3013" s="3"/>
      <c r="AI3013" s="3"/>
      <c r="AJ3013" s="3"/>
      <c r="AK3013" s="3" t="s">
        <v>241</v>
      </c>
      <c r="AL3013" s="4">
        <v>43031</v>
      </c>
      <c r="AM3013" s="3"/>
      <c r="AN3013" s="3" t="s">
        <v>10901</v>
      </c>
    </row>
    <row r="3014" spans="1:40" x14ac:dyDescent="0.3">
      <c r="A3014" s="3">
        <v>3008</v>
      </c>
      <c r="B3014" s="3" t="str">
        <f>"1494149"</f>
        <v>1494149</v>
      </c>
      <c r="C3014" s="3">
        <v>39094</v>
      </c>
      <c r="D3014" s="3" t="s">
        <v>10904</v>
      </c>
      <c r="E3014" s="3">
        <v>10295689388</v>
      </c>
      <c r="F3014" s="3" t="s">
        <v>10905</v>
      </c>
      <c r="G3014" s="3" t="s">
        <v>10906</v>
      </c>
      <c r="H3014" s="3" t="s">
        <v>97</v>
      </c>
      <c r="I3014" s="3" t="s">
        <v>97</v>
      </c>
      <c r="J3014" s="3" t="s">
        <v>417</v>
      </c>
      <c r="K3014" s="3" t="s">
        <v>10907</v>
      </c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C3014" s="3"/>
      <c r="AD3014" s="3"/>
      <c r="AE3014" s="3"/>
      <c r="AF3014" s="3"/>
      <c r="AG3014" s="3"/>
      <c r="AH3014" s="3"/>
      <c r="AI3014" s="3"/>
      <c r="AJ3014" s="3"/>
      <c r="AK3014" s="3" t="s">
        <v>226</v>
      </c>
      <c r="AL3014" s="4">
        <v>38238</v>
      </c>
      <c r="AM3014" s="3"/>
      <c r="AN3014" s="3"/>
    </row>
    <row r="3015" spans="1:40" ht="27.95" x14ac:dyDescent="0.3">
      <c r="A3015" s="3">
        <v>3009</v>
      </c>
      <c r="B3015" s="3" t="str">
        <f>"201300144758"</f>
        <v>201300144758</v>
      </c>
      <c r="C3015" s="3">
        <v>104613</v>
      </c>
      <c r="D3015" s="3" t="s">
        <v>10908</v>
      </c>
      <c r="E3015" s="3">
        <v>20136751043</v>
      </c>
      <c r="F3015" s="3" t="s">
        <v>10909</v>
      </c>
      <c r="G3015" s="3" t="s">
        <v>10910</v>
      </c>
      <c r="H3015" s="3" t="s">
        <v>75</v>
      </c>
      <c r="I3015" s="3" t="s">
        <v>75</v>
      </c>
      <c r="J3015" s="3" t="s">
        <v>2698</v>
      </c>
      <c r="K3015" s="3" t="s">
        <v>10911</v>
      </c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C3015" s="3"/>
      <c r="AD3015" s="3"/>
      <c r="AE3015" s="3"/>
      <c r="AF3015" s="3"/>
      <c r="AG3015" s="3"/>
      <c r="AH3015" s="3"/>
      <c r="AI3015" s="3"/>
      <c r="AJ3015" s="3"/>
      <c r="AK3015" s="3" t="s">
        <v>65</v>
      </c>
      <c r="AL3015" s="3" t="s">
        <v>290</v>
      </c>
      <c r="AM3015" s="3"/>
      <c r="AN3015" s="3" t="s">
        <v>6236</v>
      </c>
    </row>
    <row r="3016" spans="1:40" ht="27.95" x14ac:dyDescent="0.3">
      <c r="A3016" s="3">
        <v>3010</v>
      </c>
      <c r="B3016" s="3" t="str">
        <f>"1494141"</f>
        <v>1494141</v>
      </c>
      <c r="C3016" s="3">
        <v>93094</v>
      </c>
      <c r="D3016" s="3" t="s">
        <v>10912</v>
      </c>
      <c r="E3016" s="3">
        <v>10294185851</v>
      </c>
      <c r="F3016" s="3" t="s">
        <v>10913</v>
      </c>
      <c r="G3016" s="3" t="s">
        <v>10914</v>
      </c>
      <c r="H3016" s="3" t="s">
        <v>97</v>
      </c>
      <c r="I3016" s="3" t="s">
        <v>97</v>
      </c>
      <c r="J3016" s="3" t="s">
        <v>105</v>
      </c>
      <c r="K3016" s="3" t="s">
        <v>10915</v>
      </c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C3016" s="3"/>
      <c r="AD3016" s="3"/>
      <c r="AE3016" s="3"/>
      <c r="AF3016" s="3"/>
      <c r="AG3016" s="3"/>
      <c r="AH3016" s="3"/>
      <c r="AI3016" s="3"/>
      <c r="AJ3016" s="3"/>
      <c r="AK3016" s="3" t="s">
        <v>218</v>
      </c>
      <c r="AL3016" s="4">
        <v>40749</v>
      </c>
      <c r="AM3016" s="3"/>
      <c r="AN3016" s="3" t="s">
        <v>10913</v>
      </c>
    </row>
    <row r="3017" spans="1:40" x14ac:dyDescent="0.3">
      <c r="A3017" s="3">
        <v>3011</v>
      </c>
      <c r="B3017" s="3" t="str">
        <f>"1836295"</f>
        <v>1836295</v>
      </c>
      <c r="C3017" s="3">
        <v>62843</v>
      </c>
      <c r="D3017" s="3" t="s">
        <v>10916</v>
      </c>
      <c r="E3017" s="3">
        <v>20393354683</v>
      </c>
      <c r="F3017" s="3" t="s">
        <v>7000</v>
      </c>
      <c r="G3017" s="3" t="s">
        <v>10917</v>
      </c>
      <c r="H3017" s="3" t="s">
        <v>395</v>
      </c>
      <c r="I3017" s="3" t="s">
        <v>396</v>
      </c>
      <c r="J3017" s="3" t="s">
        <v>397</v>
      </c>
      <c r="K3017" s="3" t="s">
        <v>10918</v>
      </c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C3017" s="3"/>
      <c r="AD3017" s="3"/>
      <c r="AE3017" s="3"/>
      <c r="AF3017" s="3"/>
      <c r="AG3017" s="3"/>
      <c r="AH3017" s="3"/>
      <c r="AI3017" s="3"/>
      <c r="AJ3017" s="3"/>
      <c r="AK3017" s="3" t="s">
        <v>9136</v>
      </c>
      <c r="AL3017" s="4">
        <v>39755</v>
      </c>
      <c r="AM3017" s="3"/>
      <c r="AN3017" s="3"/>
    </row>
    <row r="3018" spans="1:40" ht="27.95" x14ac:dyDescent="0.3">
      <c r="A3018" s="3">
        <v>3012</v>
      </c>
      <c r="B3018" s="3" t="str">
        <f>"1494150"</f>
        <v>1494150</v>
      </c>
      <c r="C3018" s="3">
        <v>39494</v>
      </c>
      <c r="D3018" s="3" t="s">
        <v>10919</v>
      </c>
      <c r="E3018" s="3">
        <v>10296954077</v>
      </c>
      <c r="F3018" s="3" t="s">
        <v>1131</v>
      </c>
      <c r="G3018" s="3" t="s">
        <v>10920</v>
      </c>
      <c r="H3018" s="3" t="s">
        <v>97</v>
      </c>
      <c r="I3018" s="3" t="s">
        <v>97</v>
      </c>
      <c r="J3018" s="3" t="s">
        <v>254</v>
      </c>
      <c r="K3018" s="3" t="s">
        <v>10921</v>
      </c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C3018" s="3"/>
      <c r="AD3018" s="3"/>
      <c r="AE3018" s="3"/>
      <c r="AF3018" s="3"/>
      <c r="AG3018" s="3"/>
      <c r="AH3018" s="3"/>
      <c r="AI3018" s="3"/>
      <c r="AJ3018" s="3"/>
      <c r="AK3018" s="3" t="s">
        <v>1994</v>
      </c>
      <c r="AL3018" s="4">
        <v>38245</v>
      </c>
      <c r="AM3018" s="3"/>
      <c r="AN3018" s="3"/>
    </row>
    <row r="3019" spans="1:40" x14ac:dyDescent="0.3">
      <c r="A3019" s="3">
        <v>3013</v>
      </c>
      <c r="B3019" s="3" t="str">
        <f>"201700139082"</f>
        <v>201700139082</v>
      </c>
      <c r="C3019" s="3">
        <v>131536</v>
      </c>
      <c r="D3019" s="3" t="s">
        <v>10922</v>
      </c>
      <c r="E3019" s="3">
        <v>20456291636</v>
      </c>
      <c r="F3019" s="3" t="s">
        <v>10923</v>
      </c>
      <c r="G3019" s="3" t="s">
        <v>10924</v>
      </c>
      <c r="H3019" s="3" t="s">
        <v>97</v>
      </c>
      <c r="I3019" s="3" t="s">
        <v>97</v>
      </c>
      <c r="J3019" s="3" t="s">
        <v>2039</v>
      </c>
      <c r="K3019" s="3" t="s">
        <v>10925</v>
      </c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C3019" s="3"/>
      <c r="AD3019" s="3"/>
      <c r="AE3019" s="3"/>
      <c r="AF3019" s="3"/>
      <c r="AG3019" s="3"/>
      <c r="AH3019" s="3"/>
      <c r="AI3019" s="3"/>
      <c r="AJ3019" s="3"/>
      <c r="AK3019" s="3" t="s">
        <v>256</v>
      </c>
      <c r="AL3019" s="4">
        <v>42989</v>
      </c>
      <c r="AM3019" s="3"/>
      <c r="AN3019" s="3" t="s">
        <v>10926</v>
      </c>
    </row>
    <row r="3020" spans="1:40" x14ac:dyDescent="0.3">
      <c r="A3020" s="3">
        <v>3014</v>
      </c>
      <c r="B3020" s="3" t="str">
        <f>"1453591"</f>
        <v>1453591</v>
      </c>
      <c r="C3020" s="3">
        <v>87044</v>
      </c>
      <c r="D3020" s="3" t="s">
        <v>10927</v>
      </c>
      <c r="E3020" s="3">
        <v>10025271713</v>
      </c>
      <c r="F3020" s="3" t="s">
        <v>10928</v>
      </c>
      <c r="G3020" s="3" t="s">
        <v>10929</v>
      </c>
      <c r="H3020" s="3" t="s">
        <v>222</v>
      </c>
      <c r="I3020" s="3" t="s">
        <v>223</v>
      </c>
      <c r="J3020" s="3" t="s">
        <v>224</v>
      </c>
      <c r="K3020" s="3" t="s">
        <v>10930</v>
      </c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C3020" s="3"/>
      <c r="AD3020" s="3"/>
      <c r="AE3020" s="3"/>
      <c r="AF3020" s="3"/>
      <c r="AG3020" s="3"/>
      <c r="AH3020" s="3"/>
      <c r="AI3020" s="3"/>
      <c r="AJ3020" s="3"/>
      <c r="AK3020" s="3" t="s">
        <v>157</v>
      </c>
      <c r="AL3020" s="4">
        <v>40523</v>
      </c>
      <c r="AM3020" s="3"/>
      <c r="AN3020" s="3" t="s">
        <v>10928</v>
      </c>
    </row>
    <row r="3021" spans="1:40" x14ac:dyDescent="0.3">
      <c r="A3021" s="3">
        <v>3015</v>
      </c>
      <c r="B3021" s="3" t="str">
        <f>"1468855"</f>
        <v>1468855</v>
      </c>
      <c r="C3021" s="3">
        <v>35500</v>
      </c>
      <c r="D3021" s="3" t="s">
        <v>10931</v>
      </c>
      <c r="E3021" s="3">
        <v>10072551091</v>
      </c>
      <c r="F3021" s="3" t="s">
        <v>10932</v>
      </c>
      <c r="G3021" s="3" t="s">
        <v>10933</v>
      </c>
      <c r="H3021" s="3" t="s">
        <v>56</v>
      </c>
      <c r="I3021" s="3" t="s">
        <v>56</v>
      </c>
      <c r="J3021" s="3" t="s">
        <v>57</v>
      </c>
      <c r="K3021" s="3" t="s">
        <v>10934</v>
      </c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C3021" s="3"/>
      <c r="AD3021" s="3"/>
      <c r="AE3021" s="3"/>
      <c r="AF3021" s="3"/>
      <c r="AG3021" s="3"/>
      <c r="AH3021" s="3"/>
      <c r="AI3021" s="3"/>
      <c r="AJ3021" s="3"/>
      <c r="AK3021" s="3" t="s">
        <v>157</v>
      </c>
      <c r="AL3021" s="4">
        <v>38133</v>
      </c>
      <c r="AM3021" s="3"/>
      <c r="AN3021" s="3"/>
    </row>
    <row r="3022" spans="1:40" ht="27.95" x14ac:dyDescent="0.3">
      <c r="A3022" s="3">
        <v>3016</v>
      </c>
      <c r="B3022" s="3" t="str">
        <f>"201800136387"</f>
        <v>201800136387</v>
      </c>
      <c r="C3022" s="3">
        <v>138081</v>
      </c>
      <c r="D3022" s="3" t="s">
        <v>10935</v>
      </c>
      <c r="E3022" s="3">
        <v>20525521509</v>
      </c>
      <c r="F3022" s="3" t="s">
        <v>189</v>
      </c>
      <c r="G3022" s="3" t="s">
        <v>815</v>
      </c>
      <c r="H3022" s="3" t="s">
        <v>50</v>
      </c>
      <c r="I3022" s="3" t="s">
        <v>50</v>
      </c>
      <c r="J3022" s="3" t="s">
        <v>50</v>
      </c>
      <c r="K3022" s="3" t="s">
        <v>10936</v>
      </c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C3022" s="3"/>
      <c r="AD3022" s="3"/>
      <c r="AE3022" s="3"/>
      <c r="AF3022" s="3"/>
      <c r="AG3022" s="3"/>
      <c r="AH3022" s="3"/>
      <c r="AI3022" s="3"/>
      <c r="AJ3022" s="3"/>
      <c r="AK3022" s="3" t="s">
        <v>986</v>
      </c>
      <c r="AL3022" s="4">
        <v>43333</v>
      </c>
      <c r="AM3022" s="3"/>
      <c r="AN3022" s="3" t="s">
        <v>817</v>
      </c>
    </row>
    <row r="3023" spans="1:40" x14ac:dyDescent="0.3">
      <c r="A3023" s="3">
        <v>3017</v>
      </c>
      <c r="B3023" s="3" t="str">
        <f>"1836289"</f>
        <v>1836289</v>
      </c>
      <c r="C3023" s="3">
        <v>63170</v>
      </c>
      <c r="D3023" s="3" t="s">
        <v>10937</v>
      </c>
      <c r="E3023" s="3">
        <v>20393354683</v>
      </c>
      <c r="F3023" s="3" t="s">
        <v>7000</v>
      </c>
      <c r="G3023" s="3" t="s">
        <v>10938</v>
      </c>
      <c r="H3023" s="3" t="s">
        <v>395</v>
      </c>
      <c r="I3023" s="3" t="s">
        <v>396</v>
      </c>
      <c r="J3023" s="3" t="s">
        <v>397</v>
      </c>
      <c r="K3023" s="3" t="s">
        <v>10939</v>
      </c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C3023" s="3"/>
      <c r="AD3023" s="3"/>
      <c r="AE3023" s="3"/>
      <c r="AF3023" s="3"/>
      <c r="AG3023" s="3"/>
      <c r="AH3023" s="3"/>
      <c r="AI3023" s="3"/>
      <c r="AJ3023" s="3"/>
      <c r="AK3023" s="3" t="s">
        <v>1547</v>
      </c>
      <c r="AL3023" s="4">
        <v>39755</v>
      </c>
      <c r="AM3023" s="3"/>
      <c r="AN3023" s="3"/>
    </row>
    <row r="3024" spans="1:40" x14ac:dyDescent="0.3">
      <c r="A3024" s="3">
        <v>3018</v>
      </c>
      <c r="B3024" s="3" t="str">
        <f>"201700105294"</f>
        <v>201700105294</v>
      </c>
      <c r="C3024" s="3">
        <v>114961</v>
      </c>
      <c r="D3024" s="3" t="s">
        <v>10940</v>
      </c>
      <c r="E3024" s="3">
        <v>20262254268</v>
      </c>
      <c r="F3024" s="3" t="s">
        <v>7687</v>
      </c>
      <c r="G3024" s="3" t="s">
        <v>10941</v>
      </c>
      <c r="H3024" s="3" t="s">
        <v>56</v>
      </c>
      <c r="I3024" s="3" t="s">
        <v>56</v>
      </c>
      <c r="J3024" s="3" t="s">
        <v>105</v>
      </c>
      <c r="K3024" s="3" t="s">
        <v>10942</v>
      </c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C3024" s="3"/>
      <c r="AD3024" s="3"/>
      <c r="AE3024" s="3"/>
      <c r="AF3024" s="3"/>
      <c r="AG3024" s="3"/>
      <c r="AH3024" s="3"/>
      <c r="AI3024" s="3"/>
      <c r="AJ3024" s="3"/>
      <c r="AK3024" s="3" t="s">
        <v>10943</v>
      </c>
      <c r="AL3024" s="4">
        <v>42937</v>
      </c>
      <c r="AM3024" s="3"/>
      <c r="AN3024" s="3" t="s">
        <v>113</v>
      </c>
    </row>
    <row r="3025" spans="1:40" x14ac:dyDescent="0.3">
      <c r="A3025" s="3">
        <v>3019</v>
      </c>
      <c r="B3025" s="3" t="str">
        <f>"1836284"</f>
        <v>1836284</v>
      </c>
      <c r="C3025" s="3">
        <v>62709</v>
      </c>
      <c r="D3025" s="3" t="s">
        <v>10944</v>
      </c>
      <c r="E3025" s="3">
        <v>20393354683</v>
      </c>
      <c r="F3025" s="3" t="s">
        <v>7000</v>
      </c>
      <c r="G3025" s="3" t="s">
        <v>10945</v>
      </c>
      <c r="H3025" s="3" t="s">
        <v>395</v>
      </c>
      <c r="I3025" s="3" t="s">
        <v>396</v>
      </c>
      <c r="J3025" s="3" t="s">
        <v>397</v>
      </c>
      <c r="K3025" s="3" t="s">
        <v>10946</v>
      </c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C3025" s="3"/>
      <c r="AD3025" s="3"/>
      <c r="AE3025" s="3"/>
      <c r="AF3025" s="3"/>
      <c r="AG3025" s="3"/>
      <c r="AH3025" s="3"/>
      <c r="AI3025" s="3"/>
      <c r="AJ3025" s="3"/>
      <c r="AK3025" s="3" t="s">
        <v>1547</v>
      </c>
      <c r="AL3025" s="4">
        <v>39755</v>
      </c>
      <c r="AM3025" s="3"/>
      <c r="AN3025" s="3"/>
    </row>
    <row r="3026" spans="1:40" x14ac:dyDescent="0.3">
      <c r="A3026" s="3">
        <v>3020</v>
      </c>
      <c r="B3026" s="3" t="str">
        <f>"201800196538"</f>
        <v>201800196538</v>
      </c>
      <c r="C3026" s="3">
        <v>139961</v>
      </c>
      <c r="D3026" s="3" t="s">
        <v>10947</v>
      </c>
      <c r="E3026" s="3">
        <v>20393215306</v>
      </c>
      <c r="F3026" s="3" t="s">
        <v>10948</v>
      </c>
      <c r="G3026" s="3" t="s">
        <v>10949</v>
      </c>
      <c r="H3026" s="3" t="s">
        <v>395</v>
      </c>
      <c r="I3026" s="3" t="s">
        <v>396</v>
      </c>
      <c r="J3026" s="3" t="s">
        <v>490</v>
      </c>
      <c r="K3026" s="3" t="s">
        <v>10950</v>
      </c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C3026" s="3"/>
      <c r="AD3026" s="3"/>
      <c r="AE3026" s="3"/>
      <c r="AF3026" s="3"/>
      <c r="AG3026" s="3"/>
      <c r="AH3026" s="3"/>
      <c r="AI3026" s="3"/>
      <c r="AJ3026" s="3"/>
      <c r="AK3026" s="3" t="s">
        <v>4314</v>
      </c>
      <c r="AL3026" s="4">
        <v>43437</v>
      </c>
      <c r="AM3026" s="3"/>
      <c r="AN3026" s="3" t="s">
        <v>10951</v>
      </c>
    </row>
    <row r="3027" spans="1:40" x14ac:dyDescent="0.3">
      <c r="A3027" s="3">
        <v>3021</v>
      </c>
      <c r="B3027" s="3" t="str">
        <f>"201400062957"</f>
        <v>201400062957</v>
      </c>
      <c r="C3027" s="3">
        <v>109562</v>
      </c>
      <c r="D3027" s="3" t="s">
        <v>10952</v>
      </c>
      <c r="E3027" s="3">
        <v>20136751043</v>
      </c>
      <c r="F3027" s="3" t="s">
        <v>10953</v>
      </c>
      <c r="G3027" s="3" t="s">
        <v>10954</v>
      </c>
      <c r="H3027" s="3" t="s">
        <v>75</v>
      </c>
      <c r="I3027" s="3" t="s">
        <v>75</v>
      </c>
      <c r="J3027" s="3" t="s">
        <v>2698</v>
      </c>
      <c r="K3027" s="3" t="s">
        <v>10955</v>
      </c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C3027" s="3"/>
      <c r="AD3027" s="3"/>
      <c r="AE3027" s="3"/>
      <c r="AF3027" s="3"/>
      <c r="AG3027" s="3"/>
      <c r="AH3027" s="3"/>
      <c r="AI3027" s="3"/>
      <c r="AJ3027" s="3"/>
      <c r="AK3027" s="3" t="s">
        <v>81</v>
      </c>
      <c r="AL3027" s="4">
        <v>41792</v>
      </c>
      <c r="AM3027" s="3"/>
      <c r="AN3027" s="3" t="s">
        <v>10956</v>
      </c>
    </row>
    <row r="3028" spans="1:40" x14ac:dyDescent="0.3">
      <c r="A3028" s="3">
        <v>3022</v>
      </c>
      <c r="B3028" s="3" t="str">
        <f>"1111194"</f>
        <v>1111194</v>
      </c>
      <c r="C3028" s="3">
        <v>2397</v>
      </c>
      <c r="D3028" s="3">
        <v>990074</v>
      </c>
      <c r="E3028" s="3">
        <v>10256570756</v>
      </c>
      <c r="F3028" s="3" t="s">
        <v>10957</v>
      </c>
      <c r="G3028" s="3" t="s">
        <v>10958</v>
      </c>
      <c r="H3028" s="3" t="s">
        <v>56</v>
      </c>
      <c r="I3028" s="3" t="s">
        <v>56</v>
      </c>
      <c r="J3028" s="3" t="s">
        <v>380</v>
      </c>
      <c r="K3028" s="3" t="s">
        <v>10959</v>
      </c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C3028" s="3"/>
      <c r="AD3028" s="3"/>
      <c r="AE3028" s="3"/>
      <c r="AF3028" s="3"/>
      <c r="AG3028" s="3"/>
      <c r="AH3028" s="3"/>
      <c r="AI3028" s="3"/>
      <c r="AJ3028" s="3"/>
      <c r="AK3028" s="3" t="s">
        <v>65</v>
      </c>
      <c r="AL3028" s="4">
        <v>35495</v>
      </c>
      <c r="AM3028" s="3"/>
      <c r="AN3028" s="3"/>
    </row>
    <row r="3029" spans="1:40" x14ac:dyDescent="0.3">
      <c r="A3029" s="3">
        <v>3023</v>
      </c>
      <c r="B3029" s="3" t="str">
        <f>"201500082150"</f>
        <v>201500082150</v>
      </c>
      <c r="C3029" s="3">
        <v>113943</v>
      </c>
      <c r="D3029" s="3" t="s">
        <v>10960</v>
      </c>
      <c r="E3029" s="3">
        <v>20558092328</v>
      </c>
      <c r="F3029" s="3" t="s">
        <v>10961</v>
      </c>
      <c r="G3029" s="3" t="s">
        <v>10962</v>
      </c>
      <c r="H3029" s="3" t="s">
        <v>97</v>
      </c>
      <c r="I3029" s="3" t="s">
        <v>97</v>
      </c>
      <c r="J3029" s="3" t="s">
        <v>970</v>
      </c>
      <c r="K3029" s="3" t="s">
        <v>10963</v>
      </c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C3029" s="3"/>
      <c r="AD3029" s="3"/>
      <c r="AE3029" s="3"/>
      <c r="AF3029" s="3"/>
      <c r="AG3029" s="3"/>
      <c r="AH3029" s="3"/>
      <c r="AI3029" s="3"/>
      <c r="AJ3029" s="3"/>
      <c r="AK3029" s="3" t="s">
        <v>607</v>
      </c>
      <c r="AL3029" s="3" t="s">
        <v>290</v>
      </c>
      <c r="AM3029" s="3"/>
      <c r="AN3029" s="3" t="s">
        <v>4468</v>
      </c>
    </row>
    <row r="3030" spans="1:40" ht="27.95" x14ac:dyDescent="0.3">
      <c r="A3030" s="3">
        <v>3024</v>
      </c>
      <c r="B3030" s="3" t="str">
        <f>"201700114094"</f>
        <v>201700114094</v>
      </c>
      <c r="C3030" s="3">
        <v>130620</v>
      </c>
      <c r="D3030" s="3" t="s">
        <v>10964</v>
      </c>
      <c r="E3030" s="3">
        <v>20525924026</v>
      </c>
      <c r="F3030" s="3" t="s">
        <v>10965</v>
      </c>
      <c r="G3030" s="3" t="s">
        <v>10966</v>
      </c>
      <c r="H3030" s="3" t="s">
        <v>50</v>
      </c>
      <c r="I3030" s="3" t="s">
        <v>50</v>
      </c>
      <c r="J3030" s="3" t="s">
        <v>2274</v>
      </c>
      <c r="K3030" s="3" t="s">
        <v>10967</v>
      </c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C3030" s="3"/>
      <c r="AD3030" s="3"/>
      <c r="AE3030" s="3"/>
      <c r="AF3030" s="3"/>
      <c r="AG3030" s="3"/>
      <c r="AH3030" s="3"/>
      <c r="AI3030" s="3"/>
      <c r="AJ3030" s="3"/>
      <c r="AK3030" s="3" t="s">
        <v>2864</v>
      </c>
      <c r="AL3030" s="4">
        <v>42940</v>
      </c>
      <c r="AM3030" s="3"/>
      <c r="AN3030" s="3" t="s">
        <v>10968</v>
      </c>
    </row>
    <row r="3031" spans="1:40" x14ac:dyDescent="0.3">
      <c r="A3031" s="3">
        <v>3025</v>
      </c>
      <c r="B3031" s="3" t="str">
        <f>"1180590"</f>
        <v>1180590</v>
      </c>
      <c r="C3031" s="3">
        <v>13883</v>
      </c>
      <c r="D3031" s="3">
        <v>1180590</v>
      </c>
      <c r="E3031" s="3">
        <v>10082015031</v>
      </c>
      <c r="F3031" s="3" t="s">
        <v>2403</v>
      </c>
      <c r="G3031" s="3" t="s">
        <v>2404</v>
      </c>
      <c r="H3031" s="3" t="s">
        <v>56</v>
      </c>
      <c r="I3031" s="3" t="s">
        <v>56</v>
      </c>
      <c r="J3031" s="3" t="s">
        <v>432</v>
      </c>
      <c r="K3031" s="3" t="s">
        <v>10969</v>
      </c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C3031" s="3"/>
      <c r="AD3031" s="3"/>
      <c r="AE3031" s="3"/>
      <c r="AF3031" s="3"/>
      <c r="AG3031" s="3"/>
      <c r="AH3031" s="3"/>
      <c r="AI3031" s="3"/>
      <c r="AJ3031" s="3"/>
      <c r="AK3031" s="3" t="s">
        <v>81</v>
      </c>
      <c r="AL3031" s="4">
        <v>35912</v>
      </c>
      <c r="AM3031" s="3"/>
      <c r="AN3031" s="3"/>
    </row>
    <row r="3032" spans="1:40" x14ac:dyDescent="0.3">
      <c r="A3032" s="3">
        <v>3026</v>
      </c>
      <c r="B3032" s="3" t="str">
        <f>"1570298"</f>
        <v>1570298</v>
      </c>
      <c r="C3032" s="3">
        <v>39704</v>
      </c>
      <c r="D3032" s="3" t="s">
        <v>10970</v>
      </c>
      <c r="E3032" s="3">
        <v>10079116632</v>
      </c>
      <c r="F3032" s="3" t="s">
        <v>10971</v>
      </c>
      <c r="G3032" s="3" t="s">
        <v>10972</v>
      </c>
      <c r="H3032" s="3" t="s">
        <v>56</v>
      </c>
      <c r="I3032" s="3" t="s">
        <v>56</v>
      </c>
      <c r="J3032" s="3" t="s">
        <v>84</v>
      </c>
      <c r="K3032" s="3" t="s">
        <v>10973</v>
      </c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C3032" s="3"/>
      <c r="AD3032" s="3"/>
      <c r="AE3032" s="3"/>
      <c r="AF3032" s="3"/>
      <c r="AG3032" s="3"/>
      <c r="AH3032" s="3"/>
      <c r="AI3032" s="3"/>
      <c r="AJ3032" s="3"/>
      <c r="AK3032" s="3" t="s">
        <v>8152</v>
      </c>
      <c r="AL3032" s="4">
        <v>38667</v>
      </c>
      <c r="AM3032" s="3"/>
      <c r="AN3032" s="3"/>
    </row>
    <row r="3033" spans="1:40" ht="27.95" x14ac:dyDescent="0.3">
      <c r="A3033" s="3">
        <v>3027</v>
      </c>
      <c r="B3033" s="3" t="str">
        <f>"1467338"</f>
        <v>1467338</v>
      </c>
      <c r="C3033" s="3">
        <v>89532</v>
      </c>
      <c r="D3033" s="3" t="s">
        <v>10974</v>
      </c>
      <c r="E3033" s="3">
        <v>10100153349</v>
      </c>
      <c r="F3033" s="3" t="s">
        <v>10852</v>
      </c>
      <c r="G3033" s="3" t="s">
        <v>10975</v>
      </c>
      <c r="H3033" s="3" t="s">
        <v>743</v>
      </c>
      <c r="I3033" s="3" t="s">
        <v>1031</v>
      </c>
      <c r="J3033" s="3" t="s">
        <v>1031</v>
      </c>
      <c r="K3033" s="3" t="s">
        <v>10976</v>
      </c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C3033" s="3"/>
      <c r="AD3033" s="3"/>
      <c r="AE3033" s="3"/>
      <c r="AF3033" s="3"/>
      <c r="AG3033" s="3"/>
      <c r="AH3033" s="3"/>
      <c r="AI3033" s="3"/>
      <c r="AJ3033" s="3"/>
      <c r="AK3033" s="3" t="s">
        <v>81</v>
      </c>
      <c r="AL3033" s="4">
        <v>40583</v>
      </c>
      <c r="AM3033" s="3"/>
      <c r="AN3033" s="3" t="s">
        <v>10852</v>
      </c>
    </row>
    <row r="3034" spans="1:40" x14ac:dyDescent="0.3">
      <c r="A3034" s="3">
        <v>3028</v>
      </c>
      <c r="B3034" s="3" t="str">
        <f>"1313810"</f>
        <v>1313810</v>
      </c>
      <c r="C3034" s="3">
        <v>2447</v>
      </c>
      <c r="D3034" s="3" t="s">
        <v>10977</v>
      </c>
      <c r="E3034" s="3">
        <v>20100873681</v>
      </c>
      <c r="F3034" s="3" t="s">
        <v>1241</v>
      </c>
      <c r="G3034" s="3" t="s">
        <v>1047</v>
      </c>
      <c r="H3034" s="3" t="s">
        <v>56</v>
      </c>
      <c r="I3034" s="3" t="s">
        <v>56</v>
      </c>
      <c r="J3034" s="3" t="s">
        <v>363</v>
      </c>
      <c r="K3034" s="3" t="s">
        <v>10978</v>
      </c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C3034" s="3"/>
      <c r="AD3034" s="3"/>
      <c r="AE3034" s="3"/>
      <c r="AF3034" s="3"/>
      <c r="AG3034" s="3"/>
      <c r="AH3034" s="3"/>
      <c r="AI3034" s="3"/>
      <c r="AJ3034" s="3"/>
      <c r="AK3034" s="3" t="s">
        <v>52</v>
      </c>
      <c r="AL3034" s="4">
        <v>36971</v>
      </c>
      <c r="AM3034" s="3"/>
      <c r="AN3034" s="3"/>
    </row>
    <row r="3035" spans="1:40" x14ac:dyDescent="0.3">
      <c r="A3035" s="3">
        <v>3029</v>
      </c>
      <c r="B3035" s="3" t="str">
        <f>"201600041019"</f>
        <v>201600041019</v>
      </c>
      <c r="C3035" s="3">
        <v>120497</v>
      </c>
      <c r="D3035" s="3" t="s">
        <v>10979</v>
      </c>
      <c r="E3035" s="3">
        <v>20100366747</v>
      </c>
      <c r="F3035" s="3" t="s">
        <v>258</v>
      </c>
      <c r="G3035" s="3" t="s">
        <v>451</v>
      </c>
      <c r="H3035" s="3" t="s">
        <v>56</v>
      </c>
      <c r="I3035" s="3" t="s">
        <v>56</v>
      </c>
      <c r="J3035" s="3" t="s">
        <v>185</v>
      </c>
      <c r="K3035" s="3" t="s">
        <v>10980</v>
      </c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C3035" s="3"/>
      <c r="AD3035" s="3"/>
      <c r="AE3035" s="3"/>
      <c r="AF3035" s="3"/>
      <c r="AG3035" s="3"/>
      <c r="AH3035" s="3"/>
      <c r="AI3035" s="3"/>
      <c r="AJ3035" s="3"/>
      <c r="AK3035" s="3" t="s">
        <v>10981</v>
      </c>
      <c r="AL3035" s="4">
        <v>42475</v>
      </c>
      <c r="AM3035" s="3"/>
      <c r="AN3035" s="3" t="s">
        <v>262</v>
      </c>
    </row>
    <row r="3036" spans="1:40" x14ac:dyDescent="0.3">
      <c r="A3036" s="3">
        <v>3030</v>
      </c>
      <c r="B3036" s="3" t="str">
        <f>"201600148597"</f>
        <v>201600148597</v>
      </c>
      <c r="C3036" s="3">
        <v>124395</v>
      </c>
      <c r="D3036" s="3" t="s">
        <v>10982</v>
      </c>
      <c r="E3036" s="3">
        <v>20512058800</v>
      </c>
      <c r="F3036" s="3" t="s">
        <v>10983</v>
      </c>
      <c r="G3036" s="3" t="s">
        <v>10984</v>
      </c>
      <c r="H3036" s="3" t="s">
        <v>56</v>
      </c>
      <c r="I3036" s="3" t="s">
        <v>56</v>
      </c>
      <c r="J3036" s="3" t="s">
        <v>363</v>
      </c>
      <c r="K3036" s="3" t="s">
        <v>10985</v>
      </c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C3036" s="3"/>
      <c r="AD3036" s="3"/>
      <c r="AE3036" s="3"/>
      <c r="AF3036" s="3"/>
      <c r="AG3036" s="3"/>
      <c r="AH3036" s="3"/>
      <c r="AI3036" s="3"/>
      <c r="AJ3036" s="3"/>
      <c r="AK3036" s="3" t="s">
        <v>898</v>
      </c>
      <c r="AL3036" s="4">
        <v>42660</v>
      </c>
      <c r="AM3036" s="3"/>
      <c r="AN3036" s="3" t="s">
        <v>10986</v>
      </c>
    </row>
    <row r="3037" spans="1:40" x14ac:dyDescent="0.3">
      <c r="A3037" s="3">
        <v>3031</v>
      </c>
      <c r="B3037" s="3" t="str">
        <f>"1313813"</f>
        <v>1313813</v>
      </c>
      <c r="C3037" s="3">
        <v>2778</v>
      </c>
      <c r="D3037" s="3" t="s">
        <v>10987</v>
      </c>
      <c r="E3037" s="3">
        <v>20100873681</v>
      </c>
      <c r="F3037" s="3" t="s">
        <v>1241</v>
      </c>
      <c r="G3037" s="3" t="s">
        <v>1047</v>
      </c>
      <c r="H3037" s="3" t="s">
        <v>56</v>
      </c>
      <c r="I3037" s="3" t="s">
        <v>56</v>
      </c>
      <c r="J3037" s="3" t="s">
        <v>363</v>
      </c>
      <c r="K3037" s="3" t="s">
        <v>10988</v>
      </c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C3037" s="3"/>
      <c r="AD3037" s="3"/>
      <c r="AE3037" s="3"/>
      <c r="AF3037" s="3"/>
      <c r="AG3037" s="3"/>
      <c r="AH3037" s="3"/>
      <c r="AI3037" s="3"/>
      <c r="AJ3037" s="3"/>
      <c r="AK3037" s="3" t="s">
        <v>52</v>
      </c>
      <c r="AL3037" s="4">
        <v>36971</v>
      </c>
      <c r="AM3037" s="3"/>
      <c r="AN3037" s="3"/>
    </row>
    <row r="3038" spans="1:40" x14ac:dyDescent="0.3">
      <c r="A3038" s="3">
        <v>3032</v>
      </c>
      <c r="B3038" s="3" t="str">
        <f>"1313812"</f>
        <v>1313812</v>
      </c>
      <c r="C3038" s="3">
        <v>6429</v>
      </c>
      <c r="D3038" s="3" t="s">
        <v>10989</v>
      </c>
      <c r="E3038" s="3">
        <v>20100873681</v>
      </c>
      <c r="F3038" s="3" t="s">
        <v>1241</v>
      </c>
      <c r="G3038" s="3" t="s">
        <v>1047</v>
      </c>
      <c r="H3038" s="3" t="s">
        <v>56</v>
      </c>
      <c r="I3038" s="3" t="s">
        <v>56</v>
      </c>
      <c r="J3038" s="3" t="s">
        <v>715</v>
      </c>
      <c r="K3038" s="3" t="s">
        <v>10990</v>
      </c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C3038" s="3"/>
      <c r="AD3038" s="3"/>
      <c r="AE3038" s="3"/>
      <c r="AF3038" s="3"/>
      <c r="AG3038" s="3"/>
      <c r="AH3038" s="3"/>
      <c r="AI3038" s="3"/>
      <c r="AJ3038" s="3"/>
      <c r="AK3038" s="3" t="s">
        <v>52</v>
      </c>
      <c r="AL3038" s="4">
        <v>36971</v>
      </c>
      <c r="AM3038" s="3"/>
      <c r="AN3038" s="3"/>
    </row>
    <row r="3039" spans="1:40" x14ac:dyDescent="0.3">
      <c r="A3039" s="3">
        <v>3033</v>
      </c>
      <c r="B3039" s="3" t="str">
        <f>"201200008906"</f>
        <v>201200008906</v>
      </c>
      <c r="C3039" s="3">
        <v>95610</v>
      </c>
      <c r="D3039" s="3" t="s">
        <v>10991</v>
      </c>
      <c r="E3039" s="3">
        <v>10272807928</v>
      </c>
      <c r="F3039" s="3" t="s">
        <v>10992</v>
      </c>
      <c r="G3039" s="3" t="s">
        <v>10993</v>
      </c>
      <c r="H3039" s="3" t="s">
        <v>357</v>
      </c>
      <c r="I3039" s="3" t="s">
        <v>566</v>
      </c>
      <c r="J3039" s="3" t="s">
        <v>566</v>
      </c>
      <c r="K3039" s="3" t="s">
        <v>10994</v>
      </c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C3039" s="3"/>
      <c r="AD3039" s="3"/>
      <c r="AE3039" s="3"/>
      <c r="AF3039" s="3"/>
      <c r="AG3039" s="3"/>
      <c r="AH3039" s="3"/>
      <c r="AI3039" s="3"/>
      <c r="AJ3039" s="3"/>
      <c r="AK3039" s="3" t="s">
        <v>3880</v>
      </c>
      <c r="AL3039" s="4">
        <v>40932</v>
      </c>
      <c r="AM3039" s="3"/>
      <c r="AN3039" s="3" t="s">
        <v>10992</v>
      </c>
    </row>
    <row r="3040" spans="1:40" x14ac:dyDescent="0.3">
      <c r="A3040" s="3">
        <v>3034</v>
      </c>
      <c r="B3040" s="3" t="str">
        <f>"201700062306"</f>
        <v>201700062306</v>
      </c>
      <c r="C3040" s="3">
        <v>63716</v>
      </c>
      <c r="D3040" s="3" t="s">
        <v>10995</v>
      </c>
      <c r="E3040" s="3">
        <v>20100366747</v>
      </c>
      <c r="F3040" s="3" t="s">
        <v>334</v>
      </c>
      <c r="G3040" s="3" t="s">
        <v>451</v>
      </c>
      <c r="H3040" s="3" t="s">
        <v>56</v>
      </c>
      <c r="I3040" s="3" t="s">
        <v>56</v>
      </c>
      <c r="J3040" s="3" t="s">
        <v>185</v>
      </c>
      <c r="K3040" s="3" t="s">
        <v>10996</v>
      </c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C3040" s="3"/>
      <c r="AD3040" s="3"/>
      <c r="AE3040" s="3"/>
      <c r="AF3040" s="3"/>
      <c r="AG3040" s="3"/>
      <c r="AH3040" s="3"/>
      <c r="AI3040" s="3"/>
      <c r="AJ3040" s="3"/>
      <c r="AK3040" s="3" t="s">
        <v>118</v>
      </c>
      <c r="AL3040" s="4">
        <v>42863</v>
      </c>
      <c r="AM3040" s="3"/>
      <c r="AN3040" s="3" t="s">
        <v>262</v>
      </c>
    </row>
    <row r="3041" spans="1:40" x14ac:dyDescent="0.3">
      <c r="A3041" s="3">
        <v>3035</v>
      </c>
      <c r="B3041" s="3" t="str">
        <f>"1251668"</f>
        <v>1251668</v>
      </c>
      <c r="C3041" s="3">
        <v>19453</v>
      </c>
      <c r="D3041" s="3">
        <v>1251668</v>
      </c>
      <c r="E3041" s="3">
        <v>20100366747</v>
      </c>
      <c r="F3041" s="3" t="s">
        <v>258</v>
      </c>
      <c r="G3041" s="3" t="s">
        <v>1055</v>
      </c>
      <c r="H3041" s="3" t="s">
        <v>56</v>
      </c>
      <c r="I3041" s="3" t="s">
        <v>56</v>
      </c>
      <c r="J3041" s="3" t="s">
        <v>185</v>
      </c>
      <c r="K3041" s="3" t="s">
        <v>10997</v>
      </c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C3041" s="3"/>
      <c r="AD3041" s="3"/>
      <c r="AE3041" s="3"/>
      <c r="AF3041" s="3"/>
      <c r="AG3041" s="3"/>
      <c r="AH3041" s="3"/>
      <c r="AI3041" s="3"/>
      <c r="AJ3041" s="3"/>
      <c r="AK3041" s="3" t="s">
        <v>226</v>
      </c>
      <c r="AL3041" s="4">
        <v>36691</v>
      </c>
      <c r="AM3041" s="3"/>
      <c r="AN3041" s="3"/>
    </row>
    <row r="3042" spans="1:40" x14ac:dyDescent="0.3">
      <c r="A3042" s="3">
        <v>3036</v>
      </c>
      <c r="B3042" s="3" t="str">
        <f>"201600041024"</f>
        <v>201600041024</v>
      </c>
      <c r="C3042" s="3">
        <v>120496</v>
      </c>
      <c r="D3042" s="3" t="s">
        <v>10998</v>
      </c>
      <c r="E3042" s="3">
        <v>20100366747</v>
      </c>
      <c r="F3042" s="3" t="s">
        <v>258</v>
      </c>
      <c r="G3042" s="3" t="s">
        <v>451</v>
      </c>
      <c r="H3042" s="3" t="s">
        <v>56</v>
      </c>
      <c r="I3042" s="3" t="s">
        <v>56</v>
      </c>
      <c r="J3042" s="3" t="s">
        <v>185</v>
      </c>
      <c r="K3042" s="3" t="s">
        <v>10999</v>
      </c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C3042" s="3"/>
      <c r="AD3042" s="3"/>
      <c r="AE3042" s="3"/>
      <c r="AF3042" s="3"/>
      <c r="AG3042" s="3"/>
      <c r="AH3042" s="3"/>
      <c r="AI3042" s="3"/>
      <c r="AJ3042" s="3"/>
      <c r="AK3042" s="3" t="s">
        <v>10981</v>
      </c>
      <c r="AL3042" s="4">
        <v>42475</v>
      </c>
      <c r="AM3042" s="3"/>
      <c r="AN3042" s="3" t="s">
        <v>262</v>
      </c>
    </row>
    <row r="3043" spans="1:40" x14ac:dyDescent="0.3">
      <c r="A3043" s="3">
        <v>3037</v>
      </c>
      <c r="B3043" s="3" t="str">
        <f>"201400094597"</f>
        <v>201400094597</v>
      </c>
      <c r="C3043" s="3">
        <v>110153</v>
      </c>
      <c r="D3043" s="3" t="s">
        <v>11000</v>
      </c>
      <c r="E3043" s="3">
        <v>20568767153</v>
      </c>
      <c r="F3043" s="3" t="s">
        <v>4295</v>
      </c>
      <c r="G3043" s="3" t="s">
        <v>11001</v>
      </c>
      <c r="H3043" s="3" t="s">
        <v>237</v>
      </c>
      <c r="I3043" s="3" t="s">
        <v>868</v>
      </c>
      <c r="J3043" s="3" t="s">
        <v>869</v>
      </c>
      <c r="K3043" s="3" t="s">
        <v>11002</v>
      </c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C3043" s="3"/>
      <c r="AD3043" s="3"/>
      <c r="AE3043" s="3"/>
      <c r="AF3043" s="3"/>
      <c r="AG3043" s="3"/>
      <c r="AH3043" s="3"/>
      <c r="AI3043" s="3"/>
      <c r="AJ3043" s="3"/>
      <c r="AK3043" s="3" t="s">
        <v>10376</v>
      </c>
      <c r="AL3043" s="4">
        <v>41844</v>
      </c>
      <c r="AM3043" s="3"/>
      <c r="AN3043" s="3" t="s">
        <v>4298</v>
      </c>
    </row>
    <row r="3044" spans="1:40" x14ac:dyDescent="0.3">
      <c r="A3044" s="3">
        <v>3038</v>
      </c>
      <c r="B3044" s="3" t="str">
        <f>"201900164699"</f>
        <v>201900164699</v>
      </c>
      <c r="C3044" s="3">
        <v>147045</v>
      </c>
      <c r="D3044" s="3" t="s">
        <v>11003</v>
      </c>
      <c r="E3044" s="3">
        <v>10048286181</v>
      </c>
      <c r="F3044" s="3" t="s">
        <v>11004</v>
      </c>
      <c r="G3044" s="3" t="s">
        <v>11005</v>
      </c>
      <c r="H3044" s="3" t="s">
        <v>3837</v>
      </c>
      <c r="I3044" s="3" t="s">
        <v>3838</v>
      </c>
      <c r="J3044" s="3" t="s">
        <v>8720</v>
      </c>
      <c r="K3044" s="3" t="s">
        <v>11006</v>
      </c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C3044" s="3"/>
      <c r="AD3044" s="3"/>
      <c r="AE3044" s="3"/>
      <c r="AF3044" s="3"/>
      <c r="AG3044" s="3"/>
      <c r="AH3044" s="3"/>
      <c r="AI3044" s="3"/>
      <c r="AJ3044" s="3"/>
      <c r="AK3044" s="3" t="s">
        <v>1014</v>
      </c>
      <c r="AL3044" s="4">
        <v>43749</v>
      </c>
      <c r="AM3044" s="3"/>
      <c r="AN3044" s="3" t="s">
        <v>11004</v>
      </c>
    </row>
    <row r="3045" spans="1:40" ht="27.95" x14ac:dyDescent="0.3">
      <c r="A3045" s="3">
        <v>3039</v>
      </c>
      <c r="B3045" s="3" t="str">
        <f>"1398736"</f>
        <v>1398736</v>
      </c>
      <c r="C3045" s="3">
        <v>34438</v>
      </c>
      <c r="D3045" s="3" t="s">
        <v>11007</v>
      </c>
      <c r="E3045" s="3">
        <v>10090315093</v>
      </c>
      <c r="F3045" s="3" t="s">
        <v>11008</v>
      </c>
      <c r="G3045" s="3" t="s">
        <v>11009</v>
      </c>
      <c r="H3045" s="3" t="s">
        <v>56</v>
      </c>
      <c r="I3045" s="3" t="s">
        <v>56</v>
      </c>
      <c r="J3045" s="3" t="s">
        <v>481</v>
      </c>
      <c r="K3045" s="3" t="s">
        <v>11010</v>
      </c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C3045" s="3"/>
      <c r="AD3045" s="3"/>
      <c r="AE3045" s="3"/>
      <c r="AF3045" s="3"/>
      <c r="AG3045" s="3"/>
      <c r="AH3045" s="3"/>
      <c r="AI3045" s="3"/>
      <c r="AJ3045" s="3"/>
      <c r="AK3045" s="3" t="s">
        <v>583</v>
      </c>
      <c r="AL3045" s="4">
        <v>37657</v>
      </c>
      <c r="AM3045" s="3"/>
      <c r="AN3045" s="3"/>
    </row>
    <row r="3046" spans="1:40" x14ac:dyDescent="0.3">
      <c r="A3046" s="3">
        <v>3040</v>
      </c>
      <c r="B3046" s="3" t="str">
        <f>"1450960"</f>
        <v>1450960</v>
      </c>
      <c r="C3046" s="3">
        <v>37418</v>
      </c>
      <c r="D3046" s="3" t="s">
        <v>11011</v>
      </c>
      <c r="E3046" s="3">
        <v>10256833978</v>
      </c>
      <c r="F3046" s="3" t="s">
        <v>4362</v>
      </c>
      <c r="G3046" s="3" t="s">
        <v>11012</v>
      </c>
      <c r="H3046" s="3" t="s">
        <v>743</v>
      </c>
      <c r="I3046" s="3" t="s">
        <v>744</v>
      </c>
      <c r="J3046" s="3" t="s">
        <v>743</v>
      </c>
      <c r="K3046" s="3" t="s">
        <v>11013</v>
      </c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C3046" s="3"/>
      <c r="AD3046" s="3"/>
      <c r="AE3046" s="3"/>
      <c r="AF3046" s="3"/>
      <c r="AG3046" s="3"/>
      <c r="AH3046" s="3"/>
      <c r="AI3046" s="3"/>
      <c r="AJ3046" s="3"/>
      <c r="AK3046" s="3" t="s">
        <v>2978</v>
      </c>
      <c r="AL3046" s="4">
        <v>38013</v>
      </c>
      <c r="AM3046" s="3"/>
      <c r="AN3046" s="3"/>
    </row>
    <row r="3047" spans="1:40" x14ac:dyDescent="0.3">
      <c r="A3047" s="3">
        <v>3041</v>
      </c>
      <c r="B3047" s="3" t="str">
        <f>"1105662"</f>
        <v>1105662</v>
      </c>
      <c r="C3047" s="3">
        <v>6533</v>
      </c>
      <c r="D3047" s="3" t="s">
        <v>11014</v>
      </c>
      <c r="E3047" s="3">
        <v>10067961400</v>
      </c>
      <c r="F3047" s="3" t="s">
        <v>2189</v>
      </c>
      <c r="G3047" s="3" t="s">
        <v>11015</v>
      </c>
      <c r="H3047" s="3" t="s">
        <v>56</v>
      </c>
      <c r="I3047" s="3" t="s">
        <v>56</v>
      </c>
      <c r="J3047" s="3" t="s">
        <v>1339</v>
      </c>
      <c r="K3047" s="3" t="s">
        <v>11016</v>
      </c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C3047" s="3"/>
      <c r="AD3047" s="3"/>
      <c r="AE3047" s="3"/>
      <c r="AF3047" s="3"/>
      <c r="AG3047" s="3"/>
      <c r="AH3047" s="3"/>
      <c r="AI3047" s="3"/>
      <c r="AJ3047" s="3"/>
      <c r="AK3047" s="3" t="s">
        <v>65</v>
      </c>
      <c r="AL3047" s="4">
        <v>36875</v>
      </c>
      <c r="AM3047" s="3"/>
      <c r="AN3047" s="3"/>
    </row>
    <row r="3048" spans="1:40" x14ac:dyDescent="0.3">
      <c r="A3048" s="3">
        <v>3042</v>
      </c>
      <c r="B3048" s="3" t="str">
        <f>"1398739"</f>
        <v>1398739</v>
      </c>
      <c r="C3048" s="3">
        <v>34441</v>
      </c>
      <c r="D3048" s="3" t="s">
        <v>11017</v>
      </c>
      <c r="E3048" s="3">
        <v>10402969216</v>
      </c>
      <c r="F3048" s="3" t="s">
        <v>11018</v>
      </c>
      <c r="G3048" s="3" t="s">
        <v>11019</v>
      </c>
      <c r="H3048" s="3" t="s">
        <v>56</v>
      </c>
      <c r="I3048" s="3" t="s">
        <v>56</v>
      </c>
      <c r="J3048" s="3" t="s">
        <v>313</v>
      </c>
      <c r="K3048" s="3" t="s">
        <v>11020</v>
      </c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C3048" s="3"/>
      <c r="AD3048" s="3"/>
      <c r="AE3048" s="3"/>
      <c r="AF3048" s="3"/>
      <c r="AG3048" s="3"/>
      <c r="AH3048" s="3"/>
      <c r="AI3048" s="3"/>
      <c r="AJ3048" s="3"/>
      <c r="AK3048" s="3" t="s">
        <v>583</v>
      </c>
      <c r="AL3048" s="4">
        <v>37657</v>
      </c>
      <c r="AM3048" s="3"/>
      <c r="AN3048" s="3"/>
    </row>
    <row r="3049" spans="1:40" ht="27.95" x14ac:dyDescent="0.3">
      <c r="A3049" s="3">
        <v>3043</v>
      </c>
      <c r="B3049" s="3" t="str">
        <f>"201600101302"</f>
        <v>201600101302</v>
      </c>
      <c r="C3049" s="3">
        <v>82603</v>
      </c>
      <c r="D3049" s="3" t="s">
        <v>11021</v>
      </c>
      <c r="E3049" s="3">
        <v>10336680196</v>
      </c>
      <c r="F3049" s="3" t="s">
        <v>9529</v>
      </c>
      <c r="G3049" s="3" t="s">
        <v>11022</v>
      </c>
      <c r="H3049" s="3" t="s">
        <v>318</v>
      </c>
      <c r="I3049" s="3" t="s">
        <v>319</v>
      </c>
      <c r="J3049" s="3" t="s">
        <v>495</v>
      </c>
      <c r="K3049" s="3" t="s">
        <v>11023</v>
      </c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C3049" s="3"/>
      <c r="AD3049" s="3"/>
      <c r="AE3049" s="3"/>
      <c r="AF3049" s="3"/>
      <c r="AG3049" s="3"/>
      <c r="AH3049" s="3"/>
      <c r="AI3049" s="3"/>
      <c r="AJ3049" s="3"/>
      <c r="AK3049" s="3" t="s">
        <v>1679</v>
      </c>
      <c r="AL3049" s="4">
        <v>42570</v>
      </c>
      <c r="AM3049" s="3"/>
      <c r="AN3049" s="3" t="s">
        <v>11024</v>
      </c>
    </row>
    <row r="3050" spans="1:40" x14ac:dyDescent="0.3">
      <c r="A3050" s="3">
        <v>3044</v>
      </c>
      <c r="B3050" s="3" t="str">
        <f>"1111131"</f>
        <v>1111131</v>
      </c>
      <c r="C3050" s="3">
        <v>2566</v>
      </c>
      <c r="D3050" s="3">
        <v>1050228</v>
      </c>
      <c r="E3050" s="3">
        <v>10070192298</v>
      </c>
      <c r="F3050" s="3" t="s">
        <v>11025</v>
      </c>
      <c r="G3050" s="3" t="s">
        <v>11026</v>
      </c>
      <c r="H3050" s="3" t="s">
        <v>56</v>
      </c>
      <c r="I3050" s="3" t="s">
        <v>56</v>
      </c>
      <c r="J3050" s="3" t="s">
        <v>121</v>
      </c>
      <c r="K3050" s="3" t="s">
        <v>11027</v>
      </c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C3050" s="3"/>
      <c r="AD3050" s="3"/>
      <c r="AE3050" s="3"/>
      <c r="AF3050" s="3"/>
      <c r="AG3050" s="3"/>
      <c r="AH3050" s="3"/>
      <c r="AI3050" s="3"/>
      <c r="AJ3050" s="3"/>
      <c r="AK3050" s="3" t="s">
        <v>65</v>
      </c>
      <c r="AL3050" s="4">
        <v>35495</v>
      </c>
      <c r="AM3050" s="3"/>
      <c r="AN3050" s="3"/>
    </row>
    <row r="3051" spans="1:40" ht="27.95" x14ac:dyDescent="0.3">
      <c r="A3051" s="3">
        <v>3045</v>
      </c>
      <c r="B3051" s="3" t="str">
        <f>"201800195371"</f>
        <v>201800195371</v>
      </c>
      <c r="C3051" s="3">
        <v>139900</v>
      </c>
      <c r="D3051" s="3" t="s">
        <v>11028</v>
      </c>
      <c r="E3051" s="3">
        <v>10292806979</v>
      </c>
      <c r="F3051" s="3" t="s">
        <v>11029</v>
      </c>
      <c r="G3051" s="3" t="s">
        <v>11030</v>
      </c>
      <c r="H3051" s="3" t="s">
        <v>97</v>
      </c>
      <c r="I3051" s="3" t="s">
        <v>97</v>
      </c>
      <c r="J3051" s="3" t="s">
        <v>705</v>
      </c>
      <c r="K3051" s="3" t="s">
        <v>11031</v>
      </c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C3051" s="3"/>
      <c r="AD3051" s="3"/>
      <c r="AE3051" s="3"/>
      <c r="AF3051" s="3"/>
      <c r="AG3051" s="3"/>
      <c r="AH3051" s="3"/>
      <c r="AI3051" s="3"/>
      <c r="AJ3051" s="3"/>
      <c r="AK3051" s="3" t="s">
        <v>5140</v>
      </c>
      <c r="AL3051" s="4">
        <v>43447</v>
      </c>
      <c r="AM3051" s="3"/>
      <c r="AN3051" s="3" t="s">
        <v>11029</v>
      </c>
    </row>
    <row r="3052" spans="1:40" x14ac:dyDescent="0.3">
      <c r="A3052" s="3">
        <v>3046</v>
      </c>
      <c r="B3052" s="3" t="str">
        <f>"1118330"</f>
        <v>1118330</v>
      </c>
      <c r="C3052" s="3">
        <v>2724</v>
      </c>
      <c r="D3052" s="3">
        <v>1090115</v>
      </c>
      <c r="E3052" s="3">
        <v>10087769921</v>
      </c>
      <c r="F3052" s="3" t="s">
        <v>11032</v>
      </c>
      <c r="G3052" s="3" t="s">
        <v>11033</v>
      </c>
      <c r="H3052" s="3" t="s">
        <v>56</v>
      </c>
      <c r="I3052" s="3" t="s">
        <v>56</v>
      </c>
      <c r="J3052" s="3" t="s">
        <v>185</v>
      </c>
      <c r="K3052" s="3" t="s">
        <v>11034</v>
      </c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C3052" s="3"/>
      <c r="AD3052" s="3"/>
      <c r="AE3052" s="3"/>
      <c r="AF3052" s="3"/>
      <c r="AG3052" s="3"/>
      <c r="AH3052" s="3"/>
      <c r="AI3052" s="3"/>
      <c r="AJ3052" s="3"/>
      <c r="AK3052" s="3" t="s">
        <v>11035</v>
      </c>
      <c r="AL3052" s="4">
        <v>35550</v>
      </c>
      <c r="AM3052" s="3"/>
      <c r="AN3052" s="3"/>
    </row>
    <row r="3053" spans="1:40" x14ac:dyDescent="0.3">
      <c r="A3053" s="3">
        <v>3047</v>
      </c>
      <c r="B3053" s="3" t="str">
        <f>"202000093364"</f>
        <v>202000093364</v>
      </c>
      <c r="C3053" s="3">
        <v>150244</v>
      </c>
      <c r="D3053" s="3" t="s">
        <v>11036</v>
      </c>
      <c r="E3053" s="3">
        <v>20533067213</v>
      </c>
      <c r="F3053" s="3" t="s">
        <v>7410</v>
      </c>
      <c r="G3053" s="3" t="s">
        <v>11037</v>
      </c>
      <c r="H3053" s="3" t="s">
        <v>202</v>
      </c>
      <c r="I3053" s="3" t="s">
        <v>202</v>
      </c>
      <c r="J3053" s="3" t="s">
        <v>2952</v>
      </c>
      <c r="K3053" s="3" t="s">
        <v>11038</v>
      </c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C3053" s="3"/>
      <c r="AD3053" s="3"/>
      <c r="AE3053" s="3"/>
      <c r="AF3053" s="3"/>
      <c r="AG3053" s="3"/>
      <c r="AH3053" s="3"/>
      <c r="AI3053" s="3"/>
      <c r="AJ3053" s="3"/>
      <c r="AK3053" s="3" t="s">
        <v>2508</v>
      </c>
      <c r="AL3053" s="4">
        <v>44047</v>
      </c>
      <c r="AM3053" s="3"/>
      <c r="AN3053" s="3" t="s">
        <v>4063</v>
      </c>
    </row>
    <row r="3054" spans="1:40" ht="27.95" x14ac:dyDescent="0.3">
      <c r="A3054" s="3">
        <v>3048</v>
      </c>
      <c r="B3054" s="3" t="str">
        <f>"1416604"</f>
        <v>1416604</v>
      </c>
      <c r="C3054" s="3">
        <v>88867</v>
      </c>
      <c r="D3054" s="3" t="s">
        <v>11039</v>
      </c>
      <c r="E3054" s="3">
        <v>20502846206</v>
      </c>
      <c r="F3054" s="3" t="s">
        <v>1174</v>
      </c>
      <c r="G3054" s="3" t="s">
        <v>11040</v>
      </c>
      <c r="H3054" s="3" t="s">
        <v>56</v>
      </c>
      <c r="I3054" s="3" t="s">
        <v>56</v>
      </c>
      <c r="J3054" s="3" t="s">
        <v>715</v>
      </c>
      <c r="K3054" s="3" t="s">
        <v>11041</v>
      </c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C3054" s="3"/>
      <c r="AD3054" s="3"/>
      <c r="AE3054" s="3"/>
      <c r="AF3054" s="3"/>
      <c r="AG3054" s="3"/>
      <c r="AH3054" s="3"/>
      <c r="AI3054" s="3"/>
      <c r="AJ3054" s="3"/>
      <c r="AK3054" s="3" t="s">
        <v>11042</v>
      </c>
      <c r="AL3054" s="4">
        <v>40445</v>
      </c>
      <c r="AM3054" s="3"/>
      <c r="AN3054" s="3" t="s">
        <v>1177</v>
      </c>
    </row>
    <row r="3055" spans="1:40" ht="27.95" x14ac:dyDescent="0.3">
      <c r="A3055" s="3">
        <v>3049</v>
      </c>
      <c r="B3055" s="3" t="str">
        <f>"202000077682"</f>
        <v>202000077682</v>
      </c>
      <c r="C3055" s="3">
        <v>149900</v>
      </c>
      <c r="D3055" s="3" t="s">
        <v>11043</v>
      </c>
      <c r="E3055" s="3">
        <v>20404723392</v>
      </c>
      <c r="F3055" s="3" t="s">
        <v>1701</v>
      </c>
      <c r="G3055" s="3" t="s">
        <v>9549</v>
      </c>
      <c r="H3055" s="3" t="s">
        <v>89</v>
      </c>
      <c r="I3055" s="3" t="s">
        <v>89</v>
      </c>
      <c r="J3055" s="3" t="s">
        <v>90</v>
      </c>
      <c r="K3055" s="3" t="s">
        <v>11044</v>
      </c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C3055" s="3"/>
      <c r="AD3055" s="3"/>
      <c r="AE3055" s="3"/>
      <c r="AF3055" s="3"/>
      <c r="AG3055" s="3"/>
      <c r="AH3055" s="3"/>
      <c r="AI3055" s="3"/>
      <c r="AJ3055" s="3"/>
      <c r="AK3055" s="3" t="s">
        <v>4244</v>
      </c>
      <c r="AL3055" s="4">
        <v>44025</v>
      </c>
      <c r="AM3055" s="3"/>
      <c r="AN3055" s="3" t="s">
        <v>11045</v>
      </c>
    </row>
    <row r="3056" spans="1:40" x14ac:dyDescent="0.3">
      <c r="A3056" s="3">
        <v>3050</v>
      </c>
      <c r="B3056" s="3" t="str">
        <f>"1476224"</f>
        <v>1476224</v>
      </c>
      <c r="C3056" s="3">
        <v>91833</v>
      </c>
      <c r="D3056" s="3" t="s">
        <v>11046</v>
      </c>
      <c r="E3056" s="3">
        <v>10209765107</v>
      </c>
      <c r="F3056" s="3" t="s">
        <v>8809</v>
      </c>
      <c r="G3056" s="3" t="s">
        <v>11047</v>
      </c>
      <c r="H3056" s="3" t="s">
        <v>237</v>
      </c>
      <c r="I3056" s="3" t="s">
        <v>868</v>
      </c>
      <c r="J3056" s="3" t="s">
        <v>2537</v>
      </c>
      <c r="K3056" s="3" t="s">
        <v>11048</v>
      </c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C3056" s="3"/>
      <c r="AD3056" s="3"/>
      <c r="AE3056" s="3"/>
      <c r="AF3056" s="3"/>
      <c r="AG3056" s="3"/>
      <c r="AH3056" s="3"/>
      <c r="AI3056" s="3"/>
      <c r="AJ3056" s="3"/>
      <c r="AK3056" s="3" t="s">
        <v>9999</v>
      </c>
      <c r="AL3056" s="4">
        <v>40632</v>
      </c>
      <c r="AM3056" s="3"/>
      <c r="AN3056" s="3" t="s">
        <v>8809</v>
      </c>
    </row>
    <row r="3057" spans="1:40" x14ac:dyDescent="0.3">
      <c r="A3057" s="3">
        <v>3051</v>
      </c>
      <c r="B3057" s="3" t="str">
        <f>"201300138565"</f>
        <v>201300138565</v>
      </c>
      <c r="C3057" s="3">
        <v>40480</v>
      </c>
      <c r="D3057" s="3" t="s">
        <v>11049</v>
      </c>
      <c r="E3057" s="3">
        <v>20262254268</v>
      </c>
      <c r="F3057" s="3" t="s">
        <v>103</v>
      </c>
      <c r="G3057" s="3" t="s">
        <v>11050</v>
      </c>
      <c r="H3057" s="3" t="s">
        <v>56</v>
      </c>
      <c r="I3057" s="3" t="s">
        <v>56</v>
      </c>
      <c r="J3057" s="3" t="s">
        <v>105</v>
      </c>
      <c r="K3057" s="3" t="s">
        <v>11051</v>
      </c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C3057" s="3"/>
      <c r="AD3057" s="3"/>
      <c r="AE3057" s="3"/>
      <c r="AF3057" s="3"/>
      <c r="AG3057" s="3"/>
      <c r="AH3057" s="3"/>
      <c r="AI3057" s="3"/>
      <c r="AJ3057" s="3"/>
      <c r="AK3057" s="3" t="s">
        <v>3369</v>
      </c>
      <c r="AL3057" s="3" t="s">
        <v>290</v>
      </c>
      <c r="AM3057" s="3"/>
      <c r="AN3057" s="3" t="s">
        <v>11052</v>
      </c>
    </row>
    <row r="3058" spans="1:40" x14ac:dyDescent="0.3">
      <c r="A3058" s="3">
        <v>3052</v>
      </c>
      <c r="B3058" s="3" t="str">
        <f>"1426674"</f>
        <v>1426674</v>
      </c>
      <c r="C3058" s="3">
        <v>89177</v>
      </c>
      <c r="D3058" s="3" t="s">
        <v>11053</v>
      </c>
      <c r="E3058" s="3">
        <v>20525521509</v>
      </c>
      <c r="F3058" s="3" t="s">
        <v>189</v>
      </c>
      <c r="G3058" s="3" t="s">
        <v>190</v>
      </c>
      <c r="H3058" s="3" t="s">
        <v>50</v>
      </c>
      <c r="I3058" s="3" t="s">
        <v>50</v>
      </c>
      <c r="J3058" s="3" t="s">
        <v>98</v>
      </c>
      <c r="K3058" s="3" t="s">
        <v>11054</v>
      </c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C3058" s="3"/>
      <c r="AD3058" s="3"/>
      <c r="AE3058" s="3"/>
      <c r="AF3058" s="3"/>
      <c r="AG3058" s="3"/>
      <c r="AH3058" s="3"/>
      <c r="AI3058" s="3"/>
      <c r="AJ3058" s="3"/>
      <c r="AK3058" s="3" t="s">
        <v>306</v>
      </c>
      <c r="AL3058" s="4">
        <v>40465</v>
      </c>
      <c r="AM3058" s="3"/>
      <c r="AN3058" s="3" t="s">
        <v>885</v>
      </c>
    </row>
    <row r="3059" spans="1:40" x14ac:dyDescent="0.3">
      <c r="A3059" s="3">
        <v>3053</v>
      </c>
      <c r="B3059" s="3" t="str">
        <f>"1331782"</f>
        <v>1331782</v>
      </c>
      <c r="C3059" s="3">
        <v>19480</v>
      </c>
      <c r="D3059" s="3" t="s">
        <v>11055</v>
      </c>
      <c r="E3059" s="3">
        <v>10038689580</v>
      </c>
      <c r="F3059" s="3" t="s">
        <v>11056</v>
      </c>
      <c r="G3059" s="3" t="s">
        <v>11057</v>
      </c>
      <c r="H3059" s="3" t="s">
        <v>50</v>
      </c>
      <c r="I3059" s="3" t="s">
        <v>638</v>
      </c>
      <c r="J3059" s="3" t="s">
        <v>774</v>
      </c>
      <c r="K3059" s="3" t="s">
        <v>11058</v>
      </c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C3059" s="3"/>
      <c r="AD3059" s="3"/>
      <c r="AE3059" s="3"/>
      <c r="AF3059" s="3"/>
      <c r="AG3059" s="3"/>
      <c r="AH3059" s="3"/>
      <c r="AI3059" s="3"/>
      <c r="AJ3059" s="3"/>
      <c r="AK3059" s="3" t="s">
        <v>157</v>
      </c>
      <c r="AL3059" s="4">
        <v>37085</v>
      </c>
      <c r="AM3059" s="3"/>
      <c r="AN3059" s="3"/>
    </row>
    <row r="3060" spans="1:40" x14ac:dyDescent="0.3">
      <c r="A3060" s="3">
        <v>3054</v>
      </c>
      <c r="B3060" s="3" t="str">
        <f>"1111132"</f>
        <v>1111132</v>
      </c>
      <c r="C3060" s="3">
        <v>2396</v>
      </c>
      <c r="D3060" s="3">
        <v>990003</v>
      </c>
      <c r="E3060" s="3">
        <v>10070192298</v>
      </c>
      <c r="F3060" s="3" t="s">
        <v>11025</v>
      </c>
      <c r="G3060" s="3" t="s">
        <v>11026</v>
      </c>
      <c r="H3060" s="3" t="s">
        <v>56</v>
      </c>
      <c r="I3060" s="3" t="s">
        <v>56</v>
      </c>
      <c r="J3060" s="3" t="s">
        <v>121</v>
      </c>
      <c r="K3060" s="3" t="s">
        <v>11059</v>
      </c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C3060" s="3"/>
      <c r="AD3060" s="3"/>
      <c r="AE3060" s="3"/>
      <c r="AF3060" s="3"/>
      <c r="AG3060" s="3"/>
      <c r="AH3060" s="3"/>
      <c r="AI3060" s="3"/>
      <c r="AJ3060" s="3"/>
      <c r="AK3060" s="3" t="s">
        <v>65</v>
      </c>
      <c r="AL3060" s="4">
        <v>35495</v>
      </c>
      <c r="AM3060" s="3"/>
      <c r="AN3060" s="3"/>
    </row>
    <row r="3061" spans="1:40" ht="27.95" x14ac:dyDescent="0.3">
      <c r="A3061" s="3">
        <v>3055</v>
      </c>
      <c r="B3061" s="3" t="str">
        <f>"1111133"</f>
        <v>1111133</v>
      </c>
      <c r="C3061" s="3">
        <v>6516</v>
      </c>
      <c r="D3061" s="3">
        <v>1004656</v>
      </c>
      <c r="E3061" s="3">
        <v>10070267735</v>
      </c>
      <c r="F3061" s="3" t="s">
        <v>11060</v>
      </c>
      <c r="G3061" s="3" t="s">
        <v>11061</v>
      </c>
      <c r="H3061" s="3" t="s">
        <v>56</v>
      </c>
      <c r="I3061" s="3" t="s">
        <v>56</v>
      </c>
      <c r="J3061" s="3" t="s">
        <v>121</v>
      </c>
      <c r="K3061" s="3" t="s">
        <v>11062</v>
      </c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C3061" s="3"/>
      <c r="AD3061" s="3"/>
      <c r="AE3061" s="3"/>
      <c r="AF3061" s="3"/>
      <c r="AG3061" s="3"/>
      <c r="AH3061" s="3"/>
      <c r="AI3061" s="3"/>
      <c r="AJ3061" s="3"/>
      <c r="AK3061" s="3" t="s">
        <v>966</v>
      </c>
      <c r="AL3061" s="4">
        <v>35495</v>
      </c>
      <c r="AM3061" s="3"/>
      <c r="AN3061" s="3"/>
    </row>
    <row r="3062" spans="1:40" ht="27.95" x14ac:dyDescent="0.3">
      <c r="A3062" s="3">
        <v>3056</v>
      </c>
      <c r="B3062" s="3" t="str">
        <f>"201700114068"</f>
        <v>201700114068</v>
      </c>
      <c r="C3062" s="3">
        <v>130618</v>
      </c>
      <c r="D3062" s="3" t="s">
        <v>11063</v>
      </c>
      <c r="E3062" s="3">
        <v>20525924026</v>
      </c>
      <c r="F3062" s="3" t="s">
        <v>6917</v>
      </c>
      <c r="G3062" s="3" t="s">
        <v>10966</v>
      </c>
      <c r="H3062" s="3" t="s">
        <v>50</v>
      </c>
      <c r="I3062" s="3" t="s">
        <v>50</v>
      </c>
      <c r="J3062" s="3" t="s">
        <v>2274</v>
      </c>
      <c r="K3062" s="3" t="s">
        <v>11064</v>
      </c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C3062" s="3"/>
      <c r="AD3062" s="3"/>
      <c r="AE3062" s="3"/>
      <c r="AF3062" s="3"/>
      <c r="AG3062" s="3"/>
      <c r="AH3062" s="3"/>
      <c r="AI3062" s="3"/>
      <c r="AJ3062" s="3"/>
      <c r="AK3062" s="3" t="s">
        <v>8598</v>
      </c>
      <c r="AL3062" s="4">
        <v>42940</v>
      </c>
      <c r="AM3062" s="3"/>
      <c r="AN3062" s="3" t="s">
        <v>10968</v>
      </c>
    </row>
    <row r="3063" spans="1:40" x14ac:dyDescent="0.3">
      <c r="A3063" s="3">
        <v>3057</v>
      </c>
      <c r="B3063" s="3" t="str">
        <f>"201200198167"</f>
        <v>201200198167</v>
      </c>
      <c r="C3063" s="3">
        <v>39684</v>
      </c>
      <c r="D3063" s="3" t="s">
        <v>11065</v>
      </c>
      <c r="E3063" s="3">
        <v>20455418519</v>
      </c>
      <c r="F3063" s="3" t="s">
        <v>6510</v>
      </c>
      <c r="G3063" s="3" t="s">
        <v>11066</v>
      </c>
      <c r="H3063" s="3" t="s">
        <v>97</v>
      </c>
      <c r="I3063" s="3" t="s">
        <v>97</v>
      </c>
      <c r="J3063" s="3" t="s">
        <v>6512</v>
      </c>
      <c r="K3063" s="3" t="s">
        <v>11067</v>
      </c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C3063" s="3"/>
      <c r="AD3063" s="3"/>
      <c r="AE3063" s="3"/>
      <c r="AF3063" s="3"/>
      <c r="AG3063" s="3"/>
      <c r="AH3063" s="3"/>
      <c r="AI3063" s="3"/>
      <c r="AJ3063" s="3"/>
      <c r="AK3063" s="3" t="s">
        <v>574</v>
      </c>
      <c r="AL3063" s="4">
        <v>41226</v>
      </c>
      <c r="AM3063" s="3"/>
      <c r="AN3063" s="3" t="s">
        <v>11068</v>
      </c>
    </row>
    <row r="3064" spans="1:40" x14ac:dyDescent="0.3">
      <c r="A3064" s="3">
        <v>3058</v>
      </c>
      <c r="B3064" s="3" t="str">
        <f>"1398728"</f>
        <v>1398728</v>
      </c>
      <c r="C3064" s="3">
        <v>34437</v>
      </c>
      <c r="D3064" s="3" t="s">
        <v>11069</v>
      </c>
      <c r="E3064" s="3">
        <v>10087310421</v>
      </c>
      <c r="F3064" s="3" t="s">
        <v>11070</v>
      </c>
      <c r="G3064" s="3" t="s">
        <v>11071</v>
      </c>
      <c r="H3064" s="3" t="s">
        <v>75</v>
      </c>
      <c r="I3064" s="3" t="s">
        <v>75</v>
      </c>
      <c r="J3064" s="3" t="s">
        <v>76</v>
      </c>
      <c r="K3064" s="3" t="s">
        <v>11072</v>
      </c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C3064" s="3"/>
      <c r="AD3064" s="3"/>
      <c r="AE3064" s="3"/>
      <c r="AF3064" s="3"/>
      <c r="AG3064" s="3"/>
      <c r="AH3064" s="3"/>
      <c r="AI3064" s="3"/>
      <c r="AJ3064" s="3"/>
      <c r="AK3064" s="3" t="s">
        <v>583</v>
      </c>
      <c r="AL3064" s="4">
        <v>37657</v>
      </c>
      <c r="AM3064" s="3"/>
      <c r="AN3064" s="3"/>
    </row>
    <row r="3065" spans="1:40" x14ac:dyDescent="0.3">
      <c r="A3065" s="3">
        <v>3059</v>
      </c>
      <c r="B3065" s="3" t="str">
        <f>"1255735"</f>
        <v>1255735</v>
      </c>
      <c r="C3065" s="3">
        <v>16424</v>
      </c>
      <c r="D3065" s="3">
        <v>1255735</v>
      </c>
      <c r="E3065" s="3">
        <v>10270414201</v>
      </c>
      <c r="F3065" s="3" t="s">
        <v>11073</v>
      </c>
      <c r="G3065" s="3" t="s">
        <v>11074</v>
      </c>
      <c r="H3065" s="3" t="s">
        <v>357</v>
      </c>
      <c r="I3065" s="3" t="s">
        <v>5540</v>
      </c>
      <c r="J3065" s="3" t="s">
        <v>5540</v>
      </c>
      <c r="K3065" s="3" t="s">
        <v>11075</v>
      </c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C3065" s="3"/>
      <c r="AD3065" s="3"/>
      <c r="AE3065" s="3"/>
      <c r="AF3065" s="3"/>
      <c r="AG3065" s="3"/>
      <c r="AH3065" s="3"/>
      <c r="AI3065" s="3"/>
      <c r="AJ3065" s="3"/>
      <c r="AK3065" s="3" t="s">
        <v>2587</v>
      </c>
      <c r="AL3065" s="4">
        <v>36444</v>
      </c>
      <c r="AM3065" s="3"/>
      <c r="AN3065" s="3"/>
    </row>
    <row r="3066" spans="1:40" x14ac:dyDescent="0.3">
      <c r="A3066" s="3">
        <v>3060</v>
      </c>
      <c r="B3066" s="3" t="str">
        <f>"1273362"</f>
        <v>1273362</v>
      </c>
      <c r="C3066" s="3">
        <v>18154</v>
      </c>
      <c r="D3066" s="3" t="s">
        <v>11076</v>
      </c>
      <c r="E3066" s="3">
        <v>20115638646</v>
      </c>
      <c r="F3066" s="3" t="s">
        <v>1105</v>
      </c>
      <c r="G3066" s="3" t="s">
        <v>1106</v>
      </c>
      <c r="H3066" s="3" t="s">
        <v>271</v>
      </c>
      <c r="I3066" s="3" t="s">
        <v>272</v>
      </c>
      <c r="J3066" s="3" t="s">
        <v>272</v>
      </c>
      <c r="K3066" s="3" t="s">
        <v>11077</v>
      </c>
      <c r="L3066" s="3" t="s">
        <v>11078</v>
      </c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C3066" s="3"/>
      <c r="AD3066" s="3"/>
      <c r="AE3066" s="3"/>
      <c r="AF3066" s="3"/>
      <c r="AG3066" s="3"/>
      <c r="AH3066" s="3"/>
      <c r="AI3066" s="3"/>
      <c r="AJ3066" s="3"/>
      <c r="AK3066" s="3" t="s">
        <v>11079</v>
      </c>
      <c r="AL3066" s="4">
        <v>36545</v>
      </c>
      <c r="AM3066" s="3"/>
      <c r="AN3066" s="3"/>
    </row>
    <row r="3067" spans="1:40" x14ac:dyDescent="0.3">
      <c r="A3067" s="3">
        <v>3061</v>
      </c>
      <c r="B3067" s="3" t="str">
        <f>"1652976"</f>
        <v>1652976</v>
      </c>
      <c r="C3067" s="3">
        <v>39910</v>
      </c>
      <c r="D3067" s="3" t="s">
        <v>11080</v>
      </c>
      <c r="E3067" s="3">
        <v>10167020483</v>
      </c>
      <c r="F3067" s="3" t="s">
        <v>11081</v>
      </c>
      <c r="G3067" s="3" t="s">
        <v>11082</v>
      </c>
      <c r="H3067" s="3" t="s">
        <v>50</v>
      </c>
      <c r="I3067" s="3" t="s">
        <v>50</v>
      </c>
      <c r="J3067" s="3" t="s">
        <v>50</v>
      </c>
      <c r="K3067" s="3" t="s">
        <v>11083</v>
      </c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C3067" s="3"/>
      <c r="AD3067" s="3"/>
      <c r="AE3067" s="3"/>
      <c r="AF3067" s="3"/>
      <c r="AG3067" s="3"/>
      <c r="AH3067" s="3"/>
      <c r="AI3067" s="3"/>
      <c r="AJ3067" s="3"/>
      <c r="AK3067" s="3" t="s">
        <v>546</v>
      </c>
      <c r="AL3067" s="4">
        <v>39038</v>
      </c>
      <c r="AM3067" s="3"/>
      <c r="AN3067" s="3"/>
    </row>
    <row r="3068" spans="1:40" x14ac:dyDescent="0.3">
      <c r="A3068" s="3">
        <v>3062</v>
      </c>
      <c r="B3068" s="3" t="str">
        <f>"1529218"</f>
        <v>1529218</v>
      </c>
      <c r="C3068" s="3">
        <v>37918</v>
      </c>
      <c r="D3068" s="3" t="s">
        <v>11084</v>
      </c>
      <c r="E3068" s="3">
        <v>10023893229</v>
      </c>
      <c r="F3068" s="3" t="s">
        <v>11085</v>
      </c>
      <c r="G3068" s="3" t="s">
        <v>11086</v>
      </c>
      <c r="H3068" s="3" t="s">
        <v>222</v>
      </c>
      <c r="I3068" s="3" t="s">
        <v>223</v>
      </c>
      <c r="J3068" s="3" t="s">
        <v>224</v>
      </c>
      <c r="K3068" s="3" t="s">
        <v>11087</v>
      </c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C3068" s="3"/>
      <c r="AD3068" s="3"/>
      <c r="AE3068" s="3"/>
      <c r="AF3068" s="3"/>
      <c r="AG3068" s="3"/>
      <c r="AH3068" s="3"/>
      <c r="AI3068" s="3"/>
      <c r="AJ3068" s="3"/>
      <c r="AK3068" s="3" t="s">
        <v>574</v>
      </c>
      <c r="AL3068" s="4">
        <v>38300</v>
      </c>
      <c r="AM3068" s="3"/>
      <c r="AN3068" s="3"/>
    </row>
    <row r="3069" spans="1:40" x14ac:dyDescent="0.3">
      <c r="A3069" s="3">
        <v>3063</v>
      </c>
      <c r="B3069" s="3" t="str">
        <f>"1974959"</f>
        <v>1974959</v>
      </c>
      <c r="C3069" s="3">
        <v>86098</v>
      </c>
      <c r="D3069" s="3" t="s">
        <v>11088</v>
      </c>
      <c r="E3069" s="3">
        <v>20507840613</v>
      </c>
      <c r="F3069" s="3" t="s">
        <v>298</v>
      </c>
      <c r="G3069" s="3" t="s">
        <v>55</v>
      </c>
      <c r="H3069" s="3" t="s">
        <v>56</v>
      </c>
      <c r="I3069" s="3" t="s">
        <v>56</v>
      </c>
      <c r="J3069" s="3" t="s">
        <v>57</v>
      </c>
      <c r="K3069" s="3" t="s">
        <v>11089</v>
      </c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C3069" s="3"/>
      <c r="AD3069" s="3"/>
      <c r="AE3069" s="3"/>
      <c r="AF3069" s="3"/>
      <c r="AG3069" s="3"/>
      <c r="AH3069" s="3"/>
      <c r="AI3069" s="3"/>
      <c r="AJ3069" s="3"/>
      <c r="AK3069" s="3" t="s">
        <v>8455</v>
      </c>
      <c r="AL3069" s="4">
        <v>40262</v>
      </c>
      <c r="AM3069" s="3"/>
      <c r="AN3069" s="3"/>
    </row>
    <row r="3070" spans="1:40" x14ac:dyDescent="0.3">
      <c r="A3070" s="3">
        <v>3064</v>
      </c>
      <c r="B3070" s="3" t="str">
        <f>"201900171823"</f>
        <v>201900171823</v>
      </c>
      <c r="C3070" s="3">
        <v>147276</v>
      </c>
      <c r="D3070" s="3" t="s">
        <v>11090</v>
      </c>
      <c r="E3070" s="3">
        <v>10106266447</v>
      </c>
      <c r="F3070" s="3" t="s">
        <v>11091</v>
      </c>
      <c r="G3070" s="3" t="s">
        <v>11092</v>
      </c>
      <c r="H3070" s="3" t="s">
        <v>357</v>
      </c>
      <c r="I3070" s="3" t="s">
        <v>8249</v>
      </c>
      <c r="J3070" s="3" t="s">
        <v>8249</v>
      </c>
      <c r="K3070" s="3" t="s">
        <v>11093</v>
      </c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C3070" s="3"/>
      <c r="AD3070" s="3"/>
      <c r="AE3070" s="3"/>
      <c r="AF3070" s="3"/>
      <c r="AG3070" s="3"/>
      <c r="AH3070" s="3"/>
      <c r="AI3070" s="3"/>
      <c r="AJ3070" s="3"/>
      <c r="AK3070" s="3" t="s">
        <v>11094</v>
      </c>
      <c r="AL3070" s="4">
        <v>43761</v>
      </c>
      <c r="AM3070" s="3"/>
      <c r="AN3070" s="3" t="s">
        <v>11091</v>
      </c>
    </row>
    <row r="3071" spans="1:40" x14ac:dyDescent="0.3">
      <c r="A3071" s="3">
        <v>3065</v>
      </c>
      <c r="B3071" s="3" t="str">
        <f>"201700155488"</f>
        <v>201700155488</v>
      </c>
      <c r="C3071" s="3">
        <v>109718</v>
      </c>
      <c r="D3071" s="3" t="s">
        <v>11095</v>
      </c>
      <c r="E3071" s="3">
        <v>20602420176</v>
      </c>
      <c r="F3071" s="3" t="s">
        <v>1765</v>
      </c>
      <c r="G3071" s="3" t="s">
        <v>11096</v>
      </c>
      <c r="H3071" s="3" t="s">
        <v>318</v>
      </c>
      <c r="I3071" s="3" t="s">
        <v>319</v>
      </c>
      <c r="J3071" s="3" t="s">
        <v>495</v>
      </c>
      <c r="K3071" s="3" t="s">
        <v>11097</v>
      </c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C3071" s="3"/>
      <c r="AD3071" s="3"/>
      <c r="AE3071" s="3"/>
      <c r="AF3071" s="3"/>
      <c r="AG3071" s="3"/>
      <c r="AH3071" s="3"/>
      <c r="AI3071" s="3"/>
      <c r="AJ3071" s="3"/>
      <c r="AK3071" s="3" t="s">
        <v>11098</v>
      </c>
      <c r="AL3071" s="4">
        <v>43013</v>
      </c>
      <c r="AM3071" s="3"/>
      <c r="AN3071" s="3" t="s">
        <v>1081</v>
      </c>
    </row>
    <row r="3072" spans="1:40" x14ac:dyDescent="0.3">
      <c r="A3072" s="3">
        <v>3066</v>
      </c>
      <c r="B3072" s="3" t="str">
        <f>"1424568"</f>
        <v>1424568</v>
      </c>
      <c r="C3072" s="3">
        <v>35214</v>
      </c>
      <c r="D3072" s="3" t="s">
        <v>11099</v>
      </c>
      <c r="E3072" s="3">
        <v>10095991225</v>
      </c>
      <c r="F3072" s="3" t="s">
        <v>11100</v>
      </c>
      <c r="G3072" s="3" t="s">
        <v>11101</v>
      </c>
      <c r="H3072" s="3" t="s">
        <v>56</v>
      </c>
      <c r="I3072" s="3" t="s">
        <v>56</v>
      </c>
      <c r="J3072" s="3" t="s">
        <v>1677</v>
      </c>
      <c r="K3072" s="3" t="s">
        <v>11102</v>
      </c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C3072" s="3"/>
      <c r="AD3072" s="3"/>
      <c r="AE3072" s="3"/>
      <c r="AF3072" s="3"/>
      <c r="AG3072" s="3"/>
      <c r="AH3072" s="3"/>
      <c r="AI3072" s="3"/>
      <c r="AJ3072" s="3"/>
      <c r="AK3072" s="3" t="s">
        <v>906</v>
      </c>
      <c r="AL3072" s="4">
        <v>37853</v>
      </c>
      <c r="AM3072" s="3"/>
      <c r="AN3072" s="3"/>
    </row>
    <row r="3073" spans="1:40" ht="27.95" x14ac:dyDescent="0.3">
      <c r="A3073" s="3">
        <v>3067</v>
      </c>
      <c r="B3073" s="3" t="str">
        <f>"201600013892"</f>
        <v>201600013892</v>
      </c>
      <c r="C3073" s="3">
        <v>119706</v>
      </c>
      <c r="D3073" s="3" t="s">
        <v>11103</v>
      </c>
      <c r="E3073" s="3">
        <v>10297318930</v>
      </c>
      <c r="F3073" s="3" t="s">
        <v>11104</v>
      </c>
      <c r="G3073" s="3" t="s">
        <v>11105</v>
      </c>
      <c r="H3073" s="3" t="s">
        <v>222</v>
      </c>
      <c r="I3073" s="3" t="s">
        <v>223</v>
      </c>
      <c r="J3073" s="3" t="s">
        <v>11106</v>
      </c>
      <c r="K3073" s="3" t="s">
        <v>11107</v>
      </c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C3073" s="3"/>
      <c r="AD3073" s="3"/>
      <c r="AE3073" s="3"/>
      <c r="AF3073" s="3"/>
      <c r="AG3073" s="3"/>
      <c r="AH3073" s="3"/>
      <c r="AI3073" s="3"/>
      <c r="AJ3073" s="3"/>
      <c r="AK3073" s="3" t="s">
        <v>906</v>
      </c>
      <c r="AL3073" s="4">
        <v>42419</v>
      </c>
      <c r="AM3073" s="3"/>
      <c r="AN3073" s="3" t="s">
        <v>11104</v>
      </c>
    </row>
    <row r="3074" spans="1:40" x14ac:dyDescent="0.3">
      <c r="A3074" s="3">
        <v>3068</v>
      </c>
      <c r="B3074" s="3" t="str">
        <f>"201900041964"</f>
        <v>201900041964</v>
      </c>
      <c r="C3074" s="3">
        <v>141944</v>
      </c>
      <c r="D3074" s="3" t="s">
        <v>11108</v>
      </c>
      <c r="E3074" s="3">
        <v>20532600805</v>
      </c>
      <c r="F3074" s="3" t="s">
        <v>11109</v>
      </c>
      <c r="G3074" s="3" t="s">
        <v>11110</v>
      </c>
      <c r="H3074" s="3" t="s">
        <v>743</v>
      </c>
      <c r="I3074" s="3" t="s">
        <v>1031</v>
      </c>
      <c r="J3074" s="3" t="s">
        <v>1031</v>
      </c>
      <c r="K3074" s="3" t="s">
        <v>11111</v>
      </c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C3074" s="3"/>
      <c r="AD3074" s="3"/>
      <c r="AE3074" s="3"/>
      <c r="AF3074" s="3"/>
      <c r="AG3074" s="3"/>
      <c r="AH3074" s="3"/>
      <c r="AI3074" s="3"/>
      <c r="AJ3074" s="3"/>
      <c r="AK3074" s="3" t="s">
        <v>1573</v>
      </c>
      <c r="AL3074" s="4">
        <v>43539</v>
      </c>
      <c r="AM3074" s="3"/>
      <c r="AN3074" s="3" t="s">
        <v>1033</v>
      </c>
    </row>
    <row r="3075" spans="1:40" x14ac:dyDescent="0.3">
      <c r="A3075" s="3">
        <v>3069</v>
      </c>
      <c r="B3075" s="3" t="str">
        <f>"201700003617"</f>
        <v>201700003617</v>
      </c>
      <c r="C3075" s="3">
        <v>125136</v>
      </c>
      <c r="D3075" s="3" t="s">
        <v>11112</v>
      </c>
      <c r="E3075" s="3">
        <v>20533056521</v>
      </c>
      <c r="F3075" s="3" t="s">
        <v>11113</v>
      </c>
      <c r="G3075" s="3" t="s">
        <v>11114</v>
      </c>
      <c r="H3075" s="3" t="s">
        <v>202</v>
      </c>
      <c r="I3075" s="3" t="s">
        <v>202</v>
      </c>
      <c r="J3075" s="3" t="s">
        <v>612</v>
      </c>
      <c r="K3075" s="3" t="s">
        <v>11115</v>
      </c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C3075" s="3"/>
      <c r="AD3075" s="3"/>
      <c r="AE3075" s="3"/>
      <c r="AF3075" s="3"/>
      <c r="AG3075" s="3"/>
      <c r="AH3075" s="3"/>
      <c r="AI3075" s="3"/>
      <c r="AJ3075" s="3"/>
      <c r="AK3075" s="3" t="s">
        <v>2508</v>
      </c>
      <c r="AL3075" s="4">
        <v>42747</v>
      </c>
      <c r="AM3075" s="3"/>
      <c r="AN3075" s="3" t="s">
        <v>11116</v>
      </c>
    </row>
    <row r="3076" spans="1:40" x14ac:dyDescent="0.3">
      <c r="A3076" s="3">
        <v>3070</v>
      </c>
      <c r="B3076" s="3" t="str">
        <f>"1398714"</f>
        <v>1398714</v>
      </c>
      <c r="C3076" s="3">
        <v>34432</v>
      </c>
      <c r="D3076" s="3" t="s">
        <v>11117</v>
      </c>
      <c r="E3076" s="3">
        <v>10087498234</v>
      </c>
      <c r="F3076" s="3" t="s">
        <v>11118</v>
      </c>
      <c r="G3076" s="3" t="s">
        <v>11119</v>
      </c>
      <c r="H3076" s="3" t="s">
        <v>56</v>
      </c>
      <c r="I3076" s="3" t="s">
        <v>56</v>
      </c>
      <c r="J3076" s="3" t="s">
        <v>121</v>
      </c>
      <c r="K3076" s="3" t="s">
        <v>11120</v>
      </c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C3076" s="3"/>
      <c r="AD3076" s="3"/>
      <c r="AE3076" s="3"/>
      <c r="AF3076" s="3"/>
      <c r="AG3076" s="3"/>
      <c r="AH3076" s="3"/>
      <c r="AI3076" s="3"/>
      <c r="AJ3076" s="3"/>
      <c r="AK3076" s="3" t="s">
        <v>583</v>
      </c>
      <c r="AL3076" s="4">
        <v>37657</v>
      </c>
      <c r="AM3076" s="3"/>
      <c r="AN3076" s="3"/>
    </row>
    <row r="3077" spans="1:40" ht="27.95" x14ac:dyDescent="0.3">
      <c r="A3077" s="3">
        <v>3071</v>
      </c>
      <c r="B3077" s="3" t="str">
        <f>"1450034"</f>
        <v>1450034</v>
      </c>
      <c r="C3077" s="3">
        <v>34283</v>
      </c>
      <c r="D3077" s="3" t="s">
        <v>11121</v>
      </c>
      <c r="E3077" s="3">
        <v>10296954077</v>
      </c>
      <c r="F3077" s="3" t="s">
        <v>1131</v>
      </c>
      <c r="G3077" s="3" t="s">
        <v>11122</v>
      </c>
      <c r="H3077" s="3" t="s">
        <v>97</v>
      </c>
      <c r="I3077" s="3" t="s">
        <v>97</v>
      </c>
      <c r="J3077" s="3" t="s">
        <v>254</v>
      </c>
      <c r="K3077" s="3" t="s">
        <v>11123</v>
      </c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C3077" s="3"/>
      <c r="AD3077" s="3"/>
      <c r="AE3077" s="3"/>
      <c r="AF3077" s="3"/>
      <c r="AG3077" s="3"/>
      <c r="AH3077" s="3"/>
      <c r="AI3077" s="3"/>
      <c r="AJ3077" s="3"/>
      <c r="AK3077" s="3" t="s">
        <v>187</v>
      </c>
      <c r="AL3077" s="4">
        <v>37978</v>
      </c>
      <c r="AM3077" s="3"/>
      <c r="AN3077" s="3"/>
    </row>
    <row r="3078" spans="1:40" x14ac:dyDescent="0.3">
      <c r="A3078" s="3">
        <v>3072</v>
      </c>
      <c r="B3078" s="3" t="str">
        <f>"1449514"</f>
        <v>1449514</v>
      </c>
      <c r="C3078" s="3">
        <v>90098</v>
      </c>
      <c r="D3078" s="3" t="s">
        <v>11124</v>
      </c>
      <c r="E3078" s="3">
        <v>20512439196</v>
      </c>
      <c r="F3078" s="3" t="s">
        <v>436</v>
      </c>
      <c r="G3078" s="3" t="s">
        <v>3291</v>
      </c>
      <c r="H3078" s="3" t="s">
        <v>56</v>
      </c>
      <c r="I3078" s="3" t="s">
        <v>56</v>
      </c>
      <c r="J3078" s="3" t="s">
        <v>56</v>
      </c>
      <c r="K3078" s="3" t="s">
        <v>11125</v>
      </c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C3078" s="3"/>
      <c r="AD3078" s="3"/>
      <c r="AE3078" s="3"/>
      <c r="AF3078" s="3"/>
      <c r="AG3078" s="3"/>
      <c r="AH3078" s="3"/>
      <c r="AI3078" s="3"/>
      <c r="AJ3078" s="3"/>
      <c r="AK3078" s="3" t="s">
        <v>10427</v>
      </c>
      <c r="AL3078" s="4">
        <v>40511</v>
      </c>
      <c r="AM3078" s="3"/>
      <c r="AN3078" s="3" t="s">
        <v>6876</v>
      </c>
    </row>
    <row r="3079" spans="1:40" x14ac:dyDescent="0.3">
      <c r="A3079" s="3">
        <v>3073</v>
      </c>
      <c r="B3079" s="3" t="str">
        <f>"1120561"</f>
        <v>1120561</v>
      </c>
      <c r="C3079" s="3">
        <v>2445</v>
      </c>
      <c r="D3079" s="3">
        <v>991660</v>
      </c>
      <c r="E3079" s="3">
        <v>20100873681</v>
      </c>
      <c r="F3079" s="3" t="s">
        <v>1241</v>
      </c>
      <c r="G3079" s="3" t="s">
        <v>1047</v>
      </c>
      <c r="H3079" s="3" t="s">
        <v>56</v>
      </c>
      <c r="I3079" s="3" t="s">
        <v>56</v>
      </c>
      <c r="J3079" s="3" t="s">
        <v>715</v>
      </c>
      <c r="K3079" s="3" t="s">
        <v>11126</v>
      </c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C3079" s="3"/>
      <c r="AD3079" s="3"/>
      <c r="AE3079" s="3"/>
      <c r="AF3079" s="3"/>
      <c r="AG3079" s="3"/>
      <c r="AH3079" s="3"/>
      <c r="AI3079" s="3"/>
      <c r="AJ3079" s="3"/>
      <c r="AK3079" s="3" t="s">
        <v>946</v>
      </c>
      <c r="AL3079" s="4">
        <v>35550</v>
      </c>
      <c r="AM3079" s="3"/>
      <c r="AN3079" s="3"/>
    </row>
    <row r="3080" spans="1:40" x14ac:dyDescent="0.3">
      <c r="A3080" s="3">
        <v>3074</v>
      </c>
      <c r="B3080" s="3" t="str">
        <f>"1449513"</f>
        <v>1449513</v>
      </c>
      <c r="C3080" s="3">
        <v>90069</v>
      </c>
      <c r="D3080" s="3" t="s">
        <v>11127</v>
      </c>
      <c r="E3080" s="3">
        <v>20512439196</v>
      </c>
      <c r="F3080" s="3" t="s">
        <v>436</v>
      </c>
      <c r="G3080" s="3" t="s">
        <v>11128</v>
      </c>
      <c r="H3080" s="3" t="s">
        <v>56</v>
      </c>
      <c r="I3080" s="3" t="s">
        <v>56</v>
      </c>
      <c r="J3080" s="3" t="s">
        <v>56</v>
      </c>
      <c r="K3080" s="3" t="s">
        <v>11129</v>
      </c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C3080" s="3"/>
      <c r="AD3080" s="3"/>
      <c r="AE3080" s="3"/>
      <c r="AF3080" s="3"/>
      <c r="AG3080" s="3"/>
      <c r="AH3080" s="3"/>
      <c r="AI3080" s="3"/>
      <c r="AJ3080" s="3"/>
      <c r="AK3080" s="3" t="s">
        <v>1812</v>
      </c>
      <c r="AL3080" s="4">
        <v>40511</v>
      </c>
      <c r="AM3080" s="3"/>
      <c r="AN3080" s="3" t="s">
        <v>6876</v>
      </c>
    </row>
  </sheetData>
  <mergeCells count="1">
    <mergeCell ref="A2:AN2"/>
  </mergeCells>
  <pageMargins left="0.75" right="0.75" top="1" bottom="1" header="0.5" footer="0.5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TransporteGLPenCilindros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2020-10-29T21:30:47Z</dcterms:created>
  <dcterms:modified xsi:type="dcterms:W3CDTF">2020-10-29T21:44:16Z</dcterms:modified>
</cp:coreProperties>
</file>