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ile02\sistemas\Ronald\2020\04 PCM\Datos Abiertos\DSR - 27-10-2020\Registro Hidrocarburos\02. Consumidores Directos CLyOPDH\"/>
    </mc:Choice>
  </mc:AlternateContent>
  <bookViews>
    <workbookView xWindow="0" yWindow="0" windowWidth="20633" windowHeight="7039"/>
  </bookViews>
  <sheets>
    <sheet name="CDCLyOPDHconInstalacionesFijas" sheetId="1" r:id="rId1"/>
  </sheets>
  <calcPr calcId="0"/>
</workbook>
</file>

<file path=xl/calcChain.xml><?xml version="1.0" encoding="utf-8"?>
<calcChain xmlns="http://schemas.openxmlformats.org/spreadsheetml/2006/main">
  <c r="C1829" i="1" l="1"/>
  <c r="B1829" i="1"/>
  <c r="C1828" i="1"/>
  <c r="B1828" i="1"/>
  <c r="C1827" i="1"/>
  <c r="B1827" i="1"/>
  <c r="C1826" i="1"/>
  <c r="B1826" i="1"/>
  <c r="C1825" i="1"/>
  <c r="B1825" i="1"/>
  <c r="C1824" i="1"/>
  <c r="B1824" i="1"/>
  <c r="C1823" i="1"/>
  <c r="B1823" i="1"/>
  <c r="C1822" i="1"/>
  <c r="B1822" i="1"/>
  <c r="C1821" i="1"/>
  <c r="B1821" i="1"/>
  <c r="C1820" i="1"/>
  <c r="B1820" i="1"/>
  <c r="C1819" i="1"/>
  <c r="B1819" i="1"/>
  <c r="C1818" i="1"/>
  <c r="B1818" i="1"/>
  <c r="C1817" i="1"/>
  <c r="B1817" i="1"/>
  <c r="C1816" i="1"/>
  <c r="B1816" i="1"/>
  <c r="C1815" i="1"/>
  <c r="B1815" i="1"/>
  <c r="C1814" i="1"/>
  <c r="B1814" i="1"/>
  <c r="C1813" i="1"/>
  <c r="B1813" i="1"/>
  <c r="C1812" i="1"/>
  <c r="B1812" i="1"/>
  <c r="C1811" i="1"/>
  <c r="B1811" i="1"/>
  <c r="C1810" i="1"/>
  <c r="B1810" i="1"/>
  <c r="C1809" i="1"/>
  <c r="B1809" i="1"/>
  <c r="C1808" i="1"/>
  <c r="B1808" i="1"/>
  <c r="C1807" i="1"/>
  <c r="B1807" i="1"/>
  <c r="C1806" i="1"/>
  <c r="B1806" i="1"/>
  <c r="C1805" i="1"/>
  <c r="B1805" i="1"/>
  <c r="C1804" i="1"/>
  <c r="B1804" i="1"/>
  <c r="C1803" i="1"/>
  <c r="B1803" i="1"/>
  <c r="C1802" i="1"/>
  <c r="B1802" i="1"/>
  <c r="C1801" i="1"/>
  <c r="B1801" i="1"/>
  <c r="C1800" i="1"/>
  <c r="B1800" i="1"/>
  <c r="C1799" i="1"/>
  <c r="B1799" i="1"/>
  <c r="C1798" i="1"/>
  <c r="B1798" i="1"/>
  <c r="C1797" i="1"/>
  <c r="B1797" i="1"/>
  <c r="C1796" i="1"/>
  <c r="B1796" i="1"/>
  <c r="C1795" i="1"/>
  <c r="B1795" i="1"/>
  <c r="C1794" i="1"/>
  <c r="B1794" i="1"/>
  <c r="C1793" i="1"/>
  <c r="B1793" i="1"/>
  <c r="C1792" i="1"/>
  <c r="B1792" i="1"/>
  <c r="C1791" i="1"/>
  <c r="B1791" i="1"/>
  <c r="C1790" i="1"/>
  <c r="B1790" i="1"/>
  <c r="C1789" i="1"/>
  <c r="B1789" i="1"/>
  <c r="C1788" i="1"/>
  <c r="B1788" i="1"/>
  <c r="C1787" i="1"/>
  <c r="B1787" i="1"/>
  <c r="C1786" i="1"/>
  <c r="B1786" i="1"/>
  <c r="C1785" i="1"/>
  <c r="B1785" i="1"/>
  <c r="C1784" i="1"/>
  <c r="B1784" i="1"/>
  <c r="C1783" i="1"/>
  <c r="B1783" i="1"/>
  <c r="C1782" i="1"/>
  <c r="B1782" i="1"/>
  <c r="C1781" i="1"/>
  <c r="B1781" i="1"/>
  <c r="C1780" i="1"/>
  <c r="B1780" i="1"/>
  <c r="C1779" i="1"/>
  <c r="B1779" i="1"/>
  <c r="C1778" i="1"/>
  <c r="B1778" i="1"/>
  <c r="C1777" i="1"/>
  <c r="B1777" i="1"/>
  <c r="C1776" i="1"/>
  <c r="B1776" i="1"/>
  <c r="C1775" i="1"/>
  <c r="B1775" i="1"/>
  <c r="C1774" i="1"/>
  <c r="B1774" i="1"/>
  <c r="C1773" i="1"/>
  <c r="B1773" i="1"/>
  <c r="C1772" i="1"/>
  <c r="B1772" i="1"/>
  <c r="C1771" i="1"/>
  <c r="B1771" i="1"/>
  <c r="C1770" i="1"/>
  <c r="B1770" i="1"/>
  <c r="C1769" i="1"/>
  <c r="B1769" i="1"/>
  <c r="C1768" i="1"/>
  <c r="B1768" i="1"/>
  <c r="C1767" i="1"/>
  <c r="B1767" i="1"/>
  <c r="C1766" i="1"/>
  <c r="B1766" i="1"/>
  <c r="C1765" i="1"/>
  <c r="B1765" i="1"/>
  <c r="C1764" i="1"/>
  <c r="B1764" i="1"/>
  <c r="C1763" i="1"/>
  <c r="B1763" i="1"/>
  <c r="C1762" i="1"/>
  <c r="B1762" i="1"/>
  <c r="C1761" i="1"/>
  <c r="B1761" i="1"/>
  <c r="C1760" i="1"/>
  <c r="B1760" i="1"/>
  <c r="C1759" i="1"/>
  <c r="B1759" i="1"/>
  <c r="C1758" i="1"/>
  <c r="B1758" i="1"/>
  <c r="C1757" i="1"/>
  <c r="B1757" i="1"/>
  <c r="C1756" i="1"/>
  <c r="B1756" i="1"/>
  <c r="C1755" i="1"/>
  <c r="B1755" i="1"/>
  <c r="C1754" i="1"/>
  <c r="B1754" i="1"/>
  <c r="C1753" i="1"/>
  <c r="B1753" i="1"/>
  <c r="C1752" i="1"/>
  <c r="B1752" i="1"/>
  <c r="C1751" i="1"/>
  <c r="B1751" i="1"/>
  <c r="C1750" i="1"/>
  <c r="B1750" i="1"/>
  <c r="C1749" i="1"/>
  <c r="B1749" i="1"/>
  <c r="C1748" i="1"/>
  <c r="B1748" i="1"/>
  <c r="C1747" i="1"/>
  <c r="B1747" i="1"/>
  <c r="C1746" i="1"/>
  <c r="B1746" i="1"/>
  <c r="C1745" i="1"/>
  <c r="B1745" i="1"/>
  <c r="C1744" i="1"/>
  <c r="B1744" i="1"/>
  <c r="C1743" i="1"/>
  <c r="B1743" i="1"/>
  <c r="C1742" i="1"/>
  <c r="B1742" i="1"/>
  <c r="C1741" i="1"/>
  <c r="B1741" i="1"/>
  <c r="C1740" i="1"/>
  <c r="B1740" i="1"/>
  <c r="C1739" i="1"/>
  <c r="B1739" i="1"/>
  <c r="C1738" i="1"/>
  <c r="B1738" i="1"/>
  <c r="C1737" i="1"/>
  <c r="B1737" i="1"/>
  <c r="C1736" i="1"/>
  <c r="B1736" i="1"/>
  <c r="C1735" i="1"/>
  <c r="B1735" i="1"/>
  <c r="C1734" i="1"/>
  <c r="B1734" i="1"/>
  <c r="C1733" i="1"/>
  <c r="B1733" i="1"/>
  <c r="C1732" i="1"/>
  <c r="B1732" i="1"/>
  <c r="C1731" i="1"/>
  <c r="B1731" i="1"/>
  <c r="C1730" i="1"/>
  <c r="B1730" i="1"/>
  <c r="C1729" i="1"/>
  <c r="B1729" i="1"/>
  <c r="C1728" i="1"/>
  <c r="B1728" i="1"/>
  <c r="C1727" i="1"/>
  <c r="B1727" i="1"/>
  <c r="C1726" i="1"/>
  <c r="B1726" i="1"/>
  <c r="C1725" i="1"/>
  <c r="B1725" i="1"/>
  <c r="C1724" i="1"/>
  <c r="B1724" i="1"/>
  <c r="C1723" i="1"/>
  <c r="B1723" i="1"/>
  <c r="C1722" i="1"/>
  <c r="B1722" i="1"/>
  <c r="C1721" i="1"/>
  <c r="B1721" i="1"/>
  <c r="C1720" i="1"/>
  <c r="B1720" i="1"/>
  <c r="C1719" i="1"/>
  <c r="B1719" i="1"/>
  <c r="C1718" i="1"/>
  <c r="B1718" i="1"/>
  <c r="C1717" i="1"/>
  <c r="B1717" i="1"/>
  <c r="C1716" i="1"/>
  <c r="B1716" i="1"/>
  <c r="C1715" i="1"/>
  <c r="B1715" i="1"/>
  <c r="C1714" i="1"/>
  <c r="B1714" i="1"/>
  <c r="C1713" i="1"/>
  <c r="B1713" i="1"/>
  <c r="C1712" i="1"/>
  <c r="B1712" i="1"/>
  <c r="C1711" i="1"/>
  <c r="B1711" i="1"/>
  <c r="C1710" i="1"/>
  <c r="B1710" i="1"/>
  <c r="C1709" i="1"/>
  <c r="B1709" i="1"/>
  <c r="C1708" i="1"/>
  <c r="B1708" i="1"/>
  <c r="C1707" i="1"/>
  <c r="B1707" i="1"/>
  <c r="C1706" i="1"/>
  <c r="B1706" i="1"/>
  <c r="C1705" i="1"/>
  <c r="B1705" i="1"/>
  <c r="C1704" i="1"/>
  <c r="B1704" i="1"/>
  <c r="C1703" i="1"/>
  <c r="B1703" i="1"/>
  <c r="C1702" i="1"/>
  <c r="B1702" i="1"/>
  <c r="C1701" i="1"/>
  <c r="B1701" i="1"/>
  <c r="C1700" i="1"/>
  <c r="B1700" i="1"/>
  <c r="C1699" i="1"/>
  <c r="B1699" i="1"/>
  <c r="C1698" i="1"/>
  <c r="B1698" i="1"/>
  <c r="C1697" i="1"/>
  <c r="B1697" i="1"/>
  <c r="C1696" i="1"/>
  <c r="B1696" i="1"/>
  <c r="C1695" i="1"/>
  <c r="B1695" i="1"/>
  <c r="C1694" i="1"/>
  <c r="B1694" i="1"/>
  <c r="C1693" i="1"/>
  <c r="B1693" i="1"/>
  <c r="C1692" i="1"/>
  <c r="B1692" i="1"/>
  <c r="C1691" i="1"/>
  <c r="B1691" i="1"/>
  <c r="C1690" i="1"/>
  <c r="B1690" i="1"/>
  <c r="C1689" i="1"/>
  <c r="B1689" i="1"/>
  <c r="C1688" i="1"/>
  <c r="B1688" i="1"/>
  <c r="C1687" i="1"/>
  <c r="B1687" i="1"/>
  <c r="C1686" i="1"/>
  <c r="B1686" i="1"/>
  <c r="C1685" i="1"/>
  <c r="B1685" i="1"/>
  <c r="C1684" i="1"/>
  <c r="B1684" i="1"/>
  <c r="C1683" i="1"/>
  <c r="B1683" i="1"/>
  <c r="C1682" i="1"/>
  <c r="B1682" i="1"/>
  <c r="C1681" i="1"/>
  <c r="B1681" i="1"/>
  <c r="C1680" i="1"/>
  <c r="B1680" i="1"/>
  <c r="C1679" i="1"/>
  <c r="B1679" i="1"/>
  <c r="C1678" i="1"/>
  <c r="B1678" i="1"/>
  <c r="C1677" i="1"/>
  <c r="B1677" i="1"/>
  <c r="C1676" i="1"/>
  <c r="B1676" i="1"/>
  <c r="C1675" i="1"/>
  <c r="B1675" i="1"/>
  <c r="C1674" i="1"/>
  <c r="B1674" i="1"/>
  <c r="C1673" i="1"/>
  <c r="B1673" i="1"/>
  <c r="C1672" i="1"/>
  <c r="B1672" i="1"/>
  <c r="C1671" i="1"/>
  <c r="B1671" i="1"/>
  <c r="C1670" i="1"/>
  <c r="B1670" i="1"/>
  <c r="C1669" i="1"/>
  <c r="B1669" i="1"/>
  <c r="C1668" i="1"/>
  <c r="B1668" i="1"/>
  <c r="C1667" i="1"/>
  <c r="B1667" i="1"/>
  <c r="C1666" i="1"/>
  <c r="B1666" i="1"/>
  <c r="C1665" i="1"/>
  <c r="B1665" i="1"/>
  <c r="C1664" i="1"/>
  <c r="B1664" i="1"/>
  <c r="C1663" i="1"/>
  <c r="B1663" i="1"/>
  <c r="C1662" i="1"/>
  <c r="B1662" i="1"/>
  <c r="C1661" i="1"/>
  <c r="B1661" i="1"/>
  <c r="C1660" i="1"/>
  <c r="B1660" i="1"/>
  <c r="C1659" i="1"/>
  <c r="B1659" i="1"/>
  <c r="C1658" i="1"/>
  <c r="B1658" i="1"/>
  <c r="C1657" i="1"/>
  <c r="B1657" i="1"/>
  <c r="C1656" i="1"/>
  <c r="B1656" i="1"/>
  <c r="C1655" i="1"/>
  <c r="B1655" i="1"/>
  <c r="C1654" i="1"/>
  <c r="B1654" i="1"/>
  <c r="C1653" i="1"/>
  <c r="B1653" i="1"/>
  <c r="C1652" i="1"/>
  <c r="B1652" i="1"/>
  <c r="C1651" i="1"/>
  <c r="B1651" i="1"/>
  <c r="C1650" i="1"/>
  <c r="B1650" i="1"/>
  <c r="C1649" i="1"/>
  <c r="B1649" i="1"/>
  <c r="C1648" i="1"/>
  <c r="B1648" i="1"/>
  <c r="C1647" i="1"/>
  <c r="B1647" i="1"/>
  <c r="C1646" i="1"/>
  <c r="B1646" i="1"/>
  <c r="C1645" i="1"/>
  <c r="B1645" i="1"/>
  <c r="C1644" i="1"/>
  <c r="B1644" i="1"/>
  <c r="C1643" i="1"/>
  <c r="B1643" i="1"/>
  <c r="C1642" i="1"/>
  <c r="B1642" i="1"/>
  <c r="C1641" i="1"/>
  <c r="B1641" i="1"/>
  <c r="C1640" i="1"/>
  <c r="B1640" i="1"/>
  <c r="C1639" i="1"/>
  <c r="B1639" i="1"/>
  <c r="C1638" i="1"/>
  <c r="B1638" i="1"/>
  <c r="C1637" i="1"/>
  <c r="B1637" i="1"/>
  <c r="C1636" i="1"/>
  <c r="B1636" i="1"/>
  <c r="C1635" i="1"/>
  <c r="B1635" i="1"/>
  <c r="C1634" i="1"/>
  <c r="B1634" i="1"/>
  <c r="C1633" i="1"/>
  <c r="B1633" i="1"/>
  <c r="C1632" i="1"/>
  <c r="B1632" i="1"/>
  <c r="C1631" i="1"/>
  <c r="B1631" i="1"/>
  <c r="C1630" i="1"/>
  <c r="B1630" i="1"/>
  <c r="C1629" i="1"/>
  <c r="B1629" i="1"/>
  <c r="C1628" i="1"/>
  <c r="B1628" i="1"/>
  <c r="C1627" i="1"/>
  <c r="B1627" i="1"/>
  <c r="C1626" i="1"/>
  <c r="B1626" i="1"/>
  <c r="C1625" i="1"/>
  <c r="B1625" i="1"/>
  <c r="C1624" i="1"/>
  <c r="B1624" i="1"/>
  <c r="C1623" i="1"/>
  <c r="B1623" i="1"/>
  <c r="C1622" i="1"/>
  <c r="B1622" i="1"/>
  <c r="C1621" i="1"/>
  <c r="B1621" i="1"/>
  <c r="C1620" i="1"/>
  <c r="B1620" i="1"/>
  <c r="C1619" i="1"/>
  <c r="B1619" i="1"/>
  <c r="C1618" i="1"/>
  <c r="B1618" i="1"/>
  <c r="C1617" i="1"/>
  <c r="B1617" i="1"/>
  <c r="C1616" i="1"/>
  <c r="B1616" i="1"/>
  <c r="C1615" i="1"/>
  <c r="B1615" i="1"/>
  <c r="C1614" i="1"/>
  <c r="B1614" i="1"/>
  <c r="C1613" i="1"/>
  <c r="B1613" i="1"/>
  <c r="C1612" i="1"/>
  <c r="B1612" i="1"/>
  <c r="C1611" i="1"/>
  <c r="B1611" i="1"/>
  <c r="C1610" i="1"/>
  <c r="B1610" i="1"/>
  <c r="C1609" i="1"/>
  <c r="B1609" i="1"/>
  <c r="C1608" i="1"/>
  <c r="B1608" i="1"/>
  <c r="C1607" i="1"/>
  <c r="B1607" i="1"/>
  <c r="C1606" i="1"/>
  <c r="B1606" i="1"/>
  <c r="C1605" i="1"/>
  <c r="B1605" i="1"/>
  <c r="C1604" i="1"/>
  <c r="B1604" i="1"/>
  <c r="C1603" i="1"/>
  <c r="B1603" i="1"/>
  <c r="C1602" i="1"/>
  <c r="B1602" i="1"/>
  <c r="C1601" i="1"/>
  <c r="B1601" i="1"/>
  <c r="C1600" i="1"/>
  <c r="B1600" i="1"/>
  <c r="C1599" i="1"/>
  <c r="B1599" i="1"/>
  <c r="C1598" i="1"/>
  <c r="B1598" i="1"/>
  <c r="C1597" i="1"/>
  <c r="B1597" i="1"/>
  <c r="C1596" i="1"/>
  <c r="B1596" i="1"/>
  <c r="C1595" i="1"/>
  <c r="B1595" i="1"/>
  <c r="C1594" i="1"/>
  <c r="B1594" i="1"/>
  <c r="C1593" i="1"/>
  <c r="B1593" i="1"/>
  <c r="C1592" i="1"/>
  <c r="B1592" i="1"/>
  <c r="C1591" i="1"/>
  <c r="B1591" i="1"/>
  <c r="C1590" i="1"/>
  <c r="B1590" i="1"/>
  <c r="C1589" i="1"/>
  <c r="B1589" i="1"/>
  <c r="C1588" i="1"/>
  <c r="B1588" i="1"/>
  <c r="C1587" i="1"/>
  <c r="B1587" i="1"/>
  <c r="C1586" i="1"/>
  <c r="B1586" i="1"/>
  <c r="C1585" i="1"/>
  <c r="B1585" i="1"/>
  <c r="C1584" i="1"/>
  <c r="B1584" i="1"/>
  <c r="C1583" i="1"/>
  <c r="B1583" i="1"/>
  <c r="C1582" i="1"/>
  <c r="B1582" i="1"/>
  <c r="C1581" i="1"/>
  <c r="B1581" i="1"/>
  <c r="C1580" i="1"/>
  <c r="B1580" i="1"/>
  <c r="C1579" i="1"/>
  <c r="B1579" i="1"/>
  <c r="C1578" i="1"/>
  <c r="B1578" i="1"/>
  <c r="C1577" i="1"/>
  <c r="B1577" i="1"/>
  <c r="C1576" i="1"/>
  <c r="B1576" i="1"/>
  <c r="C1575" i="1"/>
  <c r="B1575" i="1"/>
  <c r="C1574" i="1"/>
  <c r="B1574" i="1"/>
  <c r="C1573" i="1"/>
  <c r="B1573" i="1"/>
  <c r="C1572" i="1"/>
  <c r="B1572" i="1"/>
  <c r="C1571" i="1"/>
  <c r="B1571" i="1"/>
  <c r="C1570" i="1"/>
  <c r="B1570" i="1"/>
  <c r="C1569" i="1"/>
  <c r="B1569" i="1"/>
  <c r="C1568" i="1"/>
  <c r="B1568" i="1"/>
  <c r="C1567" i="1"/>
  <c r="B1567" i="1"/>
  <c r="C1566" i="1"/>
  <c r="B1566" i="1"/>
  <c r="C1565" i="1"/>
  <c r="B1565" i="1"/>
  <c r="C1564" i="1"/>
  <c r="B1564" i="1"/>
  <c r="C1563" i="1"/>
  <c r="B1563" i="1"/>
  <c r="C1562" i="1"/>
  <c r="B1562" i="1"/>
  <c r="C1561" i="1"/>
  <c r="B1561" i="1"/>
  <c r="C1560" i="1"/>
  <c r="B1560" i="1"/>
  <c r="C1559" i="1"/>
  <c r="B1559" i="1"/>
  <c r="C1558" i="1"/>
  <c r="B1558" i="1"/>
  <c r="C1557" i="1"/>
  <c r="B1557" i="1"/>
  <c r="C1556" i="1"/>
  <c r="B1556" i="1"/>
  <c r="C1555" i="1"/>
  <c r="B1555" i="1"/>
  <c r="C1554" i="1"/>
  <c r="B1554" i="1"/>
  <c r="C1553" i="1"/>
  <c r="B1553" i="1"/>
  <c r="C1552" i="1"/>
  <c r="B1552" i="1"/>
  <c r="C1551" i="1"/>
  <c r="B1551" i="1"/>
  <c r="C1550" i="1"/>
  <c r="B1550" i="1"/>
  <c r="C1549" i="1"/>
  <c r="B1549" i="1"/>
  <c r="C1548" i="1"/>
  <c r="B1548" i="1"/>
  <c r="C1547" i="1"/>
  <c r="B1547" i="1"/>
  <c r="C1546" i="1"/>
  <c r="B1546" i="1"/>
  <c r="C1545" i="1"/>
  <c r="B1545" i="1"/>
  <c r="C1544" i="1"/>
  <c r="B1544" i="1"/>
  <c r="C1543" i="1"/>
  <c r="B1543" i="1"/>
  <c r="C1542" i="1"/>
  <c r="B1542" i="1"/>
  <c r="C1541" i="1"/>
  <c r="B1541" i="1"/>
  <c r="C1540" i="1"/>
  <c r="B1540" i="1"/>
  <c r="C1539" i="1"/>
  <c r="B1539" i="1"/>
  <c r="C1538" i="1"/>
  <c r="B1538" i="1"/>
  <c r="C1537" i="1"/>
  <c r="B1537" i="1"/>
  <c r="C1536" i="1"/>
  <c r="B1536" i="1"/>
  <c r="C1535" i="1"/>
  <c r="B1535" i="1"/>
  <c r="C1534" i="1"/>
  <c r="B1534" i="1"/>
  <c r="C1533" i="1"/>
  <c r="B1533" i="1"/>
  <c r="C1532" i="1"/>
  <c r="B1532" i="1"/>
  <c r="C1531" i="1"/>
  <c r="B1531" i="1"/>
  <c r="C1530" i="1"/>
  <c r="B1530" i="1"/>
  <c r="C1529" i="1"/>
  <c r="B1529" i="1"/>
  <c r="C1528" i="1"/>
  <c r="B1528" i="1"/>
  <c r="C1527" i="1"/>
  <c r="B1527" i="1"/>
  <c r="C1526" i="1"/>
  <c r="B1526" i="1"/>
  <c r="C1525" i="1"/>
  <c r="B1525" i="1"/>
  <c r="C1524" i="1"/>
  <c r="B1524" i="1"/>
  <c r="C1523" i="1"/>
  <c r="B1523" i="1"/>
  <c r="C1522" i="1"/>
  <c r="B1522" i="1"/>
  <c r="C1521" i="1"/>
  <c r="B1521" i="1"/>
  <c r="C1520" i="1"/>
  <c r="B1520" i="1"/>
  <c r="C1519" i="1"/>
  <c r="B1519" i="1"/>
  <c r="C1518" i="1"/>
  <c r="B1518" i="1"/>
  <c r="C1517" i="1"/>
  <c r="B1517" i="1"/>
  <c r="C1516" i="1"/>
  <c r="B1516" i="1"/>
  <c r="C1515" i="1"/>
  <c r="B1515" i="1"/>
  <c r="C1514" i="1"/>
  <c r="B1514" i="1"/>
  <c r="C1513" i="1"/>
  <c r="B1513" i="1"/>
  <c r="C1512" i="1"/>
  <c r="B1512" i="1"/>
  <c r="C1511" i="1"/>
  <c r="B1511" i="1"/>
  <c r="C1510" i="1"/>
  <c r="B1510" i="1"/>
  <c r="C1509" i="1"/>
  <c r="B1509" i="1"/>
  <c r="C1508" i="1"/>
  <c r="B1508" i="1"/>
  <c r="C1507" i="1"/>
  <c r="B1507" i="1"/>
  <c r="C1506" i="1"/>
  <c r="B1506" i="1"/>
  <c r="C1505" i="1"/>
  <c r="B1505" i="1"/>
  <c r="C1504" i="1"/>
  <c r="B1504" i="1"/>
  <c r="C1503" i="1"/>
  <c r="B1503" i="1"/>
  <c r="C1502" i="1"/>
  <c r="B1502" i="1"/>
  <c r="C1501" i="1"/>
  <c r="B1501" i="1"/>
  <c r="C1500" i="1"/>
  <c r="B1500" i="1"/>
  <c r="C1499" i="1"/>
  <c r="B1499" i="1"/>
  <c r="C1498" i="1"/>
  <c r="B1498" i="1"/>
  <c r="C1497" i="1"/>
  <c r="B1497" i="1"/>
  <c r="C1496" i="1"/>
  <c r="B1496" i="1"/>
  <c r="C1495" i="1"/>
  <c r="B1495" i="1"/>
  <c r="C1494" i="1"/>
  <c r="B1494" i="1"/>
  <c r="C1493" i="1"/>
  <c r="B1493" i="1"/>
  <c r="C1492" i="1"/>
  <c r="B1492" i="1"/>
  <c r="C1491" i="1"/>
  <c r="B1491" i="1"/>
  <c r="C1490" i="1"/>
  <c r="B1490" i="1"/>
  <c r="C1489" i="1"/>
  <c r="B1489" i="1"/>
  <c r="C1488" i="1"/>
  <c r="B1488" i="1"/>
  <c r="C1487" i="1"/>
  <c r="B1487" i="1"/>
  <c r="C1486" i="1"/>
  <c r="B1486" i="1"/>
  <c r="C1485" i="1"/>
  <c r="B1485" i="1"/>
  <c r="C1484" i="1"/>
  <c r="B1484" i="1"/>
  <c r="C1483" i="1"/>
  <c r="B1483" i="1"/>
  <c r="C1482" i="1"/>
  <c r="B1482" i="1"/>
  <c r="C1481" i="1"/>
  <c r="B1481" i="1"/>
  <c r="C1480" i="1"/>
  <c r="B1480" i="1"/>
  <c r="C1479" i="1"/>
  <c r="B1479" i="1"/>
  <c r="C1478" i="1"/>
  <c r="B1478" i="1"/>
  <c r="C1477" i="1"/>
  <c r="B1477" i="1"/>
  <c r="C1476" i="1"/>
  <c r="B1476" i="1"/>
  <c r="C1475" i="1"/>
  <c r="B1475" i="1"/>
  <c r="C1474" i="1"/>
  <c r="B1474" i="1"/>
  <c r="C1473" i="1"/>
  <c r="B1473" i="1"/>
  <c r="C1472" i="1"/>
  <c r="B1472" i="1"/>
  <c r="C1471" i="1"/>
  <c r="B1471" i="1"/>
  <c r="C1470" i="1"/>
  <c r="B1470" i="1"/>
  <c r="C1469" i="1"/>
  <c r="B1469" i="1"/>
  <c r="C1468" i="1"/>
  <c r="B1468" i="1"/>
  <c r="C1467" i="1"/>
  <c r="B1467" i="1"/>
  <c r="C1466" i="1"/>
  <c r="B1466" i="1"/>
  <c r="C1465" i="1"/>
  <c r="B1465" i="1"/>
  <c r="C1464" i="1"/>
  <c r="B1464" i="1"/>
  <c r="C1463" i="1"/>
  <c r="B1463" i="1"/>
  <c r="C1462" i="1"/>
  <c r="B1462" i="1"/>
  <c r="C1461" i="1"/>
  <c r="B1461" i="1"/>
  <c r="C1460" i="1"/>
  <c r="B1460" i="1"/>
  <c r="C1459" i="1"/>
  <c r="B1459" i="1"/>
  <c r="C1458" i="1"/>
  <c r="B1458" i="1"/>
  <c r="C1457" i="1"/>
  <c r="B1457" i="1"/>
  <c r="C1456" i="1"/>
  <c r="B1456" i="1"/>
  <c r="C1455" i="1"/>
  <c r="B1455" i="1"/>
  <c r="C1454" i="1"/>
  <c r="B1454" i="1"/>
  <c r="C1453" i="1"/>
  <c r="B1453" i="1"/>
  <c r="C1452" i="1"/>
  <c r="B1452" i="1"/>
  <c r="C1451" i="1"/>
  <c r="B1451" i="1"/>
  <c r="C1450" i="1"/>
  <c r="B1450" i="1"/>
  <c r="C1449" i="1"/>
  <c r="B1449" i="1"/>
  <c r="C1448" i="1"/>
  <c r="B1448" i="1"/>
  <c r="C1447" i="1"/>
  <c r="B1447" i="1"/>
  <c r="C1446" i="1"/>
  <c r="B1446" i="1"/>
  <c r="C1445" i="1"/>
  <c r="B1445" i="1"/>
  <c r="C1444" i="1"/>
  <c r="B1444" i="1"/>
  <c r="C1443" i="1"/>
  <c r="B1443" i="1"/>
  <c r="C1442" i="1"/>
  <c r="B1442" i="1"/>
  <c r="C1441" i="1"/>
  <c r="B1441" i="1"/>
  <c r="C1440" i="1"/>
  <c r="B1440" i="1"/>
  <c r="C1439" i="1"/>
  <c r="B1439" i="1"/>
  <c r="C1438" i="1"/>
  <c r="B1438" i="1"/>
  <c r="C1437" i="1"/>
  <c r="B1437" i="1"/>
  <c r="C1436" i="1"/>
  <c r="B1436" i="1"/>
  <c r="C1435" i="1"/>
  <c r="B1435" i="1"/>
  <c r="C1434" i="1"/>
  <c r="B1434" i="1"/>
  <c r="C1433" i="1"/>
  <c r="B1433" i="1"/>
  <c r="C1432" i="1"/>
  <c r="B1432" i="1"/>
  <c r="C1431" i="1"/>
  <c r="B1431" i="1"/>
  <c r="C1430" i="1"/>
  <c r="B1430" i="1"/>
  <c r="C1429" i="1"/>
  <c r="B1429" i="1"/>
  <c r="C1428" i="1"/>
  <c r="B1428" i="1"/>
  <c r="C1427" i="1"/>
  <c r="B1427" i="1"/>
  <c r="C1426" i="1"/>
  <c r="B1426" i="1"/>
  <c r="C1425" i="1"/>
  <c r="B1425" i="1"/>
  <c r="C1424" i="1"/>
  <c r="B1424" i="1"/>
  <c r="C1423" i="1"/>
  <c r="B1423" i="1"/>
  <c r="C1422" i="1"/>
  <c r="B1422" i="1"/>
  <c r="C1421" i="1"/>
  <c r="B1421" i="1"/>
  <c r="C1420" i="1"/>
  <c r="B1420" i="1"/>
  <c r="C1419" i="1"/>
  <c r="B1419" i="1"/>
  <c r="C1418" i="1"/>
  <c r="B1418" i="1"/>
  <c r="C1417" i="1"/>
  <c r="B1417" i="1"/>
  <c r="C1416" i="1"/>
  <c r="B1416" i="1"/>
  <c r="C1415" i="1"/>
  <c r="B1415" i="1"/>
  <c r="C1414" i="1"/>
  <c r="B1414" i="1"/>
  <c r="C1413" i="1"/>
  <c r="B1413" i="1"/>
  <c r="C1412" i="1"/>
  <c r="B1412" i="1"/>
  <c r="C1411" i="1"/>
  <c r="B1411" i="1"/>
  <c r="C1410" i="1"/>
  <c r="B1410" i="1"/>
  <c r="C1409" i="1"/>
  <c r="B1409" i="1"/>
  <c r="C1408" i="1"/>
  <c r="B1408" i="1"/>
  <c r="C1407" i="1"/>
  <c r="B1407" i="1"/>
  <c r="C1406" i="1"/>
  <c r="B1406" i="1"/>
  <c r="C1405" i="1"/>
  <c r="B1405" i="1"/>
  <c r="C1404" i="1"/>
  <c r="B1404" i="1"/>
  <c r="C1403" i="1"/>
  <c r="B1403" i="1"/>
  <c r="C1402" i="1"/>
  <c r="B1402" i="1"/>
  <c r="C1401" i="1"/>
  <c r="B1401" i="1"/>
  <c r="C1400" i="1"/>
  <c r="B1400" i="1"/>
  <c r="C1399" i="1"/>
  <c r="B1399" i="1"/>
  <c r="C1398" i="1"/>
  <c r="B1398" i="1"/>
  <c r="C1397" i="1"/>
  <c r="B1397" i="1"/>
  <c r="C1396" i="1"/>
  <c r="B1396" i="1"/>
  <c r="C1395" i="1"/>
  <c r="B1395" i="1"/>
  <c r="C1394" i="1"/>
  <c r="B1394" i="1"/>
  <c r="C1393" i="1"/>
  <c r="B1393" i="1"/>
  <c r="C1392" i="1"/>
  <c r="B1392" i="1"/>
  <c r="C1391" i="1"/>
  <c r="B1391" i="1"/>
  <c r="C1390" i="1"/>
  <c r="B1390" i="1"/>
  <c r="C1389" i="1"/>
  <c r="B1389" i="1"/>
  <c r="C1388" i="1"/>
  <c r="B1388" i="1"/>
  <c r="C1387" i="1"/>
  <c r="B1387" i="1"/>
  <c r="C1386" i="1"/>
  <c r="B1386" i="1"/>
  <c r="C1385" i="1"/>
  <c r="B1385" i="1"/>
  <c r="C1384" i="1"/>
  <c r="B1384" i="1"/>
  <c r="C1383" i="1"/>
  <c r="B1383" i="1"/>
  <c r="C1382" i="1"/>
  <c r="B1382" i="1"/>
  <c r="C1381" i="1"/>
  <c r="B1381" i="1"/>
  <c r="C1380" i="1"/>
  <c r="B1380" i="1"/>
  <c r="C1379" i="1"/>
  <c r="B1379" i="1"/>
  <c r="C1378" i="1"/>
  <c r="B1378" i="1"/>
  <c r="C1377" i="1"/>
  <c r="B1377" i="1"/>
  <c r="C1376" i="1"/>
  <c r="B1376" i="1"/>
  <c r="C1375" i="1"/>
  <c r="B1375" i="1"/>
  <c r="C1374" i="1"/>
  <c r="B1374" i="1"/>
  <c r="C1373" i="1"/>
  <c r="B1373" i="1"/>
  <c r="C1372" i="1"/>
  <c r="B1372" i="1"/>
  <c r="C1371" i="1"/>
  <c r="B1371" i="1"/>
  <c r="C1370" i="1"/>
  <c r="B1370" i="1"/>
  <c r="C1369" i="1"/>
  <c r="B1369" i="1"/>
  <c r="C1368" i="1"/>
  <c r="B1368" i="1"/>
  <c r="C1367" i="1"/>
  <c r="B1367" i="1"/>
  <c r="C1366" i="1"/>
  <c r="B1366" i="1"/>
  <c r="C1365" i="1"/>
  <c r="B1365" i="1"/>
  <c r="C1364" i="1"/>
  <c r="B1364" i="1"/>
  <c r="C1363" i="1"/>
  <c r="B1363" i="1"/>
  <c r="C1362" i="1"/>
  <c r="B1362" i="1"/>
  <c r="C1361" i="1"/>
  <c r="B1361" i="1"/>
  <c r="C1360" i="1"/>
  <c r="B1360" i="1"/>
  <c r="C1359" i="1"/>
  <c r="B1359" i="1"/>
  <c r="C1358" i="1"/>
  <c r="B1358" i="1"/>
  <c r="C1357" i="1"/>
  <c r="B1357" i="1"/>
  <c r="C1356" i="1"/>
  <c r="B1356" i="1"/>
  <c r="C1355" i="1"/>
  <c r="B1355" i="1"/>
  <c r="C1354" i="1"/>
  <c r="B1354" i="1"/>
  <c r="C1353" i="1"/>
  <c r="B1353" i="1"/>
  <c r="C1352" i="1"/>
  <c r="B1352" i="1"/>
  <c r="C1351" i="1"/>
  <c r="B1351" i="1"/>
  <c r="C1350" i="1"/>
  <c r="B1350" i="1"/>
  <c r="C1349" i="1"/>
  <c r="B1349" i="1"/>
  <c r="C1348" i="1"/>
  <c r="B1348" i="1"/>
  <c r="C1347" i="1"/>
  <c r="B1347" i="1"/>
  <c r="C1346" i="1"/>
  <c r="B1346" i="1"/>
  <c r="C1345" i="1"/>
  <c r="B1345" i="1"/>
  <c r="C1344" i="1"/>
  <c r="B1344" i="1"/>
  <c r="C1343" i="1"/>
  <c r="B1343" i="1"/>
  <c r="C1342" i="1"/>
  <c r="B1342" i="1"/>
  <c r="C1341" i="1"/>
  <c r="B1341" i="1"/>
  <c r="C1340" i="1"/>
  <c r="B1340" i="1"/>
  <c r="C1339" i="1"/>
  <c r="B1339" i="1"/>
  <c r="C1338" i="1"/>
  <c r="B1338" i="1"/>
  <c r="C1337" i="1"/>
  <c r="B1337" i="1"/>
  <c r="C1336" i="1"/>
  <c r="B1336" i="1"/>
  <c r="C1335" i="1"/>
  <c r="B1335" i="1"/>
  <c r="C1334" i="1"/>
  <c r="B1334" i="1"/>
  <c r="C1333" i="1"/>
  <c r="B1333" i="1"/>
  <c r="C1332" i="1"/>
  <c r="B1332" i="1"/>
  <c r="C1331" i="1"/>
  <c r="B1331" i="1"/>
  <c r="C1330" i="1"/>
  <c r="B1330" i="1"/>
  <c r="C1329" i="1"/>
  <c r="B1329" i="1"/>
  <c r="C1328" i="1"/>
  <c r="B1328" i="1"/>
  <c r="C1327" i="1"/>
  <c r="B1327" i="1"/>
  <c r="C1326" i="1"/>
  <c r="B1326" i="1"/>
  <c r="C1325" i="1"/>
  <c r="B1325" i="1"/>
  <c r="C1324" i="1"/>
  <c r="B1324" i="1"/>
  <c r="C1323" i="1"/>
  <c r="B1323" i="1"/>
  <c r="C1322" i="1"/>
  <c r="B1322" i="1"/>
  <c r="C1321" i="1"/>
  <c r="B1321" i="1"/>
  <c r="C1320" i="1"/>
  <c r="B1320" i="1"/>
  <c r="C1319" i="1"/>
  <c r="B1319" i="1"/>
  <c r="C1318" i="1"/>
  <c r="B1318" i="1"/>
  <c r="C1317" i="1"/>
  <c r="B1317" i="1"/>
  <c r="C1316" i="1"/>
  <c r="B1316" i="1"/>
  <c r="C1315" i="1"/>
  <c r="B1315" i="1"/>
  <c r="C1314" i="1"/>
  <c r="B1314" i="1"/>
  <c r="C1313" i="1"/>
  <c r="B1313" i="1"/>
  <c r="C1312" i="1"/>
  <c r="B1312" i="1"/>
  <c r="C1311" i="1"/>
  <c r="B1311" i="1"/>
  <c r="C1310" i="1"/>
  <c r="B1310" i="1"/>
  <c r="C1309" i="1"/>
  <c r="B1309" i="1"/>
  <c r="C1308" i="1"/>
  <c r="B1308" i="1"/>
  <c r="C1307" i="1"/>
  <c r="B1307" i="1"/>
  <c r="C1306" i="1"/>
  <c r="B1306" i="1"/>
  <c r="C1305" i="1"/>
  <c r="B1305" i="1"/>
  <c r="C1304" i="1"/>
  <c r="B1304" i="1"/>
  <c r="C1303" i="1"/>
  <c r="B1303" i="1"/>
  <c r="C1302" i="1"/>
  <c r="B1302" i="1"/>
  <c r="C1301" i="1"/>
  <c r="B1301" i="1"/>
  <c r="C1300" i="1"/>
  <c r="B1300" i="1"/>
  <c r="C1299" i="1"/>
  <c r="B1299" i="1"/>
  <c r="C1298" i="1"/>
  <c r="B1298" i="1"/>
  <c r="C1297" i="1"/>
  <c r="B1297" i="1"/>
  <c r="C1296" i="1"/>
  <c r="B1296" i="1"/>
  <c r="C1295" i="1"/>
  <c r="B1295" i="1"/>
  <c r="C1294" i="1"/>
  <c r="B1294" i="1"/>
  <c r="C1293" i="1"/>
  <c r="B1293" i="1"/>
  <c r="C1292" i="1"/>
  <c r="B1292" i="1"/>
  <c r="C1291" i="1"/>
  <c r="B1291" i="1"/>
  <c r="C1290" i="1"/>
  <c r="B1290" i="1"/>
  <c r="C1289" i="1"/>
  <c r="B1289" i="1"/>
  <c r="C1288" i="1"/>
  <c r="B1288" i="1"/>
  <c r="C1287" i="1"/>
  <c r="B1287" i="1"/>
  <c r="C1286" i="1"/>
  <c r="B1286" i="1"/>
  <c r="C1285" i="1"/>
  <c r="B1285" i="1"/>
  <c r="C1284" i="1"/>
  <c r="B1284" i="1"/>
  <c r="C1283" i="1"/>
  <c r="B1283" i="1"/>
  <c r="C1282" i="1"/>
  <c r="B1282" i="1"/>
  <c r="C1281" i="1"/>
  <c r="B1281" i="1"/>
  <c r="C1280" i="1"/>
  <c r="B1280" i="1"/>
  <c r="C1279" i="1"/>
  <c r="B1279" i="1"/>
  <c r="C1278" i="1"/>
  <c r="B1278" i="1"/>
  <c r="C1277" i="1"/>
  <c r="B1277" i="1"/>
  <c r="C1276" i="1"/>
  <c r="B1276" i="1"/>
  <c r="C1275" i="1"/>
  <c r="B1275" i="1"/>
  <c r="C1274" i="1"/>
  <c r="B1274" i="1"/>
  <c r="C1273" i="1"/>
  <c r="B1273" i="1"/>
  <c r="C1272" i="1"/>
  <c r="B1272" i="1"/>
  <c r="C1271" i="1"/>
  <c r="B1271" i="1"/>
  <c r="C1270" i="1"/>
  <c r="B1270" i="1"/>
  <c r="C1269" i="1"/>
  <c r="B1269" i="1"/>
  <c r="C1268" i="1"/>
  <c r="B1268" i="1"/>
  <c r="C1267" i="1"/>
  <c r="B1267" i="1"/>
  <c r="C1266" i="1"/>
  <c r="B1266" i="1"/>
  <c r="C1265" i="1"/>
  <c r="B1265" i="1"/>
  <c r="C1264" i="1"/>
  <c r="B1264" i="1"/>
  <c r="C1263" i="1"/>
  <c r="B1263" i="1"/>
  <c r="C1262" i="1"/>
  <c r="B1262" i="1"/>
  <c r="C1261" i="1"/>
  <c r="B1261" i="1"/>
  <c r="C1260" i="1"/>
  <c r="B1260" i="1"/>
  <c r="C1259" i="1"/>
  <c r="B1259" i="1"/>
  <c r="C1258" i="1"/>
  <c r="B1258" i="1"/>
  <c r="C1257" i="1"/>
  <c r="B1257" i="1"/>
  <c r="C1256" i="1"/>
  <c r="B1256" i="1"/>
  <c r="C1255" i="1"/>
  <c r="B1255" i="1"/>
  <c r="C1254" i="1"/>
  <c r="B1254" i="1"/>
  <c r="C1253" i="1"/>
  <c r="B1253" i="1"/>
  <c r="C1252" i="1"/>
  <c r="B1252" i="1"/>
  <c r="C1251" i="1"/>
  <c r="B1251" i="1"/>
  <c r="C1250" i="1"/>
  <c r="B1250" i="1"/>
  <c r="C1249" i="1"/>
  <c r="B1249" i="1"/>
  <c r="C1248" i="1"/>
  <c r="B1248" i="1"/>
  <c r="C1247" i="1"/>
  <c r="B1247" i="1"/>
  <c r="C1246" i="1"/>
  <c r="B1246" i="1"/>
  <c r="C1245" i="1"/>
  <c r="B1245" i="1"/>
  <c r="C1244" i="1"/>
  <c r="B1244" i="1"/>
  <c r="C1243" i="1"/>
  <c r="B1243" i="1"/>
  <c r="C1242" i="1"/>
  <c r="B1242" i="1"/>
  <c r="C1241" i="1"/>
  <c r="B1241" i="1"/>
  <c r="C1240" i="1"/>
  <c r="B1240" i="1"/>
  <c r="C1239" i="1"/>
  <c r="B1239" i="1"/>
  <c r="C1238" i="1"/>
  <c r="B1238" i="1"/>
  <c r="C1237" i="1"/>
  <c r="B1237" i="1"/>
  <c r="C1236" i="1"/>
  <c r="B1236" i="1"/>
  <c r="C1235" i="1"/>
  <c r="B1235" i="1"/>
  <c r="C1234" i="1"/>
  <c r="B1234" i="1"/>
  <c r="C1233" i="1"/>
  <c r="B1233" i="1"/>
  <c r="C1232" i="1"/>
  <c r="B1232" i="1"/>
  <c r="C1231" i="1"/>
  <c r="B1231" i="1"/>
  <c r="C1230" i="1"/>
  <c r="B1230" i="1"/>
  <c r="C1229" i="1"/>
  <c r="B1229" i="1"/>
  <c r="C1228" i="1"/>
  <c r="B1228" i="1"/>
  <c r="C1227" i="1"/>
  <c r="B1227" i="1"/>
  <c r="C1226" i="1"/>
  <c r="B1226" i="1"/>
  <c r="C1225" i="1"/>
  <c r="B1225" i="1"/>
  <c r="C1224" i="1"/>
  <c r="B1224" i="1"/>
  <c r="C1223" i="1"/>
  <c r="B1223" i="1"/>
  <c r="C1222" i="1"/>
  <c r="B1222" i="1"/>
  <c r="C1221" i="1"/>
  <c r="B1221" i="1"/>
  <c r="C1220" i="1"/>
  <c r="B1220" i="1"/>
  <c r="C1219" i="1"/>
  <c r="B1219" i="1"/>
  <c r="C1218" i="1"/>
  <c r="B1218" i="1"/>
  <c r="C1217" i="1"/>
  <c r="B1217" i="1"/>
  <c r="C1216" i="1"/>
  <c r="B1216" i="1"/>
  <c r="C1215" i="1"/>
  <c r="B1215" i="1"/>
  <c r="C1214" i="1"/>
  <c r="B1214" i="1"/>
  <c r="C1213" i="1"/>
  <c r="B1213" i="1"/>
  <c r="C1212" i="1"/>
  <c r="B1212" i="1"/>
  <c r="C1211" i="1"/>
  <c r="B1211" i="1"/>
  <c r="C1210" i="1"/>
  <c r="B1210" i="1"/>
  <c r="C1209" i="1"/>
  <c r="B1209" i="1"/>
  <c r="C1208" i="1"/>
  <c r="B1208" i="1"/>
  <c r="C1207" i="1"/>
  <c r="B1207" i="1"/>
  <c r="C1206" i="1"/>
  <c r="B1206" i="1"/>
  <c r="C1205" i="1"/>
  <c r="B1205" i="1"/>
  <c r="C1204" i="1"/>
  <c r="B1204" i="1"/>
  <c r="C1203" i="1"/>
  <c r="B1203" i="1"/>
  <c r="C1202" i="1"/>
  <c r="B1202" i="1"/>
  <c r="C1201" i="1"/>
  <c r="B1201" i="1"/>
  <c r="C1200" i="1"/>
  <c r="B1200" i="1"/>
  <c r="C1199" i="1"/>
  <c r="B1199" i="1"/>
  <c r="C1198" i="1"/>
  <c r="B1198" i="1"/>
  <c r="C1197" i="1"/>
  <c r="B1197" i="1"/>
  <c r="C1196" i="1"/>
  <c r="B1196" i="1"/>
  <c r="C1195" i="1"/>
  <c r="B1195" i="1"/>
  <c r="C1194" i="1"/>
  <c r="B1194" i="1"/>
  <c r="C1193" i="1"/>
  <c r="B1193" i="1"/>
  <c r="C1192" i="1"/>
  <c r="B1192" i="1"/>
  <c r="C1191" i="1"/>
  <c r="B1191" i="1"/>
  <c r="C1190" i="1"/>
  <c r="B1190" i="1"/>
  <c r="C1189" i="1"/>
  <c r="B1189" i="1"/>
  <c r="C1188" i="1"/>
  <c r="B1188" i="1"/>
  <c r="C1187" i="1"/>
  <c r="B1187" i="1"/>
  <c r="C1186" i="1"/>
  <c r="B1186" i="1"/>
  <c r="C1185" i="1"/>
  <c r="B1185" i="1"/>
  <c r="C1184" i="1"/>
  <c r="B1184" i="1"/>
  <c r="C1183" i="1"/>
  <c r="B1183" i="1"/>
  <c r="C1182" i="1"/>
  <c r="B1182" i="1"/>
  <c r="C1181" i="1"/>
  <c r="B1181" i="1"/>
  <c r="C1180" i="1"/>
  <c r="B1180" i="1"/>
  <c r="C1179" i="1"/>
  <c r="B1179" i="1"/>
  <c r="C1178" i="1"/>
  <c r="B1178" i="1"/>
  <c r="C1177" i="1"/>
  <c r="B1177" i="1"/>
  <c r="C1176" i="1"/>
  <c r="B1176" i="1"/>
  <c r="C1175" i="1"/>
  <c r="B1175" i="1"/>
  <c r="C1174" i="1"/>
  <c r="B1174" i="1"/>
  <c r="C1173" i="1"/>
  <c r="B1173" i="1"/>
  <c r="C1172" i="1"/>
  <c r="B1172" i="1"/>
  <c r="C1171" i="1"/>
  <c r="B1171" i="1"/>
  <c r="C1170" i="1"/>
  <c r="B1170" i="1"/>
  <c r="C1169" i="1"/>
  <c r="B1169" i="1"/>
  <c r="C1168" i="1"/>
  <c r="B1168" i="1"/>
  <c r="C1167" i="1"/>
  <c r="B1167" i="1"/>
  <c r="C1166" i="1"/>
  <c r="B1166" i="1"/>
  <c r="C1165" i="1"/>
  <c r="B1165" i="1"/>
  <c r="C1164" i="1"/>
  <c r="B1164" i="1"/>
  <c r="C1163" i="1"/>
  <c r="B1163" i="1"/>
  <c r="C1162" i="1"/>
  <c r="B1162" i="1"/>
  <c r="C1161" i="1"/>
  <c r="B1161" i="1"/>
  <c r="C1160" i="1"/>
  <c r="B1160" i="1"/>
  <c r="C1159" i="1"/>
  <c r="B1159" i="1"/>
  <c r="C1158" i="1"/>
  <c r="B1158" i="1"/>
  <c r="C1157" i="1"/>
  <c r="B1157" i="1"/>
  <c r="C1156" i="1"/>
  <c r="B1156" i="1"/>
  <c r="C1155" i="1"/>
  <c r="B1155" i="1"/>
  <c r="C1154" i="1"/>
  <c r="B1154" i="1"/>
  <c r="C1153" i="1"/>
  <c r="B1153" i="1"/>
  <c r="C1152" i="1"/>
  <c r="B1152" i="1"/>
  <c r="C1151" i="1"/>
  <c r="B1151" i="1"/>
  <c r="C1150" i="1"/>
  <c r="B1150" i="1"/>
  <c r="C1149" i="1"/>
  <c r="B1149" i="1"/>
  <c r="C1148" i="1"/>
  <c r="B1148" i="1"/>
  <c r="C1147" i="1"/>
  <c r="B1147" i="1"/>
  <c r="C1146" i="1"/>
  <c r="B1146" i="1"/>
  <c r="C1145" i="1"/>
  <c r="B1145" i="1"/>
  <c r="C1144" i="1"/>
  <c r="B1144" i="1"/>
  <c r="C1143" i="1"/>
  <c r="B1143" i="1"/>
  <c r="C1142" i="1"/>
  <c r="B1142" i="1"/>
  <c r="C1141" i="1"/>
  <c r="B1141" i="1"/>
  <c r="C1140" i="1"/>
  <c r="B1140" i="1"/>
  <c r="C1139" i="1"/>
  <c r="B1139" i="1"/>
  <c r="C1138" i="1"/>
  <c r="B1138" i="1"/>
  <c r="C1137" i="1"/>
  <c r="B1137" i="1"/>
  <c r="C1136" i="1"/>
  <c r="B1136" i="1"/>
  <c r="C1135" i="1"/>
  <c r="B1135" i="1"/>
  <c r="C1134" i="1"/>
  <c r="B1134" i="1"/>
  <c r="C1133" i="1"/>
  <c r="B1133" i="1"/>
  <c r="C1132" i="1"/>
  <c r="B1132" i="1"/>
  <c r="C1131" i="1"/>
  <c r="B1131" i="1"/>
  <c r="C1130" i="1"/>
  <c r="B1130" i="1"/>
  <c r="C1129" i="1"/>
  <c r="B1129" i="1"/>
  <c r="C1128" i="1"/>
  <c r="B1128" i="1"/>
  <c r="C1127" i="1"/>
  <c r="B1127" i="1"/>
  <c r="C1126" i="1"/>
  <c r="B1126" i="1"/>
  <c r="C1125" i="1"/>
  <c r="B1125" i="1"/>
  <c r="C1124" i="1"/>
  <c r="B1124" i="1"/>
  <c r="C1123" i="1"/>
  <c r="B1123" i="1"/>
  <c r="C1122" i="1"/>
  <c r="B1122" i="1"/>
  <c r="C1121" i="1"/>
  <c r="B1121" i="1"/>
  <c r="C1120" i="1"/>
  <c r="B1120" i="1"/>
  <c r="C1119" i="1"/>
  <c r="B1119" i="1"/>
  <c r="C1118" i="1"/>
  <c r="B1118" i="1"/>
  <c r="C1117" i="1"/>
  <c r="B1117" i="1"/>
  <c r="C1116" i="1"/>
  <c r="B1116" i="1"/>
  <c r="C1115" i="1"/>
  <c r="B1115" i="1"/>
  <c r="C1114" i="1"/>
  <c r="B1114" i="1"/>
  <c r="C1113" i="1"/>
  <c r="B1113" i="1"/>
  <c r="C1112" i="1"/>
  <c r="B1112" i="1"/>
  <c r="C1111" i="1"/>
  <c r="B1111" i="1"/>
  <c r="C1110" i="1"/>
  <c r="B1110" i="1"/>
  <c r="C1109" i="1"/>
  <c r="B1109" i="1"/>
  <c r="C1108" i="1"/>
  <c r="B1108" i="1"/>
  <c r="C1107" i="1"/>
  <c r="B1107" i="1"/>
  <c r="C1106" i="1"/>
  <c r="B1106" i="1"/>
  <c r="C1105" i="1"/>
  <c r="B1105" i="1"/>
  <c r="C1104" i="1"/>
  <c r="B1104" i="1"/>
  <c r="C1103" i="1"/>
  <c r="B1103" i="1"/>
  <c r="C1102" i="1"/>
  <c r="B1102" i="1"/>
  <c r="C1101" i="1"/>
  <c r="B1101" i="1"/>
  <c r="C1100" i="1"/>
  <c r="B1100" i="1"/>
  <c r="C1099" i="1"/>
  <c r="B1099" i="1"/>
  <c r="C1098" i="1"/>
  <c r="B1098" i="1"/>
  <c r="C1097" i="1"/>
  <c r="B1097" i="1"/>
  <c r="C1096" i="1"/>
  <c r="B1096" i="1"/>
  <c r="C1095" i="1"/>
  <c r="B1095" i="1"/>
  <c r="C1094" i="1"/>
  <c r="B1094" i="1"/>
  <c r="C1093" i="1"/>
  <c r="B1093" i="1"/>
  <c r="C1092" i="1"/>
  <c r="B1092" i="1"/>
  <c r="C1091" i="1"/>
  <c r="B1091" i="1"/>
  <c r="C1090" i="1"/>
  <c r="B1090" i="1"/>
  <c r="C1089" i="1"/>
  <c r="B1089" i="1"/>
  <c r="C1088" i="1"/>
  <c r="B1088" i="1"/>
  <c r="C1087" i="1"/>
  <c r="B1087" i="1"/>
  <c r="C1086" i="1"/>
  <c r="B1086" i="1"/>
  <c r="C1085" i="1"/>
  <c r="B1085" i="1"/>
  <c r="C1084" i="1"/>
  <c r="B1084" i="1"/>
  <c r="C1083" i="1"/>
  <c r="B1083" i="1"/>
  <c r="C1082" i="1"/>
  <c r="B1082" i="1"/>
  <c r="C1081" i="1"/>
  <c r="B1081" i="1"/>
  <c r="C1080" i="1"/>
  <c r="B1080" i="1"/>
  <c r="C1079" i="1"/>
  <c r="B1079" i="1"/>
  <c r="C1078" i="1"/>
  <c r="B1078" i="1"/>
  <c r="C1077" i="1"/>
  <c r="B1077" i="1"/>
  <c r="C1076" i="1"/>
  <c r="B1076" i="1"/>
  <c r="C1075" i="1"/>
  <c r="B1075" i="1"/>
  <c r="C1074" i="1"/>
  <c r="B1074" i="1"/>
  <c r="C1073" i="1"/>
  <c r="B1073" i="1"/>
  <c r="C1072" i="1"/>
  <c r="B1072" i="1"/>
  <c r="C1071" i="1"/>
  <c r="B1071" i="1"/>
  <c r="C1070" i="1"/>
  <c r="B1070" i="1"/>
  <c r="C1069" i="1"/>
  <c r="B1069" i="1"/>
  <c r="C1068" i="1"/>
  <c r="B1068" i="1"/>
  <c r="C1067" i="1"/>
  <c r="B1067" i="1"/>
  <c r="C1066" i="1"/>
  <c r="B1066" i="1"/>
  <c r="C1065" i="1"/>
  <c r="B1065" i="1"/>
  <c r="C1064" i="1"/>
  <c r="B1064" i="1"/>
  <c r="C1063" i="1"/>
  <c r="B1063" i="1"/>
  <c r="C1062" i="1"/>
  <c r="B1062" i="1"/>
  <c r="C1061" i="1"/>
  <c r="B1061" i="1"/>
  <c r="C1060" i="1"/>
  <c r="B1060" i="1"/>
  <c r="C1059" i="1"/>
  <c r="B1059" i="1"/>
  <c r="C1058" i="1"/>
  <c r="B1058" i="1"/>
  <c r="C1057" i="1"/>
  <c r="B1057" i="1"/>
  <c r="C1056" i="1"/>
  <c r="B1056" i="1"/>
  <c r="C1055" i="1"/>
  <c r="B1055" i="1"/>
  <c r="C1054" i="1"/>
  <c r="B1054" i="1"/>
  <c r="C1053" i="1"/>
  <c r="B1053" i="1"/>
  <c r="C1052" i="1"/>
  <c r="B1052" i="1"/>
  <c r="C1051" i="1"/>
  <c r="B1051" i="1"/>
  <c r="C1050" i="1"/>
  <c r="B1050" i="1"/>
  <c r="C1049" i="1"/>
  <c r="B1049" i="1"/>
  <c r="C1048" i="1"/>
  <c r="B1048" i="1"/>
  <c r="C1047" i="1"/>
  <c r="B1047" i="1"/>
  <c r="C1046" i="1"/>
  <c r="B1046" i="1"/>
  <c r="C1045" i="1"/>
  <c r="B1045" i="1"/>
  <c r="C1044" i="1"/>
  <c r="B1044" i="1"/>
  <c r="C1043" i="1"/>
  <c r="B1043" i="1"/>
  <c r="C1042" i="1"/>
  <c r="B1042" i="1"/>
  <c r="C1041" i="1"/>
  <c r="B1041" i="1"/>
  <c r="C1040" i="1"/>
  <c r="B1040" i="1"/>
  <c r="C1039" i="1"/>
  <c r="B1039" i="1"/>
  <c r="C1038" i="1"/>
  <c r="B1038" i="1"/>
  <c r="C1037" i="1"/>
  <c r="B1037" i="1"/>
  <c r="C1036" i="1"/>
  <c r="B1036" i="1"/>
  <c r="C1035" i="1"/>
  <c r="B1035" i="1"/>
  <c r="C1034" i="1"/>
  <c r="B1034" i="1"/>
  <c r="C1033" i="1"/>
  <c r="B1033" i="1"/>
  <c r="C1032" i="1"/>
  <c r="B1032" i="1"/>
  <c r="C1031" i="1"/>
  <c r="B1031" i="1"/>
  <c r="C1030" i="1"/>
  <c r="B1030" i="1"/>
  <c r="C1029" i="1"/>
  <c r="B1029" i="1"/>
  <c r="C1028" i="1"/>
  <c r="B1028" i="1"/>
  <c r="C1027" i="1"/>
  <c r="B1027" i="1"/>
  <c r="C1026" i="1"/>
  <c r="B1026" i="1"/>
  <c r="C1025" i="1"/>
  <c r="B1025" i="1"/>
  <c r="C1024" i="1"/>
  <c r="B1024" i="1"/>
  <c r="C1023" i="1"/>
  <c r="B1023" i="1"/>
  <c r="C1022" i="1"/>
  <c r="B1022" i="1"/>
  <c r="C1021" i="1"/>
  <c r="B1021" i="1"/>
  <c r="C1020" i="1"/>
  <c r="B1020" i="1"/>
  <c r="C1019" i="1"/>
  <c r="B1019" i="1"/>
  <c r="C1018" i="1"/>
  <c r="B1018" i="1"/>
  <c r="C1017" i="1"/>
  <c r="B1017" i="1"/>
  <c r="C1016" i="1"/>
  <c r="B1016" i="1"/>
  <c r="C1015" i="1"/>
  <c r="B1015" i="1"/>
  <c r="C1014" i="1"/>
  <c r="B1014" i="1"/>
  <c r="C1013" i="1"/>
  <c r="B1013" i="1"/>
  <c r="C1012" i="1"/>
  <c r="B1012" i="1"/>
  <c r="C1011" i="1"/>
  <c r="B1011" i="1"/>
  <c r="C1010" i="1"/>
  <c r="B1010" i="1"/>
  <c r="C1009" i="1"/>
  <c r="B1009" i="1"/>
  <c r="C1008" i="1"/>
  <c r="B1008" i="1"/>
  <c r="C1007" i="1"/>
  <c r="B1007" i="1"/>
  <c r="C1006" i="1"/>
  <c r="B1006" i="1"/>
  <c r="C1005" i="1"/>
  <c r="B1005" i="1"/>
  <c r="C1004" i="1"/>
  <c r="B1004" i="1"/>
  <c r="C1003" i="1"/>
  <c r="B1003" i="1"/>
  <c r="C1002" i="1"/>
  <c r="B1002" i="1"/>
  <c r="C1001" i="1"/>
  <c r="B1001" i="1"/>
  <c r="C1000" i="1"/>
  <c r="B1000" i="1"/>
  <c r="C999" i="1"/>
  <c r="B999" i="1"/>
  <c r="C998" i="1"/>
  <c r="B998" i="1"/>
  <c r="C997" i="1"/>
  <c r="B997" i="1"/>
  <c r="C996" i="1"/>
  <c r="B996" i="1"/>
  <c r="C995" i="1"/>
  <c r="B995" i="1"/>
  <c r="C994" i="1"/>
  <c r="B994" i="1"/>
  <c r="C993" i="1"/>
  <c r="B993" i="1"/>
  <c r="C992" i="1"/>
  <c r="B992" i="1"/>
  <c r="C991" i="1"/>
  <c r="B991" i="1"/>
  <c r="C990" i="1"/>
  <c r="B990" i="1"/>
  <c r="C989" i="1"/>
  <c r="B989" i="1"/>
  <c r="C988" i="1"/>
  <c r="B988" i="1"/>
  <c r="C987" i="1"/>
  <c r="B987" i="1"/>
  <c r="C986" i="1"/>
  <c r="B986" i="1"/>
  <c r="C985" i="1"/>
  <c r="B985" i="1"/>
  <c r="C984" i="1"/>
  <c r="B984" i="1"/>
  <c r="C983" i="1"/>
  <c r="B983" i="1"/>
  <c r="C982" i="1"/>
  <c r="B982" i="1"/>
  <c r="C981" i="1"/>
  <c r="B981" i="1"/>
  <c r="C980" i="1"/>
  <c r="B980" i="1"/>
  <c r="C979" i="1"/>
  <c r="B979" i="1"/>
  <c r="C978" i="1"/>
  <c r="B978" i="1"/>
  <c r="C977" i="1"/>
  <c r="B977" i="1"/>
  <c r="C976" i="1"/>
  <c r="B976" i="1"/>
  <c r="C975" i="1"/>
  <c r="B975" i="1"/>
  <c r="C974" i="1"/>
  <c r="B974" i="1"/>
  <c r="C973" i="1"/>
  <c r="B973" i="1"/>
  <c r="C972" i="1"/>
  <c r="B972" i="1"/>
  <c r="C971" i="1"/>
  <c r="B971" i="1"/>
  <c r="C970" i="1"/>
  <c r="B970" i="1"/>
  <c r="C969" i="1"/>
  <c r="B969" i="1"/>
  <c r="C968" i="1"/>
  <c r="B968" i="1"/>
  <c r="C967" i="1"/>
  <c r="B967" i="1"/>
  <c r="C966" i="1"/>
  <c r="B966" i="1"/>
  <c r="C965" i="1"/>
  <c r="B965" i="1"/>
  <c r="C964" i="1"/>
  <c r="B964" i="1"/>
  <c r="C963" i="1"/>
  <c r="B963" i="1"/>
  <c r="C962" i="1"/>
  <c r="B962" i="1"/>
  <c r="C961" i="1"/>
  <c r="B961" i="1"/>
  <c r="C960" i="1"/>
  <c r="B960" i="1"/>
  <c r="C959" i="1"/>
  <c r="B959" i="1"/>
  <c r="C958" i="1"/>
  <c r="B958" i="1"/>
  <c r="C957" i="1"/>
  <c r="B957" i="1"/>
  <c r="C956" i="1"/>
  <c r="B956" i="1"/>
  <c r="C955" i="1"/>
  <c r="B955" i="1"/>
  <c r="C954" i="1"/>
  <c r="B954" i="1"/>
  <c r="C953" i="1"/>
  <c r="B953" i="1"/>
  <c r="C952" i="1"/>
  <c r="B952" i="1"/>
  <c r="C951" i="1"/>
  <c r="B951" i="1"/>
  <c r="C950" i="1"/>
  <c r="B950" i="1"/>
  <c r="C949" i="1"/>
  <c r="B949" i="1"/>
  <c r="C948" i="1"/>
  <c r="B948" i="1"/>
  <c r="C947" i="1"/>
  <c r="B947" i="1"/>
  <c r="C946" i="1"/>
  <c r="B946" i="1"/>
  <c r="C945" i="1"/>
  <c r="B945" i="1"/>
  <c r="C944" i="1"/>
  <c r="B944" i="1"/>
  <c r="C943" i="1"/>
  <c r="B943" i="1"/>
  <c r="C942" i="1"/>
  <c r="B942" i="1"/>
  <c r="C941" i="1"/>
  <c r="B941" i="1"/>
  <c r="C940" i="1"/>
  <c r="B940" i="1"/>
  <c r="C939" i="1"/>
  <c r="B939" i="1"/>
  <c r="C938" i="1"/>
  <c r="B938" i="1"/>
  <c r="C937" i="1"/>
  <c r="B937" i="1"/>
  <c r="C936" i="1"/>
  <c r="B936" i="1"/>
  <c r="C935" i="1"/>
  <c r="B935" i="1"/>
  <c r="C934" i="1"/>
  <c r="B934" i="1"/>
  <c r="C933" i="1"/>
  <c r="B933" i="1"/>
  <c r="C932" i="1"/>
  <c r="B932" i="1"/>
  <c r="C931" i="1"/>
  <c r="B931" i="1"/>
  <c r="C930" i="1"/>
  <c r="B930" i="1"/>
  <c r="C929" i="1"/>
  <c r="B929" i="1"/>
  <c r="C928" i="1"/>
  <c r="B928" i="1"/>
  <c r="C927" i="1"/>
  <c r="B927" i="1"/>
  <c r="C926" i="1"/>
  <c r="B926" i="1"/>
  <c r="C925" i="1"/>
  <c r="B925" i="1"/>
  <c r="C924" i="1"/>
  <c r="B924" i="1"/>
  <c r="C923" i="1"/>
  <c r="B923" i="1"/>
  <c r="C922" i="1"/>
  <c r="B922" i="1"/>
  <c r="C921" i="1"/>
  <c r="B921" i="1"/>
  <c r="C920" i="1"/>
  <c r="B920" i="1"/>
  <c r="C919" i="1"/>
  <c r="B919" i="1"/>
  <c r="C918" i="1"/>
  <c r="B918" i="1"/>
  <c r="C917" i="1"/>
  <c r="B917" i="1"/>
  <c r="C916" i="1"/>
  <c r="B916" i="1"/>
  <c r="C915" i="1"/>
  <c r="B915" i="1"/>
  <c r="C914" i="1"/>
  <c r="B914" i="1"/>
  <c r="C913" i="1"/>
  <c r="B913" i="1"/>
  <c r="C912" i="1"/>
  <c r="B912" i="1"/>
  <c r="C911" i="1"/>
  <c r="B911" i="1"/>
  <c r="C910" i="1"/>
  <c r="B910" i="1"/>
  <c r="C909" i="1"/>
  <c r="B909" i="1"/>
  <c r="C908" i="1"/>
  <c r="B908" i="1"/>
  <c r="C907" i="1"/>
  <c r="B907" i="1"/>
  <c r="C906" i="1"/>
  <c r="B906" i="1"/>
  <c r="C905" i="1"/>
  <c r="B905" i="1"/>
  <c r="C904" i="1"/>
  <c r="B904" i="1"/>
  <c r="C903" i="1"/>
  <c r="B903" i="1"/>
  <c r="C902" i="1"/>
  <c r="B902" i="1"/>
  <c r="C901" i="1"/>
  <c r="B901" i="1"/>
  <c r="C900" i="1"/>
  <c r="B900" i="1"/>
  <c r="C899" i="1"/>
  <c r="B899" i="1"/>
  <c r="C898" i="1"/>
  <c r="B898" i="1"/>
  <c r="C897" i="1"/>
  <c r="B897" i="1"/>
  <c r="C896" i="1"/>
  <c r="B896" i="1"/>
  <c r="C895" i="1"/>
  <c r="B895" i="1"/>
  <c r="C894" i="1"/>
  <c r="B894" i="1"/>
  <c r="C893" i="1"/>
  <c r="B893" i="1"/>
  <c r="C892" i="1"/>
  <c r="B892" i="1"/>
  <c r="C891" i="1"/>
  <c r="B891" i="1"/>
  <c r="C890" i="1"/>
  <c r="B890" i="1"/>
  <c r="C889" i="1"/>
  <c r="B889" i="1"/>
  <c r="C888" i="1"/>
  <c r="B888" i="1"/>
  <c r="C887" i="1"/>
  <c r="B887" i="1"/>
  <c r="C886" i="1"/>
  <c r="B886" i="1"/>
  <c r="C885" i="1"/>
  <c r="B885" i="1"/>
  <c r="C884" i="1"/>
  <c r="B884" i="1"/>
  <c r="C883" i="1"/>
  <c r="B883" i="1"/>
  <c r="C882" i="1"/>
  <c r="B882" i="1"/>
  <c r="C881" i="1"/>
  <c r="B881" i="1"/>
  <c r="C880" i="1"/>
  <c r="B880" i="1"/>
  <c r="C879" i="1"/>
  <c r="B879" i="1"/>
  <c r="C878" i="1"/>
  <c r="B878" i="1"/>
  <c r="C877" i="1"/>
  <c r="B877" i="1"/>
  <c r="C876" i="1"/>
  <c r="B876" i="1"/>
  <c r="C875" i="1"/>
  <c r="B875" i="1"/>
  <c r="C874" i="1"/>
  <c r="B874" i="1"/>
  <c r="C873" i="1"/>
  <c r="B873" i="1"/>
  <c r="C872" i="1"/>
  <c r="B872" i="1"/>
  <c r="C871" i="1"/>
  <c r="B871" i="1"/>
  <c r="C870" i="1"/>
  <c r="B870" i="1"/>
  <c r="C869" i="1"/>
  <c r="B869" i="1"/>
  <c r="C868" i="1"/>
  <c r="B868" i="1"/>
  <c r="C867" i="1"/>
  <c r="B867" i="1"/>
  <c r="C866" i="1"/>
  <c r="B866" i="1"/>
  <c r="C865" i="1"/>
  <c r="B865" i="1"/>
  <c r="C864" i="1"/>
  <c r="B864" i="1"/>
  <c r="C863" i="1"/>
  <c r="B863" i="1"/>
  <c r="C862" i="1"/>
  <c r="B862" i="1"/>
  <c r="C861" i="1"/>
  <c r="B861" i="1"/>
  <c r="C860" i="1"/>
  <c r="B860" i="1"/>
  <c r="C859" i="1"/>
  <c r="B859" i="1"/>
  <c r="C858" i="1"/>
  <c r="B858" i="1"/>
  <c r="C857" i="1"/>
  <c r="B857" i="1"/>
  <c r="C856" i="1"/>
  <c r="B856" i="1"/>
  <c r="C855" i="1"/>
  <c r="B855" i="1"/>
  <c r="C854" i="1"/>
  <c r="B854" i="1"/>
  <c r="C853" i="1"/>
  <c r="B853" i="1"/>
  <c r="C852" i="1"/>
  <c r="B852" i="1"/>
  <c r="C851" i="1"/>
  <c r="B851" i="1"/>
  <c r="C850" i="1"/>
  <c r="B850" i="1"/>
  <c r="C849" i="1"/>
  <c r="B849" i="1"/>
  <c r="C848" i="1"/>
  <c r="B848" i="1"/>
  <c r="C847" i="1"/>
  <c r="B847" i="1"/>
  <c r="C846" i="1"/>
  <c r="B846" i="1"/>
  <c r="C845" i="1"/>
  <c r="B845" i="1"/>
  <c r="C844" i="1"/>
  <c r="B844" i="1"/>
  <c r="C843" i="1"/>
  <c r="B843" i="1"/>
  <c r="C842" i="1"/>
  <c r="B842" i="1"/>
  <c r="C841" i="1"/>
  <c r="B841" i="1"/>
  <c r="C840" i="1"/>
  <c r="B840" i="1"/>
  <c r="C839" i="1"/>
  <c r="B839" i="1"/>
  <c r="C838" i="1"/>
  <c r="B838" i="1"/>
  <c r="C837" i="1"/>
  <c r="B837" i="1"/>
  <c r="C836" i="1"/>
  <c r="B836" i="1"/>
  <c r="C835" i="1"/>
  <c r="B835" i="1"/>
  <c r="C834" i="1"/>
  <c r="B834" i="1"/>
  <c r="C833" i="1"/>
  <c r="B833" i="1"/>
  <c r="C832" i="1"/>
  <c r="B832" i="1"/>
  <c r="C831" i="1"/>
  <c r="B831" i="1"/>
  <c r="C830" i="1"/>
  <c r="B830" i="1"/>
  <c r="C829" i="1"/>
  <c r="B829" i="1"/>
  <c r="C828" i="1"/>
  <c r="B828" i="1"/>
  <c r="C827" i="1"/>
  <c r="B827" i="1"/>
  <c r="C826" i="1"/>
  <c r="B826" i="1"/>
  <c r="C825" i="1"/>
  <c r="B825" i="1"/>
  <c r="C824" i="1"/>
  <c r="B824" i="1"/>
  <c r="C823" i="1"/>
  <c r="B823" i="1"/>
  <c r="C822" i="1"/>
  <c r="B822" i="1"/>
  <c r="C821" i="1"/>
  <c r="B821" i="1"/>
  <c r="C820" i="1"/>
  <c r="B820" i="1"/>
  <c r="C819" i="1"/>
  <c r="B819" i="1"/>
  <c r="C818" i="1"/>
  <c r="B818" i="1"/>
  <c r="C817" i="1"/>
  <c r="B817" i="1"/>
  <c r="C816" i="1"/>
  <c r="B816" i="1"/>
  <c r="C815" i="1"/>
  <c r="B815" i="1"/>
  <c r="C814" i="1"/>
  <c r="B814" i="1"/>
  <c r="C813" i="1"/>
  <c r="B813" i="1"/>
  <c r="C812" i="1"/>
  <c r="B812" i="1"/>
  <c r="C811" i="1"/>
  <c r="B811" i="1"/>
  <c r="C810" i="1"/>
  <c r="B810" i="1"/>
  <c r="C809" i="1"/>
  <c r="B809" i="1"/>
  <c r="C808" i="1"/>
  <c r="B808" i="1"/>
  <c r="C807" i="1"/>
  <c r="B807" i="1"/>
  <c r="C806" i="1"/>
  <c r="B806" i="1"/>
  <c r="C805" i="1"/>
  <c r="B805" i="1"/>
  <c r="C804" i="1"/>
  <c r="B804" i="1"/>
  <c r="C803" i="1"/>
  <c r="B803" i="1"/>
  <c r="C802" i="1"/>
  <c r="B802" i="1"/>
  <c r="C801" i="1"/>
  <c r="B801" i="1"/>
  <c r="C800" i="1"/>
  <c r="B800" i="1"/>
  <c r="C799" i="1"/>
  <c r="B799" i="1"/>
  <c r="C798" i="1"/>
  <c r="B798" i="1"/>
  <c r="C797" i="1"/>
  <c r="B797" i="1"/>
  <c r="C796" i="1"/>
  <c r="B796" i="1"/>
  <c r="C795" i="1"/>
  <c r="B795" i="1"/>
  <c r="C794" i="1"/>
  <c r="B794" i="1"/>
  <c r="C793" i="1"/>
  <c r="B793" i="1"/>
  <c r="C792" i="1"/>
  <c r="B792" i="1"/>
  <c r="C791" i="1"/>
  <c r="B791" i="1"/>
  <c r="C790" i="1"/>
  <c r="B790" i="1"/>
  <c r="C789" i="1"/>
  <c r="B789" i="1"/>
  <c r="C788" i="1"/>
  <c r="B788" i="1"/>
  <c r="C787" i="1"/>
  <c r="B787" i="1"/>
  <c r="C786" i="1"/>
  <c r="B786" i="1"/>
  <c r="C785" i="1"/>
  <c r="B785" i="1"/>
  <c r="C784" i="1"/>
  <c r="B784" i="1"/>
  <c r="C783" i="1"/>
  <c r="B783" i="1"/>
  <c r="C782" i="1"/>
  <c r="B782" i="1"/>
  <c r="C781" i="1"/>
  <c r="B781" i="1"/>
  <c r="C780" i="1"/>
  <c r="B780" i="1"/>
  <c r="C779" i="1"/>
  <c r="B779" i="1"/>
  <c r="C778" i="1"/>
  <c r="B778" i="1"/>
  <c r="C777" i="1"/>
  <c r="B777" i="1"/>
  <c r="C776" i="1"/>
  <c r="B776" i="1"/>
  <c r="C775" i="1"/>
  <c r="B775" i="1"/>
  <c r="C774" i="1"/>
  <c r="B774" i="1"/>
  <c r="C773" i="1"/>
  <c r="B773" i="1"/>
  <c r="C772" i="1"/>
  <c r="B772" i="1"/>
  <c r="C771" i="1"/>
  <c r="B771" i="1"/>
  <c r="C770" i="1"/>
  <c r="B770" i="1"/>
  <c r="C769" i="1"/>
  <c r="B769" i="1"/>
  <c r="C768" i="1"/>
  <c r="B768" i="1"/>
  <c r="C767" i="1"/>
  <c r="B767" i="1"/>
  <c r="C766" i="1"/>
  <c r="B766" i="1"/>
  <c r="C765" i="1"/>
  <c r="B765" i="1"/>
  <c r="C764" i="1"/>
  <c r="B764" i="1"/>
  <c r="C763" i="1"/>
  <c r="B763" i="1"/>
  <c r="C762" i="1"/>
  <c r="B762" i="1"/>
  <c r="C761" i="1"/>
  <c r="B761" i="1"/>
  <c r="C760" i="1"/>
  <c r="B760" i="1"/>
  <c r="C759" i="1"/>
  <c r="B759" i="1"/>
  <c r="C758" i="1"/>
  <c r="B758" i="1"/>
  <c r="C757" i="1"/>
  <c r="B757" i="1"/>
  <c r="C756" i="1"/>
  <c r="B756" i="1"/>
  <c r="C755" i="1"/>
  <c r="B755" i="1"/>
  <c r="C754" i="1"/>
  <c r="B754" i="1"/>
  <c r="C753" i="1"/>
  <c r="B753" i="1"/>
  <c r="C752" i="1"/>
  <c r="B752" i="1"/>
  <c r="C751" i="1"/>
  <c r="B751" i="1"/>
  <c r="C750" i="1"/>
  <c r="B750" i="1"/>
  <c r="C749" i="1"/>
  <c r="B749" i="1"/>
  <c r="C748" i="1"/>
  <c r="B748" i="1"/>
  <c r="C747" i="1"/>
  <c r="B747" i="1"/>
  <c r="C746" i="1"/>
  <c r="B746" i="1"/>
  <c r="C745" i="1"/>
  <c r="B745" i="1"/>
  <c r="C744" i="1"/>
  <c r="B744" i="1"/>
  <c r="C743" i="1"/>
  <c r="B743" i="1"/>
  <c r="C742" i="1"/>
  <c r="B742" i="1"/>
  <c r="C741" i="1"/>
  <c r="B741" i="1"/>
  <c r="C740" i="1"/>
  <c r="B740" i="1"/>
  <c r="C739" i="1"/>
  <c r="B739" i="1"/>
  <c r="C738" i="1"/>
  <c r="B738" i="1"/>
  <c r="C737" i="1"/>
  <c r="B737" i="1"/>
  <c r="C736" i="1"/>
  <c r="B736" i="1"/>
  <c r="C735" i="1"/>
  <c r="B735" i="1"/>
  <c r="C734" i="1"/>
  <c r="B734" i="1"/>
  <c r="C733" i="1"/>
  <c r="B733" i="1"/>
  <c r="C732" i="1"/>
  <c r="B732" i="1"/>
  <c r="C731" i="1"/>
  <c r="B731" i="1"/>
  <c r="C730" i="1"/>
  <c r="B730" i="1"/>
  <c r="C729" i="1"/>
  <c r="B729" i="1"/>
  <c r="C728" i="1"/>
  <c r="B728" i="1"/>
  <c r="C727" i="1"/>
  <c r="B727" i="1"/>
  <c r="C726" i="1"/>
  <c r="B726" i="1"/>
  <c r="C725" i="1"/>
  <c r="B725" i="1"/>
  <c r="C724" i="1"/>
  <c r="B724" i="1"/>
  <c r="C723" i="1"/>
  <c r="B723" i="1"/>
  <c r="C722" i="1"/>
  <c r="B722" i="1"/>
  <c r="C721" i="1"/>
  <c r="B721" i="1"/>
  <c r="C720" i="1"/>
  <c r="B720" i="1"/>
  <c r="C719" i="1"/>
  <c r="B719" i="1"/>
  <c r="C718" i="1"/>
  <c r="B718" i="1"/>
  <c r="C717" i="1"/>
  <c r="B717" i="1"/>
  <c r="C716" i="1"/>
  <c r="B716" i="1"/>
  <c r="C715" i="1"/>
  <c r="B715" i="1"/>
  <c r="C714" i="1"/>
  <c r="B714" i="1"/>
  <c r="C713" i="1"/>
  <c r="B713" i="1"/>
  <c r="C712" i="1"/>
  <c r="B712" i="1"/>
  <c r="C711" i="1"/>
  <c r="B711" i="1"/>
  <c r="C710" i="1"/>
  <c r="B710" i="1"/>
  <c r="C709" i="1"/>
  <c r="B709" i="1"/>
  <c r="C708" i="1"/>
  <c r="B708" i="1"/>
  <c r="C707" i="1"/>
  <c r="B707" i="1"/>
  <c r="C706" i="1"/>
  <c r="B706" i="1"/>
  <c r="C705" i="1"/>
  <c r="B705" i="1"/>
  <c r="C704" i="1"/>
  <c r="B704" i="1"/>
  <c r="C703" i="1"/>
  <c r="B703" i="1"/>
  <c r="C702" i="1"/>
  <c r="B702" i="1"/>
  <c r="C701" i="1"/>
  <c r="B701" i="1"/>
  <c r="C700" i="1"/>
  <c r="B700" i="1"/>
  <c r="C699" i="1"/>
  <c r="B699" i="1"/>
  <c r="C698" i="1"/>
  <c r="B698" i="1"/>
  <c r="C697" i="1"/>
  <c r="B697" i="1"/>
  <c r="C696" i="1"/>
  <c r="B696" i="1"/>
  <c r="C695" i="1"/>
  <c r="B695" i="1"/>
  <c r="C694" i="1"/>
  <c r="B694" i="1"/>
  <c r="C693" i="1"/>
  <c r="B693" i="1"/>
  <c r="C692" i="1"/>
  <c r="B692" i="1"/>
  <c r="C691" i="1"/>
  <c r="B691" i="1"/>
  <c r="C690" i="1"/>
  <c r="B690" i="1"/>
  <c r="C689" i="1"/>
  <c r="B689" i="1"/>
  <c r="C688" i="1"/>
  <c r="B688" i="1"/>
  <c r="C687" i="1"/>
  <c r="B687" i="1"/>
  <c r="C686" i="1"/>
  <c r="B686" i="1"/>
  <c r="C685" i="1"/>
  <c r="B685" i="1"/>
  <c r="C684" i="1"/>
  <c r="B684" i="1"/>
  <c r="C683" i="1"/>
  <c r="B683" i="1"/>
  <c r="C682" i="1"/>
  <c r="B682" i="1"/>
  <c r="C681" i="1"/>
  <c r="B681" i="1"/>
  <c r="C680" i="1"/>
  <c r="B680" i="1"/>
  <c r="C679" i="1"/>
  <c r="B679" i="1"/>
  <c r="C678" i="1"/>
  <c r="B678" i="1"/>
  <c r="C677" i="1"/>
  <c r="B677" i="1"/>
  <c r="C676" i="1"/>
  <c r="B676" i="1"/>
  <c r="C675" i="1"/>
  <c r="B675" i="1"/>
  <c r="C674" i="1"/>
  <c r="B674" i="1"/>
  <c r="C673" i="1"/>
  <c r="B673" i="1"/>
  <c r="C672" i="1"/>
  <c r="B672" i="1"/>
  <c r="C671" i="1"/>
  <c r="B671" i="1"/>
  <c r="C670" i="1"/>
  <c r="B670" i="1"/>
  <c r="C669" i="1"/>
  <c r="B669" i="1"/>
  <c r="C668" i="1"/>
  <c r="B668" i="1"/>
  <c r="C667" i="1"/>
  <c r="B667" i="1"/>
  <c r="C666" i="1"/>
  <c r="B666" i="1"/>
  <c r="C665" i="1"/>
  <c r="B665" i="1"/>
  <c r="C664" i="1"/>
  <c r="B664" i="1"/>
  <c r="C663" i="1"/>
  <c r="B663" i="1"/>
  <c r="C662" i="1"/>
  <c r="B662" i="1"/>
  <c r="C661" i="1"/>
  <c r="B661" i="1"/>
  <c r="C660" i="1"/>
  <c r="B660" i="1"/>
  <c r="C659" i="1"/>
  <c r="B659" i="1"/>
  <c r="C658" i="1"/>
  <c r="B658" i="1"/>
  <c r="C657" i="1"/>
  <c r="B657" i="1"/>
  <c r="C656" i="1"/>
  <c r="B656" i="1"/>
  <c r="C655" i="1"/>
  <c r="B655" i="1"/>
  <c r="C654" i="1"/>
  <c r="B654" i="1"/>
  <c r="C653" i="1"/>
  <c r="B653" i="1"/>
  <c r="C652" i="1"/>
  <c r="B652" i="1"/>
  <c r="C651" i="1"/>
  <c r="B651" i="1"/>
  <c r="C650" i="1"/>
  <c r="B650" i="1"/>
  <c r="C649" i="1"/>
  <c r="B649" i="1"/>
  <c r="C648" i="1"/>
  <c r="B648" i="1"/>
  <c r="C647" i="1"/>
  <c r="B647" i="1"/>
  <c r="C646" i="1"/>
  <c r="B646" i="1"/>
  <c r="C645" i="1"/>
  <c r="B645" i="1"/>
  <c r="C644" i="1"/>
  <c r="B644" i="1"/>
  <c r="C643" i="1"/>
  <c r="B643" i="1"/>
  <c r="C642" i="1"/>
  <c r="B642" i="1"/>
  <c r="C641" i="1"/>
  <c r="B641" i="1"/>
  <c r="C640" i="1"/>
  <c r="B640" i="1"/>
  <c r="C639" i="1"/>
  <c r="B639" i="1"/>
  <c r="C638" i="1"/>
  <c r="B638" i="1"/>
  <c r="C637" i="1"/>
  <c r="B637" i="1"/>
  <c r="C636" i="1"/>
  <c r="B636" i="1"/>
  <c r="C635" i="1"/>
  <c r="B635" i="1"/>
  <c r="C634" i="1"/>
  <c r="B634" i="1"/>
  <c r="C633" i="1"/>
  <c r="B633" i="1"/>
  <c r="C632" i="1"/>
  <c r="B632" i="1"/>
  <c r="C631" i="1"/>
  <c r="B631" i="1"/>
  <c r="C630" i="1"/>
  <c r="B630" i="1"/>
  <c r="C629" i="1"/>
  <c r="B629" i="1"/>
  <c r="C628" i="1"/>
  <c r="B628" i="1"/>
  <c r="C627" i="1"/>
  <c r="B627" i="1"/>
  <c r="C626" i="1"/>
  <c r="B626" i="1"/>
  <c r="C625" i="1"/>
  <c r="B625" i="1"/>
  <c r="C624" i="1"/>
  <c r="B624" i="1"/>
  <c r="C623" i="1"/>
  <c r="B623" i="1"/>
  <c r="C622" i="1"/>
  <c r="B622" i="1"/>
  <c r="C621" i="1"/>
  <c r="B621" i="1"/>
  <c r="C620" i="1"/>
  <c r="B620" i="1"/>
  <c r="C619" i="1"/>
  <c r="B619" i="1"/>
  <c r="C618" i="1"/>
  <c r="B618" i="1"/>
  <c r="C617" i="1"/>
  <c r="B617" i="1"/>
  <c r="C616" i="1"/>
  <c r="B616" i="1"/>
  <c r="C615" i="1"/>
  <c r="B615" i="1"/>
  <c r="C614" i="1"/>
  <c r="B614" i="1"/>
  <c r="C613" i="1"/>
  <c r="B613" i="1"/>
  <c r="C612" i="1"/>
  <c r="B612" i="1"/>
  <c r="C611" i="1"/>
  <c r="B611" i="1"/>
  <c r="C610" i="1"/>
  <c r="B610" i="1"/>
  <c r="C609" i="1"/>
  <c r="B609" i="1"/>
  <c r="C608" i="1"/>
  <c r="B608" i="1"/>
  <c r="C607" i="1"/>
  <c r="B607" i="1"/>
  <c r="C606" i="1"/>
  <c r="B606" i="1"/>
  <c r="C605" i="1"/>
  <c r="B605" i="1"/>
  <c r="C604" i="1"/>
  <c r="B604" i="1"/>
  <c r="C603" i="1"/>
  <c r="B603" i="1"/>
  <c r="C602" i="1"/>
  <c r="B602" i="1"/>
  <c r="C601" i="1"/>
  <c r="B601" i="1"/>
  <c r="C600" i="1"/>
  <c r="B600" i="1"/>
  <c r="C599" i="1"/>
  <c r="B599" i="1"/>
  <c r="C598" i="1"/>
  <c r="B598" i="1"/>
  <c r="C597" i="1"/>
  <c r="B597" i="1"/>
  <c r="C596" i="1"/>
  <c r="B596" i="1"/>
  <c r="C595" i="1"/>
  <c r="B595" i="1"/>
  <c r="C594" i="1"/>
  <c r="B594" i="1"/>
  <c r="C593" i="1"/>
  <c r="B593" i="1"/>
  <c r="C592" i="1"/>
  <c r="B592" i="1"/>
  <c r="C591" i="1"/>
  <c r="B591" i="1"/>
  <c r="C590" i="1"/>
  <c r="B590" i="1"/>
  <c r="C589" i="1"/>
  <c r="B589" i="1"/>
  <c r="C588" i="1"/>
  <c r="B588" i="1"/>
  <c r="C587" i="1"/>
  <c r="B587" i="1"/>
  <c r="C586" i="1"/>
  <c r="B586" i="1"/>
  <c r="C585" i="1"/>
  <c r="B585" i="1"/>
  <c r="C584" i="1"/>
  <c r="B584" i="1"/>
  <c r="C583" i="1"/>
  <c r="B583" i="1"/>
  <c r="C582" i="1"/>
  <c r="B582" i="1"/>
  <c r="C581" i="1"/>
  <c r="B581" i="1"/>
  <c r="C580" i="1"/>
  <c r="B580" i="1"/>
  <c r="C579" i="1"/>
  <c r="B579" i="1"/>
  <c r="C578" i="1"/>
  <c r="B578" i="1"/>
  <c r="C577" i="1"/>
  <c r="B577" i="1"/>
  <c r="C576" i="1"/>
  <c r="B576" i="1"/>
  <c r="C575" i="1"/>
  <c r="B575" i="1"/>
  <c r="C574" i="1"/>
  <c r="B574" i="1"/>
  <c r="C573" i="1"/>
  <c r="B573" i="1"/>
  <c r="C572" i="1"/>
  <c r="B572" i="1"/>
  <c r="C571" i="1"/>
  <c r="B571" i="1"/>
  <c r="C570" i="1"/>
  <c r="B570" i="1"/>
  <c r="C569" i="1"/>
  <c r="B569" i="1"/>
  <c r="C568" i="1"/>
  <c r="B568" i="1"/>
  <c r="C567" i="1"/>
  <c r="B567" i="1"/>
  <c r="C566" i="1"/>
  <c r="B566" i="1"/>
  <c r="C565" i="1"/>
  <c r="B565" i="1"/>
  <c r="C564" i="1"/>
  <c r="B564" i="1"/>
  <c r="C563" i="1"/>
  <c r="B563" i="1"/>
  <c r="C562" i="1"/>
  <c r="B562" i="1"/>
  <c r="C561" i="1"/>
  <c r="B561" i="1"/>
  <c r="C560" i="1"/>
  <c r="B560" i="1"/>
  <c r="C559" i="1"/>
  <c r="B559" i="1"/>
  <c r="C558" i="1"/>
  <c r="B558" i="1"/>
  <c r="C557" i="1"/>
  <c r="B557" i="1"/>
  <c r="C556" i="1"/>
  <c r="B556" i="1"/>
  <c r="C555" i="1"/>
  <c r="B555" i="1"/>
  <c r="C554" i="1"/>
  <c r="B554" i="1"/>
  <c r="C553" i="1"/>
  <c r="B553" i="1"/>
  <c r="C552" i="1"/>
  <c r="B552" i="1"/>
  <c r="C551" i="1"/>
  <c r="B551" i="1"/>
  <c r="C550" i="1"/>
  <c r="B550" i="1"/>
  <c r="C549" i="1"/>
  <c r="B549" i="1"/>
  <c r="C548" i="1"/>
  <c r="B548" i="1"/>
  <c r="C547" i="1"/>
  <c r="B547" i="1"/>
  <c r="C546" i="1"/>
  <c r="B546" i="1"/>
  <c r="C545" i="1"/>
  <c r="B545" i="1"/>
  <c r="C544" i="1"/>
  <c r="B544" i="1"/>
  <c r="C543" i="1"/>
  <c r="B543" i="1"/>
  <c r="C542" i="1"/>
  <c r="B542" i="1"/>
  <c r="C541" i="1"/>
  <c r="B541" i="1"/>
  <c r="C540" i="1"/>
  <c r="B540" i="1"/>
  <c r="C539" i="1"/>
  <c r="B539" i="1"/>
  <c r="C538" i="1"/>
  <c r="B538" i="1"/>
  <c r="C537" i="1"/>
  <c r="B537" i="1"/>
  <c r="C536" i="1"/>
  <c r="B536" i="1"/>
  <c r="C535" i="1"/>
  <c r="B535" i="1"/>
  <c r="C534" i="1"/>
  <c r="B534" i="1"/>
  <c r="C533" i="1"/>
  <c r="B533" i="1"/>
  <c r="C532" i="1"/>
  <c r="B532" i="1"/>
  <c r="C531" i="1"/>
  <c r="B531" i="1"/>
  <c r="C530" i="1"/>
  <c r="B530" i="1"/>
  <c r="C529" i="1"/>
  <c r="B529" i="1"/>
  <c r="C528" i="1"/>
  <c r="B528" i="1"/>
  <c r="C527" i="1"/>
  <c r="B527" i="1"/>
  <c r="C526" i="1"/>
  <c r="B526" i="1"/>
  <c r="C525" i="1"/>
  <c r="B525" i="1"/>
  <c r="C524" i="1"/>
  <c r="B524" i="1"/>
  <c r="C523" i="1"/>
  <c r="B523" i="1"/>
  <c r="C522" i="1"/>
  <c r="B522" i="1"/>
  <c r="C521" i="1"/>
  <c r="B521" i="1"/>
  <c r="C520" i="1"/>
  <c r="B520" i="1"/>
  <c r="C519" i="1"/>
  <c r="B519" i="1"/>
  <c r="C518" i="1"/>
  <c r="B518" i="1"/>
  <c r="C517" i="1"/>
  <c r="B517" i="1"/>
  <c r="C516" i="1"/>
  <c r="B516" i="1"/>
  <c r="C515" i="1"/>
  <c r="B515" i="1"/>
  <c r="C514" i="1"/>
  <c r="B514" i="1"/>
  <c r="C513" i="1"/>
  <c r="B513" i="1"/>
  <c r="C512" i="1"/>
  <c r="B512" i="1"/>
  <c r="C511" i="1"/>
  <c r="B511" i="1"/>
  <c r="C510" i="1"/>
  <c r="B510" i="1"/>
  <c r="C509" i="1"/>
  <c r="B509" i="1"/>
  <c r="C508" i="1"/>
  <c r="B508" i="1"/>
  <c r="C507" i="1"/>
  <c r="B507" i="1"/>
  <c r="C506" i="1"/>
  <c r="B506" i="1"/>
  <c r="C505" i="1"/>
  <c r="B505" i="1"/>
  <c r="C504" i="1"/>
  <c r="B504" i="1"/>
  <c r="C503" i="1"/>
  <c r="B503" i="1"/>
  <c r="C502" i="1"/>
  <c r="B502" i="1"/>
  <c r="C501" i="1"/>
  <c r="B501" i="1"/>
  <c r="C500" i="1"/>
  <c r="B500" i="1"/>
  <c r="C499" i="1"/>
  <c r="B499" i="1"/>
  <c r="C498" i="1"/>
  <c r="B498" i="1"/>
  <c r="C497" i="1"/>
  <c r="B497" i="1"/>
  <c r="C496" i="1"/>
  <c r="B496" i="1"/>
  <c r="C495" i="1"/>
  <c r="B495" i="1"/>
  <c r="C494" i="1"/>
  <c r="B494" i="1"/>
  <c r="C493" i="1"/>
  <c r="B493" i="1"/>
  <c r="C492" i="1"/>
  <c r="B492" i="1"/>
  <c r="C491" i="1"/>
  <c r="B491" i="1"/>
  <c r="C490" i="1"/>
  <c r="B490" i="1"/>
  <c r="C489" i="1"/>
  <c r="B489" i="1"/>
  <c r="C488" i="1"/>
  <c r="B488" i="1"/>
  <c r="C487" i="1"/>
  <c r="B487" i="1"/>
  <c r="C486" i="1"/>
  <c r="B486" i="1"/>
  <c r="C485" i="1"/>
  <c r="B485" i="1"/>
  <c r="C484" i="1"/>
  <c r="B484" i="1"/>
  <c r="C483" i="1"/>
  <c r="B483" i="1"/>
  <c r="C482" i="1"/>
  <c r="B482" i="1"/>
  <c r="C481" i="1"/>
  <c r="B481" i="1"/>
  <c r="C480" i="1"/>
  <c r="B480" i="1"/>
  <c r="C479" i="1"/>
  <c r="B479" i="1"/>
  <c r="C478" i="1"/>
  <c r="B478" i="1"/>
  <c r="C477" i="1"/>
  <c r="B477" i="1"/>
  <c r="C476" i="1"/>
  <c r="B476" i="1"/>
  <c r="C475" i="1"/>
  <c r="B475" i="1"/>
  <c r="C474" i="1"/>
  <c r="B474" i="1"/>
  <c r="C473" i="1"/>
  <c r="B473" i="1"/>
  <c r="C472" i="1"/>
  <c r="B472" i="1"/>
  <c r="C471" i="1"/>
  <c r="B471" i="1"/>
  <c r="C470" i="1"/>
  <c r="B470" i="1"/>
  <c r="C469" i="1"/>
  <c r="B469" i="1"/>
  <c r="C468" i="1"/>
  <c r="B468" i="1"/>
  <c r="C467" i="1"/>
  <c r="B467" i="1"/>
  <c r="C466" i="1"/>
  <c r="B466" i="1"/>
  <c r="C465" i="1"/>
  <c r="B465" i="1"/>
  <c r="C464" i="1"/>
  <c r="B464" i="1"/>
  <c r="C463" i="1"/>
  <c r="B463" i="1"/>
  <c r="C462" i="1"/>
  <c r="B462" i="1"/>
  <c r="C461" i="1"/>
  <c r="B461" i="1"/>
  <c r="C460" i="1"/>
  <c r="B460" i="1"/>
  <c r="C459" i="1"/>
  <c r="B459" i="1"/>
  <c r="C458" i="1"/>
  <c r="B458" i="1"/>
  <c r="C457" i="1"/>
  <c r="B457" i="1"/>
  <c r="C456" i="1"/>
  <c r="B456" i="1"/>
  <c r="C455" i="1"/>
  <c r="B455" i="1"/>
  <c r="C454" i="1"/>
  <c r="B454" i="1"/>
  <c r="C453" i="1"/>
  <c r="B453" i="1"/>
  <c r="C452" i="1"/>
  <c r="B452" i="1"/>
  <c r="C451" i="1"/>
  <c r="B451" i="1"/>
  <c r="C450" i="1"/>
  <c r="B450" i="1"/>
  <c r="C449" i="1"/>
  <c r="B449" i="1"/>
  <c r="C448" i="1"/>
  <c r="B448" i="1"/>
  <c r="C447" i="1"/>
  <c r="B447" i="1"/>
  <c r="C446" i="1"/>
  <c r="B446" i="1"/>
  <c r="C445" i="1"/>
  <c r="B445" i="1"/>
  <c r="C444" i="1"/>
  <c r="B444" i="1"/>
  <c r="C443" i="1"/>
  <c r="B443" i="1"/>
  <c r="C442" i="1"/>
  <c r="B442" i="1"/>
  <c r="C441" i="1"/>
  <c r="B441" i="1"/>
  <c r="C440" i="1"/>
  <c r="B440" i="1"/>
  <c r="C439" i="1"/>
  <c r="B439" i="1"/>
  <c r="C438" i="1"/>
  <c r="B438" i="1"/>
  <c r="C437" i="1"/>
  <c r="B437" i="1"/>
  <c r="C436" i="1"/>
  <c r="B436" i="1"/>
  <c r="C435" i="1"/>
  <c r="B435" i="1"/>
  <c r="C434" i="1"/>
  <c r="B434" i="1"/>
  <c r="C433" i="1"/>
  <c r="B433" i="1"/>
  <c r="C432" i="1"/>
  <c r="B432" i="1"/>
  <c r="C431" i="1"/>
  <c r="B431" i="1"/>
  <c r="C430" i="1"/>
  <c r="B430" i="1"/>
  <c r="C429" i="1"/>
  <c r="B429" i="1"/>
  <c r="C428" i="1"/>
  <c r="B428" i="1"/>
  <c r="C427" i="1"/>
  <c r="B427" i="1"/>
  <c r="C426" i="1"/>
  <c r="B426" i="1"/>
  <c r="C425" i="1"/>
  <c r="B425" i="1"/>
  <c r="C424" i="1"/>
  <c r="B424" i="1"/>
  <c r="C423" i="1"/>
  <c r="B423" i="1"/>
  <c r="C422" i="1"/>
  <c r="B422" i="1"/>
  <c r="C421" i="1"/>
  <c r="B421" i="1"/>
  <c r="C420" i="1"/>
  <c r="B420" i="1"/>
  <c r="C419" i="1"/>
  <c r="B419" i="1"/>
  <c r="C418" i="1"/>
  <c r="B418" i="1"/>
  <c r="C417" i="1"/>
  <c r="B417" i="1"/>
  <c r="C416" i="1"/>
  <c r="B416" i="1"/>
  <c r="C415" i="1"/>
  <c r="B415" i="1"/>
  <c r="C414" i="1"/>
  <c r="B414" i="1"/>
  <c r="C413" i="1"/>
  <c r="B413" i="1"/>
  <c r="C412" i="1"/>
  <c r="B412" i="1"/>
  <c r="C411" i="1"/>
  <c r="B411" i="1"/>
  <c r="C410" i="1"/>
  <c r="B410" i="1"/>
  <c r="C409" i="1"/>
  <c r="B409" i="1"/>
  <c r="C408" i="1"/>
  <c r="B408" i="1"/>
  <c r="C407" i="1"/>
  <c r="B407" i="1"/>
  <c r="C406" i="1"/>
  <c r="B406" i="1"/>
  <c r="C405" i="1"/>
  <c r="B405" i="1"/>
  <c r="C404" i="1"/>
  <c r="B404" i="1"/>
  <c r="C403" i="1"/>
  <c r="B403" i="1"/>
  <c r="C402" i="1"/>
  <c r="B402" i="1"/>
  <c r="C401" i="1"/>
  <c r="B401" i="1"/>
  <c r="C400" i="1"/>
  <c r="B400" i="1"/>
  <c r="C399" i="1"/>
  <c r="B399" i="1"/>
  <c r="C398" i="1"/>
  <c r="B398" i="1"/>
  <c r="C397" i="1"/>
  <c r="B397" i="1"/>
  <c r="C396" i="1"/>
  <c r="B396" i="1"/>
  <c r="C395" i="1"/>
  <c r="B395" i="1"/>
  <c r="C394" i="1"/>
  <c r="B394" i="1"/>
  <c r="C393" i="1"/>
  <c r="B393" i="1"/>
  <c r="C392" i="1"/>
  <c r="B392" i="1"/>
  <c r="C391" i="1"/>
  <c r="B391" i="1"/>
  <c r="C390" i="1"/>
  <c r="B390" i="1"/>
  <c r="C389" i="1"/>
  <c r="B389" i="1"/>
  <c r="C388" i="1"/>
  <c r="B388" i="1"/>
  <c r="C387" i="1"/>
  <c r="B387" i="1"/>
  <c r="C386" i="1"/>
  <c r="B386" i="1"/>
  <c r="C385" i="1"/>
  <c r="B385" i="1"/>
  <c r="C384" i="1"/>
  <c r="B384" i="1"/>
  <c r="C383" i="1"/>
  <c r="B383" i="1"/>
  <c r="C382" i="1"/>
  <c r="B382" i="1"/>
  <c r="C381" i="1"/>
  <c r="B381" i="1"/>
  <c r="C380" i="1"/>
  <c r="B380" i="1"/>
  <c r="C379" i="1"/>
  <c r="B379" i="1"/>
  <c r="C378" i="1"/>
  <c r="B378" i="1"/>
  <c r="C377" i="1"/>
  <c r="B377" i="1"/>
  <c r="C376" i="1"/>
  <c r="B376" i="1"/>
  <c r="C375" i="1"/>
  <c r="B375" i="1"/>
  <c r="C374" i="1"/>
  <c r="B374" i="1"/>
  <c r="C373" i="1"/>
  <c r="B373" i="1"/>
  <c r="C372" i="1"/>
  <c r="B372" i="1"/>
  <c r="C371" i="1"/>
  <c r="B371" i="1"/>
  <c r="C370" i="1"/>
  <c r="B370" i="1"/>
  <c r="C369" i="1"/>
  <c r="B369" i="1"/>
  <c r="C368" i="1"/>
  <c r="B368" i="1"/>
  <c r="C367" i="1"/>
  <c r="B367" i="1"/>
  <c r="C366" i="1"/>
  <c r="B366" i="1"/>
  <c r="C365" i="1"/>
  <c r="B365" i="1"/>
  <c r="C364" i="1"/>
  <c r="B364" i="1"/>
  <c r="C363" i="1"/>
  <c r="B363" i="1"/>
  <c r="C362" i="1"/>
  <c r="B362" i="1"/>
  <c r="C361" i="1"/>
  <c r="B361" i="1"/>
  <c r="C360" i="1"/>
  <c r="B360" i="1"/>
  <c r="C359" i="1"/>
  <c r="B359" i="1"/>
  <c r="C358" i="1"/>
  <c r="B358" i="1"/>
  <c r="C357" i="1"/>
  <c r="B357" i="1"/>
  <c r="C356" i="1"/>
  <c r="B356" i="1"/>
  <c r="C355" i="1"/>
  <c r="B355" i="1"/>
  <c r="C354" i="1"/>
  <c r="B354" i="1"/>
  <c r="C353" i="1"/>
  <c r="B353" i="1"/>
  <c r="C352" i="1"/>
  <c r="B352" i="1"/>
  <c r="C351" i="1"/>
  <c r="B351" i="1"/>
  <c r="C350" i="1"/>
  <c r="B350" i="1"/>
  <c r="C349" i="1"/>
  <c r="B349" i="1"/>
  <c r="C348" i="1"/>
  <c r="B348" i="1"/>
  <c r="C347" i="1"/>
  <c r="B347" i="1"/>
  <c r="C346" i="1"/>
  <c r="B346" i="1"/>
  <c r="C345" i="1"/>
  <c r="B345" i="1"/>
  <c r="C344" i="1"/>
  <c r="B344" i="1"/>
  <c r="C343" i="1"/>
  <c r="B343" i="1"/>
  <c r="C342" i="1"/>
  <c r="B342" i="1"/>
  <c r="C341" i="1"/>
  <c r="B341" i="1"/>
  <c r="C340" i="1"/>
  <c r="B340" i="1"/>
  <c r="C339" i="1"/>
  <c r="B339" i="1"/>
  <c r="C338" i="1"/>
  <c r="B338" i="1"/>
  <c r="C337" i="1"/>
  <c r="B337" i="1"/>
  <c r="C336" i="1"/>
  <c r="B336" i="1"/>
  <c r="C335" i="1"/>
  <c r="B335" i="1"/>
  <c r="C334" i="1"/>
  <c r="B334" i="1"/>
  <c r="C333" i="1"/>
  <c r="B333" i="1"/>
  <c r="C332" i="1"/>
  <c r="B332" i="1"/>
  <c r="C331" i="1"/>
  <c r="B331" i="1"/>
  <c r="C330" i="1"/>
  <c r="B330" i="1"/>
  <c r="C329" i="1"/>
  <c r="B329" i="1"/>
  <c r="C328" i="1"/>
  <c r="B328" i="1"/>
  <c r="C327" i="1"/>
  <c r="B327" i="1"/>
  <c r="C326" i="1"/>
  <c r="B326" i="1"/>
  <c r="C325" i="1"/>
  <c r="B325" i="1"/>
  <c r="C324" i="1"/>
  <c r="B324" i="1"/>
  <c r="C323" i="1"/>
  <c r="B323" i="1"/>
  <c r="C322" i="1"/>
  <c r="B322" i="1"/>
  <c r="C321" i="1"/>
  <c r="B321" i="1"/>
  <c r="C320" i="1"/>
  <c r="B320" i="1"/>
  <c r="C319" i="1"/>
  <c r="B319" i="1"/>
  <c r="C318" i="1"/>
  <c r="B318" i="1"/>
  <c r="C317" i="1"/>
  <c r="B317" i="1"/>
  <c r="C316" i="1"/>
  <c r="B316" i="1"/>
  <c r="C315" i="1"/>
  <c r="B315" i="1"/>
  <c r="C314" i="1"/>
  <c r="B314" i="1"/>
  <c r="C313" i="1"/>
  <c r="B313" i="1"/>
  <c r="C312" i="1"/>
  <c r="B312" i="1"/>
  <c r="C311" i="1"/>
  <c r="B311" i="1"/>
  <c r="C310" i="1"/>
  <c r="B310" i="1"/>
  <c r="C309" i="1"/>
  <c r="B309" i="1"/>
  <c r="C308" i="1"/>
  <c r="B308" i="1"/>
  <c r="C307" i="1"/>
  <c r="B307" i="1"/>
  <c r="C306" i="1"/>
  <c r="B306" i="1"/>
  <c r="C305" i="1"/>
  <c r="B305" i="1"/>
  <c r="C304" i="1"/>
  <c r="B304" i="1"/>
  <c r="C303" i="1"/>
  <c r="B303" i="1"/>
  <c r="C302" i="1"/>
  <c r="B302" i="1"/>
  <c r="C301" i="1"/>
  <c r="B301" i="1"/>
  <c r="C300" i="1"/>
  <c r="B300" i="1"/>
  <c r="C299" i="1"/>
  <c r="B299" i="1"/>
  <c r="C298" i="1"/>
  <c r="B298" i="1"/>
  <c r="C297" i="1"/>
  <c r="B297" i="1"/>
  <c r="C296" i="1"/>
  <c r="B296" i="1"/>
  <c r="C295" i="1"/>
  <c r="B295" i="1"/>
  <c r="C294" i="1"/>
  <c r="B294" i="1"/>
  <c r="C293" i="1"/>
  <c r="B293" i="1"/>
  <c r="C292" i="1"/>
  <c r="B292" i="1"/>
  <c r="C291" i="1"/>
  <c r="B291" i="1"/>
  <c r="C290" i="1"/>
  <c r="B290" i="1"/>
  <c r="C289" i="1"/>
  <c r="B289" i="1"/>
  <c r="C288" i="1"/>
  <c r="B288" i="1"/>
  <c r="C287" i="1"/>
  <c r="B287" i="1"/>
  <c r="C286" i="1"/>
  <c r="B286" i="1"/>
  <c r="C285" i="1"/>
  <c r="B285" i="1"/>
  <c r="C284" i="1"/>
  <c r="B284" i="1"/>
  <c r="C283" i="1"/>
  <c r="B283" i="1"/>
  <c r="C282" i="1"/>
  <c r="B282" i="1"/>
  <c r="C281" i="1"/>
  <c r="B281" i="1"/>
  <c r="C280" i="1"/>
  <c r="B280" i="1"/>
  <c r="C279" i="1"/>
  <c r="B279" i="1"/>
  <c r="C278" i="1"/>
  <c r="B278" i="1"/>
  <c r="C277" i="1"/>
  <c r="B277" i="1"/>
  <c r="C276" i="1"/>
  <c r="B276" i="1"/>
  <c r="C275" i="1"/>
  <c r="B275" i="1"/>
  <c r="C274" i="1"/>
  <c r="B274" i="1"/>
  <c r="C273" i="1"/>
  <c r="B273" i="1"/>
  <c r="C272" i="1"/>
  <c r="B272" i="1"/>
  <c r="C271" i="1"/>
  <c r="B271" i="1"/>
  <c r="C270" i="1"/>
  <c r="B270" i="1"/>
  <c r="C269" i="1"/>
  <c r="B269" i="1"/>
  <c r="C268" i="1"/>
  <c r="B268" i="1"/>
  <c r="C267" i="1"/>
  <c r="B267" i="1"/>
  <c r="C266" i="1"/>
  <c r="B266" i="1"/>
  <c r="C265" i="1"/>
  <c r="B265" i="1"/>
  <c r="C264" i="1"/>
  <c r="B264" i="1"/>
  <c r="C263" i="1"/>
  <c r="B263" i="1"/>
  <c r="C262" i="1"/>
  <c r="B262" i="1"/>
  <c r="C261" i="1"/>
  <c r="B261" i="1"/>
  <c r="C260" i="1"/>
  <c r="B260" i="1"/>
  <c r="C259" i="1"/>
  <c r="B259" i="1"/>
  <c r="C258" i="1"/>
  <c r="B258" i="1"/>
  <c r="C257" i="1"/>
  <c r="B257" i="1"/>
  <c r="C256" i="1"/>
  <c r="B256" i="1"/>
  <c r="C255" i="1"/>
  <c r="B255" i="1"/>
  <c r="C254" i="1"/>
  <c r="B254" i="1"/>
  <c r="C253" i="1"/>
  <c r="B253" i="1"/>
  <c r="C252" i="1"/>
  <c r="B252" i="1"/>
  <c r="C251" i="1"/>
  <c r="B251" i="1"/>
  <c r="C250" i="1"/>
  <c r="B250" i="1"/>
  <c r="C249" i="1"/>
  <c r="B249" i="1"/>
  <c r="C248" i="1"/>
  <c r="B248" i="1"/>
  <c r="C247" i="1"/>
  <c r="B247" i="1"/>
  <c r="C246" i="1"/>
  <c r="B246" i="1"/>
  <c r="C245" i="1"/>
  <c r="B245" i="1"/>
  <c r="C244" i="1"/>
  <c r="B244" i="1"/>
  <c r="C243" i="1"/>
  <c r="B243" i="1"/>
  <c r="C242" i="1"/>
  <c r="B242" i="1"/>
  <c r="C241" i="1"/>
  <c r="B241" i="1"/>
  <c r="C240" i="1"/>
  <c r="B240" i="1"/>
  <c r="C239" i="1"/>
  <c r="B239" i="1"/>
  <c r="C238" i="1"/>
  <c r="B238" i="1"/>
  <c r="C237" i="1"/>
  <c r="B237" i="1"/>
  <c r="C236" i="1"/>
  <c r="B236" i="1"/>
  <c r="C235" i="1"/>
  <c r="B235" i="1"/>
  <c r="C234" i="1"/>
  <c r="B234" i="1"/>
  <c r="C233" i="1"/>
  <c r="B233" i="1"/>
  <c r="C232" i="1"/>
  <c r="B232" i="1"/>
  <c r="C231" i="1"/>
  <c r="B231" i="1"/>
  <c r="C230" i="1"/>
  <c r="B230" i="1"/>
  <c r="C229" i="1"/>
  <c r="B229" i="1"/>
  <c r="C228" i="1"/>
  <c r="B228" i="1"/>
  <c r="C227" i="1"/>
  <c r="B227" i="1"/>
  <c r="C226" i="1"/>
  <c r="B226" i="1"/>
  <c r="C225" i="1"/>
  <c r="B225" i="1"/>
  <c r="C224" i="1"/>
  <c r="B224" i="1"/>
  <c r="C223" i="1"/>
  <c r="B223" i="1"/>
  <c r="C222" i="1"/>
  <c r="B222" i="1"/>
  <c r="C221" i="1"/>
  <c r="B221" i="1"/>
  <c r="C220" i="1"/>
  <c r="B220" i="1"/>
  <c r="C219" i="1"/>
  <c r="B219" i="1"/>
  <c r="C218" i="1"/>
  <c r="B218" i="1"/>
  <c r="C217" i="1"/>
  <c r="B217" i="1"/>
  <c r="C216" i="1"/>
  <c r="B216" i="1"/>
  <c r="C215" i="1"/>
  <c r="B215" i="1"/>
  <c r="C214" i="1"/>
  <c r="B214" i="1"/>
  <c r="C213" i="1"/>
  <c r="B213" i="1"/>
  <c r="C212" i="1"/>
  <c r="B212" i="1"/>
  <c r="C211" i="1"/>
  <c r="B211" i="1"/>
  <c r="C210" i="1"/>
  <c r="B210" i="1"/>
  <c r="C209" i="1"/>
  <c r="B209" i="1"/>
  <c r="C208" i="1"/>
  <c r="B208" i="1"/>
  <c r="C207" i="1"/>
  <c r="B207" i="1"/>
  <c r="C206" i="1"/>
  <c r="B206" i="1"/>
  <c r="C205" i="1"/>
  <c r="B205" i="1"/>
  <c r="C204" i="1"/>
  <c r="B204" i="1"/>
  <c r="C203" i="1"/>
  <c r="B203" i="1"/>
  <c r="C202" i="1"/>
  <c r="B202" i="1"/>
  <c r="C201" i="1"/>
  <c r="B201" i="1"/>
  <c r="C200" i="1"/>
  <c r="B200" i="1"/>
  <c r="C199" i="1"/>
  <c r="B199" i="1"/>
  <c r="C198" i="1"/>
  <c r="B198" i="1"/>
  <c r="C197" i="1"/>
  <c r="B197" i="1"/>
  <c r="C196" i="1"/>
  <c r="B196" i="1"/>
  <c r="C195" i="1"/>
  <c r="B195" i="1"/>
  <c r="C194" i="1"/>
  <c r="B194" i="1"/>
  <c r="C193" i="1"/>
  <c r="B193" i="1"/>
  <c r="C192" i="1"/>
  <c r="B192" i="1"/>
  <c r="C191" i="1"/>
  <c r="B191" i="1"/>
  <c r="C190" i="1"/>
  <c r="B190" i="1"/>
  <c r="C189" i="1"/>
  <c r="B189" i="1"/>
  <c r="C188" i="1"/>
  <c r="B188" i="1"/>
  <c r="C187" i="1"/>
  <c r="B187" i="1"/>
  <c r="C186" i="1"/>
  <c r="B186" i="1"/>
  <c r="C185" i="1"/>
  <c r="B185" i="1"/>
  <c r="C184" i="1"/>
  <c r="B184" i="1"/>
  <c r="C183" i="1"/>
  <c r="B183" i="1"/>
  <c r="C182" i="1"/>
  <c r="B182" i="1"/>
  <c r="C181" i="1"/>
  <c r="B181" i="1"/>
  <c r="C180" i="1"/>
  <c r="B180" i="1"/>
  <c r="C179" i="1"/>
  <c r="B179" i="1"/>
  <c r="C178" i="1"/>
  <c r="B178" i="1"/>
  <c r="C177" i="1"/>
  <c r="B177" i="1"/>
  <c r="C176" i="1"/>
  <c r="B176" i="1"/>
  <c r="C175" i="1"/>
  <c r="B175" i="1"/>
  <c r="C174" i="1"/>
  <c r="B174" i="1"/>
  <c r="C173" i="1"/>
  <c r="B173" i="1"/>
  <c r="C172" i="1"/>
  <c r="B172" i="1"/>
  <c r="C171" i="1"/>
  <c r="B171" i="1"/>
  <c r="C170" i="1"/>
  <c r="B170" i="1"/>
  <c r="C169" i="1"/>
  <c r="B169" i="1"/>
  <c r="C168" i="1"/>
  <c r="B168" i="1"/>
  <c r="C167" i="1"/>
  <c r="B167" i="1"/>
  <c r="C166" i="1"/>
  <c r="B166" i="1"/>
  <c r="C165" i="1"/>
  <c r="B165" i="1"/>
  <c r="C164" i="1"/>
  <c r="B164" i="1"/>
  <c r="C163" i="1"/>
  <c r="B163" i="1"/>
  <c r="C162" i="1"/>
  <c r="B162" i="1"/>
  <c r="C161" i="1"/>
  <c r="B161" i="1"/>
  <c r="C160" i="1"/>
  <c r="B160" i="1"/>
  <c r="C159" i="1"/>
  <c r="B159" i="1"/>
  <c r="C158" i="1"/>
  <c r="B158" i="1"/>
  <c r="C157" i="1"/>
  <c r="B157" i="1"/>
  <c r="C156" i="1"/>
  <c r="B156" i="1"/>
  <c r="C155" i="1"/>
  <c r="B155" i="1"/>
  <c r="C154" i="1"/>
  <c r="B154" i="1"/>
  <c r="C153" i="1"/>
  <c r="B153" i="1"/>
  <c r="C152" i="1"/>
  <c r="B152" i="1"/>
  <c r="C151" i="1"/>
  <c r="B151" i="1"/>
  <c r="C150" i="1"/>
  <c r="B150" i="1"/>
  <c r="C149" i="1"/>
  <c r="B149" i="1"/>
  <c r="C148" i="1"/>
  <c r="B148" i="1"/>
  <c r="C147" i="1"/>
  <c r="B147" i="1"/>
  <c r="C146" i="1"/>
  <c r="B146" i="1"/>
  <c r="C145" i="1"/>
  <c r="B145" i="1"/>
  <c r="C144" i="1"/>
  <c r="B144" i="1"/>
  <c r="C143" i="1"/>
  <c r="B143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</calcChain>
</file>

<file path=xl/sharedStrings.xml><?xml version="1.0" encoding="utf-8"?>
<sst xmlns="http://schemas.openxmlformats.org/spreadsheetml/2006/main" count="17934" uniqueCount="8729">
  <si>
    <t>REGISTROS HÁBILES DE CDCL Y OPDH CON INSTALACIONES FIJAS (Actualizado al 29 DE OCTUBRE DE 2020 - 15:08)</t>
  </si>
  <si>
    <t>No</t>
  </si>
  <si>
    <t>EXPEDIENTE</t>
  </si>
  <si>
    <t>CODIGO OSINERGMIN</t>
  </si>
  <si>
    <t>REGISTRO</t>
  </si>
  <si>
    <t>RUC</t>
  </si>
  <si>
    <t>RAZON SOCIAL</t>
  </si>
  <si>
    <t>DIRECCION OPERATIVA</t>
  </si>
  <si>
    <t>DEPARTAMENTO</t>
  </si>
  <si>
    <t>PROVINCIA</t>
  </si>
  <si>
    <t>DISTRITO</t>
  </si>
  <si>
    <t>TANQUE 1</t>
  </si>
  <si>
    <t>TANQUE 2</t>
  </si>
  <si>
    <t>TANQUE 3</t>
  </si>
  <si>
    <t>TANQUE 4</t>
  </si>
  <si>
    <t>TANQUE 5</t>
  </si>
  <si>
    <t>TANQUE 6</t>
  </si>
  <si>
    <t>TANQUE 7</t>
  </si>
  <si>
    <t>TANQUE 8</t>
  </si>
  <si>
    <t>TANQUE 9</t>
  </si>
  <si>
    <t>TANQUE 10</t>
  </si>
  <si>
    <t>CAP.TOTAL CL (gln)</t>
  </si>
  <si>
    <t>FEC. EMISION</t>
  </si>
  <si>
    <t>TÉRMINO DE VIGENCIA</t>
  </si>
  <si>
    <t>REPRESENTANTE</t>
  </si>
  <si>
    <t>19582-051-180619</t>
  </si>
  <si>
    <t>CORPORACION PERUANA DE COMERCIO Y SERVICIOS S.A.C.</t>
  </si>
  <si>
    <t xml:space="preserve">AV. 26 DE NOVIEMBRE N° 2102 VIRGEN DE LOURDES </t>
  </si>
  <si>
    <t>LIMA</t>
  </si>
  <si>
    <t>VILLA MARIA DEL TRIUNFO</t>
  </si>
  <si>
    <t>C1:8000:Diesel B5 S-50 </t>
  </si>
  <si>
    <t>INDEFINIDO</t>
  </si>
  <si>
    <t>MANUEL GODOY MALLQUI</t>
  </si>
  <si>
    <t>0010-CDFJ-13-2005</t>
  </si>
  <si>
    <t>MINERA BARRICK MISQUICHILCA S.A.</t>
  </si>
  <si>
    <t>PARTE SUPERIOR DE LAS CUENCAS DEL RIO CHUYUHUAL Y DEL RIO PAREJIL DEL RIO CABALLO MORO Y DEL RIO MOCHE</t>
  </si>
  <si>
    <t>LA LIBERTAD</t>
  </si>
  <si>
    <t>SANTIAGO DE CHUCO</t>
  </si>
  <si>
    <t>QUIRUVILCA</t>
  </si>
  <si>
    <t>C1:107857:DIESEL 2 </t>
  </si>
  <si>
    <t>C1:7456:GASOLINA 90 </t>
  </si>
  <si>
    <t>FUMAGALLI DRAGO, MANUEL</t>
  </si>
  <si>
    <t>0004-CDFJ-15-2002</t>
  </si>
  <si>
    <t>FARMACEUTICA DEL PACIFICO S.A.C.</t>
  </si>
  <si>
    <t>AV. REPUBLICA DE PANAMA Nº 4825</t>
  </si>
  <si>
    <t>SURQUILLO</t>
  </si>
  <si>
    <t>C1:3000:DIESEL 2 </t>
  </si>
  <si>
    <t>DEL CASTILLO CUBA, MARIO HERNAN</t>
  </si>
  <si>
    <t>0004-CDFJ-04-2004</t>
  </si>
  <si>
    <t>PESQUERA SAN ANDRES DEL SUR S.A.</t>
  </si>
  <si>
    <t>ALBERTO BRICEÑO Nº 217</t>
  </si>
  <si>
    <t>AREQUIPA</t>
  </si>
  <si>
    <t>ISLAY</t>
  </si>
  <si>
    <t>C1:2600:PETRÓLEO INDUSTRIAL Nº 500 </t>
  </si>
  <si>
    <t>CERNA SAN MARTIN, FRANCISCO</t>
  </si>
  <si>
    <t>16513-051-170513</t>
  </si>
  <si>
    <t>EXPLORACIONES AMAZONICAS S.A.</t>
  </si>
  <si>
    <t>AV. LA MARINA N° 340, MARGEN IZQUIERDA DEL RIO AMAZONAS</t>
  </si>
  <si>
    <t>LORETO</t>
  </si>
  <si>
    <t>MAYNAS</t>
  </si>
  <si>
    <t>IQUITOS</t>
  </si>
  <si>
    <t>C1:15838:DIESEL B5 </t>
  </si>
  <si>
    <t>C1:4750:GASOLINA 84 </t>
  </si>
  <si>
    <t>GONZALES MOZOMBITE, JORGE LUIS</t>
  </si>
  <si>
    <t>113232-051-190315</t>
  </si>
  <si>
    <t xml:space="preserve">GMD S A </t>
  </si>
  <si>
    <t>JIRON ILO 450 ESQ. CON JIRON CHOTA 998</t>
  </si>
  <si>
    <t>C1:1200:Diesel B5 S-50 </t>
  </si>
  <si>
    <t>HUGO GONZALES CASTAÑEDA</t>
  </si>
  <si>
    <t>0069-CDFJ-15-2005</t>
  </si>
  <si>
    <t>CIA. INVERSIONES MINERAS Y AGRICOLAS LURIN S.A. -CIMALSA-</t>
  </si>
  <si>
    <t>KM. 95 DE LA CARRETERA CENTRAL</t>
  </si>
  <si>
    <t>HUAROCHIRI</t>
  </si>
  <si>
    <t>SAN MATEO</t>
  </si>
  <si>
    <t>C1:4000:PETRÓLEO INDUSTRIAL Nº 500 </t>
  </si>
  <si>
    <t>C1:4000:PETRÓLEO INDUSTRIAL Nº 6 </t>
  </si>
  <si>
    <t>REVOREDO GARCIA-CALDERON, HUGO RENE</t>
  </si>
  <si>
    <t>0001-CDFJ-20-2003</t>
  </si>
  <si>
    <t>GOBIERNO REGIONAL PIURA - TASEEM</t>
  </si>
  <si>
    <t>AV. FORTUNATO CHIRICHINGNO S/N EL CHIPE</t>
  </si>
  <si>
    <t>PIURA</t>
  </si>
  <si>
    <t>C1:2000:GASOHOL 84 PLUS </t>
  </si>
  <si>
    <t>C1:9500:DIESEL 2 </t>
  </si>
  <si>
    <t>MARTINEZ ECHEANDIA, RODOLFO</t>
  </si>
  <si>
    <t>38842-051-180619</t>
  </si>
  <si>
    <t>AV. SIMON BOLIVAR N° 914</t>
  </si>
  <si>
    <t>SANTA EULALIA</t>
  </si>
  <si>
    <t>C1:6000:Diesel B5 S-50 </t>
  </si>
  <si>
    <t>141497-051-260219</t>
  </si>
  <si>
    <t>A.W. FABER CASTELL PERUANA S.A.</t>
  </si>
  <si>
    <t>AV. LA MOLINA N° 161</t>
  </si>
  <si>
    <t>ATE</t>
  </si>
  <si>
    <t>C1:500:Diesel B5 S-50 </t>
  </si>
  <si>
    <t>FERNANDO ANTONIO CABRERA BUSTAMANTE</t>
  </si>
  <si>
    <t>0049-CDFJ-15-2009</t>
  </si>
  <si>
    <t>KIMBERLY CLARK PERU S.R.L.</t>
  </si>
  <si>
    <t>CARRETERA CENTRAL KM. 8,500 DISTRITO STA. CLARA</t>
  </si>
  <si>
    <t>C1:3200:DIESEL B2 </t>
  </si>
  <si>
    <t>CHU GONZÃLES, LUIS ANTONIO</t>
  </si>
  <si>
    <t>0042-CDFJ-15-2009</t>
  </si>
  <si>
    <t>INTRADEVCO INDUSTRIAL S.A.</t>
  </si>
  <si>
    <t>AV. PRODUCCIÓN NACIONAL 188</t>
  </si>
  <si>
    <t>CHORRILLOS</t>
  </si>
  <si>
    <t>C1:9100:SOLVENTE 3 </t>
  </si>
  <si>
    <t>C1:1100:DIESEL B2 </t>
  </si>
  <si>
    <t>RIVERO SIPAN, FELIX ALBERTO</t>
  </si>
  <si>
    <t>82475-051-100419</t>
  </si>
  <si>
    <t>TRANSPORTES TOURS PERU S.A.C.</t>
  </si>
  <si>
    <t>AV. LIMA NRO. 960, URB. JOSE GALVEZ</t>
  </si>
  <si>
    <t>PACHACAMAC</t>
  </si>
  <si>
    <t>C1:4000:Diesel B5 S-50 </t>
  </si>
  <si>
    <t>VANESSA BARLETTI PAREDES</t>
  </si>
  <si>
    <t>0007-CDFJ-07-2009</t>
  </si>
  <si>
    <t>COOPERATIVA DE SERVICIOS ESPECIALES TRANSPORTES SOL Y MAR LTDA.</t>
  </si>
  <si>
    <t>JR. ALONSO DE MOLINA N° 193. EX ZONA INDUSTRIAL</t>
  </si>
  <si>
    <t>PROV. CONST. DEL CALLAO</t>
  </si>
  <si>
    <t>VENTANILLA</t>
  </si>
  <si>
    <t>C1:6000:DIESEL B2 </t>
  </si>
  <si>
    <t>ARANIBAR PONCE, VICENTE JOSE</t>
  </si>
  <si>
    <t>137071-051-250718</t>
  </si>
  <si>
    <t>ESTACION DE SERVICIOS PEDRITO E.I.R.L.</t>
  </si>
  <si>
    <t>CARRETERA PANAMERICANA SUR KM 64.721, ZONA DENOMINADA PAMPAS Y HOYADAS DE CALANGUILLO, AL PIE DEL CERRO DE ORO</t>
  </si>
  <si>
    <t>CAÑETE</t>
  </si>
  <si>
    <t>CHILCA</t>
  </si>
  <si>
    <t>C1:3370:Diesel B5 S-50 </t>
  </si>
  <si>
    <t>WALTER TEOFILO BAZAN MATA</t>
  </si>
  <si>
    <t>95704-051-290620</t>
  </si>
  <si>
    <t>ZARAGOZA CARGO S.A.C.</t>
  </si>
  <si>
    <t>MZ. A LOTE 6 A.H. ALMIRANTE MIGUEL GRAU</t>
  </si>
  <si>
    <t>CASTILLA</t>
  </si>
  <si>
    <t>C1:3000:Diesel B5 S-50 </t>
  </si>
  <si>
    <t>LUIS ENRIQUE LINARES VALLADOLID</t>
  </si>
  <si>
    <t>122048-051-010816</t>
  </si>
  <si>
    <t>EL PEDREGAL S.A.</t>
  </si>
  <si>
    <t>SECTOR POBLADO YAURILLA S/N</t>
  </si>
  <si>
    <t>ICA</t>
  </si>
  <si>
    <t>LOS AQUIJES</t>
  </si>
  <si>
    <t>C1:3059:DIESEL B5 </t>
  </si>
  <si>
    <t>C1:502:GASOHOL 90 PLUS </t>
  </si>
  <si>
    <t>JORGE TITO RAMON MENDOZA BALAREZO</t>
  </si>
  <si>
    <t>119405-112-050717</t>
  </si>
  <si>
    <t>BITUMENES DEL PERU SAC</t>
  </si>
  <si>
    <t>KM. 14.8 DE LA CARRETERA CENTRAL, GLORIA ALTA (MINERA LA GLORIA)</t>
  </si>
  <si>
    <t>C1:8472:ASFALTOS </t>
  </si>
  <si>
    <t>C1:7052:ASFALTOS </t>
  </si>
  <si>
    <t>C1:6515:ASFALTOS </t>
  </si>
  <si>
    <t>C1:7017:ASFALTOS </t>
  </si>
  <si>
    <t>C1:5334:RESIDUAL 500 (USO PROPIO) </t>
  </si>
  <si>
    <t>C1:2018:Diesel B5 S-50 </t>
  </si>
  <si>
    <t>C1:6880:RESIDUAL 500 (USO PROPIO) </t>
  </si>
  <si>
    <t>HANS WERNER OSKAR RICHARD KRUMDIEK SORG</t>
  </si>
  <si>
    <t>122893-051-050717</t>
  </si>
  <si>
    <t>PERURAIL S.A.</t>
  </si>
  <si>
    <t>PANAMERICANA SUR S/N, KM 3 + 751 VIA FERREA MATARANI – AREQUIPA</t>
  </si>
  <si>
    <t>C1:12500:Diesel B5 S-50 </t>
  </si>
  <si>
    <t>OSCAR JESUS FLORES FERNANDEZ</t>
  </si>
  <si>
    <t>0005-CDFJ-07-2004</t>
  </si>
  <si>
    <t>MODEPSA S.A.C</t>
  </si>
  <si>
    <t>CALLE DELTA 185 URB.PARQUE INTERNA.DE LA INDUSTR.Y COMERC.</t>
  </si>
  <si>
    <t>CALLAO</t>
  </si>
  <si>
    <t>C1:2990:PETRÓLEO INDUSTRIAL Nº 4 </t>
  </si>
  <si>
    <t>DE AUBEYZON MONTOTO, JOSE</t>
  </si>
  <si>
    <t>144816-051-230619</t>
  </si>
  <si>
    <t>VICTORIA CRUZ HERMOZA</t>
  </si>
  <si>
    <t>CONCESION MINERA APU HUAIHUARAN</t>
  </si>
  <si>
    <t>MADRE DE DIOS</t>
  </si>
  <si>
    <t>MANU</t>
  </si>
  <si>
    <t>HUEPETUHE</t>
  </si>
  <si>
    <t>C1:10000:Diesel B5 S-50 </t>
  </si>
  <si>
    <t>0013-CDFJ-15-2003</t>
  </si>
  <si>
    <t>EMPRESA DE TRANSPORTES TRABAJADORES CORAJE S.A.</t>
  </si>
  <si>
    <t>AV. UNIV. S/N, GRP. 1, AA.HH. EDILBERTO RAMOS</t>
  </si>
  <si>
    <t>VILLA EL SALVADOR</t>
  </si>
  <si>
    <t>AGUIRRE GARRAGATE, EFRAIN ALFONSO</t>
  </si>
  <si>
    <t>102416-051-100418</t>
  </si>
  <si>
    <t>JUAN HUMPIRE HUALLPA</t>
  </si>
  <si>
    <t>CONCESION MINERA TOCABE CHICO</t>
  </si>
  <si>
    <t>96961-051-140812</t>
  </si>
  <si>
    <t>MOTORES DIESEL ANDINOS S.A.</t>
  </si>
  <si>
    <t>CALLE RAMON CASTILLA, URB. LURIN LOTE 6, FUNDO SALINAS</t>
  </si>
  <si>
    <t>LURIN</t>
  </si>
  <si>
    <t>C1:5000:Diesel B5 S-50 </t>
  </si>
  <si>
    <t>HECTOR RAUL GARCIA BEJAR</t>
  </si>
  <si>
    <t>0052-CDFJ-15-2006</t>
  </si>
  <si>
    <t>EMPRESA DE TRANSPORTES Y SERVICIOS MULTIPLES LEONCIO PRADO S.A.C.</t>
  </si>
  <si>
    <t>CALLE INCA ROCA Y MANCO III MZ.C15 LT.2 AA.HH.LEONCIO PRADO</t>
  </si>
  <si>
    <t>INDEPENDENCIA</t>
  </si>
  <si>
    <t>C1:3950:DIESEL 2 </t>
  </si>
  <si>
    <t>VENTURO CASTRO, CLEVER FLORENCIO</t>
  </si>
  <si>
    <t>140592-051-250520</t>
  </si>
  <si>
    <t>LIMONES PIURANOS S.A.C.</t>
  </si>
  <si>
    <t>CARRETERA SULLANA TAMBOGRANDE KM. 1040 CIENEGUILLO</t>
  </si>
  <si>
    <t>SULLANA</t>
  </si>
  <si>
    <t>C1:2500:Diesel B5 S-50 </t>
  </si>
  <si>
    <t>FOSSA VILLAR MIGUEL GERARDO</t>
  </si>
  <si>
    <t>147550-051-061119</t>
  </si>
  <si>
    <t>CORPORACION FAARI S.A.C.</t>
  </si>
  <si>
    <t>MZ. F, LOTE 03, URB. GLORIA GRANDE</t>
  </si>
  <si>
    <t>C1:9000:Diesel B5 S-50 </t>
  </si>
  <si>
    <t>MARIO MUEDAS DE LA CRUZ</t>
  </si>
  <si>
    <t>REENCAUCHADORA EL SOL S.A.C.</t>
  </si>
  <si>
    <t>AV. NICOLAS ARRIOLA N° 3192</t>
  </si>
  <si>
    <t>SAN LUIS</t>
  </si>
  <si>
    <t>C1:4800:PETRÓLEO INDUSTRIAL Nº 5 </t>
  </si>
  <si>
    <t>HIGUCHI MIYAGAWA, PABLO</t>
  </si>
  <si>
    <t>0038-CDFJ-15-2001</t>
  </si>
  <si>
    <t>KIMBERLY-CLARK PERU S.R.L.</t>
  </si>
  <si>
    <t>AV. SANTA JOSEFINA ALT. KM. 30.1 PANAMERICANA NORTE</t>
  </si>
  <si>
    <t>PUENTE PIEDRA</t>
  </si>
  <si>
    <t>C1:10000:PETRÓLEO INDUSTRIAL Nº 500 </t>
  </si>
  <si>
    <t>DA GIAU ROOSE, JOSE ANGEL</t>
  </si>
  <si>
    <t>141238-051-070219</t>
  </si>
  <si>
    <t>CLABE ANDINA S.A.C.</t>
  </si>
  <si>
    <t>PROLONGACION AV. HERMANOS AYAR MZ. M-01 LOTE 3 Y 4</t>
  </si>
  <si>
    <t>CUSCO</t>
  </si>
  <si>
    <t>URUBAMBA</t>
  </si>
  <si>
    <t>MACHUPICCHU</t>
  </si>
  <si>
    <t>C1:250:Diesel B5 S-50 </t>
  </si>
  <si>
    <t>C1:300:Diesel B5 S-50 </t>
  </si>
  <si>
    <t xml:space="preserve">ANIBAL AUGUSTO CLAVIJO BEGAZO </t>
  </si>
  <si>
    <t>PERU TEJE S.A.</t>
  </si>
  <si>
    <t>JR. JORGE CHAVEZ N° 803</t>
  </si>
  <si>
    <t>CARMEN DE LA LEGUA REYNOSO</t>
  </si>
  <si>
    <t>C1:3500:PETRÓLEO INDUSTRIAL Nº 500 </t>
  </si>
  <si>
    <t>SALAS SUYOC, GUILLERMO</t>
  </si>
  <si>
    <t>1180831-PIU</t>
  </si>
  <si>
    <t>DESEMBARCADERO PESQUERO ARTESANAL LAS DELICIAS</t>
  </si>
  <si>
    <t>CARRETERA SECHURA - BAYOVAR KM 20 + 639</t>
  </si>
  <si>
    <t>SECHURA</t>
  </si>
  <si>
    <t>C1:2000:DIESEL 2 </t>
  </si>
  <si>
    <t>PERICHE RUIZ, ANTONIO</t>
  </si>
  <si>
    <t>85612-051-120916</t>
  </si>
  <si>
    <t>EMPRESA DE TRANSPORTES GUZMAN S.A.</t>
  </si>
  <si>
    <t>PREDIO LA ESMERALDA U.C. 15436 A, AV. AEROPUERTO S/N</t>
  </si>
  <si>
    <t>TRUJILLO</t>
  </si>
  <si>
    <t>HUANCHACO</t>
  </si>
  <si>
    <t>C1:4500:DIESEL B2 </t>
  </si>
  <si>
    <t>GUZMAN RODRIGUEZ, JULIO HUMBERTO</t>
  </si>
  <si>
    <t>0020-CDFJ-04-2001</t>
  </si>
  <si>
    <t xml:space="preserve">INKABOR S.A.C </t>
  </si>
  <si>
    <t>PARQUE INDUSTRIAL RIO SECO MZ. H, LOTES 2 Y 3</t>
  </si>
  <si>
    <t>CERRO COLORADO</t>
  </si>
  <si>
    <t>C1:20270:PETRÓLEO INDUSTRIAL Nº 500 </t>
  </si>
  <si>
    <t>C1:2600:DIESEL B2 </t>
  </si>
  <si>
    <t>C1:12500:PETRÓLEO INDUSTRIAL Nº 500 </t>
  </si>
  <si>
    <t>ZEVALLOS BARREDA, JUAN LUIS</t>
  </si>
  <si>
    <t>89102-051-221020</t>
  </si>
  <si>
    <t>MZ. C, LT. 5, URB. LA RONCADORA, SANTA CLARA</t>
  </si>
  <si>
    <t>0035-CDFJ-15-2007</t>
  </si>
  <si>
    <t>INDUSTRIAL PAPELERA ATLAS S.A.</t>
  </si>
  <si>
    <t>CARRETERA CENTRAL - ÑAÑA KM. 19.5</t>
  </si>
  <si>
    <t>CHACLACAYO</t>
  </si>
  <si>
    <t>C1:8000:PETRÓLEOS INDUSTRIALES </t>
  </si>
  <si>
    <t>C1:18000:PETRÓLEOS INDUSTRIALES </t>
  </si>
  <si>
    <t>MONTOYA PERALDO, MARIA LILIA</t>
  </si>
  <si>
    <t>0001-CDFJ-13-2001</t>
  </si>
  <si>
    <t>COMPAÑIA DID S.A.C.</t>
  </si>
  <si>
    <t>PASAJE PETROPERU S/N PUERTO SALAVERRY</t>
  </si>
  <si>
    <t>SALAVERRY</t>
  </si>
  <si>
    <t>C1:6000:DIESEL 2 </t>
  </si>
  <si>
    <t>ARRIETA WILSON, HUMBERTO</t>
  </si>
  <si>
    <t>0000052-LAM</t>
  </si>
  <si>
    <t>DESTILERIA CHICLAYO S.A.C.</t>
  </si>
  <si>
    <t>PANAMERICANA NORTE KM. 764</t>
  </si>
  <si>
    <t>LAMBAYEQUE</t>
  </si>
  <si>
    <t>CHICLAYO</t>
  </si>
  <si>
    <t>LA VICTORIA</t>
  </si>
  <si>
    <t>C1:21886:PETRÓLEO INDUSTRIAL Nº 500 </t>
  </si>
  <si>
    <t>ALVARADO PITTMAN, EDUARDO GUSTAVO</t>
  </si>
  <si>
    <t>0016-CDFJ-13-2000</t>
  </si>
  <si>
    <t>EMBOTELLADORA LATINOAMERICANA S.A.</t>
  </si>
  <si>
    <t>AV. MANSICHI Nº 489</t>
  </si>
  <si>
    <t>C1:3000:GASOLINA 95 </t>
  </si>
  <si>
    <t>C1:5000:GASOLINA 84 </t>
  </si>
  <si>
    <t>MENDOZA TALAVERA, ADRIAN</t>
  </si>
  <si>
    <t>INDUSTRIAS NETTALCO S.A.</t>
  </si>
  <si>
    <t>AV. VICTOR R.HAYA DE LA TORRE NO 2940</t>
  </si>
  <si>
    <t>C1:3150:DIESEL 2 </t>
  </si>
  <si>
    <t>GAMARRA ESPINOZA, JULIO ALBERTO FERNANDO ZACARIAS</t>
  </si>
  <si>
    <t>CALLE 5 N° 115-151 URB. VULCANO</t>
  </si>
  <si>
    <t>C1:10250:PETRÓLEO INDUSTRIAL Nº 500 </t>
  </si>
  <si>
    <t>C1:7245:DIESEL 2 </t>
  </si>
  <si>
    <t>141979-051-200319</t>
  </si>
  <si>
    <t>AGROINDUSTRIAS SAN JACINTO S.A.A.</t>
  </si>
  <si>
    <t>SOLIDEX ALTO S/N, SAN JACINTO</t>
  </si>
  <si>
    <t>ANCASH</t>
  </si>
  <si>
    <t>SANTA</t>
  </si>
  <si>
    <t>NEPEÑA</t>
  </si>
  <si>
    <t>GUILLERMO PEDRO VILLANUEVA ARENAS</t>
  </si>
  <si>
    <t>682-051-251018</t>
  </si>
  <si>
    <t>MINERA LAYTARUMA S.A.</t>
  </si>
  <si>
    <t>FUNDO LAYTARUMA – QUEBRADA ACAVILLE</t>
  </si>
  <si>
    <t>AYACUCHO</t>
  </si>
  <si>
    <t>LUCANAS</t>
  </si>
  <si>
    <t>SANCOS</t>
  </si>
  <si>
    <t>C1:1050:Diesel B5 S-50,GASOHOL 95 PLUS </t>
  </si>
  <si>
    <t>C1:5220:Diesel B5 S-50 </t>
  </si>
  <si>
    <t>C1:3150:Diesel B5 S-50 </t>
  </si>
  <si>
    <t>JOSE MANUEL ZEGARRA FREUND</t>
  </si>
  <si>
    <t>96428-051-030620</t>
  </si>
  <si>
    <t>ENERGY SERVICES DEL PERU S.A.C.</t>
  </si>
  <si>
    <t>AV. BOLOGNESI S/N INTERIOR 03</t>
  </si>
  <si>
    <t>TALARA</t>
  </si>
  <si>
    <t>EL ALTO</t>
  </si>
  <si>
    <t>C1:5905:Diesel B5 S-50 </t>
  </si>
  <si>
    <t>JORGE FERNANDO RIVERA REUSCHE</t>
  </si>
  <si>
    <t>84572-051-240720</t>
  </si>
  <si>
    <t>ANDALUCITA S.A.</t>
  </si>
  <si>
    <t>CARRETERA PAITA A LA ISLILLA KM 12</t>
  </si>
  <si>
    <t>PAITA</t>
  </si>
  <si>
    <t>C1:9250:Diesel B5 S-50 </t>
  </si>
  <si>
    <t>C1:9250:PETRÓLEO INDUSTRIAL Nº 6 </t>
  </si>
  <si>
    <t>DE FERRARI BRIGNOLE CARLO ARMANDO</t>
  </si>
  <si>
    <t>126573-051-030317</t>
  </si>
  <si>
    <t xml:space="preserve">MINERA VETA DORADA S.A.C. </t>
  </si>
  <si>
    <t>CONCESION DE BENEFICIO VETA DORADA KM 5 C.P. CHALA VIEJO</t>
  </si>
  <si>
    <t>CARAVELI</t>
  </si>
  <si>
    <t>CHALA</t>
  </si>
  <si>
    <t xml:space="preserve">JORGE LUIS CARDENAS CABRERA </t>
  </si>
  <si>
    <t>0046-CDFJ-15-2001</t>
  </si>
  <si>
    <t>EMPRESA DE TRANSPORTES PATRON SAN SEBASTIAN S.A.</t>
  </si>
  <si>
    <t>COMUNIDAD CAMPESINA DE JICAMARCA ANEXO 22 ZONA PEDREGAL, MZ. D-1, LOTES 4 Y 5</t>
  </si>
  <si>
    <t>SAN ANTONIO</t>
  </si>
  <si>
    <t>C1:4000:DIESEL 2 </t>
  </si>
  <si>
    <t>RAURAU OBLITAS, JULIO</t>
  </si>
  <si>
    <t>0002-CDFJ-15-2004</t>
  </si>
  <si>
    <t>TEXTIL SAN CRISTOBAL S.A.</t>
  </si>
  <si>
    <t>LOS ROBLES 441-447</t>
  </si>
  <si>
    <t>EL AGUSTINO</t>
  </si>
  <si>
    <t>C1:10000:DIESEL 2 </t>
  </si>
  <si>
    <t>TENICELA HUBY, LUIS</t>
  </si>
  <si>
    <t>0006-CDFJ-25-2001</t>
  </si>
  <si>
    <t>SOUTH AMERICA MISSION (SAM)</t>
  </si>
  <si>
    <t>CARRETERA FEDERICO BASADRE KM. 15.00 - CASHIBO COCHA</t>
  </si>
  <si>
    <t>UCAYALI</t>
  </si>
  <si>
    <t>CORONEL PORTILLO</t>
  </si>
  <si>
    <t>CALLERIA</t>
  </si>
  <si>
    <t>C1:4000:GASOLINA DE AVIACIÓN </t>
  </si>
  <si>
    <t>JOHN DAVID, LUCAS</t>
  </si>
  <si>
    <t>ITALO MARITIMA S.A. - ITALMAR</t>
  </si>
  <si>
    <t>AUTOPISTA SALAVERRY KM 4.</t>
  </si>
  <si>
    <t>C1:7000:PETRÓLEO INDUSTRIAL Nº 6 </t>
  </si>
  <si>
    <t>C1:500:PETRÓLEO INDUSTRIAL Nº 6 </t>
  </si>
  <si>
    <t>C1:21000:PETRÓLEO INDUSTRIAL Nº 6 </t>
  </si>
  <si>
    <t>C1:9500:PETRÓLEO INDUSTRIAL Nº 6 </t>
  </si>
  <si>
    <t>C1:750:DIESEL 2 </t>
  </si>
  <si>
    <t>MENDEZ MONGE, WILLIAM ROBERTO</t>
  </si>
  <si>
    <t>0058-CDFJ-15-2001</t>
  </si>
  <si>
    <t>JEAN SERVICE S.A.C.</t>
  </si>
  <si>
    <t>CALLE K. MZ. L, LOTE 16 - URB. INDUSTRIAL STA.ROSA</t>
  </si>
  <si>
    <t>C1:4200:DIESEL 2 </t>
  </si>
  <si>
    <t>C1:4500:PETRÓLEO INDUSTRIAL Nº 500 </t>
  </si>
  <si>
    <t>HAMIDEH HAMIDEH, FADEL</t>
  </si>
  <si>
    <t>95386-051-020212</t>
  </si>
  <si>
    <t>EMPRESA DE TRANSPORTES Y SERVICIOS PROYECTO SIETE S.A.</t>
  </si>
  <si>
    <t>AV. C S/N, AMPLIACION B - VENTANILLA ALTA</t>
  </si>
  <si>
    <t>HERBI YBORI SALAZAR GOMEZ</t>
  </si>
  <si>
    <t>0002-CDFJ-05-2005</t>
  </si>
  <si>
    <t>REFRACTARIOS PERUANOS S.A.</t>
  </si>
  <si>
    <t>PARAJE C TOCLLA</t>
  </si>
  <si>
    <t>SANTA LUCIA</t>
  </si>
  <si>
    <t>C1:4870:DIESEL 2 </t>
  </si>
  <si>
    <t>NORIEGA CHICCO, ARMANDO</t>
  </si>
  <si>
    <t>96575-052-150514</t>
  </si>
  <si>
    <t>LA ARENA S.A.</t>
  </si>
  <si>
    <t>CASERIO LA ARENA ALTURA KM. 164 CARRETERA TRUJILLO - QUIRUVILCA - HUAMACHUCO</t>
  </si>
  <si>
    <t>SANCHEZ CARRION</t>
  </si>
  <si>
    <t>HUAMACHUCO</t>
  </si>
  <si>
    <t>C1:60000:DIESEL B5 </t>
  </si>
  <si>
    <t xml:space="preserve">HAROLD PERCY CAPUÑAY CHOFOCLE </t>
  </si>
  <si>
    <t>147636-051-200520</t>
  </si>
  <si>
    <t>CAYNARACHI S.A.</t>
  </si>
  <si>
    <t>CARRETERA TARAPOTO - YURIMAGUAS KM. 69 - SECTOR BONILLA</t>
  </si>
  <si>
    <t>SAN MARTIN</t>
  </si>
  <si>
    <t>LAMAS</t>
  </si>
  <si>
    <t>CAYNARACHI</t>
  </si>
  <si>
    <t>C1:300:GASOLINA 90 </t>
  </si>
  <si>
    <t>C1:1260.68:Diesel B5 S-50 </t>
  </si>
  <si>
    <t xml:space="preserve">FILIPPO DE BESI </t>
  </si>
  <si>
    <t>113058-051-061016</t>
  </si>
  <si>
    <t>AGRO TRANSPORTES GONZALES SRL</t>
  </si>
  <si>
    <t>MZ. B LOTE 11 URB. SANTO TOMAS C.P. VILLA DEL MAR</t>
  </si>
  <si>
    <t>C1:8000:DIESEL B5,Diesel B5 S-50 </t>
  </si>
  <si>
    <t>LUCIO GONZALES LEON</t>
  </si>
  <si>
    <t>LAMINADOS E.I.R.L.</t>
  </si>
  <si>
    <t>JR. PABLO OLAVIDE N° 460-498</t>
  </si>
  <si>
    <t>BENITES DAVILA, LIZARDO A.</t>
  </si>
  <si>
    <t>0005-CDFJ-04-2004</t>
  </si>
  <si>
    <t>TRANSPORTES CROMOTEX S.A.C.</t>
  </si>
  <si>
    <t>AV. VILLA HERMOZA Nº 1013</t>
  </si>
  <si>
    <t>SOTO MOTTA, JUAN LUIS</t>
  </si>
  <si>
    <t>42176-051-160520</t>
  </si>
  <si>
    <t>ECO ACUICOLA S.A.C.</t>
  </si>
  <si>
    <t>CASERIO CHAPAIRA S/N - CASTILLA</t>
  </si>
  <si>
    <t>C1:6200:PETRÓLEO INDUSTRIAL Nº 6 </t>
  </si>
  <si>
    <t>C1:1100:Diesel B5 S-50 </t>
  </si>
  <si>
    <t>C1:6000:PETRÓLEO INDUSTRIAL Nº 6 </t>
  </si>
  <si>
    <t>C1:2000:Diesel B5 S-50 </t>
  </si>
  <si>
    <t>GUSTAVO ADOLFO LEON TEMPLE</t>
  </si>
  <si>
    <t>0006-CDFJ-11-2003</t>
  </si>
  <si>
    <t>PAPELERA DEL SUR S.A.</t>
  </si>
  <si>
    <t>PANAMERICANA SUR KM. 202</t>
  </si>
  <si>
    <t>CHINCHA</t>
  </si>
  <si>
    <t>CHINCHA BAJA</t>
  </si>
  <si>
    <t>C1:30000:PETRÓLEO INDUSTRIAL Nº 500 </t>
  </si>
  <si>
    <t>CARRILLO M., CARLOS</t>
  </si>
  <si>
    <t>0041-CDFJ-15-2009</t>
  </si>
  <si>
    <t>COGRA S.A.</t>
  </si>
  <si>
    <t>AV. 10 DE JUNIO N° 1015</t>
  </si>
  <si>
    <t>SAN MARTIN DE PORRES</t>
  </si>
  <si>
    <t>C1:4100:XILENO </t>
  </si>
  <si>
    <t>C1:12200:INSUMOS QUÍMICOS </t>
  </si>
  <si>
    <t>C1:12200:XILENO </t>
  </si>
  <si>
    <t>C1:770:TOLUENO </t>
  </si>
  <si>
    <t>C1:3475:PETRÓLEOS INDUSTRIALES </t>
  </si>
  <si>
    <t>C1:1502:DIESEL B2 </t>
  </si>
  <si>
    <t>GANDOLFI ALMORA, CRISTIAN R JOSE</t>
  </si>
  <si>
    <t>0004-CDFJ-13-2003</t>
  </si>
  <si>
    <t>MOLINO LA PERLA S.A.C.</t>
  </si>
  <si>
    <t>CARRETERA INDUSTRIAL KM 35 URB SEMI RUSTICA EL BOSQUE</t>
  </si>
  <si>
    <t>C1:900:DIESEL 2 </t>
  </si>
  <si>
    <t>C1:5000:DIESEL 2 </t>
  </si>
  <si>
    <t>GANOZA CALDERON, RAMON</t>
  </si>
  <si>
    <t>120122-051-110516</t>
  </si>
  <si>
    <t xml:space="preserve">INVERSIONES LA RIOJA S.A. </t>
  </si>
  <si>
    <t xml:space="preserve">CALLE SCHELL N° 430 - 438 </t>
  </si>
  <si>
    <t>MIRAFLORES</t>
  </si>
  <si>
    <t>LUIS GUILERMO CHAVEZ PEREZ</t>
  </si>
  <si>
    <t>0016-CDFJ-15-2003</t>
  </si>
  <si>
    <t>VIPLASTIC PERU S.A.</t>
  </si>
  <si>
    <t>Isidro Bonifaz N° 385</t>
  </si>
  <si>
    <t>C1:4600:PETRÓLEO INDUSTRIAL Nº 4 </t>
  </si>
  <si>
    <t>C1:3900:PETRÓLEO INDUSTRIAL Nº 6 </t>
  </si>
  <si>
    <t>BENAVIDES ROMERO, MANUEL FRANCISCO</t>
  </si>
  <si>
    <t>CONSORCIO VIA S.A.</t>
  </si>
  <si>
    <t>AV. ALFREDO MENDIOLA N° 6565</t>
  </si>
  <si>
    <t>LOS OLIVOS</t>
  </si>
  <si>
    <t>SOO KIM, HAN</t>
  </si>
  <si>
    <t>44794-051-250820</t>
  </si>
  <si>
    <t>PACIFIC FREEZING COMPANY S.A.C.</t>
  </si>
  <si>
    <t xml:space="preserve">MZ. B LOTE 4 ZONA INDUSTRIAL II </t>
  </si>
  <si>
    <t>C1:5861:PETRÓLEO INDUSTRIAL Nº 6 </t>
  </si>
  <si>
    <t>C1:1278:PETRÓLEO INDUSTRIAL Nº 6 </t>
  </si>
  <si>
    <t>CHU WONG SHWU MIIN</t>
  </si>
  <si>
    <t>101951-051-130513</t>
  </si>
  <si>
    <t xml:space="preserve">INMOBILIARIA ALQUIFE S.A.C. </t>
  </si>
  <si>
    <t>CARRETERA AUTOPISTA PANAMERICANA SUR N° 2001 (KM. 38)</t>
  </si>
  <si>
    <t>PUNTA HERMOSA</t>
  </si>
  <si>
    <t>C1:510:DIESEL B5 </t>
  </si>
  <si>
    <t>JUAN ANTONIO ANGULO FLORES</t>
  </si>
  <si>
    <t>93499-051-300911</t>
  </si>
  <si>
    <t>SAN DIEGO OPERADOR LOGISTICO S.A.C</t>
  </si>
  <si>
    <t xml:space="preserve">AV. LOS EUCALIPTOS, UNIDAD CATASTRAL 10812, URB. PREDIO SANTA GENOVEVA </t>
  </si>
  <si>
    <t>JOSE CARLOS MANRIQUE MACAGGI</t>
  </si>
  <si>
    <t>AV. GUILLERMO DANSEY N° 1001 ESQ. RODOLFO BELTRAN N°984</t>
  </si>
  <si>
    <t>C1:5150:DIESEL 2 </t>
  </si>
  <si>
    <t>0034-CDFJ-15-2001</t>
  </si>
  <si>
    <t>CIA. INDUSTRIAL TEXTIL CREDISA TRUTEX S.A.A. CREDITEX</t>
  </si>
  <si>
    <t>CALLE LOS HORNOS N° 185 URB. VULCANO</t>
  </si>
  <si>
    <t>C1:11100:DIESEL 2 </t>
  </si>
  <si>
    <t>C1:10000:PETRÓLEOS INDUSTRIALES </t>
  </si>
  <si>
    <t>HORNY HAMANN, ALBERT FREDERICK</t>
  </si>
  <si>
    <t>39435-051-160217</t>
  </si>
  <si>
    <t>TECNICA AVICOLA S.A.</t>
  </si>
  <si>
    <t>AV. GONZALO UGÁS N° 29</t>
  </si>
  <si>
    <t>PACASMAYO</t>
  </si>
  <si>
    <t>CAMPOS ESTEVES, RONAL ENRIQUE</t>
  </si>
  <si>
    <t>25-051-031014</t>
  </si>
  <si>
    <t>PESQUERA CENTINELA S.A.C.</t>
  </si>
  <si>
    <t>AV. PRINCIPAL S/N URB. INDUSTRIAL GRAN TRAPECIO</t>
  </si>
  <si>
    <t>CHIMBOTE</t>
  </si>
  <si>
    <t>C1:18390:DIESEL B5 </t>
  </si>
  <si>
    <t>C1:45000:PETRÓLEO INDUSTRIAL Nº 500 </t>
  </si>
  <si>
    <t>CLAUDIO ALBERTO THIERMANN VORWERK</t>
  </si>
  <si>
    <t>103772-051-290613</t>
  </si>
  <si>
    <t xml:space="preserve">TRANSPORTES DE CARGA A GRANEL TOSA E.I.R.L. </t>
  </si>
  <si>
    <t xml:space="preserve">MZ H - LOTE 1, PROGRAMA DE VIVIENDA COSTA AZUL </t>
  </si>
  <si>
    <t>TITO JESUS ORREGO GONZALES</t>
  </si>
  <si>
    <t>RENOVA S.A.</t>
  </si>
  <si>
    <t>JR. BARTOLOME FERREYROS N° 265</t>
  </si>
  <si>
    <t>GALBIATI FERRARI DE BENITES, MARIA AIDA</t>
  </si>
  <si>
    <t>148714-051-140120</t>
  </si>
  <si>
    <t>AGRICOLA EL RANCHO S.A.C.</t>
  </si>
  <si>
    <t>FNDO EL RANCHO CAMINO A LA HACIENDA SAN JOSE S/N</t>
  </si>
  <si>
    <t>EL CARMEN</t>
  </si>
  <si>
    <t>C1:1800:Diesel B5 S-50 </t>
  </si>
  <si>
    <t>ENRIQUE HUDTWALCKER BURGOS</t>
  </si>
  <si>
    <t>0004-CDFJ-15-2001</t>
  </si>
  <si>
    <t>AGRO INDUSTRIAL PARAMONGA S.A.A.</t>
  </si>
  <si>
    <t>AV. FERROCARRIL N° 212</t>
  </si>
  <si>
    <t>BARRANCA</t>
  </si>
  <si>
    <t>PARAMONGA</t>
  </si>
  <si>
    <t>C1:29000:DIESEL 2 </t>
  </si>
  <si>
    <t>WONG LU VEGA, ERASMO JESUS ROLANDO</t>
  </si>
  <si>
    <t>INMOBILIARIA E INVERSIONES SAN FERNANDO S.A.</t>
  </si>
  <si>
    <t>PARCELA 10234 - FUNDO SANTA INES</t>
  </si>
  <si>
    <t>C1:15000:PETRÓLEO INDUSTRIAL Nº 500 </t>
  </si>
  <si>
    <t>TORPOCO CERRON, JESUS H.</t>
  </si>
  <si>
    <t>0026-CDFJ-15-2001</t>
  </si>
  <si>
    <t>EMPRESA DE SERVICIOS DE TRANSPORTES SANTA CATALINA S.A.</t>
  </si>
  <si>
    <t>AV. CIRCUNVALACION S/N. MZ. O LOTE 12 URB. SANTA MARTHA</t>
  </si>
  <si>
    <t>SAN JUAN DE LURIGANCHO</t>
  </si>
  <si>
    <t>C1:8300:DIESEL 2 </t>
  </si>
  <si>
    <t>HUALLPA ANTEZANA, MIGUEL AMOS</t>
  </si>
  <si>
    <t>97253-051-120612</t>
  </si>
  <si>
    <t>SERVICIOS AEREOS TARAPOTO E.I.R.L.</t>
  </si>
  <si>
    <t>AEROPUERTYO MOISES BENZAQUEN RENGIFO - RAMPA ESTE</t>
  </si>
  <si>
    <t>ALTO AMAZONAS</t>
  </si>
  <si>
    <t>YURIMAGUAS</t>
  </si>
  <si>
    <t>C1:720:GASOLINA 100 LL </t>
  </si>
  <si>
    <t>DANIEL ESCALANTE GOMEZ</t>
  </si>
  <si>
    <t>119295-051-210816</t>
  </si>
  <si>
    <t>AGUALIMA S.A.C.</t>
  </si>
  <si>
    <t>CARRETERA PANAMERICANA NORTE KM. 512 -LT. AGRICOLA DB 5</t>
  </si>
  <si>
    <t>VIRU</t>
  </si>
  <si>
    <t>C1:1000:Diesel B5 S-50 </t>
  </si>
  <si>
    <t>JUAN ENRIQUE PENDAVIS PERALES</t>
  </si>
  <si>
    <t>142130-051-280319</t>
  </si>
  <si>
    <t>PEDRO BAUTISTA UMILDE</t>
  </si>
  <si>
    <t>CONCESION MINERA RIVALDO (CODIGO 070016805)</t>
  </si>
  <si>
    <t>83312-051-230712</t>
  </si>
  <si>
    <t>CORPORACION FRUTOS DEL MAR S.A.C.</t>
  </si>
  <si>
    <t>AV. PROLONGACION CENTENARIO N° 600, AA.HH. FRANCISCO BOLOGNESI</t>
  </si>
  <si>
    <t>C1:5900:PETRÓLEO INDUSTRIAL Nº 6 </t>
  </si>
  <si>
    <t>MOISES ANTONIO MEJIA ECHEVARRIA</t>
  </si>
  <si>
    <t>83331-051-151116</t>
  </si>
  <si>
    <t>DANPER TRUJILLO S.A.C.</t>
  </si>
  <si>
    <t xml:space="preserve">MODULO II U.C. 15427 (ANTES LOTE B-4 U.C. 1594 SECTOR V) </t>
  </si>
  <si>
    <t>C1:1500:DIESEL B2 </t>
  </si>
  <si>
    <t>FALCON GOMEZ SANCHEZ, ALEJANDRO IGNACIO</t>
  </si>
  <si>
    <t>145708-051-310819</t>
  </si>
  <si>
    <t>CONSTRUCCION Y ADMINISTRACION S.A.</t>
  </si>
  <si>
    <t>JR ELISA PEÑA HERRERA LIMA C-11 Y JUNIN C-5</t>
  </si>
  <si>
    <t>HUALLAGA</t>
  </si>
  <si>
    <t>SAPOSOA</t>
  </si>
  <si>
    <t>C1:500:DIESEL B5 </t>
  </si>
  <si>
    <t>OLGER ARMANDO SANCHEZ BERNAL</t>
  </si>
  <si>
    <t>110703-051-010814</t>
  </si>
  <si>
    <t>SERVICIOS INDUSTRIALES DE LA MARINA S.A.</t>
  </si>
  <si>
    <t>AV. RAUL HAYA DE LA TORRE N°430 - SECTOR LA CALETA</t>
  </si>
  <si>
    <t>C1:5000:DIESEL B5 </t>
  </si>
  <si>
    <t>BLANCA ELENA APOSTOLOVICH DE LA QUINTANA</t>
  </si>
  <si>
    <t>126571-051-060717</t>
  </si>
  <si>
    <t>HOSPITAL HERMILIO VALDIZAN</t>
  </si>
  <si>
    <t>CARRETERA CENTRAL KM 3.5</t>
  </si>
  <si>
    <t>SANTA ANITA</t>
  </si>
  <si>
    <t>C1:1600:DIESEL B5,Diesel B5 S-50 </t>
  </si>
  <si>
    <t>CARLOS ALBERTO SAAVEDRA CASTILLO</t>
  </si>
  <si>
    <t>SERVICON S.A. CONTRATISTAS GENERALES</t>
  </si>
  <si>
    <t>CAMPAMENTO CHAQUIMAYO KM. 104 CARRETERA JULIACA - CUSCO</t>
  </si>
  <si>
    <t>PUNO</t>
  </si>
  <si>
    <t>MELGAR</t>
  </si>
  <si>
    <t>AYAVIRI</t>
  </si>
  <si>
    <t>C1:13375:DIESEL 2 </t>
  </si>
  <si>
    <t>PALOMINO CERRON, LUIS ANTONIO</t>
  </si>
  <si>
    <t>82550-975-080213</t>
  </si>
  <si>
    <t>MARINA DE GUERRA DEL PERU - UNIDAD EJECUTORA 004</t>
  </si>
  <si>
    <t>AV. SAN LUIS S/N FUNDO VALVERDE - LICEO NAVAL ALMIRANTE GUISE</t>
  </si>
  <si>
    <t>SAN BORJA</t>
  </si>
  <si>
    <t>C1:4100:Diesel B2 S-50 </t>
  </si>
  <si>
    <t>C1:5000:GASOLINA 90 </t>
  </si>
  <si>
    <t>C1:5000:GASOLINA 97 </t>
  </si>
  <si>
    <t>VICTOR EMANUEL POMAR CALDERON</t>
  </si>
  <si>
    <t>41087-051-2010</t>
  </si>
  <si>
    <t>SN POWER PERU S.A.</t>
  </si>
  <si>
    <t>CENTRAL HIDROELECTRICA DE YAUPI</t>
  </si>
  <si>
    <t>JUNIN</t>
  </si>
  <si>
    <t>ULCUMAYO</t>
  </si>
  <si>
    <t>C1:3002:DIESEL B2 </t>
  </si>
  <si>
    <t>C1:676:GASOLINA 84 </t>
  </si>
  <si>
    <t>LUIS MEDINA ABREGO</t>
  </si>
  <si>
    <t>978-051-081119</t>
  </si>
  <si>
    <t>INDUSTRIAL DON MARTIN S.A.C.</t>
  </si>
  <si>
    <t>AV. LUNA ARRIETA Nº 479 - PUERTO DE HUACHO</t>
  </si>
  <si>
    <t>HUAURA</t>
  </si>
  <si>
    <t>HUACHO</t>
  </si>
  <si>
    <t>C1:3500:PETRÓLEO INDUSTRIAL Nº 6 </t>
  </si>
  <si>
    <t>PAUL PABLO GUTIERREZ DE RUTTE</t>
  </si>
  <si>
    <t>0003-CDFJ-16-2002</t>
  </si>
  <si>
    <t>PLUSPETROL NORTE S.A.</t>
  </si>
  <si>
    <t>CAMPAMENTO PERCY ROZAS TROMPETEROS, BATERIA N° 1, LOTE 8</t>
  </si>
  <si>
    <t>TROMPETEROS</t>
  </si>
  <si>
    <t>C1:20560:GASOLINA 84 </t>
  </si>
  <si>
    <t>C1:426700:DIESEL 2 </t>
  </si>
  <si>
    <t>C1:76808:TURBO A-1 </t>
  </si>
  <si>
    <t>ARELLANO RAMIREZ, MARCO</t>
  </si>
  <si>
    <t>CARRETERA INDUSTRIAL S/N SECTOR BARRIO NUEVO</t>
  </si>
  <si>
    <t>MOCHE</t>
  </si>
  <si>
    <t>C1:8200:PETRÓLEO INDUSTRIAL Nº 6 </t>
  </si>
  <si>
    <t>BAZAN DE ARANGURI, ROSARIO</t>
  </si>
  <si>
    <t>83902-051-230414</t>
  </si>
  <si>
    <t>CORPORACION INVERSIONES LOS ANGELES DEL PERU S.A.</t>
  </si>
  <si>
    <t>PROGRAMA DE VIVIENDA FHILADELFIA, MZ. D, LOTES DEL 20 AL 27, 3RA. ETAPA Y MZ. A LOTES DEL 1 AL 8, 4TA. ETAPA</t>
  </si>
  <si>
    <t>C1:2600:Diesel B5 S-50 </t>
  </si>
  <si>
    <t>KELY MARIBEL SANCHEZ NEYRA</t>
  </si>
  <si>
    <t>HERSIL S.A. LABORATORIOS INDUSTRIALES FARMACEUTICOS</t>
  </si>
  <si>
    <t>AV. RECOLECTOR INDUSTRIAL NO 140</t>
  </si>
  <si>
    <t>SILVA TAPIA, GUILLERMO</t>
  </si>
  <si>
    <t>96701-051-220917</t>
  </si>
  <si>
    <t>TRANSPORTE TOÑITO S.A.C.</t>
  </si>
  <si>
    <t>AV. NICOLAS AYLLON Nº 9052, CARRETERA CENTRAL KM. 11.6</t>
  </si>
  <si>
    <t>PEDRO GUSTAVO ALARCON GALLARDO</t>
  </si>
  <si>
    <t>0013-CDFJ-07-2005</t>
  </si>
  <si>
    <t>PRODUCTOS DE ACERO CASSADO S.A.</t>
  </si>
  <si>
    <t>AV. NESTOR GAMBETA 6429</t>
  </si>
  <si>
    <t>C1:2000:DIESEL B2 </t>
  </si>
  <si>
    <t>GALLOFRE CASSADO, MANUEL ANTONIO</t>
  </si>
  <si>
    <t>116000-051-140715</t>
  </si>
  <si>
    <t>RACIONALIZACION EMPRESARIAL S.A.</t>
  </si>
  <si>
    <t>KM .5.5 VARIANTE DE UCHUMAYO</t>
  </si>
  <si>
    <t>C1:10731:Diesel B5 S-50 </t>
  </si>
  <si>
    <t>GERDER ERNESTO ANDRES RODRIGUEZ RODRIGUEZ</t>
  </si>
  <si>
    <t>133476-051-311217</t>
  </si>
  <si>
    <t>TRANSPORTES PACORA EXPRESS S.R.L.</t>
  </si>
  <si>
    <t xml:space="preserve">MZ A LOTE 30 - CASERÍO PUEBLO VIEJO </t>
  </si>
  <si>
    <t>PACORA</t>
  </si>
  <si>
    <t>JORGE TADEO CAHUANA MUÑOZ</t>
  </si>
  <si>
    <t>89345-051-200411</t>
  </si>
  <si>
    <t>EMPRESA E INVERSIONES GENESIS S.A.C.</t>
  </si>
  <si>
    <t>SECTOR A GRUPO RESIDENCIAL A-1 AV. LAS TOTORITAS S/N - PACHACUTEC</t>
  </si>
  <si>
    <t>C1:3011:Diesel B5 S-50 </t>
  </si>
  <si>
    <t>HUBERDINO HUAMANYAURI BERNABEL</t>
  </si>
  <si>
    <t>889-051-270314</t>
  </si>
  <si>
    <t>EMPRESA DE TRANSPORTES ESFUERZOS UNIDOS S.A.</t>
  </si>
  <si>
    <t>AV. SIMÓN BOLIVAR N° 1431, 1411 Y 1409, MZ. COMERCIAL, LT. 3. P.J. JOSÉ CARLOS MAREATEGUI, VI ETAPA, SECTOR SAN GABRIEL ALTO</t>
  </si>
  <si>
    <t>PORFIRIO COCHACHIN MORALES</t>
  </si>
  <si>
    <t>PESQUERA ARYAL S.A.</t>
  </si>
  <si>
    <t>PANAMERICANA NORTE KM. 438, SECTOR PRIMAVERA</t>
  </si>
  <si>
    <t>COISHCO</t>
  </si>
  <si>
    <t>C1:72175:DIESEL 2 </t>
  </si>
  <si>
    <t>C1:37203:PETRÓLEOS INDUSTRIALES </t>
  </si>
  <si>
    <t>BARREDA PALACIOS, LUIS ARMANDO</t>
  </si>
  <si>
    <t>0025-CDFJ-04-2001</t>
  </si>
  <si>
    <t>LADRILLERAS UNIDAS S.A.</t>
  </si>
  <si>
    <t>VARIANTE UCHUMAYO KM 4.5 EL CURAL LATERAL Nº 2</t>
  </si>
  <si>
    <t>C1:2988:PETRÓLEO INDUSTRIAL Nº 500 </t>
  </si>
  <si>
    <t>C1:3854:PETRÓLEO INDUSTRIAL Nº 500 </t>
  </si>
  <si>
    <t>C1:3170:PETRÓLEO INDUSTRIAL Nº 500 </t>
  </si>
  <si>
    <t>TEJEDA CASTRO, PABLO FRANCISCO</t>
  </si>
  <si>
    <t>HOSPITAL NACIONAL DOS DE MAYO</t>
  </si>
  <si>
    <t>PARQUE DE LA MEDICINA S/N</t>
  </si>
  <si>
    <t>C1:960:DIESEL 2 </t>
  </si>
  <si>
    <t>C1:7500:DIESEL 2 </t>
  </si>
  <si>
    <t>CORONADO RAMIREZ, CESAR</t>
  </si>
  <si>
    <t>0008-CDFJ-14-2003</t>
  </si>
  <si>
    <t>PROCESADORA FRUTICOLA S.A.</t>
  </si>
  <si>
    <t>CARRETERA PANAMERICANA NORTE KM. 876</t>
  </si>
  <si>
    <t>OLMOS</t>
  </si>
  <si>
    <t>C1:6143:PETRÓLEO INDUSTRIAL Nº 500 </t>
  </si>
  <si>
    <t>C1:6250:DIESEL 2 </t>
  </si>
  <si>
    <t>C1:3900:DIESEL 2 </t>
  </si>
  <si>
    <t>C1:6342:PETRÓLEO INDUSTRIAL Nº 500 </t>
  </si>
  <si>
    <t>C1:8625:DIESEL 2 </t>
  </si>
  <si>
    <t>PARODI VASSALLO, HECTOR VIRGILIO</t>
  </si>
  <si>
    <t>141992-051-200319</t>
  </si>
  <si>
    <t>GOBIERNO REGIONAL JUNIN</t>
  </si>
  <si>
    <t>AV. PROGRESO S/N PROGRESIVA N°0+820</t>
  </si>
  <si>
    <t>CONCEPCION</t>
  </si>
  <si>
    <t>VLADIMIR ROY CERRON ROJAS</t>
  </si>
  <si>
    <t>JOSE R. LINDLEY E HIJOS S.A.</t>
  </si>
  <si>
    <t>JR. CAJAMARCA Nº 371</t>
  </si>
  <si>
    <t>RIMAC</t>
  </si>
  <si>
    <t>C1:13000:PETRÓLEO INDUSTRIAL Nº 500 </t>
  </si>
  <si>
    <t>CEVALLOS DEVLIN, ANTONIO</t>
  </si>
  <si>
    <t>0049-CDFJ-15-2008</t>
  </si>
  <si>
    <t>MINERA COLQUISIRI S.A.</t>
  </si>
  <si>
    <t>EX FUNDO JECUAN KM 80 PANAM. NORTE CERRO CULEBRAS</t>
  </si>
  <si>
    <t>HUARAL</t>
  </si>
  <si>
    <t>C1:1800:DIESEL 2 </t>
  </si>
  <si>
    <t>DIAZ DULANTO MEDINA , LUIS</t>
  </si>
  <si>
    <t>93071-051-090217</t>
  </si>
  <si>
    <t>COSAPI MINERIA S.A.C.</t>
  </si>
  <si>
    <t>MINAS 16 Y 18 DE SHOUGANG HIERRO PERU</t>
  </si>
  <si>
    <t>NAZCA</t>
  </si>
  <si>
    <t>MARCONA</t>
  </si>
  <si>
    <t>CARLOS ALBERTO MEGO CALDERON</t>
  </si>
  <si>
    <t>99246-051-141212</t>
  </si>
  <si>
    <t>EMPRESA DE TRANSPORTES Y SERVICIOS LA HUAYRONA S.A.</t>
  </si>
  <si>
    <t>JR. HEROES CENEPA ESTE NRO 2300</t>
  </si>
  <si>
    <t>CESAR EDMUNDO HUAMAN BALDEON</t>
  </si>
  <si>
    <t>86435-051-161018</t>
  </si>
  <si>
    <t>COORDINACION Y TRANSMISORES INTEGRADOS S.A.C.</t>
  </si>
  <si>
    <t>AV. VICTOR MALASQUEZ KM. 5 LOTE 10 SECTOR 24 DE JUNIO</t>
  </si>
  <si>
    <t>WILFREDO GERSON GALLEGOS MORAN</t>
  </si>
  <si>
    <t>91750-051-110511</t>
  </si>
  <si>
    <t>EMPRESA DE TRANSPORTES ONCE DE NOVIEMBRE S.A</t>
  </si>
  <si>
    <t>PARCELA Nº 149 - CODIGO CATASTRAL 8_2808690_015276 - PROYECTO PUNCHAUCA LIMA NORTE, VALLE CHILLON UC 10412 (KM. 24 CARRETERA LIMA - CANTA)</t>
  </si>
  <si>
    <t>CARABAYLLO</t>
  </si>
  <si>
    <t>C1:1704:Diesel B5 S-50 </t>
  </si>
  <si>
    <t>VÍCTOR JESÚS VALLE ACEVEDO</t>
  </si>
  <si>
    <t>SUPER CONCRETO DEL PERU S.A.</t>
  </si>
  <si>
    <t>PREDIO CHAQUILASA</t>
  </si>
  <si>
    <t>ANTA</t>
  </si>
  <si>
    <t>ANCAHUASI</t>
  </si>
  <si>
    <t>C1:18000:DIESEL 2 </t>
  </si>
  <si>
    <t>HINOJOSA M., CESAR</t>
  </si>
  <si>
    <t>100726-115-040613</t>
  </si>
  <si>
    <t>SOLVENTES PACIFICO E.I.R.L.</t>
  </si>
  <si>
    <t>CALLE SANTA ANA, MZ. S/N, LT 29 -D, CHACRA CERRO</t>
  </si>
  <si>
    <t>COMAS</t>
  </si>
  <si>
    <t>C1:1375:CGN SOLVENTE,TOLUENO,XILENO </t>
  </si>
  <si>
    <t>FIDEL MARIO SUAREZ VILLANUEVA</t>
  </si>
  <si>
    <t>91851-115-100812</t>
  </si>
  <si>
    <t>RESINAS Y QUIMICOS S.A.C.</t>
  </si>
  <si>
    <t>JR. VICTOR ANDRES BELAUNDE Nº 976</t>
  </si>
  <si>
    <t>C1:2400:SOLVENTE 1 </t>
  </si>
  <si>
    <t>C1:2400:TOLUENO </t>
  </si>
  <si>
    <t>C1:5000:SOLVENTE 1 </t>
  </si>
  <si>
    <t>C1:57:RESIDUAL ASFALTICO RC-250 </t>
  </si>
  <si>
    <t>RENZO GUILLERMO SALAS PANCORVO</t>
  </si>
  <si>
    <t>117203-051-070820</t>
  </si>
  <si>
    <t>PALOMINO QUEREVALU ROSA ISABEL</t>
  </si>
  <si>
    <t>CENTRO POBLADO MENOR YACILA S/N - AV. NAZARIO QUEREVALÚ S/N</t>
  </si>
  <si>
    <t>0002-CDFJ-15-2002</t>
  </si>
  <si>
    <t>A.B.A. TRANSPORTES E.I.R.L.</t>
  </si>
  <si>
    <t>AV. SANTA LUCIA 208 URBANIZACION LA AURORA</t>
  </si>
  <si>
    <t>BALTAZAR AVELLANEDA, ANTONIO E.</t>
  </si>
  <si>
    <t>1584-052-020816</t>
  </si>
  <si>
    <t>UNION ANDINA DE CEMENTOS S.A.A.</t>
  </si>
  <si>
    <t>AV. ATOCONGO N° 2440</t>
  </si>
  <si>
    <t>C1:4500:Diesel B5 S-50 </t>
  </si>
  <si>
    <t>C1:4300:GASOHOL 97 PLUS </t>
  </si>
  <si>
    <t>C1:1262530:PETRÓLEO INDUSTRIAL Nº 6 </t>
  </si>
  <si>
    <t>DIEGO PIO LARRABURE COCKBURN</t>
  </si>
  <si>
    <t>0001-CDFJ-20-2006</t>
  </si>
  <si>
    <t>NEPTUNIA S.A.</t>
  </si>
  <si>
    <t>CARRETERA PAITA - SULLANA KM.57 LOTE N° 1 MZ.F ZONA INDUSTRIAL</t>
  </si>
  <si>
    <t>C1:4682:DIESEL 2 </t>
  </si>
  <si>
    <t>ROMERO DE LA PUENTE, GONZALO</t>
  </si>
  <si>
    <t>114486-051-050116</t>
  </si>
  <si>
    <t>MARTHA HUILLCA ASARPAY</t>
  </si>
  <si>
    <t>CONCESION MINERA BUEN SUCESO IV</t>
  </si>
  <si>
    <t>TAMBOPATA</t>
  </si>
  <si>
    <t>INAMBARI</t>
  </si>
  <si>
    <t>C1:7000:Diesel B5 S-50 </t>
  </si>
  <si>
    <t>141458-051-260219</t>
  </si>
  <si>
    <t>AERO LINK S.A.C.</t>
  </si>
  <si>
    <t>CARRETERA PANAMERICANA SUR, KMS 47 AL 52 AERODROMO LIB MANDY SECCION I-2</t>
  </si>
  <si>
    <t>C1:1500:TURBO A-1 </t>
  </si>
  <si>
    <t>ABEL EULOGIO ALVAREZ CALDERON CARRIQUIRY</t>
  </si>
  <si>
    <t>126570-051-150217</t>
  </si>
  <si>
    <t>ANABI S.A.C.</t>
  </si>
  <si>
    <t>UNIDAD MINERA UTUNSA</t>
  </si>
  <si>
    <t>APURIMAC</t>
  </si>
  <si>
    <t>COTABAMBAS</t>
  </si>
  <si>
    <t>HAQUIRA</t>
  </si>
  <si>
    <t>C1:14000:Diesel B5 S-50 </t>
  </si>
  <si>
    <t>CORNELIS DIJKHUIZEN PAANS</t>
  </si>
  <si>
    <t>110300-051-300916</t>
  </si>
  <si>
    <t>EMPRESA DE TRANSPORTES UCEDA S.A.C.</t>
  </si>
  <si>
    <t>GARCILAZO DE LA VEGA MZ. 15 - LOTE 2 - EL MILAGRO</t>
  </si>
  <si>
    <t>C1:4900:DIESEL B5 </t>
  </si>
  <si>
    <t>ROSARIO EMELY UCEDA MEZA</t>
  </si>
  <si>
    <t>140607-051-220119</t>
  </si>
  <si>
    <t>APM TERMINALS INLAND SERVICES S.A.</t>
  </si>
  <si>
    <t>AV. NÉSTOR GAMBETTA KM. 14.5 (CARRETERA A VENTANILLA) SUB PARCELAS A, B, C Y H</t>
  </si>
  <si>
    <t>C1:6500:Diesel B5 S-50 </t>
  </si>
  <si>
    <t>KATHY SUSANA MORALES RODRÍGUEZ</t>
  </si>
  <si>
    <t>124707-051-021219</t>
  </si>
  <si>
    <t>HILDA ELSA MATHEUS DE GRANDE</t>
  </si>
  <si>
    <t xml:space="preserve">CONCESION MINERA “ACUMULACION LOS VENADOS” CODIGO: 010000703L </t>
  </si>
  <si>
    <t>115142-051-091117</t>
  </si>
  <si>
    <t>METALEXACTO S.R.L.</t>
  </si>
  <si>
    <t>AV. REVOLUCIÓN N° 401 ZONA INDUSTRIAL</t>
  </si>
  <si>
    <t>C1:2900:PETRÓLEO INDUSTRIAL Nº 6 </t>
  </si>
  <si>
    <t>ADRIAN PATRICK STERN URALDE</t>
  </si>
  <si>
    <t>115-052-181018</t>
  </si>
  <si>
    <t>SOUTHERN PERU COPPER CORPORATION SUCURSAL DEL PERU</t>
  </si>
  <si>
    <t>ASIENTO MINERO DE TOQUEPALA</t>
  </si>
  <si>
    <t>TACNA</t>
  </si>
  <si>
    <t>JORGE BASADRE</t>
  </si>
  <si>
    <t>ILABAYA</t>
  </si>
  <si>
    <t>C1:166500:Diesel B5 S-50 </t>
  </si>
  <si>
    <t>C1:167000:Diesel B5 S-50 </t>
  </si>
  <si>
    <t>C1:22100:Diesel B5 S-50 </t>
  </si>
  <si>
    <t>C1:19200:Diesel B5 S-50 </t>
  </si>
  <si>
    <t>C1:1650:Diesel B5 S-50 </t>
  </si>
  <si>
    <t>C1:2800:Diesel B5 S-50 </t>
  </si>
  <si>
    <t>C1:2920:Diesel B5 S-50 </t>
  </si>
  <si>
    <t>C1:2300:Diesel B5 S-50 </t>
  </si>
  <si>
    <t>C1:31800:PETRÓLEO INDUSTRIAL Nº 500 </t>
  </si>
  <si>
    <t>LENCY HERMOGENES QUIROZ LOZADA</t>
  </si>
  <si>
    <t>0039-CDFJ-15-2006</t>
  </si>
  <si>
    <t>EMPRESA DE TRANSPORTE Y SERVICIOS HUANCAYO CITY S.A.</t>
  </si>
  <si>
    <t>MZ. W LT. 14 ASOC. PRO VIV. COMPRADORES DE TERRENOS DE CAMPO</t>
  </si>
  <si>
    <t>C1:4052:DIESEL 2 </t>
  </si>
  <si>
    <t>YEPEZ SERNA, UBALDO</t>
  </si>
  <si>
    <t>736-112-070912</t>
  </si>
  <si>
    <t>COMPAÑIA QUIMICA S.A.</t>
  </si>
  <si>
    <t>AV. NESTOR GAMBETA N° 4651</t>
  </si>
  <si>
    <t>C1:12000:Diesel B5 S-50 </t>
  </si>
  <si>
    <t>C1:13000:Diesel B5 S-50 </t>
  </si>
  <si>
    <t>C1:55:SOLVENTE 3,TOLUENO </t>
  </si>
  <si>
    <t>GARCIA VARGAS, MAURICIO FEIJAR</t>
  </si>
  <si>
    <t>125430-051-210117</t>
  </si>
  <si>
    <t>PUYANI E.I.R.L.</t>
  </si>
  <si>
    <t>CONCESION MINERA LUZMILA I-1609</t>
  </si>
  <si>
    <t>QUISPICANCHI</t>
  </si>
  <si>
    <t>CAMANTI</t>
  </si>
  <si>
    <t>C1:3652:Diesel B5 S-50 </t>
  </si>
  <si>
    <t>VICENTE SUNI TTIRA</t>
  </si>
  <si>
    <t>94207-051-181111</t>
  </si>
  <si>
    <t>TRANSCORP INDUSTRIAL S.A.C.</t>
  </si>
  <si>
    <t>AV. REPUBLICA DE ARGENTINA Nº 2316</t>
  </si>
  <si>
    <t>HUGO NICOLINI VENTURA</t>
  </si>
  <si>
    <t>98769-051-180520</t>
  </si>
  <si>
    <t>BLUE MARLIN BEACH CLUB S.A.</t>
  </si>
  <si>
    <t>CARRETERA PANAMERICANA NORTE KM. 1190</t>
  </si>
  <si>
    <t>TUMBES</t>
  </si>
  <si>
    <t>CONTRALMIRANTE VILLAR</t>
  </si>
  <si>
    <t>CANOAS DE PUNTA SAL</t>
  </si>
  <si>
    <t>GUTIÉRREZ DE PIÑERES PERDOMO LUIS ERNESTO</t>
  </si>
  <si>
    <t>0003-CDFJ-04-2007</t>
  </si>
  <si>
    <t>DANPER AREQUIPA SAC</t>
  </si>
  <si>
    <t>E2 PEU003 SECCION A PROYECTO MAJES</t>
  </si>
  <si>
    <t>CAYLLOMA</t>
  </si>
  <si>
    <t>MAJES</t>
  </si>
  <si>
    <t>C1:500:RESIDUAL 500 (USO PROPIO) </t>
  </si>
  <si>
    <t>C1:2500:RESIDUAL 500 (USO PROPIO) </t>
  </si>
  <si>
    <t>C1:7117:RESIDUAL 500 (USO PROPIO) </t>
  </si>
  <si>
    <t>GILARDI ARBULU, JAVIER ANTONIO</t>
  </si>
  <si>
    <t>92382-051-070611</t>
  </si>
  <si>
    <t>CORI PUNO S.A.C.</t>
  </si>
  <si>
    <t>CAMPAMENTO MINERO CORI PUNO LOCALIDAD DE UNTUCA</t>
  </si>
  <si>
    <t>SANDIA</t>
  </si>
  <si>
    <t>QUIACA</t>
  </si>
  <si>
    <t>C1:8000:DIESEL B5 </t>
  </si>
  <si>
    <t xml:space="preserve">CARLOS FELIPE FERRARO REY </t>
  </si>
  <si>
    <t>142044-051-250319</t>
  </si>
  <si>
    <t>EMPRESA DE TRANSPORTES CHICLAYO</t>
  </si>
  <si>
    <t>GRAN CHIMU - VIA DE EVITAMIENTO (PREDIO CHACUPE - PROLONGACION UC 117585)</t>
  </si>
  <si>
    <t xml:space="preserve">JULIO CESAR ECHEVARRIA SALAZAR </t>
  </si>
  <si>
    <t>841-051-031013</t>
  </si>
  <si>
    <t>COMPAÑIA DE MINAS BUENAVENTURA S.A.A</t>
  </si>
  <si>
    <t>PARAJE FULLCHULNA</t>
  </si>
  <si>
    <t>CHOCO</t>
  </si>
  <si>
    <t>FELIPE SANTIAGO GUERRA RIVAS</t>
  </si>
  <si>
    <t>ACERCO S.A.</t>
  </si>
  <si>
    <t>CARRETERA CENTRAL N| 715, KM 1</t>
  </si>
  <si>
    <t>C1:6400:DIESEL 2 </t>
  </si>
  <si>
    <t>C1:5400:DIESEL 2 </t>
  </si>
  <si>
    <t>C1:4500:PETRÓLEO INDUSTRIAL Nº 6 </t>
  </si>
  <si>
    <t>SALMON JACOBS, MIGUEL ANGEL</t>
  </si>
  <si>
    <t>243-051-021013</t>
  </si>
  <si>
    <t>COMPAÑIA DE MINAS BUENAVENTURA S.A.A.</t>
  </si>
  <si>
    <t>CORDILLERA CHILA</t>
  </si>
  <si>
    <t>CHACHAS</t>
  </si>
  <si>
    <t>C1:10400:Diesel B5 S-50 </t>
  </si>
  <si>
    <t>FELIX SANTIAGO GUERRA RIVAS</t>
  </si>
  <si>
    <t>0002-CDFJ-08-2005</t>
  </si>
  <si>
    <t>EMPRESA TRANSPORTES SANTA CRUZ S.R.L.</t>
  </si>
  <si>
    <t>CALLE PATACALLE ESQ. CON CALLE ATAHUALPA</t>
  </si>
  <si>
    <t>OROPESA</t>
  </si>
  <si>
    <t>VALCARCEL CASTRO, ELVIRA G</t>
  </si>
  <si>
    <t>0005-CDFJ-13-2001</t>
  </si>
  <si>
    <t>PREMOLDEADOS DE CONCRETOS S.A. - PREMOL S.A.</t>
  </si>
  <si>
    <t>ALTURA KM. 572 CARRETERA PANAMERICANA NORTE - EL MILAGRO</t>
  </si>
  <si>
    <t>C1:4500:DIESEL 2 </t>
  </si>
  <si>
    <t>YEPEZ ABANTO, JOSE MANUEL</t>
  </si>
  <si>
    <t>15197-051-261016</t>
  </si>
  <si>
    <t>PESQUERA EXALMAR S.A.A.</t>
  </si>
  <si>
    <t>PASAJE LOS DELFINES N° 104 Z.I.</t>
  </si>
  <si>
    <t>TAMBO DE MORA</t>
  </si>
  <si>
    <t>C1:66000:DIESEL B5,PETRÓLEO INDUSTRIAL Nº 500 </t>
  </si>
  <si>
    <t>C1:66000:PETRÓLEO INDUSTRIAL Nº 500 </t>
  </si>
  <si>
    <t>C1:66000:Diesel B5 S-50 </t>
  </si>
  <si>
    <t>RAUL JORGE CARLOS BRICEÑO VALDIVIA</t>
  </si>
  <si>
    <t>0053-CDFJ-15-2001</t>
  </si>
  <si>
    <t>TRANSPORTES VARA S.A.</t>
  </si>
  <si>
    <t>AA.HH. SU SANTIDAD JUAN PABLO II, MZ. 9, LOTE 4</t>
  </si>
  <si>
    <t>C1:1200:DIESEL 2 </t>
  </si>
  <si>
    <t>C1:3500:DIESEL 2 </t>
  </si>
  <si>
    <t>VARA VILLEGAS, PEDRO ALBERTO</t>
  </si>
  <si>
    <t>0003-CDFJ-13-2002</t>
  </si>
  <si>
    <t>TECNICAS AVICOLAS SAC.</t>
  </si>
  <si>
    <t>ALAMEDA NORTE S/N</t>
  </si>
  <si>
    <t>JEQUETEPEQUE</t>
  </si>
  <si>
    <t>C1:2900:DIESEL 2 </t>
  </si>
  <si>
    <t>151079-051-180920</t>
  </si>
  <si>
    <t>SOCIEDAD MINERA CERRO VERDE S.A.A.</t>
  </si>
  <si>
    <t>CARRETERA AL FARO DE MATARANI – KM. 1</t>
  </si>
  <si>
    <t>C1:400:Diesel B5 S-50 </t>
  </si>
  <si>
    <t>OSCAR ENRIQUE CHAMPION HAU</t>
  </si>
  <si>
    <t>144809-051-270619</t>
  </si>
  <si>
    <t>UNION DE CONCRETERAS S.A.</t>
  </si>
  <si>
    <t>JR. JOSE RIVERA Y DAVALOS N° 220</t>
  </si>
  <si>
    <t>AXEL FELIPE VAZQUEZ NYCANDER</t>
  </si>
  <si>
    <t>83185-115-040419</t>
  </si>
  <si>
    <t>QUIMICA PROCERES E.I.R.L.</t>
  </si>
  <si>
    <t>MZ. BX, LOTE N° 10, SECTOR UNION BELLAVISTA, ANEXO 22, COMUNIDAD CAMPESINA DE JICAMARCA</t>
  </si>
  <si>
    <t>C1:55:CGN SOLVENTE,SOLVENTE 1,SOLVENTE 3 </t>
  </si>
  <si>
    <t>LEONEL FLORIAN ESTEBAN CASTRO</t>
  </si>
  <si>
    <t>119968-051-110316</t>
  </si>
  <si>
    <t>PLANTACIONES DEL SOL SAC</t>
  </si>
  <si>
    <t>ANTIGUA PANAMERICANA KM 55-56</t>
  </si>
  <si>
    <t>MOTUPE</t>
  </si>
  <si>
    <t>C1:5200:DIESEL B5 </t>
  </si>
  <si>
    <t>PABLO FERREYROS CABIESES</t>
  </si>
  <si>
    <t>88387-051-2010</t>
  </si>
  <si>
    <t>LEVARO S.A.C.</t>
  </si>
  <si>
    <t>AV. UNIÓN JICAMARCA MZ W-2 LT. 19 JICAMARCA ANEXO 8</t>
  </si>
  <si>
    <t>C1:3204:Diesel B2 S-50 </t>
  </si>
  <si>
    <t>ROBERTO LEGUIA VASQUEZ</t>
  </si>
  <si>
    <t>0008-CDFJ-15-2007</t>
  </si>
  <si>
    <t>FIRTH INDUSTRIES PERU S.A.</t>
  </si>
  <si>
    <t>CARRRETRA CENTRAL KM. 14.8</t>
  </si>
  <si>
    <t>C1:3951:DIESEL 2 </t>
  </si>
  <si>
    <t>SILVA RODRÃGUEZ BONAZZI , ROBERTO</t>
  </si>
  <si>
    <t>129381-051-300617</t>
  </si>
  <si>
    <t>INVERSIONES H.B. &amp; M S.A.C.</t>
  </si>
  <si>
    <t>MZ. I11 LOTE 01 ASOCIACIÓN PRO VIVIENDA PROFAM PERÚ</t>
  </si>
  <si>
    <t>SANTA ROSA</t>
  </si>
  <si>
    <t>MAXIMO BLAS AGUILAR</t>
  </si>
  <si>
    <t>40968-051-180312</t>
  </si>
  <si>
    <t>TECNOLOGICA DE ALIMENTOS S.A.</t>
  </si>
  <si>
    <t>CARRETERA A VENTANILLA KM. 14.1 (EX AV. NESTOR GAMBETA - EX FUNDO MARQUEZ)</t>
  </si>
  <si>
    <t>C1:97000:DIESEL B5 </t>
  </si>
  <si>
    <t>LECCA PINTO, CESAR OSWALDO</t>
  </si>
  <si>
    <t>82542-051-170815</t>
  </si>
  <si>
    <t>SOCIEDAD MINERA EL BROCAL S.A.A.</t>
  </si>
  <si>
    <t>CARRETERA CENTRAL KM. 285 LIMA - LA OROYA -CERRO DE PASCO, LOCALIDAD DE COLQUIJIRCA</t>
  </si>
  <si>
    <t>PASCO</t>
  </si>
  <si>
    <t>TINYAHUARCO</t>
  </si>
  <si>
    <t>C1:25000:DIESEL B5 </t>
  </si>
  <si>
    <t>GONZALO EYZAGUIRRE TEJADA</t>
  </si>
  <si>
    <t>195-051-100915</t>
  </si>
  <si>
    <t>GLORIA S.A</t>
  </si>
  <si>
    <t>AV. GENERAL DIEZ CANSECO N° 527</t>
  </si>
  <si>
    <t>C1:21000:PETRÓLEO INDUSTRIAL Nº 500 </t>
  </si>
  <si>
    <t>C1:25000:PETRÓLEO INDUSTRIAL Nº 500 </t>
  </si>
  <si>
    <t>HANS BASILIO PANUERA OVALLE</t>
  </si>
  <si>
    <t>20172-051-190416</t>
  </si>
  <si>
    <t>EMPRESA DE TRANSPORTES FEDERICO VILLAREAL S.A.</t>
  </si>
  <si>
    <t>AV. MIGUEL GRAU N° 615, MZ. F LOTE 61. ASOCIACION VIV. SANTA CLARA.</t>
  </si>
  <si>
    <t>PAULINO GUIZADO SOTO</t>
  </si>
  <si>
    <t>150742-112-250820</t>
  </si>
  <si>
    <t>HARSCO METALS PERU S.A.</t>
  </si>
  <si>
    <t>AV. INDUSTRIAL Nº 420 ZONA INDUSTRIAL SIDER PERU (INTERIOR SIDER PERU)</t>
  </si>
  <si>
    <t>C1:2700:Diesel B5 S-50 </t>
  </si>
  <si>
    <t xml:space="preserve">JORGE MIGUEL WILSON MAZURE </t>
  </si>
  <si>
    <t>15401-051-300120</t>
  </si>
  <si>
    <t>AUSTRAL GROUP S.A.A.</t>
  </si>
  <si>
    <t>LOTIZACIÓN SANTA ELENA DE PARACAS MZ. D LOTE 1 - 6</t>
  </si>
  <si>
    <t>PISCO</t>
  </si>
  <si>
    <t>PARACAS</t>
  </si>
  <si>
    <t>C1:60000:Diesel B5 S-50 </t>
  </si>
  <si>
    <t>SARA JIMENEZ GODOY</t>
  </si>
  <si>
    <t>0005-CDFJ-25-2001</t>
  </si>
  <si>
    <t>CERVECERIA SAN JUAN SAA</t>
  </si>
  <si>
    <t>CARRETERA FEDERICO BASADRE KM. 13.000</t>
  </si>
  <si>
    <t>YARINACOCHA</t>
  </si>
  <si>
    <t>C1:40000:DIESEL 2 </t>
  </si>
  <si>
    <t>C1:40000:PETRÓLEO INDUSTRIAL Nº 6 </t>
  </si>
  <si>
    <t>C1:3200:GASOLINA 95 </t>
  </si>
  <si>
    <t>COMBE COSTA, ERICK</t>
  </si>
  <si>
    <t>92694-114-270319</t>
  </si>
  <si>
    <t>ASIENTO MINERO CERRO VERDE S/N, CARRETERA VARIANTE TINAJONES KM 25-UCHUMAYO-SECTOR 2</t>
  </si>
  <si>
    <t>UCHUMAYO</t>
  </si>
  <si>
    <t>C1:5293:Diesel B5 S-50 </t>
  </si>
  <si>
    <t>C1:5293:GASOHOL 90 PLUS </t>
  </si>
  <si>
    <t>C1:100000:Diesel B5 S-50 </t>
  </si>
  <si>
    <t>C1:10000:GASOHOL 90 PLUS </t>
  </si>
  <si>
    <t>C1:400000:Diesel B5 S-50 </t>
  </si>
  <si>
    <t>CONSORCIO LA PARCELA S.A.</t>
  </si>
  <si>
    <t>AV. NICOLAS AYLLON 2604 - 2610</t>
  </si>
  <si>
    <t>C1:28000:DIESEL 2 </t>
  </si>
  <si>
    <t>COSTA FERRAND, RAFAEL AUGUSTO BENJAMIN</t>
  </si>
  <si>
    <t>140356-051-211218</t>
  </si>
  <si>
    <t>LADRILLOS ATACHAGUA E.I.R.L</t>
  </si>
  <si>
    <t>SAN JOSE LA DESPENSA CARRETERA A CONCHUMAYO</t>
  </si>
  <si>
    <t>HUANUCO</t>
  </si>
  <si>
    <t>SANTA MARIA DEL VALLE</t>
  </si>
  <si>
    <t>C1:8000:PETRÓLEO INDUSTRIAL Nº 6 </t>
  </si>
  <si>
    <t>C1:8000:PETRÓLEO INDUSTRIAL Nº 500 </t>
  </si>
  <si>
    <t>CARLOS DAVID ATACHAGUA GOMEZ</t>
  </si>
  <si>
    <t>94888-051-021211</t>
  </si>
  <si>
    <t>COMPAÑIA MINERA COIMOLACHE S.A</t>
  </si>
  <si>
    <t>PARAJE EL HUECO</t>
  </si>
  <si>
    <t>CAJAMARCA</t>
  </si>
  <si>
    <t>HUALGAYOC</t>
  </si>
  <si>
    <t>C1:40000:DIESEL B5 </t>
  </si>
  <si>
    <t>RAUL PEDRO EDUARDO BENAVIDES GANOZA</t>
  </si>
  <si>
    <t>89314-051-280311</t>
  </si>
  <si>
    <t>BIOPEX S.A.C.</t>
  </si>
  <si>
    <t>JR. CALLAO S/N, URB. NUEVA VICTORIA</t>
  </si>
  <si>
    <t>SUPE PUERTO</t>
  </si>
  <si>
    <t>C1:11747:PETRÓLEO INDUSTRIAL Nº 5 </t>
  </si>
  <si>
    <t>BORIS KOSTIC</t>
  </si>
  <si>
    <t>39603-051-270919</t>
  </si>
  <si>
    <t>EMPRESA DE TRANSPORTES CHASQUI EXPRESS S.R.L.</t>
  </si>
  <si>
    <t xml:space="preserve">JR. LUCANAS N° 680 Y JR. PARINACOCHAS N° 669 </t>
  </si>
  <si>
    <t>HUAMANGA</t>
  </si>
  <si>
    <t>ANDRES AVELINO CACERES</t>
  </si>
  <si>
    <t>C1:6695:Diesel B5 S-50 </t>
  </si>
  <si>
    <t>ALEJANDRO SALVATIERRA POMASONCCO</t>
  </si>
  <si>
    <t>94015-051-280911</t>
  </si>
  <si>
    <t xml:space="preserve">BANCO DE CREDITO DEL PERU </t>
  </si>
  <si>
    <t>LT. 3 MZ. B-1, URB. PARQUE INDUSTRIAL</t>
  </si>
  <si>
    <t>LA ESPERANZA</t>
  </si>
  <si>
    <t>C1:2350:DIESEL B5 </t>
  </si>
  <si>
    <t>JUAN GUILLERMO FONSECA AGUINAGA</t>
  </si>
  <si>
    <t>61782-051-290518</t>
  </si>
  <si>
    <t>ZONA INDUSTRIAL GRAN TRAPECIO CALLE 3 Nº 264 MZ. A LOTE 2, 3, 16 Y 17</t>
  </si>
  <si>
    <t>C1:0:PETRÓLEO INDUSTRIAL Nº 500,PETRÓLEO INDUSTRIAL Nº 6 </t>
  </si>
  <si>
    <t>C1:26122:DIESEL B5 </t>
  </si>
  <si>
    <t>MILAGROS MARIANELA HIDALGO DE LA TORRE</t>
  </si>
  <si>
    <t>43422-051-090916</t>
  </si>
  <si>
    <t>EMPRESA DE TRANSPORTES Y TURISMO SANTA CATALINA S.A</t>
  </si>
  <si>
    <t>AV. JULIAN ARCE LARRETA MZ. 27 LT.27, SECTOR VICTOR HAYA DE LA TORRES</t>
  </si>
  <si>
    <t>LAREDO</t>
  </si>
  <si>
    <t>C1:1800:DIESEL B5 </t>
  </si>
  <si>
    <t>EDMUNDO JAVIER CARRANZA GUTIERREZ</t>
  </si>
  <si>
    <t>41260-051-280119</t>
  </si>
  <si>
    <t>CONSORCIO EMPRESARIAL FUTURO EXPRESS S.A.</t>
  </si>
  <si>
    <t>MZ. H LOTES 1 Y 2 SECTOR EL PEDREGAL ANEXO 22, PAMPAS DE CANTO GRANDE</t>
  </si>
  <si>
    <t>C1:4870:Diesel B5 S-50 </t>
  </si>
  <si>
    <t>LUIS MANUEL ARTORGA ZUÑIGA</t>
  </si>
  <si>
    <t>0015-CDFJ-13-2000</t>
  </si>
  <si>
    <t>NORSAC S.A.</t>
  </si>
  <si>
    <t>AV. TUPAC AMARU Nº 954 - URB. SANTA LEONOR</t>
  </si>
  <si>
    <t>CORDOVA PASAPERA, MARCO</t>
  </si>
  <si>
    <t>LA MACARENA S.A.</t>
  </si>
  <si>
    <t>PARCELA TG.10,4,32 CRUCETA</t>
  </si>
  <si>
    <t>TAMBO GRANDE</t>
  </si>
  <si>
    <t>BUSTAMANTE PINILLOS, LUIS ALONSO</t>
  </si>
  <si>
    <t>98869-051-261112</t>
  </si>
  <si>
    <t>AV. ENRIQUE MEIGGS (EX MATERIALES Nº 2828) MZ. UNICA LOTE 1B</t>
  </si>
  <si>
    <t>ALEX FELIPE VAZQUEZ NYCANDER</t>
  </si>
  <si>
    <t>118339-975-161115</t>
  </si>
  <si>
    <t xml:space="preserve">DIRECCION DE AVIACION POLICIAL </t>
  </si>
  <si>
    <t>CALLE LOS SINCHIS S/N - BASE AEREA MAZAMARI</t>
  </si>
  <si>
    <t>SATIPO</t>
  </si>
  <si>
    <t>MAZAMARI</t>
  </si>
  <si>
    <t>C1:1000:GASOLINA 100 LL </t>
  </si>
  <si>
    <t>C1:23000:TURBO A-1 </t>
  </si>
  <si>
    <t>GASTON CESAR AUGUSTO RODRIGUEZ LIMO</t>
  </si>
  <si>
    <t>61896-051-170314</t>
  </si>
  <si>
    <t>MOVIL AIR E.I.R.L</t>
  </si>
  <si>
    <t>AEROPUERTO LAS DUNAS - CARRETERA PANAMERICANA SUR KM. 299.5</t>
  </si>
  <si>
    <t>SUBTANJALLA</t>
  </si>
  <si>
    <t>C1:2570:GASOLINA DE AVIACIÓN </t>
  </si>
  <si>
    <t>C1:2950:TURBO A-1 </t>
  </si>
  <si>
    <t>ROBERTO MATOS VARGAS</t>
  </si>
  <si>
    <t>133742-051-020118</t>
  </si>
  <si>
    <t>INMOBILIARIA KORICANCHA S.A.</t>
  </si>
  <si>
    <t>AV. ELMER FAUCETT N°2823</t>
  </si>
  <si>
    <t>EDGARDO PAUL CARBONEL CAVERO</t>
  </si>
  <si>
    <t>0010-CDFJ-04-2003</t>
  </si>
  <si>
    <t>PESQUERA DIAMANTE S.A.</t>
  </si>
  <si>
    <t>QUEBRADA DE AGUA LIMA S7N KM. 6.5 CARRETERA MATARANI-MOLLENDO</t>
  </si>
  <si>
    <t>MOLLENDO</t>
  </si>
  <si>
    <t>C1:32278:DIESEL 2 </t>
  </si>
  <si>
    <t>C1:54622:PETRÓLEO INDUSTRIAL Nº 500 </t>
  </si>
  <si>
    <t>ROJAS VILLAVICENCIO, JORGE</t>
  </si>
  <si>
    <t>83-112-271114</t>
  </si>
  <si>
    <t>EMPRESA MINERA LOS QUENUALES S.A.</t>
  </si>
  <si>
    <t>KM. 120 CARRETERA CENTRAL - ASIENTO MINERO CASAPALCA</t>
  </si>
  <si>
    <t>CHICLA</t>
  </si>
  <si>
    <t>C1:4000:DIESEL B5 </t>
  </si>
  <si>
    <t>C1:13000:DIESEL B5 </t>
  </si>
  <si>
    <t>C1:55:LUBRICANTES </t>
  </si>
  <si>
    <t>FRANCISCO GRIMALDO ZAPATA</t>
  </si>
  <si>
    <t>130551-051-240717</t>
  </si>
  <si>
    <t>CELIA ANACLETA VERA HUAYNA</t>
  </si>
  <si>
    <t>CONCESION MINERA VALENCIA UNO, SECCION A, SECTOR NUEVA UNION</t>
  </si>
  <si>
    <t>LABERINTO</t>
  </si>
  <si>
    <t>EPS NOR PUNO S.A. - ZONAL HUANCANE</t>
  </si>
  <si>
    <t>PARCIALIDAD CUYURAYA (PLANTA DE BOMBEO)</t>
  </si>
  <si>
    <t>HUANCANE</t>
  </si>
  <si>
    <t>C1:800:DIESEL 2 </t>
  </si>
  <si>
    <t>CHOQUEHUANCA HANCCO, HENRY RONAL</t>
  </si>
  <si>
    <t>1534-051-051014</t>
  </si>
  <si>
    <t>ZINC INDUSTRIAS NACIONALES S.A.</t>
  </si>
  <si>
    <t>AV. NESTOR GAMBETTA N° 9053</t>
  </si>
  <si>
    <t>C1:3500:Diesel B5 S-50 </t>
  </si>
  <si>
    <t xml:space="preserve">SUNI MELGAR JIMMY ALEJANDRO </t>
  </si>
  <si>
    <t>111560-051-260914</t>
  </si>
  <si>
    <t>HOSPITAL NACIONAL HIPOLITO UNANUE</t>
  </si>
  <si>
    <t>AV. CESAR VALLEJO N° 1390</t>
  </si>
  <si>
    <t>MARIO GLICERIO SUAREZ LAZO</t>
  </si>
  <si>
    <t>121544-051-091017</t>
  </si>
  <si>
    <t>CONSORCIO CORPORACION FERNANDEZ</t>
  </si>
  <si>
    <t>AV. PRIMAVERA CDRA. 4 S/N NUEVA FLORIDA</t>
  </si>
  <si>
    <t>HUARAZ</t>
  </si>
  <si>
    <t>JAVIER JACINTO ALVARADO GAMEZ</t>
  </si>
  <si>
    <t>129337-051-051118</t>
  </si>
  <si>
    <t>UNIDAD MINERA CONTONGA</t>
  </si>
  <si>
    <t>HUARI</t>
  </si>
  <si>
    <t>SAN MARCOS</t>
  </si>
  <si>
    <t>C1:30000:Diesel B5 S-50 </t>
  </si>
  <si>
    <t>MANUEL ANGEL MARTINEZ SILVA</t>
  </si>
  <si>
    <t>92312-051-050611</t>
  </si>
  <si>
    <t>TRANSMAR EXPRESS S.A.C.</t>
  </si>
  <si>
    <t xml:space="preserve">AV. NICOLAS AYLLON N° 639-B, MZ. L, LOTES 6, 7 ,23 Y 24; URB. MANZANILLA </t>
  </si>
  <si>
    <t>C1:5609:Diesel B5 S-50 </t>
  </si>
  <si>
    <t>YONEL DENNIS VITOR INGUNZA</t>
  </si>
  <si>
    <t>125833-051-170117</t>
  </si>
  <si>
    <t>EMPRESA DE TRANSPORTES HUANCHACO S.A.</t>
  </si>
  <si>
    <t>AV. LA PAZ MZ. W LT. 01-02 AA.HH. LAS LOMAS</t>
  </si>
  <si>
    <t>C1:5798:DIESEL B5,Diesel B5 S-50 </t>
  </si>
  <si>
    <t>SEGUNDO SIMON IGLESIAS ANGULO</t>
  </si>
  <si>
    <t>150316-051-150920</t>
  </si>
  <si>
    <t>TERMINALES PORTUARIOS PERUANOS S.A.C.</t>
  </si>
  <si>
    <t>AV. NÉSTOR GAMBETTA KM 14.3</t>
  </si>
  <si>
    <t>JUAN CARLOS ANDONAIRE CACEDA</t>
  </si>
  <si>
    <t>98054-115-250313</t>
  </si>
  <si>
    <t>COMPAÑIA MINERA ANTAMINA S.A.</t>
  </si>
  <si>
    <t>ZONA TRUCK SHOP - PROGRAMA DE EXPANSION TALLER DE CAMIONES, PREDIO YANACANCHA U.C. 00106, CAMPAMENTO MINERO YANACANCHA, ANTAMINA</t>
  </si>
  <si>
    <t>C1:14938:LUBRICANTES </t>
  </si>
  <si>
    <t>C1:18922:LUBRICANTES </t>
  </si>
  <si>
    <t>ANTONIO ALFONSO PINILLA CISNEROS</t>
  </si>
  <si>
    <t>102288-051-130715</t>
  </si>
  <si>
    <t>INVERSIONES EXZEL SOCIEDAD ANONIMA CERRADA</t>
  </si>
  <si>
    <t>CONCESION MINERA METALICA "CARMEN"</t>
  </si>
  <si>
    <t>DOUGLAS PETER ZELA HUAQUISTO</t>
  </si>
  <si>
    <t>107670-051-150714</t>
  </si>
  <si>
    <t>HUDBAY PERU S.A.C.</t>
  </si>
  <si>
    <t>PLANTA DE PROCESOS DEL PROYECTO MINERO CONSTANCIA</t>
  </si>
  <si>
    <t>CHUMBIVILCAS</t>
  </si>
  <si>
    <t>VELILLE</t>
  </si>
  <si>
    <t>C1:7100:Diesel B5 S-50 </t>
  </si>
  <si>
    <t>FERNANDO GABRIEL MONTERO ALVARADO</t>
  </si>
  <si>
    <t>88700-051-2010</t>
  </si>
  <si>
    <t>NEGOCIACION GANADERA BAZO VELARDE S.A.</t>
  </si>
  <si>
    <t>CALLE ICARO N° 128 - 130, URB. PARCELA SEMI RUSTICA, LA CAMPIÑA</t>
  </si>
  <si>
    <t>C1:1500:PETRÓLEO INDUSTRIAL Nº 6 </t>
  </si>
  <si>
    <t>C1:2000:PETRÓLEO INDUSTRIAL Nº 6 </t>
  </si>
  <si>
    <t>NAPOLEÓN SANTIAGO BAZO COSTA</t>
  </si>
  <si>
    <t>89721-051-171116</t>
  </si>
  <si>
    <t>INVERSIONES MOCCE S.A.</t>
  </si>
  <si>
    <t>ZONA INDUSTRIAL - PANAMERICANA NORTE KM. 799 -PREDIO SAN ANTONIO - SECTOR MOCCE</t>
  </si>
  <si>
    <t>C1:2000:DIESEL B5,Diesel B5 S-50 </t>
  </si>
  <si>
    <t>JORGE LUIS MARTINEZ TORPOCO</t>
  </si>
  <si>
    <t>0013-CDFJ-15-2006</t>
  </si>
  <si>
    <t xml:space="preserve">UNION DE CERVECERIAS PERUANAS BACKUS Y JOHNSTON S.A.A. </t>
  </si>
  <si>
    <t xml:space="preserve">CARRETERA CENTRAL KM 100 </t>
  </si>
  <si>
    <t>C1:4800:DIESEL 2 </t>
  </si>
  <si>
    <t>DELGADO ZEGARRA BALDEON, ROBERTO HORACIO</t>
  </si>
  <si>
    <t>118337-975-161115</t>
  </si>
  <si>
    <t>DIRECCION DE AVIACION POLICIAL</t>
  </si>
  <si>
    <t>AV. LAS PALMAS S/N - CPM SANTA LUCIA - BASE DIRANDRO PNP</t>
  </si>
  <si>
    <t>TOCACHE</t>
  </si>
  <si>
    <t>UCHIZA</t>
  </si>
  <si>
    <t>C1:3600:GASOLINA 100 LL </t>
  </si>
  <si>
    <t>C1:19800:TURBO A-1 </t>
  </si>
  <si>
    <t>JEFATURA DE CARRETERAS DE MOQUEGUA</t>
  </si>
  <si>
    <t>VIA ILO - CAMANA KM 50</t>
  </si>
  <si>
    <t>MOQUEGUA</t>
  </si>
  <si>
    <t>ILO</t>
  </si>
  <si>
    <t>MENDIZ ATAHUASCO, JUAN ADOLFO</t>
  </si>
  <si>
    <t>TEXTILIA S.A.</t>
  </si>
  <si>
    <t>GALDEANO Y MENDOZA N° 712</t>
  </si>
  <si>
    <t>GELLER LEVY, JOSE</t>
  </si>
  <si>
    <t>OLEOFICIO LIMA S.A.</t>
  </si>
  <si>
    <t>AV. MIGUEL GRAU N° 865, CAQUETA</t>
  </si>
  <si>
    <t>C1:1083:PETRÓLEO INDUSTRIAL Nº 6 </t>
  </si>
  <si>
    <t>C1:10827:PETRÓLEO INDUSTRIAL Nº 6 </t>
  </si>
  <si>
    <t>C1:9109:PETRÓLEO INDUSTRIAL Nº 6 </t>
  </si>
  <si>
    <t>MEDINA ABREGO, LUIS</t>
  </si>
  <si>
    <t>138-051-130612</t>
  </si>
  <si>
    <t>PAN AMERICAN SILVER HUARON S.A.</t>
  </si>
  <si>
    <t>ASIENTO MINERO HUARON - FRANCOIS</t>
  </si>
  <si>
    <t>HUAYLLAY</t>
  </si>
  <si>
    <t>C1:67000:DIESEL B5 </t>
  </si>
  <si>
    <t>CARLOS RAUL VIAL BARREDO</t>
  </si>
  <si>
    <t>141759-051-100319</t>
  </si>
  <si>
    <t xml:space="preserve">CENTROS DE SALUD PERUANOS S.A.C. </t>
  </si>
  <si>
    <t>AV. ALFREDO MENDIOLA MZ 2 LT 6,7,22,23 URB SANTA LUISA 2DA ETAPA</t>
  </si>
  <si>
    <t>C1:1500:Diesel B5 S-50 </t>
  </si>
  <si>
    <t>JORGE EDUARDO O´HARA ORDOÑEZ</t>
  </si>
  <si>
    <t>0036-CDFJ-15-2008</t>
  </si>
  <si>
    <t>EMPRESA DE TRANSPORTE Y SERVICIOS GUADULFO SILVA CARBAJAL S.A.</t>
  </si>
  <si>
    <t>AV. SAN MIGUEL 1ERA CUADRA</t>
  </si>
  <si>
    <t>BRAVO LAUS, MAXIMO PELAYO</t>
  </si>
  <si>
    <t>0003-CDFJ-04-2002</t>
  </si>
  <si>
    <t>EMPRESA DE TRANSPORTES SANTA URSULA S.A.</t>
  </si>
  <si>
    <t>CALLE JAVIER PEREZ DE CUELLAR S/N</t>
  </si>
  <si>
    <t>JACOBO HUNTER</t>
  </si>
  <si>
    <t>COAGUILA RIVERA, JESUS PERCI</t>
  </si>
  <si>
    <t>0011-CDFJ-07-2009</t>
  </si>
  <si>
    <t>TEXTILES SAN GABRIEL S.A.</t>
  </si>
  <si>
    <t>CALLE A, MZ.C, LT.2B,FDO.BOCANEGRA</t>
  </si>
  <si>
    <t>C1:4000:DIESEL B2 </t>
  </si>
  <si>
    <t>KAJATT ARENAS, ALBERTO</t>
  </si>
  <si>
    <t>93244-051-040811</t>
  </si>
  <si>
    <t>ANABI SAC</t>
  </si>
  <si>
    <t xml:space="preserve">CAMPAMENTO MINERO ANABI </t>
  </si>
  <si>
    <t>QUIÑOTA</t>
  </si>
  <si>
    <t>C1:14000:DIESEL B5 </t>
  </si>
  <si>
    <t xml:space="preserve">MYRTA INES IZAGUIRRE MEINARDO </t>
  </si>
  <si>
    <t>0002-CDFJ-04-2006</t>
  </si>
  <si>
    <t>ANALYTICA MINERAL SERVICES S.A.C</t>
  </si>
  <si>
    <t>QUEBRADA FRANCIA, CONSECION MINERA ORION</t>
  </si>
  <si>
    <t>C1:2650:DIESEL 2 </t>
  </si>
  <si>
    <t>TORRES MATIAS, HAROL RUBER</t>
  </si>
  <si>
    <t>0003-CDFJ-04-2003</t>
  </si>
  <si>
    <t>MINERA YANAQUIHUA S.A.C.</t>
  </si>
  <si>
    <t>PARAJE DE APACAY</t>
  </si>
  <si>
    <t>CONDESUYOS</t>
  </si>
  <si>
    <t>YANAQUIHUA</t>
  </si>
  <si>
    <t>C1:7030:DIESEL 2 </t>
  </si>
  <si>
    <t>SAMANIEGO ALCANTARA, JOSE ANTONIO</t>
  </si>
  <si>
    <t>0004-CDFJ-04-2007</t>
  </si>
  <si>
    <t>EMPRESA DE TRANSPORTES V.P. Y S S.A.</t>
  </si>
  <si>
    <t xml:space="preserve">ALTO CAYMA III DEAN VALDIVIA LOTE Nº 13,MZ. J SECTOR 12 </t>
  </si>
  <si>
    <t>CAYMA</t>
  </si>
  <si>
    <t>SANCHEZ VALENCIA, MIGUEL WILLAMS</t>
  </si>
  <si>
    <t>134-051-2010</t>
  </si>
  <si>
    <t>COMPAÑIA MINERA ARES S.A.C.</t>
  </si>
  <si>
    <t>ASIENTO MINERO DE ARCATA CARRETERA ARCATA KM. 300</t>
  </si>
  <si>
    <t>CAYARANI</t>
  </si>
  <si>
    <t>C1:1114:DIESEL B2,GASOLINA 84,GASOLINA 95 </t>
  </si>
  <si>
    <t>JUAN CARLOS AGRAMONTE MOSTAJO</t>
  </si>
  <si>
    <t>98692-051-150413</t>
  </si>
  <si>
    <t>CORPORACION AGROLATINA S.A.C.</t>
  </si>
  <si>
    <t>CARRETERA PANAMERICANA SUR KM. 286.5</t>
  </si>
  <si>
    <t>SALAS</t>
  </si>
  <si>
    <t>C1:2500:DIESEL B5 </t>
  </si>
  <si>
    <t>MARLENY ELIZABETH GARCIA SALAS</t>
  </si>
  <si>
    <t>0001-CDFJ-06-2008</t>
  </si>
  <si>
    <t>PROYECTO ESPECIAL JAEN SAN IGNACIO - BAGUA</t>
  </si>
  <si>
    <t>CARRETERA JAEN SAN IGNACIO KIM 27,5 - LAS CUCARDAS</t>
  </si>
  <si>
    <t>JAEN</t>
  </si>
  <si>
    <t>C1:2000:GASOLINA 84 </t>
  </si>
  <si>
    <t>VILLANUEVA ZUÑIGA, GUIDO</t>
  </si>
  <si>
    <t>114088-051-030720</t>
  </si>
  <si>
    <t>FUNDO TERELA S/N</t>
  </si>
  <si>
    <t>C1:1000:GASOHOL 90 PLUS </t>
  </si>
  <si>
    <t>FERNANDO JOSÉ OSCAR MACEDO DE RIVERO</t>
  </si>
  <si>
    <t>0027-CDFJ-15-2008</t>
  </si>
  <si>
    <t>TINTAS GRAFICAS VENCEDOR S.A.</t>
  </si>
  <si>
    <t>AV. LOS TUSILAGOS ESTE Nº 400</t>
  </si>
  <si>
    <t>C1:110:TOLUENO </t>
  </si>
  <si>
    <t>C1:220:SOLVENTE 1 </t>
  </si>
  <si>
    <t>C1:330:SOLVENTE 3 </t>
  </si>
  <si>
    <t>C1:660:SOLVENTES </t>
  </si>
  <si>
    <t>DE LA, FUENTE GALDO CESAR AUGUSTO</t>
  </si>
  <si>
    <t>39913-051-150615</t>
  </si>
  <si>
    <t>INVERSIONES D &amp; A SEÑOR DE MURUHUAY S.A.C.</t>
  </si>
  <si>
    <t>AV. ANDRES AVELINO CACERES ZONA H LOTE 16 - AA.H. HUAYCAN</t>
  </si>
  <si>
    <t>C1:3800:Diesel B5 S-50,GASOHOL 84 PLUS </t>
  </si>
  <si>
    <t>ALEJANDRO RIVERA MORA</t>
  </si>
  <si>
    <t>161-051-071114</t>
  </si>
  <si>
    <t>INDUSTRIAS ELECTROQUIMICAS S.A.</t>
  </si>
  <si>
    <t>AV. ELMER FAUCETT N° 1920</t>
  </si>
  <si>
    <t>CARLOS GLIKSMAN LATOWICKA</t>
  </si>
  <si>
    <t>134384-051-060218</t>
  </si>
  <si>
    <t>LINEA PERUANA DE TRANSPORTES S.A.</t>
  </si>
  <si>
    <t xml:space="preserve">AV. LOS ALISOS SUB LOTE B N° UC-10628 - FUNDO OQUENDO </t>
  </si>
  <si>
    <t>SALOMON INGA ORTEGA</t>
  </si>
  <si>
    <t>20188-051-101019</t>
  </si>
  <si>
    <t>GER EXPORT S.A.</t>
  </si>
  <si>
    <t>CARRETERA COSTANERA SUR KM 4,5</t>
  </si>
  <si>
    <t>C1:105600:IFO - 380 / BUNKER </t>
  </si>
  <si>
    <t>C1:79000:DIESEL 2 </t>
  </si>
  <si>
    <t>RODRIGUEZ MAMANI, ROLANDO ELISEO</t>
  </si>
  <si>
    <t>0003-CDFJ-11-2008</t>
  </si>
  <si>
    <t>QUIMPAC S.A.</t>
  </si>
  <si>
    <t>SALINAS DE OTUMA</t>
  </si>
  <si>
    <t>C1:1000:DIESEL 2 </t>
  </si>
  <si>
    <t>C1:1500:DIESEL 2 </t>
  </si>
  <si>
    <t>TORRES HERRERA, ARMANDO</t>
  </si>
  <si>
    <t>134992-051-120720</t>
  </si>
  <si>
    <t>EMPRESA DE TRANSPORTES TRAVEL TOURS EXPEDICIONES COLORADO MANU S.A.</t>
  </si>
  <si>
    <t xml:space="preserve">PASAJE LOS INCAS MZ. 14 A LOTE 25 </t>
  </si>
  <si>
    <t>C1:10500:GASOLINA 84 </t>
  </si>
  <si>
    <t>ROBERTO AROCUTIPA MUÑIZ</t>
  </si>
  <si>
    <t>41016-051-050618</t>
  </si>
  <si>
    <t>PLAYA NORTE LOTE 1B-1 Y 1B-2, PUERTO MALABRIGO</t>
  </si>
  <si>
    <t>ASCOPE</t>
  </si>
  <si>
    <t>RAZURI</t>
  </si>
  <si>
    <t>C1:126834:PETRÓLEO INDUSTRIAL Nº 500,PETRÓLEO INDUSTRIAL Nº 6 </t>
  </si>
  <si>
    <t>C1:1970:DIESEL B5,Diesel B5 S-50 </t>
  </si>
  <si>
    <t>C1:3500:PETRÓLEO INDUSTRIAL Nº 500,PETRÓLEO INDUSTRIAL Nº 6 </t>
  </si>
  <si>
    <t>C1:30980:DIESEL B5,Diesel B5 S-50 </t>
  </si>
  <si>
    <t>BILLY JOEL RONDON MALQUI</t>
  </si>
  <si>
    <t>0013-CDFJ-15-2007</t>
  </si>
  <si>
    <t>EMPRESA DE TRANSPORTE DE SERVICIO RAPIDO RAMON CASTILLA S.A.</t>
  </si>
  <si>
    <t>CALLE SAN IGNACIO. MZ. C. LOTES 06. 07. 08. 09 y 10. URB. SANTA TERESA. SUB. LOTE 34 DEL LOTE A-2. EX-FUNDO CHUQUITANTA</t>
  </si>
  <si>
    <t>C1:3140:DIESEL 2 </t>
  </si>
  <si>
    <t>FELIPE CABALLERO, GUILLERMO BENITO</t>
  </si>
  <si>
    <t>121460-051-120616</t>
  </si>
  <si>
    <t>SHAHUINDO S.A.C.</t>
  </si>
  <si>
    <t>CASERIO MOYON ALTO – PROYECTO SHAHUINDO</t>
  </si>
  <si>
    <t>CAJABAMBA</t>
  </si>
  <si>
    <t>CACHACHI</t>
  </si>
  <si>
    <t xml:space="preserve">JUAN HECTOR RODRIGUEZ DIONICIO </t>
  </si>
  <si>
    <t>0003-CDFJ-07-2000</t>
  </si>
  <si>
    <t>EMPRESA NACIONAL DE PUERTOS S.A. - ENAPU S.A.</t>
  </si>
  <si>
    <t>AV. GUARDIA CHALACA S/N. TERMINAL MARITIMO</t>
  </si>
  <si>
    <t>C1:11152:DIESEL 2 </t>
  </si>
  <si>
    <t>DOMINGUEZ DÃVILA, LUIS</t>
  </si>
  <si>
    <t>97465-051-260912</t>
  </si>
  <si>
    <t>ASPERSUD</t>
  </si>
  <si>
    <t>AV. JAVIER PRADO N° 6420-URB. SANTA PATRICIA, II ETAPA</t>
  </si>
  <si>
    <t>LA MOLINA</t>
  </si>
  <si>
    <t>JORGE LUIS MALAGA CALDERON</t>
  </si>
  <si>
    <t>0008-CDFJ-07-2006</t>
  </si>
  <si>
    <t>EMPRESA DE TRANSPORTES Y SERVICIOS SAN JUAN BOSCO S.A.</t>
  </si>
  <si>
    <t>CALLE LEONCIO PRADO 952</t>
  </si>
  <si>
    <t>LA PERLA</t>
  </si>
  <si>
    <t>RUMICHE MARTINEZ, JOSE BENITO</t>
  </si>
  <si>
    <t>107161-051-030214</t>
  </si>
  <si>
    <t>PESQUERA EXALMAR S.A.A</t>
  </si>
  <si>
    <t>AV INDUSTRIAL N° 690</t>
  </si>
  <si>
    <t>CALETA DE CARQUIN</t>
  </si>
  <si>
    <t>C1:114228:RESIDUAL 500 (USO PROPIO) </t>
  </si>
  <si>
    <t>C1:72332:Diesel B5 S-50 </t>
  </si>
  <si>
    <t>NUTREINA S.A.</t>
  </si>
  <si>
    <t>HACIENDA HOJA REDONDA - PANAMERICANA SUR KM. 213.2</t>
  </si>
  <si>
    <t>C1:4150:PETRÓLEO INDUSTRIAL Nº 500 </t>
  </si>
  <si>
    <t>NICOLINI BERNUCCI, LUIS EUGENIO</t>
  </si>
  <si>
    <t>0027-CDFJ-04-2001</t>
  </si>
  <si>
    <t>SOLUCIONES NO METALICAS S.A.C.</t>
  </si>
  <si>
    <t>CARRETERA PANAMERICANA SUR KM. 544</t>
  </si>
  <si>
    <t>LOMAS</t>
  </si>
  <si>
    <t>C1:12000:DIESEL 2 </t>
  </si>
  <si>
    <t>CALLE QUINTANA, JOSE ALBERTO</t>
  </si>
  <si>
    <t>133608-051-310118</t>
  </si>
  <si>
    <t>CAMPOSOL S.A.</t>
  </si>
  <si>
    <t>CASERIO HUANGALA S/N FUNDO AGRO ALEGRE KM. 21 CARRETERA CANAL CHIRA</t>
  </si>
  <si>
    <t>C1:0:DIESEL B5,Diesel B5 S-50,GASOHOL 90 PLUS </t>
  </si>
  <si>
    <t>LOZADA VASQUEZ TERESA PAOLA</t>
  </si>
  <si>
    <t>100537-051-191013</t>
  </si>
  <si>
    <t>PEZ DE EXPORTACION S.A.C.</t>
  </si>
  <si>
    <t>CARRETERA PISCO A PARACAS KM. 16.5, LOTIZACION INDUSTRIAL SANTA ELENA</t>
  </si>
  <si>
    <t>C1:15251:DIESEL B5 </t>
  </si>
  <si>
    <t>JUAN ORLANDO BACIGALUPO DEL BUSTO</t>
  </si>
  <si>
    <t>136187-051-160518</t>
  </si>
  <si>
    <t>CARRETERA CASMA - HUARAZ KM 53</t>
  </si>
  <si>
    <t>PARIACOTO</t>
  </si>
  <si>
    <t>C1:9868:Diesel B5 S-50 </t>
  </si>
  <si>
    <t>JHON PATRICIO SANCHEZ BERNAL</t>
  </si>
  <si>
    <t>106652-051-140218</t>
  </si>
  <si>
    <t>PROYECTO ESPECIAL CHAVIMOCHIC</t>
  </si>
  <si>
    <t>CAMPAMENTO SAN JOSE</t>
  </si>
  <si>
    <t>C1:500:GASOHOL 95 PLUS </t>
  </si>
  <si>
    <t xml:space="preserve">MIGUEL ORLANDO CHAVEZ CASTRO </t>
  </si>
  <si>
    <t>19715-052-121216</t>
  </si>
  <si>
    <t>AV. ROOSEVELT 1008</t>
  </si>
  <si>
    <t>CHANCAY</t>
  </si>
  <si>
    <t>C1:132500:DIESEL B5,Diesel B5 S-50 </t>
  </si>
  <si>
    <t>C1:132500:PETRÓLEO INDUSTRIAL Nº 500 </t>
  </si>
  <si>
    <t>DANY WALTER CANALES NAUPARI</t>
  </si>
  <si>
    <t>0050-CDFJ-15-2008</t>
  </si>
  <si>
    <t>EMPRESA DE TRANSPORTES 12 DE ENERO S.A.</t>
  </si>
  <si>
    <t>LAS LADERAS DEL CERRO SANTA MARIA - SECTOR CANTO GRANDE</t>
  </si>
  <si>
    <t>C1:2200:DIESEL 2 </t>
  </si>
  <si>
    <t>BERROSPI FLORES, REYNALDO</t>
  </si>
  <si>
    <t>0004-CDFJ-02-2000</t>
  </si>
  <si>
    <t>INVERSIONES REGAL S.A.</t>
  </si>
  <si>
    <t>ESQ. AV. BRASIL Y JR. KENNEDY MZ. L LT. 1-8 VILLA MARIA</t>
  </si>
  <si>
    <t>C1:3800:PETRÓLEO INDUSTRIAL Nº 500 </t>
  </si>
  <si>
    <t>C1:11100:PETRÓLEO INDUSTRIAL Nº 500 </t>
  </si>
  <si>
    <t>REGALO QUIJANO, WALTER MANUEL</t>
  </si>
  <si>
    <t>16162-051-050711</t>
  </si>
  <si>
    <t>LADRILLERA EL DIAMANTE S.A.C.</t>
  </si>
  <si>
    <t>VARIANTE DE UCHUMAYO KM 4</t>
  </si>
  <si>
    <t>C1:6594:PETRÓLEO INDUSTRIAL Nº 500,PETRÓLEO INDUSTRIAL Nº 6 </t>
  </si>
  <si>
    <t>C1:4300:PETRÓLEO INDUSTRIAL Nº 500,PETRÓLEO INDUSTRIAL Nº 6 </t>
  </si>
  <si>
    <t>C1:6500:PETRÓLEO INDUSTRIAL Nº 500,PETRÓLEO INDUSTRIAL Nº 6 </t>
  </si>
  <si>
    <t>C1:4147:PETRÓLEO INDUSTRIAL Nº 500,PETRÓLEO INDUSTRIAL Nº 6 </t>
  </si>
  <si>
    <t>C1:2600:DIESEL B5 </t>
  </si>
  <si>
    <t>C1:6256:DIESEL B5 </t>
  </si>
  <si>
    <t>MARIA DOLORES LINARES CORNEJO DE PAZ</t>
  </si>
  <si>
    <t>SANTA FE PETROLEUM DEL PERU S.A. - IQUITOS</t>
  </si>
  <si>
    <t>RIO CURARAY, BASE LOGISTICA DE BARRETT, OPERADORA DE LOTE 67</t>
  </si>
  <si>
    <t>NAPO</t>
  </si>
  <si>
    <t>C1:50000:DIESEL 2 </t>
  </si>
  <si>
    <t>EIBNER JORG, ALEXANDER</t>
  </si>
  <si>
    <t>0003-CDFJ-20-2008</t>
  </si>
  <si>
    <t>AGROPESCA S.A.</t>
  </si>
  <si>
    <t>TIERRA COLORADA S/N</t>
  </si>
  <si>
    <t>C1:55500:DIESEL 2 </t>
  </si>
  <si>
    <t>DIAZ LLATAS, RUPERTO</t>
  </si>
  <si>
    <t>0020-CDFJ-15-2001</t>
  </si>
  <si>
    <t>RUBEUS S.A.C.</t>
  </si>
  <si>
    <t>AV. MARIA REICHE S/N.-SECTOR 2, 4TA ETAPA, URB. PACHACAMAC</t>
  </si>
  <si>
    <t>C1:5000:DIESEL B2 </t>
  </si>
  <si>
    <t>ANGELES JUSTO, EDILBERTO</t>
  </si>
  <si>
    <t>116108-051-150618</t>
  </si>
  <si>
    <t>CCE-SERVOSA AQP (CONFORMADO POR LAS EMPRESAS SERVOSA GAS S.A.C. Y SERVOSA CARGO S.A.C.</t>
  </si>
  <si>
    <t>VIA DE EVITAMIENTO SECTOR LATERAL “H”-HUAYRAPUNA U.C. 01840</t>
  </si>
  <si>
    <t>JOSE JENNER BAZAN RODRIGUEZ</t>
  </si>
  <si>
    <t>RANCHO EUZKADI S.A.</t>
  </si>
  <si>
    <t>CIENEGUILLO CENTRO KM. 6.7</t>
  </si>
  <si>
    <t>URTEAGA DE MARZI, FERNANDO</t>
  </si>
  <si>
    <t>1368-052-240611</t>
  </si>
  <si>
    <t>COMPAÑIA PESQUERA DEL PACIFICO CENTRO S.A.</t>
  </si>
  <si>
    <t>AV. INDUSTRIAL S/N.</t>
  </si>
  <si>
    <t>C1:29000:DIESEL B5 </t>
  </si>
  <si>
    <t>C1:267000:PETRÓLEO INDUSTRIAL Nº 500 </t>
  </si>
  <si>
    <t>GENARO ALBERTO FLOREZ MORENO</t>
  </si>
  <si>
    <t>0003-CDFJ-02-2009</t>
  </si>
  <si>
    <t>JR. EL MILAGRO N°252 ZONA INDUSTRIAL 27 DE OCTUBRE</t>
  </si>
  <si>
    <t>C1:54094:PETRÓLEOS INDUSTRIALES </t>
  </si>
  <si>
    <t>C1:350:DIESEL B2 </t>
  </si>
  <si>
    <t>C1:20800:DIESEL B2 </t>
  </si>
  <si>
    <t>C1:1650:PETRÓLEOS INDUSTRIALES </t>
  </si>
  <si>
    <t>FLOREZ MORENO, GENARO ALBERTO</t>
  </si>
  <si>
    <t>121159-051-060716</t>
  </si>
  <si>
    <t>SEGURO SOCIAL DE SALUD – ESSALUD HOSPITAL NACIONAL EDGARDO REBAGLIATI MARTINS</t>
  </si>
  <si>
    <t xml:space="preserve">AV. REBAGLIATI N° 490 </t>
  </si>
  <si>
    <t>JESUS MARIA</t>
  </si>
  <si>
    <t>MALU LEA ALICIA ARIAS SCHEREIBER BARBA</t>
  </si>
  <si>
    <t>41576-051-191017</t>
  </si>
  <si>
    <t>CARRETERA PANAMERICANA NORTE KM. 506</t>
  </si>
  <si>
    <t>C1:7983:DIESEL B5,Diesel B5 S-50 </t>
  </si>
  <si>
    <t>C1:5887:GASOHOL 90 PLUS </t>
  </si>
  <si>
    <t>TERESA PAOLA LOZADA VASQUEZ</t>
  </si>
  <si>
    <t>89973-115-2011</t>
  </si>
  <si>
    <t>CLARIANT (PERU) S.A.</t>
  </si>
  <si>
    <t>AV. LOS FRUTALES Nº 111 - 115</t>
  </si>
  <si>
    <t>C1:1320:null </t>
  </si>
  <si>
    <t>LUIS ALBERTO DIAZ MARTINEZ</t>
  </si>
  <si>
    <t>0000045-LIB</t>
  </si>
  <si>
    <t>INDUSTRIAS AÑAÑOS S.A.</t>
  </si>
  <si>
    <t>AV. METROPOLITANA 1 S/N, URB. SAN ISIDRO</t>
  </si>
  <si>
    <t>C1:3350:DIESEL 2 </t>
  </si>
  <si>
    <t>VALLEJO CORTEZ, ROLANDO</t>
  </si>
  <si>
    <t>SEGURO SOCIAL DE SALUD (ESSALUD) HOSPITAL CAYETANO HEREDIA</t>
  </si>
  <si>
    <t>AV. INDEPENDENCIA S/N - MIRAFLORES</t>
  </si>
  <si>
    <t>C1:6500:DIESEL 2 </t>
  </si>
  <si>
    <t>ELIZALDE ELGUERA, EUGENIO</t>
  </si>
  <si>
    <t>44736-051-061116</t>
  </si>
  <si>
    <t>EMPRESA DE TRANSPORTES CALIFORNIA S.A.</t>
  </si>
  <si>
    <t>CALLE LIBERTAD S/N AA.HH. MARGINAL LOS PINOS (SECTOR WICHANZAO)</t>
  </si>
  <si>
    <t>C1:3984:DIESEL B5,Diesel B5 S-50 </t>
  </si>
  <si>
    <t>POMPILIO CAMPO ANDRADE</t>
  </si>
  <si>
    <t>140874-115-150219</t>
  </si>
  <si>
    <t>CHEM MASTERS DEL PERU S.A.</t>
  </si>
  <si>
    <t>CALLE LOS CEDROS S/N, MZ. D LOTE 5 - URB. LA CAPITANA</t>
  </si>
  <si>
    <t>LURIGANCHO</t>
  </si>
  <si>
    <t>C1:2400:ASFALTO LÍQUIDO RC-250 C1:55:null </t>
  </si>
  <si>
    <t>HAYDI GIULIANA MANCINI GUZMAN</t>
  </si>
  <si>
    <t>91865-051-300511</t>
  </si>
  <si>
    <t>EMPRESA DE TRANSPORTES SANTA ROSA DE JICAMARCA S.A.</t>
  </si>
  <si>
    <t>AV. NACIONES UNIDAS, MZ. DN, LOTES 03, 07, 08, 8A, 8B</t>
  </si>
  <si>
    <t>C1:4006:DIESEL B5 </t>
  </si>
  <si>
    <t>RUBEN PABLO ORIHUELA LÓPEZ</t>
  </si>
  <si>
    <t>98885-051-231112</t>
  </si>
  <si>
    <t>INTERNACIONAL DE TRANSPORTE TURISTICO Y SERVICIOS S.R.L.</t>
  </si>
  <si>
    <t>JR. ANTONIO ELIZALDE Nº 712 (EX-DIEGO FERRE)</t>
  </si>
  <si>
    <t>OSWALDO ROBLES GUTIERREZ</t>
  </si>
  <si>
    <t>90552-051-2011</t>
  </si>
  <si>
    <t>CONSORCIO ROBRISA S.A.</t>
  </si>
  <si>
    <t>CALLE LOS DURAZNOS Nº 551-559, MZ C LOTES 27 Y 12B, URB. CANTO GRANDE</t>
  </si>
  <si>
    <t>C1:3100:PETRÓLEO INDUSTRIAL Nº 6 </t>
  </si>
  <si>
    <t>HERBERT ANTONIO ROJAS PAUCAR</t>
  </si>
  <si>
    <t>98691-051-040220</t>
  </si>
  <si>
    <t>INVERSIONES MARRUIZ S.A.C</t>
  </si>
  <si>
    <t>MZ. M16 LOTE N° 01 SECTOR VIRGEN DEL SOCORRO</t>
  </si>
  <si>
    <t>C1:3300:Diesel B5 S-50 </t>
  </si>
  <si>
    <t>DONNY SAVIER RUIZ RODRIGUEZ</t>
  </si>
  <si>
    <t>1025-051-220616</t>
  </si>
  <si>
    <t>CFG INVESTMENT S.A.C.</t>
  </si>
  <si>
    <t>CARRETERA PISCO PARACAS KM. 15.5</t>
  </si>
  <si>
    <t>C1:52840:PETRÓLEO INDUSTRIAL Nº 6 </t>
  </si>
  <si>
    <t>C1:26420:PETRÓLEO INDUSTRIAL Nº 6 </t>
  </si>
  <si>
    <t>C1:3963:PETRÓLEO INDUSTRIAL Nº 6 </t>
  </si>
  <si>
    <t>C1:3963:DIESEL B5 </t>
  </si>
  <si>
    <t>MARCO ANTONIO JAMANCA VEGA</t>
  </si>
  <si>
    <t>94460-115-091211</t>
  </si>
  <si>
    <t>SOCIEDAD INDUSTRIAL VULCANO S.R.L.</t>
  </si>
  <si>
    <t>CALLE LOS RODAJES Nº 171 MZ. C LOTES 02 Y 03. URB. INDUSTRIAL LA MILLA</t>
  </si>
  <si>
    <t>C1:990:SOLVENTE 1 </t>
  </si>
  <si>
    <t>C1:2640:SOLVENTE 3 </t>
  </si>
  <si>
    <t>C1:990:TOLUENO </t>
  </si>
  <si>
    <t>C1:1210:ASFALTO LÍQUIDO RC-250 </t>
  </si>
  <si>
    <t>CLAUDIO RIOS BEDIA</t>
  </si>
  <si>
    <t>83669-051-180616</t>
  </si>
  <si>
    <t>COMPAÑIA MINERA SANTA LUISA S.A.</t>
  </si>
  <si>
    <t>ASIENTO MINERO HUANZALA</t>
  </si>
  <si>
    <t>BOLOGNESI</t>
  </si>
  <si>
    <t>HUALLANCA</t>
  </si>
  <si>
    <t>C1:35000:Diesel B5 S-50 </t>
  </si>
  <si>
    <t>C1:54000:Diesel B5 S-50 </t>
  </si>
  <si>
    <t>C1:5500:Diesel B5 S-50 </t>
  </si>
  <si>
    <t>PEDRO MARIO VERA ORTIZ</t>
  </si>
  <si>
    <t>COMPAÑIA UNIVERSAL TEXTIL S.A.</t>
  </si>
  <si>
    <t>AV. VENEZUELA 2505</t>
  </si>
  <si>
    <t>C1:17600:DIESEL 2 </t>
  </si>
  <si>
    <t>C1:19590:PETRÓLEO INDUSTRIAL Nº 6 </t>
  </si>
  <si>
    <t>ALVAREZ CALDERON SEHR, JORGE PEDRO</t>
  </si>
  <si>
    <t>110100-051-151215</t>
  </si>
  <si>
    <t xml:space="preserve">CERAMICA LIMA S A </t>
  </si>
  <si>
    <t>AV. SANTA ROSA DE LIMA NORTE 1300 – 1398 SAN JUAN DE LURIGANCHO (AV. SANTA ROSA S/N)</t>
  </si>
  <si>
    <t>CARLOS EDUARDO GUEVARA HOLGUIN</t>
  </si>
  <si>
    <t>0011-CDFJ-15-2006</t>
  </si>
  <si>
    <t xml:space="preserve">PERU FASHION S.A.C. </t>
  </si>
  <si>
    <t xml:space="preserve">CALLE LOS HORNOS N° 251, URB. INFANTAS </t>
  </si>
  <si>
    <t>C1:3600:PETRÓLEO INDUSTRIAL Nº 500 </t>
  </si>
  <si>
    <t>C1:3000:PETRÓLEO INDUSTRIAL Nº 500 </t>
  </si>
  <si>
    <t>ALBERTINI ABUSADA, RENZO JORGE</t>
  </si>
  <si>
    <t>150688-051-310820</t>
  </si>
  <si>
    <t>METRO DE LIMA LINEA 2 S.A.</t>
  </si>
  <si>
    <t>AV. DE LA CULTURA S/N PUERTA 1 - FRENTE A LA PUERTA DE EMERGENCIA DEL HOSPITAL HERMILIO VALDIZAN</t>
  </si>
  <si>
    <t>C1:2640:Diesel B5 S-50 </t>
  </si>
  <si>
    <t>CARMEN DEULOFEU PALOMAS</t>
  </si>
  <si>
    <t>147340-051-150120</t>
  </si>
  <si>
    <t>AREQUIPA EXPRESO MARVISUR EIRL</t>
  </si>
  <si>
    <t>MZ C-1 SURIHUAYLLA CHICO</t>
  </si>
  <si>
    <t>SAN SEBASTIAN</t>
  </si>
  <si>
    <t xml:space="preserve">VICTOR NEMESIO CONDORI CONDORI </t>
  </si>
  <si>
    <t>0005-CDFJ-16-2004</t>
  </si>
  <si>
    <t>MACAROAD E.I.R.L.</t>
  </si>
  <si>
    <t>PUERTO MASUSA S/N</t>
  </si>
  <si>
    <t>C1:500:DIESEL 2 </t>
  </si>
  <si>
    <t>RUIZ MONTALVAN, FIDEL</t>
  </si>
  <si>
    <t>44598-051-100217</t>
  </si>
  <si>
    <t>EMPRESA DE TRANSPORTES CRUZ DEL NORTE S.AC</t>
  </si>
  <si>
    <t>MZ. B. LOTE 01. PROGRAMA DE VIVIENDA H.U.P.VILLA MARIA SECTOR B SUBLOTE B-2</t>
  </si>
  <si>
    <t>NUEVO CHIMBOTE</t>
  </si>
  <si>
    <t>C1:5800:Diesel B5 S-50 </t>
  </si>
  <si>
    <t>MIRANDA LOZANO, EDILBERTO</t>
  </si>
  <si>
    <t>0039-CDFJ-15-2007</t>
  </si>
  <si>
    <t>EMPRESA DE TRANSPORTES FLORES HERMANOS S.R.Ltda.</t>
  </si>
  <si>
    <t xml:space="preserve">JR.GENERAL FELIPE SANTIAGO SALAVERRY 485 LOTIZ.IND. EL PINO </t>
  </si>
  <si>
    <t>C1:6835:DIESEL 2 </t>
  </si>
  <si>
    <t>FLORES CHAVEZ, PASTOR TIMOTEO</t>
  </si>
  <si>
    <t>432-052-221012</t>
  </si>
  <si>
    <t>CASERIO CONDORCOCHA S/N</t>
  </si>
  <si>
    <t>TARMA</t>
  </si>
  <si>
    <t>LA UNION</t>
  </si>
  <si>
    <t>C1:309060:PETRÓLEO INDUSTRIAL Nº 6 </t>
  </si>
  <si>
    <t>C1:10205:DIESEL B5 </t>
  </si>
  <si>
    <t>C1:9188:DIESEL B5 </t>
  </si>
  <si>
    <t>C1:3196:DIESEL B5 </t>
  </si>
  <si>
    <t>C1:5640:DIESEL B5 </t>
  </si>
  <si>
    <t>C1:14006:DIESEL B5 </t>
  </si>
  <si>
    <t>C1:153483:PETRÓLEO INDUSTRIAL Nº 6 </t>
  </si>
  <si>
    <t>C1:23498:DIESEL B5 </t>
  </si>
  <si>
    <t>CARLOS ALFONSO UGAS DELGADO</t>
  </si>
  <si>
    <t>REYMATIC S.A.</t>
  </si>
  <si>
    <t>AV. OSCAR R. BENAVIDES N° 5991</t>
  </si>
  <si>
    <t>CLEISER KATZ, SAMUEL</t>
  </si>
  <si>
    <t>20192-051-130720</t>
  </si>
  <si>
    <t>AGROMAR INDUSTRIAL S.A.</t>
  </si>
  <si>
    <t>CARRETERA A SULLANA - TAMBO GRANDE KM 43.5</t>
  </si>
  <si>
    <t>C1:18400:Diesel B5 S-50 </t>
  </si>
  <si>
    <t>HIDALGO LAZO, FABIAN LENHUAR</t>
  </si>
  <si>
    <t>61781-051-160919</t>
  </si>
  <si>
    <t>INVERSIONES PESQUERAS LIGURIA S.A.C.</t>
  </si>
  <si>
    <t xml:space="preserve">CALLE 3 MZ. C LOTES 1, 2, 3 Y 4, ZONA INDUSTRIAL GRAN TRAPECIO </t>
  </si>
  <si>
    <t>C1:612:PETRÓLEO INDUSTRIAL Nº 500 </t>
  </si>
  <si>
    <t xml:space="preserve">PORTILLA GARIBOTTO MARIA CRISTINA </t>
  </si>
  <si>
    <t>0008-CDFJ-07-2009</t>
  </si>
  <si>
    <t>INDUSTRIAS VENCEDOR S.A. IVSA</t>
  </si>
  <si>
    <t>AV. NESTOR GAMBETTA S/N KM. 11.5. CARRETERA VENTANILLA</t>
  </si>
  <si>
    <t>C1:34800:SOLVENTE 3 </t>
  </si>
  <si>
    <t>C1:3000:DIESEL B2 </t>
  </si>
  <si>
    <t>C1:4400:SOLVENTE 1 </t>
  </si>
  <si>
    <t>C1:3960:TOLUENO </t>
  </si>
  <si>
    <t>C1:3960:XILENO </t>
  </si>
  <si>
    <t>C1:1320:HEXANO </t>
  </si>
  <si>
    <t>LIRA GARCIA, VICTOR EDUARDO</t>
  </si>
  <si>
    <t>95703-112-120418</t>
  </si>
  <si>
    <t>SUCROALCOLERA DEL CHIRA S.A.</t>
  </si>
  <si>
    <t>CARRETERA IGNACIO ESCUDERO TAMARINDO KM. 06</t>
  </si>
  <si>
    <t>IGNACIO ESCUDERO</t>
  </si>
  <si>
    <t>C1:21300:CGN SOLVENTE,GASOHOL 84 PLUS,GASOHOL 90 PLUS </t>
  </si>
  <si>
    <t>JOSE ENRIQUE VALDIVIA PIZARRO</t>
  </si>
  <si>
    <t>107334-051-300514</t>
  </si>
  <si>
    <t xml:space="preserve">EMPRESA DE TRANSPORTES UNIDOS DOCE DE NOVIEMBRE S.A. </t>
  </si>
  <si>
    <t>TERRENO PARTE DEL FUNDO RUSTICO MONTERRICO CHICO COLINDANTE AL AAHH LOS GIRASOLES DEL PPJJ PAMPLONA ALTA</t>
  </si>
  <si>
    <t>SAN JUAN DE MIRAFLORES</t>
  </si>
  <si>
    <t>TEOFILO HUAMAN NAVARRO</t>
  </si>
  <si>
    <t>1482-051-220114</t>
  </si>
  <si>
    <t>COOPERATIVA DE PRODUCCION Y SERVICIOS ESPECIALES DE LOS PRODUCTORES DE CAMELIDOS ANDINOS LTDA</t>
  </si>
  <si>
    <t>AV. 27 DE NOVIEMBRE N° 611</t>
  </si>
  <si>
    <t>C1:9000:PETRÓLEO INDUSTRIAL Nº 500 </t>
  </si>
  <si>
    <t xml:space="preserve">DAGOBERTO ROMULO FERNANDEZ PALACIOS </t>
  </si>
  <si>
    <t>119237-052-150818</t>
  </si>
  <si>
    <t>MINERA VETA DORADA S.A.C.</t>
  </si>
  <si>
    <t>CONCESIONES MINERAS TUMIPAMPA I, JAIMITO DYNACOR 1, PRIMERA SUERTE, JOSELIN TUMI Y CARLITOS DYNACOR 1</t>
  </si>
  <si>
    <t>ABANCAY</t>
  </si>
  <si>
    <t>CIRCA</t>
  </si>
  <si>
    <t>C1:11000:Diesel B5 S-50 </t>
  </si>
  <si>
    <t>JORGE LUIS CARDENAS CABRERA</t>
  </si>
  <si>
    <t>CO. DI. EL DELFIN</t>
  </si>
  <si>
    <t>MZ. T, LOTE 12 - LOS CEDROS - URB. SEMI RUSTICA MAMPUESTO</t>
  </si>
  <si>
    <t>LLEMPEN CORTEZ, JOSE BERNARDO</t>
  </si>
  <si>
    <t>0009-CDFJ-15-2010</t>
  </si>
  <si>
    <t>REPRESENTACIONES R-28 S.A</t>
  </si>
  <si>
    <t>MZ C LOTE 5 SECTOR EL PEDREGAL, COMUNIDAD CAMPESINA JICAMARCA ANEXO 22 PAMPA CANTO GRANDE</t>
  </si>
  <si>
    <t>HUERTA RAMIREZ, JULIO LEONIDAS</t>
  </si>
  <si>
    <t>CIPA S.A.</t>
  </si>
  <si>
    <t>JR. RODRIGUEZ DE MENDOZA NO 135</t>
  </si>
  <si>
    <t>PUEBLO LIBRE</t>
  </si>
  <si>
    <t>QUINTANA CHACHAPOYAS, JOSE</t>
  </si>
  <si>
    <t>ITAL GRES INDUSTRIAL S.A.</t>
  </si>
  <si>
    <t>AV.LA CAPITANIA MZ.L, LT.9</t>
  </si>
  <si>
    <t>C1:8300:PETRÓLEOS INDUSTRIALES </t>
  </si>
  <si>
    <t>C1:17500:PETRÓLEOS INDUSTRIALES </t>
  </si>
  <si>
    <t>WOOLLS SEGURA, WALTER</t>
  </si>
  <si>
    <t>95283-051-240317</t>
  </si>
  <si>
    <t>DISTRIBUCION Y TRANSPORTE DE COMBUSTIBLES DEL PERÚ S.A.C.</t>
  </si>
  <si>
    <t>MZ. O 10 LOTE 01 SECTOR VIRGEN DEL SOCORRO</t>
  </si>
  <si>
    <t>C1:2200:DIESEL B5,Diesel B5 S-50 </t>
  </si>
  <si>
    <t>ELDER ALEXANDER HUAMANQUISPE ARTEAGA</t>
  </si>
  <si>
    <t>140695-051-210119</t>
  </si>
  <si>
    <t>AGROINDUSTRIAL LAREDO S.A.A</t>
  </si>
  <si>
    <t xml:space="preserve">CARRETERA PANAMERICANA NORTE ALTURA DEL KM. 532 INTERIOR SAN IDELFONSO S/N - FUNDO VIRU </t>
  </si>
  <si>
    <t>C1:1320:Diesel B5 S-50 </t>
  </si>
  <si>
    <t xml:space="preserve">LUIS FERNANDO PIZA BERMUDEZ </t>
  </si>
  <si>
    <t>135199-112-260318</t>
  </si>
  <si>
    <t xml:space="preserve">CHEMICAL MINING S.A </t>
  </si>
  <si>
    <t>AV CHILLON MZ. A LOTE 93 EXFUNDO CHACRA CERRO</t>
  </si>
  <si>
    <t>C1:2200:CGN SOLVENTE </t>
  </si>
  <si>
    <t>C1:2200:SOLVENTE 1 </t>
  </si>
  <si>
    <t>C1:2200:SOLVENTE 3 </t>
  </si>
  <si>
    <t>C1:1100:ASFALTO LÍQUIDO RC-250 </t>
  </si>
  <si>
    <t>C1:55:ASFALTO LÍQUIDO RC-250,CGN SOLVENTE,SOLVENTE 1,SOLVENTE 3 </t>
  </si>
  <si>
    <t>ADAN CARLOS VILLANUEVA</t>
  </si>
  <si>
    <t>0042-CDFJ-15-2008</t>
  </si>
  <si>
    <t>ENTRE LA AUTOPISTA PANAMERICANA SUR Y AV. SAN JOSE DENTRO DEL LOTE 136 FRENTE A LA URB. SAN JOSE</t>
  </si>
  <si>
    <t>SAN BARTOLO</t>
  </si>
  <si>
    <t>C1:4400:DIESEL 2 </t>
  </si>
  <si>
    <t>97887-051-241012</t>
  </si>
  <si>
    <t>MINERA HUINAC SOCIEDAD ANONIMA CERRADA</t>
  </si>
  <si>
    <t>JR. ANTUNEZ DE MAYOLO S/N</t>
  </si>
  <si>
    <t>C1:5770:DIESEL B5 </t>
  </si>
  <si>
    <t>HENRY LUIS VIZCARRA MAYORGA</t>
  </si>
  <si>
    <t>0008-CDFJ-15-2010</t>
  </si>
  <si>
    <t>EMPRESA DE TRANSPORTES CAMINOS DEL INCA S.A.</t>
  </si>
  <si>
    <t>MZ CZ, LOTE 01, SECTOR EL VALLE CENTRO POBLADO ANEXO 22 PAMPA CANTO GRANDE, COMUNIDAD CAMPESINA JICAMARCA</t>
  </si>
  <si>
    <t>GANOA JARAMILLO, LUIS ALBERTO</t>
  </si>
  <si>
    <t>PESQUERA CAPRICORNIO S.A.</t>
  </si>
  <si>
    <t>AV. PROLONGACION CENTENARIO N° 2620 - 2628</t>
  </si>
  <si>
    <t>C1:61290:PETRÓLEO INDUSTRIAL Nº 500 </t>
  </si>
  <si>
    <t>C1:17880:DIESEL 2 </t>
  </si>
  <si>
    <t>MANDRIOTTI CASTRO, GIOVANNI NESTOR</t>
  </si>
  <si>
    <t>108889-112-230916</t>
  </si>
  <si>
    <t>CORPORACION ASFALTOS Y PAVIMENTOS CASTILLO S.A.C.</t>
  </si>
  <si>
    <t>PARCELA DON ELIAS SECTOR CUATRO DE MAYO - COMUNIDAD CAMPESINA SANTA LUCIA.</t>
  </si>
  <si>
    <t>FERREÑAFE</t>
  </si>
  <si>
    <t>MANUEL ANTONIO MESONES MURO</t>
  </si>
  <si>
    <t>C1:8521:ASFALTO SOLIDO,CEMENTO ASFÁLTICO,Diesel B5 S-50 </t>
  </si>
  <si>
    <t>C1:9986:ASFALTO SOLIDO,CEMENTO ASFÁLTICO </t>
  </si>
  <si>
    <t>C1:5195:DIESEL B5 </t>
  </si>
  <si>
    <t>C1:8521:DIESEL B5 </t>
  </si>
  <si>
    <t>C1:9986:ASFALTO LÍQUIDO,PETRÓLEOS INDUSTRIALES </t>
  </si>
  <si>
    <t>ELIAS RAFAEL CASTILLO AYALA</t>
  </si>
  <si>
    <t>255-051-040517</t>
  </si>
  <si>
    <t>CONSORCIO INDUSTRIAL DE AREQUIPA S.A.</t>
  </si>
  <si>
    <t>AV. JUAN BARCLAY HARMSEN N° 380-382, PARQUE INDUSTRIAL</t>
  </si>
  <si>
    <t>C1:4989:PETRÓLEO INDUSTRIAL Nº 500 </t>
  </si>
  <si>
    <t>C1:6103:PETRÓLEO INDUSTRIAL Nº 500 </t>
  </si>
  <si>
    <t>HUGO FERNANDO MANRIQUE JIMENEZ</t>
  </si>
  <si>
    <t>121145-051-310816</t>
  </si>
  <si>
    <t>AGRICOLA HOJA REDONDA S.A.</t>
  </si>
  <si>
    <t>CARRETERA PANAMERICANA NORTE KM. 728.5</t>
  </si>
  <si>
    <t>CHEPEN</t>
  </si>
  <si>
    <t>PACANGA</t>
  </si>
  <si>
    <t>C1:5000:DIESEL B5,Diesel B5 S-50,GASOHOL 90 PLUS </t>
  </si>
  <si>
    <t>DIEGO ALFONSO JEANNEAU SALAZAR</t>
  </si>
  <si>
    <t>137701-051-090818</t>
  </si>
  <si>
    <t>DITRANSERVA S.A.C.</t>
  </si>
  <si>
    <t>LOTE 75, URB. PARCELACION CAJAMARQUILLA 1RA ETAPA</t>
  </si>
  <si>
    <t>C1:4532:Diesel B5 S-50 </t>
  </si>
  <si>
    <t>CRISTIAN FRANCISCO CASTRO RODRIGUEZ</t>
  </si>
  <si>
    <t>928-051-310816</t>
  </si>
  <si>
    <t>EMPRESA DE TRANSPORTES ANTICONA S.R.L.</t>
  </si>
  <si>
    <t>AV. TUPAC AMARU N° 1500 URB. MOCHICA</t>
  </si>
  <si>
    <t>ORESTES ANTICONA VALVERDE</t>
  </si>
  <si>
    <t>106986-051-141219</t>
  </si>
  <si>
    <t>TECHINT S.A.C.</t>
  </si>
  <si>
    <t>PARCELA N° 165 SECTOR KAMONASHIARI</t>
  </si>
  <si>
    <t>LA CONVENCION</t>
  </si>
  <si>
    <t>ECHARATE</t>
  </si>
  <si>
    <t>ALLAN HERNAN PISCOYA MEDRANO</t>
  </si>
  <si>
    <t>61151-115-100712</t>
  </si>
  <si>
    <t>AV. INDUSTRIAL N° 771</t>
  </si>
  <si>
    <t>C1:220:RESIDUAL ASFALTICO RC-250,SOLVENTE 1,SOLVENTE 3,TOLUENO,XILENO </t>
  </si>
  <si>
    <t xml:space="preserve">MARIA FERNANDA MAGGI PARODI </t>
  </si>
  <si>
    <t>140697-051-210119</t>
  </si>
  <si>
    <t>AGROINDUSTRIAL LAREDO S.A.A.</t>
  </si>
  <si>
    <t>CARRETERA PANAMERICANA NORTE KM. 543.5 FUNDO ARENA DULCE</t>
  </si>
  <si>
    <t>LUIS FERNANDO PIZA BERMUDEZ</t>
  </si>
  <si>
    <t>171-051-161017</t>
  </si>
  <si>
    <t>PESQUERA CANTABRIA S.A.</t>
  </si>
  <si>
    <t>AV. PANAMERICANA NORTE N° 101</t>
  </si>
  <si>
    <t>C1:1144:Diesel B5 S-50 </t>
  </si>
  <si>
    <t>C1:68478:Diesel B5 S-50 </t>
  </si>
  <si>
    <t>C1:72290:PETRÓLEO INDUSTRIAL Nº 500 </t>
  </si>
  <si>
    <t>MIRKO IVO KULISIC IBACETA</t>
  </si>
  <si>
    <t>63635-051-281219</t>
  </si>
  <si>
    <t>ESTACION DE BOMBEO PS-3 CHIQUINTIRCA</t>
  </si>
  <si>
    <t>LA MAR</t>
  </si>
  <si>
    <t>ANCO</t>
  </si>
  <si>
    <t>MARIANO HERNAN DIAZ MARQUEZ</t>
  </si>
  <si>
    <t>0031-CDFJ-15-2007</t>
  </si>
  <si>
    <t xml:space="preserve">MADERERA BOZOVICH S.A.C. </t>
  </si>
  <si>
    <t xml:space="preserve">ESQUINA CALLE SANTA INES CON CALLE MARIE CURIE 451 URB. IND. SANTA ROSA </t>
  </si>
  <si>
    <t>C1:20000:DIESEL 2 </t>
  </si>
  <si>
    <t>MALDONADO CORNEJO, DIEGO JORGE</t>
  </si>
  <si>
    <t>20153-051-070916</t>
  </si>
  <si>
    <t>TRANSPORTES 77 S.A.</t>
  </si>
  <si>
    <t>AV. RICARDO BENTIN MUJICA N° 900</t>
  </si>
  <si>
    <t>C1:10000:DIESEL B5,Diesel B5 S-50 </t>
  </si>
  <si>
    <t>ERNESTO TALAVERA BEJARANO</t>
  </si>
  <si>
    <t>117426-051-271219</t>
  </si>
  <si>
    <t>AV. EL EJERCITO S/N CUADRA 11 - CUARTEL LOS CABITOS</t>
  </si>
  <si>
    <t>0002-CDFJ-15-2007</t>
  </si>
  <si>
    <t>ASOCIACION HIJAS DE SAN CAMILO</t>
  </si>
  <si>
    <t>AV EL POLO 570 - MONTERRICO</t>
  </si>
  <si>
    <t>SANTIAGO DE SURCO</t>
  </si>
  <si>
    <t>C1:200:DIESEL 2 </t>
  </si>
  <si>
    <t>C1:1635:DIESEL 2 </t>
  </si>
  <si>
    <t>CIPRIANI LEONCINI, SEVERINA</t>
  </si>
  <si>
    <t>0004-CDFJ-23-2000</t>
  </si>
  <si>
    <t>SOUTHERN PERU COPPER CORPORATION SUC. DEL PERU</t>
  </si>
  <si>
    <t>AEROPUERTO CARLOS CIRIANI</t>
  </si>
  <si>
    <t>C1:4000:TURBO A-1 </t>
  </si>
  <si>
    <t>C1:3000:GASOLINA DE AVIACIÓN </t>
  </si>
  <si>
    <t>BOCCHIO CARBAJAL, GUIDO MARCELO</t>
  </si>
  <si>
    <t>0011-CDFJ-07-2002</t>
  </si>
  <si>
    <t>CALSA PERU S.A.C.</t>
  </si>
  <si>
    <t>AV. ARGENTINA N° 1227</t>
  </si>
  <si>
    <t>C1:3300:DIESEL B2 </t>
  </si>
  <si>
    <t>SLYTHE LLULL, ENRIQUE</t>
  </si>
  <si>
    <t>113112-051-180315</t>
  </si>
  <si>
    <t xml:space="preserve">UNIDAD TERRITORIAL DE SALUD CHANCHAMAYO </t>
  </si>
  <si>
    <t>AV LOS PIONEROS S/N ESQ. CON AV, DANIEL ALCIDES CARRION - PAMPA DEL CARMEN</t>
  </si>
  <si>
    <t>CHANCHAMAYO</t>
  </si>
  <si>
    <t>C1:2000:DIESEL B5 </t>
  </si>
  <si>
    <t>AMADEO CARLOS ANGELES ALEJO</t>
  </si>
  <si>
    <t>103515-051-060713</t>
  </si>
  <si>
    <t>HELINKA S.A.C.</t>
  </si>
  <si>
    <t>PANAMERICANA SUR KM. 425.7, CAMINO TROCHA A PARCELA 052 CON UC. 10688, EX CAU SAN PABLO; DENOMINADAS SAN PABLO Y LA VENTILLA</t>
  </si>
  <si>
    <t>EL INGENIO</t>
  </si>
  <si>
    <t>C1:5000:TURBO A-1 </t>
  </si>
  <si>
    <t>JULIO VILLACRES PIZARRO,</t>
  </si>
  <si>
    <t>0008-CDFJ-20-2000</t>
  </si>
  <si>
    <t>CONSERVERA GARRIDO S.A. - PLANTA SECHURA</t>
  </si>
  <si>
    <t>JOSÉ ALCÁNTARA S/N</t>
  </si>
  <si>
    <t>C1:3200:DIESEL 2 </t>
  </si>
  <si>
    <t>C1:16000:PETRÓLEO INDUSTRIAL Nº 6 </t>
  </si>
  <si>
    <t>SARMIENTO BETANCOURT, FREDDY</t>
  </si>
  <si>
    <t>91031-115-261218</t>
  </si>
  <si>
    <t>INDUSTRIAS JHOMERON S.A.</t>
  </si>
  <si>
    <t xml:space="preserve">CALLE SANTA ANA MZ. F, LOTE 44 - FUNDO CHACRA CERRO </t>
  </si>
  <si>
    <t>C1:1045:SOLVENTE 1,SOLVENTE 3 </t>
  </si>
  <si>
    <t>JAIME TORVISCO TOMATEO</t>
  </si>
  <si>
    <t>20143-051-230911</t>
  </si>
  <si>
    <t>INVERSIONES NACIONALES DE TURISMO S.A.</t>
  </si>
  <si>
    <t>PLAZOLETA SANTO DOMINGO 259</t>
  </si>
  <si>
    <t>C1:1000:DIESEL B5 </t>
  </si>
  <si>
    <t>JORGE MELERO BLANCO</t>
  </si>
  <si>
    <t>109829-051-300120</t>
  </si>
  <si>
    <t>EMPRESA DE TRANSPORTE LUIS BANCHERO ROSSI S.A.</t>
  </si>
  <si>
    <t>AV. MIGUEL GRAU MZ. CK, LOTES 14 Y 15, SECTOR EL VALLE</t>
  </si>
  <si>
    <t>C1:10305:Diesel B5 S-50 </t>
  </si>
  <si>
    <t>FABIAN FRETEL GUERRA</t>
  </si>
  <si>
    <t>0003-CDFJ-18-2007</t>
  </si>
  <si>
    <t>MINERA PAMPA DE COBRE S.A.</t>
  </si>
  <si>
    <t>UEA MINAS DE COBRE DE CHAPI</t>
  </si>
  <si>
    <t>GENERAL SANCHEZ CERRO</t>
  </si>
  <si>
    <t>LA CAPILLA</t>
  </si>
  <si>
    <t>C1:3900:SIN PRODUCTO </t>
  </si>
  <si>
    <t>C1:9000:DIESEL 2 </t>
  </si>
  <si>
    <t>DE RIVERO BRAMOSIO, JAIME</t>
  </si>
  <si>
    <t>103502-051-300713</t>
  </si>
  <si>
    <t>INSTITUTO NACIONAL MATERNO PERINATAL</t>
  </si>
  <si>
    <t>JR ANTONIO MIROQUESADA 941</t>
  </si>
  <si>
    <t>PEDRO ARNALDO MASCARO SANCHEZ</t>
  </si>
  <si>
    <t>149573-051-250520</t>
  </si>
  <si>
    <t>CONCESIONARIA TRASVASE OLMOS S.A.</t>
  </si>
  <si>
    <t>CARRETERA OLMOS CORRAL QUEMADO KM 87 CASERIO LIMON (REF. PRESA LIMON)</t>
  </si>
  <si>
    <t>SAN FELIPE</t>
  </si>
  <si>
    <t>C1:618:Diesel B5 S-50 </t>
  </si>
  <si>
    <t xml:space="preserve">ALFONSO DANIEL ALFREDO CARLOS PINILLOS MONCLOA </t>
  </si>
  <si>
    <t>GREMIO DE PESCADORES ARTESANALES DE MANCORA</t>
  </si>
  <si>
    <t>PUERTO VIEJO S/N ANTIGUA PANAMERICANA NORTE KM 1217</t>
  </si>
  <si>
    <t>MANCORA</t>
  </si>
  <si>
    <t>C1:2500:DIESEL 2 </t>
  </si>
  <si>
    <t>RAMOS BANCAYAN, MARCOS WILSON</t>
  </si>
  <si>
    <t>132379-051-221017</t>
  </si>
  <si>
    <t>LUIS CLEOFER MAMANI RAMOS</t>
  </si>
  <si>
    <t>CONCESION MINERA JESUS 2004 TRES – PARAJE BALTIMORE</t>
  </si>
  <si>
    <t>SAN ANTONIO DE PUTINA</t>
  </si>
  <si>
    <t>ANANEA</t>
  </si>
  <si>
    <t>C1:5269:Diesel B5 S-50 </t>
  </si>
  <si>
    <t>114258-051-140815</t>
  </si>
  <si>
    <t>NYRSTAR CORICANCHA S.A.</t>
  </si>
  <si>
    <t>CARRETERA CENTRAL KM. 91 - UNIDAD MINERA NYRSTAR CORICANCHA S.A.</t>
  </si>
  <si>
    <t>PEDRO CHAMOCHUMBI LIVELLI</t>
  </si>
  <si>
    <t>MOLINO ITALIA S.A.</t>
  </si>
  <si>
    <t>AV. UNIVERSITARIA 6464</t>
  </si>
  <si>
    <t>C1:2700:DIESEL 2 </t>
  </si>
  <si>
    <t>NARANJO CORREA, JOSE LUIS</t>
  </si>
  <si>
    <t>COATS CADENA S.A.</t>
  </si>
  <si>
    <t>AV. NICOLAS AYLLON 2925</t>
  </si>
  <si>
    <t>C1:26000:DIESEL 2 </t>
  </si>
  <si>
    <t>YONG CERNA DE ABRAM, ROSA HERMELINDA</t>
  </si>
  <si>
    <t>61738-051-290313</t>
  </si>
  <si>
    <t>TRANSPORTES G M INTERNACIONAL S.A.C</t>
  </si>
  <si>
    <t>URB. SANTA MARIA DEL HUALLAGA LT. 1B. MZ. B</t>
  </si>
  <si>
    <t>AMARILIS</t>
  </si>
  <si>
    <t>C1:6800:DIESEL B5 </t>
  </si>
  <si>
    <t>MILAGRITOS DEL PILAR CHOCANO MURRIETA</t>
  </si>
  <si>
    <t>136331-051-050618</t>
  </si>
  <si>
    <t>KAIZEN DISCOVERY PERU S.A.C.</t>
  </si>
  <si>
    <t>CAMPAMENTO MINERIO KAISEN DISCOVERY, 19L 288937E 8275882 S´</t>
  </si>
  <si>
    <t>LAMPA</t>
  </si>
  <si>
    <t xml:space="preserve">CATALINA ELIANA VARGAS TORRES </t>
  </si>
  <si>
    <t>86834-051-2010</t>
  </si>
  <si>
    <t>SEGURO SOCIAL DE SALUD (ESSALUD)</t>
  </si>
  <si>
    <t>AV. LAS AMERICAS S/N URB. EL BOSQUE</t>
  </si>
  <si>
    <t>SAN ANDRES</t>
  </si>
  <si>
    <t>C1:2000:Diesel B2 S-50 </t>
  </si>
  <si>
    <t>JOSÉ LUIS ARBULÚ GAVILANO</t>
  </si>
  <si>
    <t>94507-051-300113</t>
  </si>
  <si>
    <t>CONSORCIO BRIZA</t>
  </si>
  <si>
    <t>MZ. B, LOTES 2 Y 3 ASOCIACION PEQUEÑOS AGRICULTORES CASA HUERTA Y GRANJA SAN FRANCISCO, AV. TUPAC AMARU KM 22.5 PUNCHAUCA</t>
  </si>
  <si>
    <t>EDUARDO VENTURA TOLENTINO</t>
  </si>
  <si>
    <t>92480-051-060115</t>
  </si>
  <si>
    <t>INVERSION AMAZONICO MENJA EIRL</t>
  </si>
  <si>
    <t>CONCESION MINERA GAVILAN DE ORO Nº 8</t>
  </si>
  <si>
    <t>C1:3720:DIESEL B5 </t>
  </si>
  <si>
    <t>C1:3720:Diesel B5 S-50 </t>
  </si>
  <si>
    <t xml:space="preserve">PAUL MARIO MENDOZA QUISPE </t>
  </si>
  <si>
    <t>91390-051-200411</t>
  </si>
  <si>
    <t>LOTES 01, 02 Y 03, MZ. 08, URB. JARDIN (AV. JAVIER PRADO N° 752, ESQ. CALLE LAS BEGONIAS N° 450)</t>
  </si>
  <si>
    <t>SAN ISIDRO</t>
  </si>
  <si>
    <t>C1:5853:DIESEL B5 </t>
  </si>
  <si>
    <t>144758-051-020719</t>
  </si>
  <si>
    <t>AGRICOLA CERRO PRIETO S.A.</t>
  </si>
  <si>
    <t>FUNDO AGRICOLA CERRO PRIETO ALT. KM. 733.5 DE LA CARRETERA PANAMERICANA NORTE</t>
  </si>
  <si>
    <t>C1:5000:Diesel B5 S-50,GASOHOL 90 PLUS </t>
  </si>
  <si>
    <t>CHRISTIAN DANTE BRODERS ODIAGA</t>
  </si>
  <si>
    <t>20145-051-010916</t>
  </si>
  <si>
    <t>CARRETERA PANAMERICANA SUR KM 213, LOTE CANOA</t>
  </si>
  <si>
    <t>BOSWORTH CROVETTO, JAMES LAWRENCE</t>
  </si>
  <si>
    <t>0037-CDFJ-15-2008</t>
  </si>
  <si>
    <t>PESQEURA HAYDUK S.A.</t>
  </si>
  <si>
    <t>AV. LA MARINA S/N SUPE PUERTO</t>
  </si>
  <si>
    <t>C1:35254:DIESEL 2 </t>
  </si>
  <si>
    <t>C1:81305:PETRÓLEO INDUSTRIAL Nº 500 </t>
  </si>
  <si>
    <t>CORNEJO FLORES, TEOFILO ANDRES</t>
  </si>
  <si>
    <t>20747-051-190813</t>
  </si>
  <si>
    <t>EMPRESA DE TRANSPORTES PRIMERO DE NOVIEMBRE S.A.</t>
  </si>
  <si>
    <t>AV. EL POLO MZ. E, LOTE 16, SANTA MARIA DE HUACHIPA</t>
  </si>
  <si>
    <t>C1:4800:Diesel B5 S-50,SIN PRODUCTO </t>
  </si>
  <si>
    <t>JORGE CARDENAS ALAGON</t>
  </si>
  <si>
    <t>45300-051-310811</t>
  </si>
  <si>
    <t>PESQUERA RIBAUDO S.A.</t>
  </si>
  <si>
    <t>ZONA INDUSTRIAL II - MZ. H LOTE 01B - 01C</t>
  </si>
  <si>
    <t>C1:14551:PETRÓLEO INDUSTRIAL Nº 6 </t>
  </si>
  <si>
    <t>C1:3137:PETRÓLEO INDUSTRIAL Nº 6 </t>
  </si>
  <si>
    <t>C1:13578:DIESEL B5 </t>
  </si>
  <si>
    <t>PEDRO WARNER ZUAZO SCHULER</t>
  </si>
  <si>
    <t>0011-CDFJ-15-2009</t>
  </si>
  <si>
    <t>ALFREDO MENDIOLA N° 8380. URB. PRO INDUSTRIAL</t>
  </si>
  <si>
    <t>VAZQUEZ NYCANDER, AXEL FELIPE</t>
  </si>
  <si>
    <t>41653-051-101016</t>
  </si>
  <si>
    <t>RANSA COMERCIAL S.A.</t>
  </si>
  <si>
    <t>CALLE MUELLE Nº 450</t>
  </si>
  <si>
    <t>JAIME ANDRES GALVAN DRACO</t>
  </si>
  <si>
    <t>CHANCHAMAYO INDUSTRIAL S.A.</t>
  </si>
  <si>
    <t>AV. LOS CASTILLOS 659 - URB. SAN FRANCISCO</t>
  </si>
  <si>
    <t>BOZOVICH BALARIN, BORIS</t>
  </si>
  <si>
    <t>40623-975-090418</t>
  </si>
  <si>
    <t>MINISTERIO DE DEFENSA - MARINA DE GUERRA DEL PERU</t>
  </si>
  <si>
    <t>AV. MARISCAL CASTILLA S/N - BASE NAVAL PUCALLPA</t>
  </si>
  <si>
    <t>C1:9784:DIESEL B5 </t>
  </si>
  <si>
    <t>C1:4800:GASOLINA 84 </t>
  </si>
  <si>
    <t>C1:9784:GASOLINA 90 </t>
  </si>
  <si>
    <t>C1:6500:TURBO A-1 </t>
  </si>
  <si>
    <t>JOSE MANUEL BOGGIANO ROMANO</t>
  </si>
  <si>
    <t>COGORNO S.A.</t>
  </si>
  <si>
    <t>AV. VENEZUELA 120</t>
  </si>
  <si>
    <t>C1:5000:PETRÓLEO INDUSTRIAL Nº 6 </t>
  </si>
  <si>
    <t>COGORNO COGORNO, HERMINIO EUGENIO</t>
  </si>
  <si>
    <t>148044-051-041219</t>
  </si>
  <si>
    <t>HOSPITAL NACIONAL DANIEL ALCIDES CARRION</t>
  </si>
  <si>
    <t>AV GUARDIA CHALACA N°2176</t>
  </si>
  <si>
    <t>BELLAVISTA</t>
  </si>
  <si>
    <t>C1:4010:Diesel B5 S-50 </t>
  </si>
  <si>
    <t>ALBERTO ALLENDE SAAVEDRA</t>
  </si>
  <si>
    <t>0051-CDFJ-15-2001</t>
  </si>
  <si>
    <t>TEXTILES CAMONES S.A.</t>
  </si>
  <si>
    <t>CALLE SAN HECTOR N° 241 URB. SANTA LUISA</t>
  </si>
  <si>
    <t>C1:11205:PETRÓLEO INDUSTRIAL Nº 500 </t>
  </si>
  <si>
    <t>CAMONES GUILLERMO, WITSON ALFREDO</t>
  </si>
  <si>
    <t>0042-CDFJ-15-2001</t>
  </si>
  <si>
    <t>EMPRESA DE TRANSPORTES Y SERVICIOS NUEVA AMERICA S.A.</t>
  </si>
  <si>
    <t>AV. TUPAC AMARU (CARRETERA A CANTA) KM. 235</t>
  </si>
  <si>
    <t>AGUILAR BARRIENTOS, SAMUEL GILBERTO</t>
  </si>
  <si>
    <t>113766-051-100915</t>
  </si>
  <si>
    <t>PLANTA DE BENEFICIO METALEX - PARAJE CCAJLHUITO</t>
  </si>
  <si>
    <t>SAISA</t>
  </si>
  <si>
    <t>C1:1400:Diesel B5 S-50 </t>
  </si>
  <si>
    <t>C1:8400:Diesel B5 S-50 </t>
  </si>
  <si>
    <t>140218-051-220619</t>
  </si>
  <si>
    <t>CORPORACION PERUANA DE COMERCIO Y SERVICIOS SOCIEDAD ANONIMA CERRADA</t>
  </si>
  <si>
    <t>CALLE D, MZ Z2, LOTE 31, AA.HH SANTA MARIA</t>
  </si>
  <si>
    <t>GODOY MALLQUI MANUEL</t>
  </si>
  <si>
    <t>0013-CDFJ-15-2008</t>
  </si>
  <si>
    <t>VIPLASTIC PERU S.A</t>
  </si>
  <si>
    <t>JR. ISIDRO BONIFAZ 385</t>
  </si>
  <si>
    <t>C1:825:SOLVENTE 3 </t>
  </si>
  <si>
    <t>C1:110:SOLVENTE 1 </t>
  </si>
  <si>
    <t>C1:880:TOLUENO </t>
  </si>
  <si>
    <t>95226-112-210512</t>
  </si>
  <si>
    <t>JEBICORP S.A.C.</t>
  </si>
  <si>
    <t>CALLE LOS CALIBRADORES MZ. 01, LOTES 5 Y 7 - PARQUE INDUSTRIAL ACOMPIA</t>
  </si>
  <si>
    <t>ANCON</t>
  </si>
  <si>
    <t>C1:6000:SOLVENTE 1 </t>
  </si>
  <si>
    <t>C1:6000:HIDROCARBURO ALIFÁTICO LIVIANO - HAL </t>
  </si>
  <si>
    <t>C1:6000:HIDROCARBURO ACÍCLICO SATURADO - HAS </t>
  </si>
  <si>
    <t>C1:6000:SOLVENTE 3 </t>
  </si>
  <si>
    <t>PEDRO CIERTO CABRERA</t>
  </si>
  <si>
    <t>0032-CDFJ-15-2005</t>
  </si>
  <si>
    <t>COMPAÑIA INDUSTRIAL TEXTIL CREDISA TRUTEX S.A.A. CREDITEX</t>
  </si>
  <si>
    <t>AV. LAS TORRES S/N MZ. H LT. 1 URB. LA CAPITANA</t>
  </si>
  <si>
    <t>C1:6731:PETRÓLEO INDUSTRIAL Nº 500 </t>
  </si>
  <si>
    <t>C1:1837:DIESEL 2 </t>
  </si>
  <si>
    <t>C1:4864:PETRÓLEO INDUSTRIAL Nº 500 </t>
  </si>
  <si>
    <t>0001-CDFJ-04-2008</t>
  </si>
  <si>
    <t>CENTURY MINING PERU S.A.C.</t>
  </si>
  <si>
    <t>CENTRO MINERO SAN JUAN DE CHORUNGA</t>
  </si>
  <si>
    <t>RIO GRANDE</t>
  </si>
  <si>
    <t>C1:2940:DIESEL 2 </t>
  </si>
  <si>
    <t>C1:3815:DIESEL 2 </t>
  </si>
  <si>
    <t>C1:9103:DIESEL 2 </t>
  </si>
  <si>
    <t>C1:11102:DIESEL 2 </t>
  </si>
  <si>
    <t>C1:3837:PETRÓLEO INDUSTRIAL Nº 500 </t>
  </si>
  <si>
    <t>C1:10402:DIESEL 2 </t>
  </si>
  <si>
    <t>VIDAURRE OTAYZA, ALEXANDER ERNESTO</t>
  </si>
  <si>
    <t>91338-051-2011</t>
  </si>
  <si>
    <t>EMPRESA DE TRANSPORTES Y SERVICIOS VEINTE DE MARZO S.A</t>
  </si>
  <si>
    <t>MZ G, LOTE 1, HABILITACION PRE URBANA LOS HUERTOS DE NARANJAL</t>
  </si>
  <si>
    <t>RAULITO WILLY ZAMORA VASQUEZ</t>
  </si>
  <si>
    <t>FABRICA DE TEJIDOS SANTA CATALINA S.A.</t>
  </si>
  <si>
    <t>AV. ELMER FAUCETT NO 271</t>
  </si>
  <si>
    <t>C1:3000:PETRÓLEO INDUSTRIAL Nº 6 </t>
  </si>
  <si>
    <t>ARAGON PONCE, WILSON</t>
  </si>
  <si>
    <t>16087-051-220418</t>
  </si>
  <si>
    <t>SNACKS AMERICA LATINA S.R.L.</t>
  </si>
  <si>
    <t>AV. FRANCISCO BOLOGNESI N° 550 URB. LOS FICUS</t>
  </si>
  <si>
    <t>JAZMIN HITOMI KAMEKO HIGA</t>
  </si>
  <si>
    <t>21767-051-170619</t>
  </si>
  <si>
    <t>CARRET. HUAROCHIRI KM. 28.5 MZ. 56 LT. 6.B</t>
  </si>
  <si>
    <t>CIENEGUILLA</t>
  </si>
  <si>
    <t>148144-051-101219</t>
  </si>
  <si>
    <t>CONSORCIO CONSTRUCTOR M2 LIMA</t>
  </si>
  <si>
    <t>AV. ELMER FAUCETT S/N</t>
  </si>
  <si>
    <t xml:space="preserve">ROLANDO ANIBAL MARASCO </t>
  </si>
  <si>
    <t>63859-051-061216</t>
  </si>
  <si>
    <t>INDUSTRIA PANIFICADORA DEL SUR S.A.C.</t>
  </si>
  <si>
    <t>PANAMERICANA SUR KM 16.3 MZ A LT 04 ASOC. LA CONCORDIA</t>
  </si>
  <si>
    <t>NORY PRIMITIVA VEGA CAMAN</t>
  </si>
  <si>
    <t>149495-051-170320</t>
  </si>
  <si>
    <t>AGRICOLA ALPAMAYO S.A.</t>
  </si>
  <si>
    <t>LOTE NAPO B SECTOR III PRIMERA ETAPA VIRU</t>
  </si>
  <si>
    <t>FORTUNATO MARQUEZ LOSTAUNAU</t>
  </si>
  <si>
    <t>135759-051-181019</t>
  </si>
  <si>
    <t>JAPEARBE S.A.C.</t>
  </si>
  <si>
    <t>MZA. A LOTE 5-6, URB. SAN JUAN DE DIOS</t>
  </si>
  <si>
    <t>C1:528:Diesel B5 S-50 </t>
  </si>
  <si>
    <t>PEDRO ANTONIO BERAUN CADENILLAS</t>
  </si>
  <si>
    <t>44309-051-2010</t>
  </si>
  <si>
    <t>AVINKA S.A.</t>
  </si>
  <si>
    <t>CALLE LOS TALLERES N° 4669 - URB. INDUSTRIAL NARANJAL</t>
  </si>
  <si>
    <t>C1:750:DIESEL B2 </t>
  </si>
  <si>
    <t>AGUSTIN ALFREDO CORONADO ATOCHE</t>
  </si>
  <si>
    <t>0007-CDFJ-20-2000</t>
  </si>
  <si>
    <t>RECOBA SINFUEGOS ARMINDA YOLANDA</t>
  </si>
  <si>
    <t>FUNDO GOLONDRINAS</t>
  </si>
  <si>
    <t>MARCAVELICA</t>
  </si>
  <si>
    <t>CARPENA ITURREGUI, AUGUSTO</t>
  </si>
  <si>
    <t>0007-CDFJ-13-2006</t>
  </si>
  <si>
    <t>UNION DE CERVECERIAS PERUANAS BACKUS Y JOHNSTON S.A.A.</t>
  </si>
  <si>
    <t>AV. DEL EJERCITO N° 794</t>
  </si>
  <si>
    <t>C1:11200:DIESEL 2 </t>
  </si>
  <si>
    <t>C1:52000:PETRÓLEOS INDUSTRIALES </t>
  </si>
  <si>
    <t>ORTIZ QUEVEDO, LUIS FERNANDO</t>
  </si>
  <si>
    <t>0010-CDFJ-20-2000</t>
  </si>
  <si>
    <t>DESHIDRATADORA TAMBO INCA S.A.</t>
  </si>
  <si>
    <t>KM 1035+100 CARRETERA PANAMERICANA NORTE ENTRE SULLAN Y TAMBO GRANDE</t>
  </si>
  <si>
    <t>GARRIDO LECCA RAMOS, VICTOR EDUARDO</t>
  </si>
  <si>
    <t>16526-051-060916</t>
  </si>
  <si>
    <t>TRANSPORTES JEVREM S.A.C.</t>
  </si>
  <si>
    <t>CARRETERA PANAMERICANA NORTE KM 539</t>
  </si>
  <si>
    <t>C1:6000:DIESEL B5,Diesel B5 S-50 </t>
  </si>
  <si>
    <t>NESTOROVIC RAZZETO, EDUARDO EMILIO</t>
  </si>
  <si>
    <t>113349-051-101016</t>
  </si>
  <si>
    <t>EMPRESA DE TRANSPORTES SALAVERRY EXPRESS SA</t>
  </si>
  <si>
    <t>ASENTAMIENTO ALTO TRUJILLO BARRIO 3A SECTOR 3 - MZ.A LOTE 1</t>
  </si>
  <si>
    <t>EL PORVENIR</t>
  </si>
  <si>
    <t>C1:3400:DIESEL B5,Diesel B5 S-50 </t>
  </si>
  <si>
    <t>SANTOS CIRILO LUJAN HILARIO</t>
  </si>
  <si>
    <t>0001-CDFJ-04-2005</t>
  </si>
  <si>
    <t>CIA. MINERA CARAVELI S.A.</t>
  </si>
  <si>
    <t>PLANTA DE BENEFICIO CHACCHUHUILLE - TOCOTA</t>
  </si>
  <si>
    <t>HUANUHUANU</t>
  </si>
  <si>
    <t>C1:7000:DIESEL 2 </t>
  </si>
  <si>
    <t>MÃ¿NCHER PUPPO, CARLO H</t>
  </si>
  <si>
    <t>126-051-111019</t>
  </si>
  <si>
    <t>MINES &amp; METALS TRADING (PERU) S.A.C. - MMTP</t>
  </si>
  <si>
    <t>UNIDAD MINERA RECUPERADA</t>
  </si>
  <si>
    <t>HUANCAVELICA</t>
  </si>
  <si>
    <t>HUACHOCOLPA</t>
  </si>
  <si>
    <t>C1:3887:GASOHOL 84 PLUS </t>
  </si>
  <si>
    <t>C1:3673:GASOHOL 84 PLUS </t>
  </si>
  <si>
    <t>HECTOR JORGE GOMEZ BERMEO</t>
  </si>
  <si>
    <t>120725-051-160118</t>
  </si>
  <si>
    <t>TRANSPORTES Y SERVICIOS GENERALES CAROLINA S.A.C.</t>
  </si>
  <si>
    <t>MZ. A7 LOTE 7 ASOCIACION CC SAN FRANCISCO DE LA BUENA ESPERANZA</t>
  </si>
  <si>
    <t>C1:2750:DIESEL B5,Diesel B5 S-50 </t>
  </si>
  <si>
    <t>GUZMAN LEON SEGUNDO CESAR</t>
  </si>
  <si>
    <t>44658-051-240816</t>
  </si>
  <si>
    <t>MINERA YANACOCHA S.R.L.</t>
  </si>
  <si>
    <t>ZONA DE LA PAJUELA , COORDENADAS UTM: 9225804N : 770440E</t>
  </si>
  <si>
    <t>ENCAÑADA</t>
  </si>
  <si>
    <t>PIGATI SERKOVIC, LUIS MIGUEL</t>
  </si>
  <si>
    <t>64173-051-130916</t>
  </si>
  <si>
    <t>EMPRESA DE TRANSPORTE SAN ISIDRO LABRADOR SA</t>
  </si>
  <si>
    <t>AV. SAN JOSE N° 577 - MIRAMAR</t>
  </si>
  <si>
    <t>C1:2500:DIESEL B5,Diesel B5 S-50 </t>
  </si>
  <si>
    <t>VASQUEZ QUIROZ, ANGEL TITO</t>
  </si>
  <si>
    <t>0010-CDFJ-15-2010</t>
  </si>
  <si>
    <t>EMPRESA DE TRANSPORTES PERU BUS S.A</t>
  </si>
  <si>
    <t>CALLE LOS BRILLANTES 120 - 124 URB. BALCONCILLO</t>
  </si>
  <si>
    <t>C1:15000:DIESEL B2 </t>
  </si>
  <si>
    <t>AÑANCA QUISPE, TEODOR CIPRIAN</t>
  </si>
  <si>
    <t>105440-051-071113</t>
  </si>
  <si>
    <t>EMPRESA DE TRANSPORTES MI BEATRIZ S.A.C.</t>
  </si>
  <si>
    <t xml:space="preserve">CALLE SORIA N° 202 LOS CLAVELITOS </t>
  </si>
  <si>
    <t>JAIME EDILBERTO CANGALAYA CASTRO</t>
  </si>
  <si>
    <t>EMPRESA ZUBLIN CHILE INGENIERIA Y CONSTRUCCIONES LTDA-SUCURSAL PERU</t>
  </si>
  <si>
    <t>PARAJE PAMPA LARGA Y SAN JOSE - (MY-S.A.)</t>
  </si>
  <si>
    <t>C1:30608:DIESEL 2 </t>
  </si>
  <si>
    <t>LOPEZ FERNANDEZ, SAUL</t>
  </si>
  <si>
    <t>0001-CDFJ-04-2010</t>
  </si>
  <si>
    <t>PESQUERA NATALIA S.A.C.</t>
  </si>
  <si>
    <t>VALLE LOS PESCADORES, ALT. PANAMERICANA SUR KM. 750</t>
  </si>
  <si>
    <t>CAMANA</t>
  </si>
  <si>
    <t>OCONA</t>
  </si>
  <si>
    <t>C1:40877:DIESEL B2 </t>
  </si>
  <si>
    <t>C1:126842:PETRÓLEO INDUSTRIAL Nº 500 </t>
  </si>
  <si>
    <t>LUMBROSO BATIEVSKY, GINETTE ESTHER</t>
  </si>
  <si>
    <t>118930-051-110116</t>
  </si>
  <si>
    <t>HOSP HUACHO HUAURA OYON Y S.B.S.</t>
  </si>
  <si>
    <t>AV. JOSÉ ARNALDO ARAMBULO LA ROSA 251</t>
  </si>
  <si>
    <t>C1:800:Diesel B5 S-50 </t>
  </si>
  <si>
    <t>PABLO CESAR OBISPO DAMASO</t>
  </si>
  <si>
    <t>98982-051-091112</t>
  </si>
  <si>
    <t>INVERSIONES LA RIOJA S.A.</t>
  </si>
  <si>
    <t>CALLE RUINAS N° 432, CON ESQUINAS CALLE SAN AGUSTIN Y PASAJE SANTA MONICA</t>
  </si>
  <si>
    <t>GUSTAVO ADOLFO DIAZ SALAZAR</t>
  </si>
  <si>
    <t>147710-051-181119</t>
  </si>
  <si>
    <t>INVERSIÓN PÚBLICA SUNAT</t>
  </si>
  <si>
    <t xml:space="preserve">AV. ARENALES N° 335-337 URB. SANTA BEATRIZ </t>
  </si>
  <si>
    <t>C1:720:Diesel B5 S-50 </t>
  </si>
  <si>
    <t>CESAR EDUARDO ALVIS TAFUR</t>
  </si>
  <si>
    <t>1170-052-210720</t>
  </si>
  <si>
    <t>PETROLEOS DEL PERU – PETROPERU S.A. (DIVISION OLEODUCTO, ESTACION DE BOMBEO Nº 9)</t>
  </si>
  <si>
    <t>CARRETERA OLMOS - CORRAL QUEMADO S/N</t>
  </si>
  <si>
    <t>HUANCABAMBA</t>
  </si>
  <si>
    <t>HUARMACA</t>
  </si>
  <si>
    <t>C1:892650:Diesel B5 S-50 </t>
  </si>
  <si>
    <t>JULIO CARLOS SANCHEZ BARANDIARAN</t>
  </si>
  <si>
    <t>123312-051-200520</t>
  </si>
  <si>
    <t>AGRICOLA DEL CHIRA S.A.</t>
  </si>
  <si>
    <t>CARRETERA SULLANA TAMBOGRANDE S/N FUNDO SAN VICENTE CASERIO TRES COMPUERTAS</t>
  </si>
  <si>
    <t>C1:2000:GASOHOL 90 PLUS </t>
  </si>
  <si>
    <t>PEDRO ALEJANDRO TRIGOSO FEIJOO</t>
  </si>
  <si>
    <t>C.D.E. SHOUGESA</t>
  </si>
  <si>
    <t>SAN JUAN DE MARCONA</t>
  </si>
  <si>
    <t>C1:9560000:PETRÓLEO INDUSTRIAL Nº 500 </t>
  </si>
  <si>
    <t>WANG BAO, JUN</t>
  </si>
  <si>
    <t>119239-051-180520</t>
  </si>
  <si>
    <t>TRANSPORTES Y REPRESENTACIONES GOICOCHEA S.A.C.</t>
  </si>
  <si>
    <t>MZ. 242 LOTE 01 ZONA INDUSTRIAL</t>
  </si>
  <si>
    <t>GOICOCHEA MECHATO WILLIAM DAVID</t>
  </si>
  <si>
    <t>HUERTO ALAMEIN</t>
  </si>
  <si>
    <t>KM. 250 PANAMERICANA SUR</t>
  </si>
  <si>
    <t>LETTS COLMENARES, RICARDO</t>
  </si>
  <si>
    <t>124708-051-260617</t>
  </si>
  <si>
    <t>MINERA EXPLORACIONES JAVIER E.I.R.LTDA.</t>
  </si>
  <si>
    <t>QUEBRADA LIBERTAD GRANDE S/N</t>
  </si>
  <si>
    <t>C1:3400:Diesel B5 S-50 </t>
  </si>
  <si>
    <t>BENEDICTO CONTO ALEJO</t>
  </si>
  <si>
    <t>118544-051-141215</t>
  </si>
  <si>
    <t xml:space="preserve">TURISMO CIVA S.A.C. </t>
  </si>
  <si>
    <t xml:space="preserve">JR. SANCHO DE RIBERA 1184 URB. MONSERRATE </t>
  </si>
  <si>
    <t>LUIS MIGUEL CICCIA VASQUEZ</t>
  </si>
  <si>
    <t>1607-051-250720</t>
  </si>
  <si>
    <t>PETROLEOS DEL PERU PETROPERU S.A.</t>
  </si>
  <si>
    <t>CARRETERA DE BAGUA A NIEVA S/N - ESTACION 6</t>
  </si>
  <si>
    <t>AMAZONAS</t>
  </si>
  <si>
    <t>BAGUA</t>
  </si>
  <si>
    <t>IMAZA</t>
  </si>
  <si>
    <t>C1:1486:Diesel B5 S-50 </t>
  </si>
  <si>
    <t>C1:6034:Diesel B5 S-50 </t>
  </si>
  <si>
    <t>ARIEL ALFREDO BARRETO LOPEZ</t>
  </si>
  <si>
    <t>148652-051-210120</t>
  </si>
  <si>
    <t>AVO PERU S.A.C.</t>
  </si>
  <si>
    <t>FUNDO ENSUEÑO (A LA ALTURA DE LA CARRETERA PANAMERICANA NORTE KM. 495)</t>
  </si>
  <si>
    <t>CHAO</t>
  </si>
  <si>
    <t>C1:290:Diesel B5 S-50 </t>
  </si>
  <si>
    <t>C1:528:GASOHOL 90 PLUS </t>
  </si>
  <si>
    <t>MIGUEL SHIRO SHIMA SAITO</t>
  </si>
  <si>
    <t>141523-051-220219</t>
  </si>
  <si>
    <t>ELECTRO UCAYALI S.A</t>
  </si>
  <si>
    <t>JR. AMERICO LOAYZA GAVANCHO S/N, MZ. 15</t>
  </si>
  <si>
    <t>PURUS</t>
  </si>
  <si>
    <t>JOSE JULIO RIBEYRO DELLEPIANE</t>
  </si>
  <si>
    <t>1419-051-250720</t>
  </si>
  <si>
    <t>CARRETERA DE BAGUA AL POBLADO EL VALOR S/N</t>
  </si>
  <si>
    <t>UTCUBAMBA</t>
  </si>
  <si>
    <t>EL MILAGRO</t>
  </si>
  <si>
    <t>C1:6223:TURBO A-1 </t>
  </si>
  <si>
    <t>C1:5838:TURBO A-1 </t>
  </si>
  <si>
    <t>C1:13210:Diesel B5 S-50 </t>
  </si>
  <si>
    <t>C1:40929:TURBO A-1 </t>
  </si>
  <si>
    <t>0006-CDFJ-13-2007</t>
  </si>
  <si>
    <t>CEMENTOS PACASMAYO S.A.A.</t>
  </si>
  <si>
    <t>CARRETERA PANAMERICANA NORTE KM 666</t>
  </si>
  <si>
    <t>C1:8000:DIESEL 2 </t>
  </si>
  <si>
    <t>C1:896400:DIESEL 2 </t>
  </si>
  <si>
    <t>C1:17500:DIESEL 2 </t>
  </si>
  <si>
    <t>C1:11888:PETRÓLEO INDUSTRIAL Nº 6 </t>
  </si>
  <si>
    <t>C1:16170:PETRÓLEO INDUSTRIAL Nº 6 </t>
  </si>
  <si>
    <t>C1:6605:PETRÓLEO INDUSTRIAL Nº 6 </t>
  </si>
  <si>
    <t>C1:6605:DIESEL 2 </t>
  </si>
  <si>
    <t>C1:4300:DIESEL 2 </t>
  </si>
  <si>
    <t>FANG SAKAY, ALEJANDRO</t>
  </si>
  <si>
    <t>16467-051-280916</t>
  </si>
  <si>
    <t>DOE RUN PERU S.R.L.</t>
  </si>
  <si>
    <t>CENTRO MINERO DE COBRIZA</t>
  </si>
  <si>
    <t>CHURCAMPA</t>
  </si>
  <si>
    <t>SAN PEDRO DE CORIS</t>
  </si>
  <si>
    <t>C1:24909:DIESEL B5,Diesel B5 S-50 </t>
  </si>
  <si>
    <t>C1:5881:DIESEL B5,Diesel B5 S-50 </t>
  </si>
  <si>
    <t>C1:28000:DIESEL B5,Diesel B5 S-50 </t>
  </si>
  <si>
    <t>C1:57925:DIESEL B5,Diesel B5 S-50 </t>
  </si>
  <si>
    <t>C1:5500:GASOHOL 90 PLUS </t>
  </si>
  <si>
    <t>C1:12000:LUBRICANTES </t>
  </si>
  <si>
    <t>C1:8000:LUBRICANTES </t>
  </si>
  <si>
    <t>PABLO JOSE PESCHIERA ALFARO</t>
  </si>
  <si>
    <t>103521-051-091116</t>
  </si>
  <si>
    <t>YONY BACA CASAS</t>
  </si>
  <si>
    <t>CONCESION MINERA " MARCO DOS "</t>
  </si>
  <si>
    <t>131227-051-220817</t>
  </si>
  <si>
    <t>SANTIAGO RODRIGUEZ BANDA S.A.C</t>
  </si>
  <si>
    <t>KM. 48, MZ. B, LOTE Nº 1-6, AV. EL SOLAR</t>
  </si>
  <si>
    <t>LA JOYA</t>
  </si>
  <si>
    <t>C1:10200:Diesel B5 S-50 </t>
  </si>
  <si>
    <t>SHIRLEY KATIANA EGUILUZ RODRIGUEZ</t>
  </si>
  <si>
    <t>39293-051-240816</t>
  </si>
  <si>
    <t>MINERA YANACOCHA S.R.L. ESTACION DE BOMBEO LA QUINUA</t>
  </si>
  <si>
    <t>CARRETERA CAJAMARCA-BAMBAMARCA KM 36.0</t>
  </si>
  <si>
    <t>C1:44815:DIESEL 2 </t>
  </si>
  <si>
    <t>C1:6530:DIESEL 2 </t>
  </si>
  <si>
    <t>BERNUY VERAND, OSCAR HUBERT</t>
  </si>
  <si>
    <t>42501-051-140916</t>
  </si>
  <si>
    <t>EMPRESA DE TRANSPORTES EL CORTIJO S.A.</t>
  </si>
  <si>
    <t>AV. JAIME BLANCO N° 2901- 2999</t>
  </si>
  <si>
    <t>C1:3029:DIESEL B5,Diesel B5 S-50 </t>
  </si>
  <si>
    <t>NEHEMIAS SANDOVAL ASCON</t>
  </si>
  <si>
    <t>44212-051-240816</t>
  </si>
  <si>
    <t>ZONA DE LA QUINUA SUR</t>
  </si>
  <si>
    <t>C1:3495:DIESEL B5,Diesel B5 S-50 </t>
  </si>
  <si>
    <t>C1:142:DIESEL B5,Diesel B5 S-50 </t>
  </si>
  <si>
    <t>LUIS MIGUEL PIGATI SERKOVIC</t>
  </si>
  <si>
    <t>LAVAREAL S.A.</t>
  </si>
  <si>
    <t>AV.MINERALES NO. 630</t>
  </si>
  <si>
    <t>DANINO KRUGER, GONZALO</t>
  </si>
  <si>
    <t>0062-CDFJ-15-2005</t>
  </si>
  <si>
    <t>TRANS SERVICE CANADA SA</t>
  </si>
  <si>
    <t>JR BENJAMIN FRANKLIN 127</t>
  </si>
  <si>
    <t>C1:2400:DIESEL 2 </t>
  </si>
  <si>
    <t>PAREJA FONSECA, RICARDO</t>
  </si>
  <si>
    <t>108683-051-230414</t>
  </si>
  <si>
    <t>COMPAÑIA PERUANA FORESTAL S.A.</t>
  </si>
  <si>
    <t>CARRETERA FERNANDO BELAUNDE TERRY KM 467.6</t>
  </si>
  <si>
    <t>RIOJA</t>
  </si>
  <si>
    <t>C1:10000:DIESEL B5 </t>
  </si>
  <si>
    <t>ALBERTO FERNANDO VERGANI CHAVEZ</t>
  </si>
  <si>
    <t>I.P.S.S. HOSPITAL JORGE REATEGUI DELGADO</t>
  </si>
  <si>
    <t>AV. GRAU Nº 1150</t>
  </si>
  <si>
    <t>118107-051-161115</t>
  </si>
  <si>
    <t xml:space="preserve">ANABI S.A.C. </t>
  </si>
  <si>
    <t>PROYECTO ANAMA-COMUNIDAD CAMPESINA HUAQUIRCA</t>
  </si>
  <si>
    <t>ANTABAMBA</t>
  </si>
  <si>
    <t>HUAQUIRCA</t>
  </si>
  <si>
    <t>DANTE HORACIO LOAYZA ALATRISTA</t>
  </si>
  <si>
    <t>0035-CDFJ-15-2006</t>
  </si>
  <si>
    <t>EMPRESA DE TRANSPORTES KID GALAHAD</t>
  </si>
  <si>
    <t>AV. MANCO CAPAC 813</t>
  </si>
  <si>
    <t>ARGOTE ROQUE, MARIA RITA</t>
  </si>
  <si>
    <t>18252-051-240816</t>
  </si>
  <si>
    <t>CIMA DE LOS ANDES DEL NORTE DEL PERU - 78 - 27 OESTE, 6 - 57</t>
  </si>
  <si>
    <t>C1:48000:PETRÓLEOS INDUSTRIALES </t>
  </si>
  <si>
    <t>C1:4750:PETRÓLEOS INDUSTRIALES </t>
  </si>
  <si>
    <t>C1:51350:DIESEL 2 </t>
  </si>
  <si>
    <t>0045-CDFJ-15-2009</t>
  </si>
  <si>
    <t>INTRADEVCO INDUSTRIAL S.A</t>
  </si>
  <si>
    <t>ANTIGUA PANAMERICANA SUR KM. 40 LOTE E-1 URB. LAS PRADERAS</t>
  </si>
  <si>
    <t>C1:5500:SOLVENTE 3 </t>
  </si>
  <si>
    <t>C1:495:SOLVENTE 1 </t>
  </si>
  <si>
    <t>16447-114-111219</t>
  </si>
  <si>
    <t>COMPAÑIA MINERA ANTAPACCAY S.A.</t>
  </si>
  <si>
    <t>UNIDAD MINERA ANTAPACCAY EXPANSIÓN TINTAYA</t>
  </si>
  <si>
    <t>ESPINAR</t>
  </si>
  <si>
    <t>C1:240000:Diesel B5 S-50 </t>
  </si>
  <si>
    <t>C1:24000:PETRÓLEO INDUSTRIAL Nº 500 </t>
  </si>
  <si>
    <t>C1:194160:Diesel B5 S-50 </t>
  </si>
  <si>
    <t>C1:6000:LUBRICANTES </t>
  </si>
  <si>
    <t>C1:10000:LUBRICANTES </t>
  </si>
  <si>
    <t xml:space="preserve">INDIRA FERRO BARCENA </t>
  </si>
  <si>
    <t>ARTURO GOMEZ VELA E HIJOS S.A.</t>
  </si>
  <si>
    <t>CALLE TAVARA N: 670</t>
  </si>
  <si>
    <t>C1:61189.04:DIESEL 2 </t>
  </si>
  <si>
    <t>GOMEZ GUERRA, FERNANDO KERRY</t>
  </si>
  <si>
    <t>138971-051-100120</t>
  </si>
  <si>
    <t>SUMMA GOLD CORPORATION S.A.C.</t>
  </si>
  <si>
    <t>CASERIO COYGOBAMBA S/N</t>
  </si>
  <si>
    <t>JUAN CARLOS MILJANOVICH COLUNGE</t>
  </si>
  <si>
    <t>83186-115-040613</t>
  </si>
  <si>
    <t>C.M.C. INDUSTRIAS S.A.</t>
  </si>
  <si>
    <t>CALLE LOS HORNOS N° 170, URB. INDUSTRIAL INFANTAS</t>
  </si>
  <si>
    <t>C1:3080:CGN SOLVENTE,TOLUENO,XILENO </t>
  </si>
  <si>
    <t>CAROLINA CARLOS MERINO</t>
  </si>
  <si>
    <t>61947-051-160419</t>
  </si>
  <si>
    <t>EMPRESA DE TRANSPORTES KALLCA TOURS SOCIEDAD COMERCIAL DE RESPONSABILIDAD LIMITADA</t>
  </si>
  <si>
    <t>SECTOR PISONAYNIYOC PISTA CALCA - CUSCO S/N</t>
  </si>
  <si>
    <t>CALCA</t>
  </si>
  <si>
    <t xml:space="preserve">LUCILA ESPITIA CONDORI </t>
  </si>
  <si>
    <t>0056-CDFJ-15-2001</t>
  </si>
  <si>
    <t>JOSFEL COMERCIAL S.A.C.</t>
  </si>
  <si>
    <t>AV. NICOLAS AYLLON Nº 4233</t>
  </si>
  <si>
    <t>ESPINOSA VELASCO, RAMIRO BENJAMIN</t>
  </si>
  <si>
    <t>120075-051-040217</t>
  </si>
  <si>
    <t>TRANSPORTES Y SERVICIOS GENERALES JOSELITO S.A.C.</t>
  </si>
  <si>
    <t xml:space="preserve">PREDIOS 14, 15, 16, 17 Y 18 EX FUNDO LARREA </t>
  </si>
  <si>
    <t>C1:4000:DIESEL B5,Diesel B5 S-50 </t>
  </si>
  <si>
    <t>JOSE TEOFILO PAREDES CASTRO</t>
  </si>
  <si>
    <t>96645-051-010512</t>
  </si>
  <si>
    <t>TUNQUIMAYO MINING E.I.R.L.</t>
  </si>
  <si>
    <t>CONCESION MINERA 8 DE DICIEMBRE UNO, SECTOR BOCA QUITARI - YANAMAYO</t>
  </si>
  <si>
    <t>C1:3700:DIESEL B5 </t>
  </si>
  <si>
    <t>CRISOLOGO QUISPE MISME</t>
  </si>
  <si>
    <t>132880-051-150118</t>
  </si>
  <si>
    <t>LOS TRES EMBLEMAS DORADOS DE ORO S.A.C.</t>
  </si>
  <si>
    <t>CONCESION MINERA LA MORADA IV CODIGO: 070018104</t>
  </si>
  <si>
    <t>C1:3900:Diesel B5 S-50 </t>
  </si>
  <si>
    <t>C1:3600:Diesel B5 S-50 </t>
  </si>
  <si>
    <t>FRANCISCA MAMANI TAPARA</t>
  </si>
  <si>
    <t>87678-051-111116</t>
  </si>
  <si>
    <t>CARRETERA PACASMAYO - CAJAMARCA KM 50 SECTOR TEMBLADERA - FUNDO TRINIDAD</t>
  </si>
  <si>
    <t>CONTUMAZA</t>
  </si>
  <si>
    <t>YONAN</t>
  </si>
  <si>
    <t>C1:8454:DIESEL B5 </t>
  </si>
  <si>
    <t>C1:11200:DIESEL B5 </t>
  </si>
  <si>
    <t>FRIDA DOLORES PERALTA REINFELS</t>
  </si>
  <si>
    <t>CORPORACION HOTELERA METOR S.A.</t>
  </si>
  <si>
    <t>AV. SALAVERRY 2099</t>
  </si>
  <si>
    <t>C1:150:DIESEL 2 </t>
  </si>
  <si>
    <t>C1:3600:DIESEL 2 </t>
  </si>
  <si>
    <t>PICO -, CARLOS</t>
  </si>
  <si>
    <t>0003-CDFJ-20-2002</t>
  </si>
  <si>
    <t>INDUSTRIA TEXTIL PIURA S.A.</t>
  </si>
  <si>
    <t>CARRETERA PIURA - SULLANA KM. 3.5</t>
  </si>
  <si>
    <t>C1:110000:DIESEL 2 </t>
  </si>
  <si>
    <t>ARRIBAS OTOYA, CARMEN ROSA</t>
  </si>
  <si>
    <t>121329-051-171016</t>
  </si>
  <si>
    <t>COMPAÑIA MINERA LINCUNA S.A.</t>
  </si>
  <si>
    <t xml:space="preserve">CARRETERA PÚBLICA RECUAY AIJA PARAJE DE HERCULES </t>
  </si>
  <si>
    <t>RECUAY</t>
  </si>
  <si>
    <t>ENRIQUE SALINAS PATRON</t>
  </si>
  <si>
    <t>0042-CDFJ-15-2006</t>
  </si>
  <si>
    <t>CARRETERA LAGSAURA S/N</t>
  </si>
  <si>
    <t>CHECRAS</t>
  </si>
  <si>
    <t>C1:3018:DIESEL 2 </t>
  </si>
  <si>
    <t>BENITES VASQUEZ, MARCELA CECILIA</t>
  </si>
  <si>
    <t>0008-CDFJ-15-2008</t>
  </si>
  <si>
    <t>QUIMICA SUIZA S.A.</t>
  </si>
  <si>
    <t>AV. REPUBLICA DE PANAMA N: 2577</t>
  </si>
  <si>
    <t>LITUMA AGÃ¿ERO, LEOPOLDO</t>
  </si>
  <si>
    <t>102565-051-240816</t>
  </si>
  <si>
    <t>MINERA YANACOCHA SRL</t>
  </si>
  <si>
    <t>PAD LQ8 LA QUINUA</t>
  </si>
  <si>
    <t>C1:8717:DIESEL B5 </t>
  </si>
  <si>
    <t>GUSTAVO MANUEL RODRIGUEZ GARCIA</t>
  </si>
  <si>
    <t>139107-051-061118</t>
  </si>
  <si>
    <t>CORPORACION MINERA GOLD WILSON S.A.C.</t>
  </si>
  <si>
    <t>CONCRESION MINERA DENOMINADA ACUMULACION LUZ NAYSHA</t>
  </si>
  <si>
    <t>DELIA HUAQUISTO CORNEJO</t>
  </si>
  <si>
    <t>112374-115-171116</t>
  </si>
  <si>
    <t xml:space="preserve">CHEMIFABRIK PERU S.A.C. </t>
  </si>
  <si>
    <t>CALLE GILBERTO ESPINOZA N° 120, URB. LOS FICUS</t>
  </si>
  <si>
    <t>C1:1375:CGN SOLVENTE </t>
  </si>
  <si>
    <t>DIEGO ALONSO PACHECO ECHEVARRIA</t>
  </si>
  <si>
    <t>83151-052-100315</t>
  </si>
  <si>
    <t>PLUSPETROL PERU CORPORATION S.A.</t>
  </si>
  <si>
    <t>LAS MALVINAS</t>
  </si>
  <si>
    <t>C1:264180:Diesel B5 S-50 </t>
  </si>
  <si>
    <t>C1:264180:TURBO A-1 </t>
  </si>
  <si>
    <t>LUIS ALBERTO SILVESTRE</t>
  </si>
  <si>
    <t>INSTITUTO PERUANO DE SEGURIDAD SOCIAL HOSPITAL CHIMBOTE (NIVEL III)</t>
  </si>
  <si>
    <t>URB. LADERAS DEL NORTE S/N</t>
  </si>
  <si>
    <t>OBREGON CORTEZ, SERGIO</t>
  </si>
  <si>
    <t>20740-051-181014</t>
  </si>
  <si>
    <t>TRANSPORTE INVERSIONES FRAY SAN MARTIN DE PORRAS S.A.C.</t>
  </si>
  <si>
    <t>AV. 15 DE JULIO, ZONA K, MZ. C, LOTE 10, AA.HH. HUAYCAN</t>
  </si>
  <si>
    <t>C1:2200:Diesel B5 S-50 </t>
  </si>
  <si>
    <t>SILVIA HERLINDA PEREZ ROSALES</t>
  </si>
  <si>
    <t>109561-051-210714</t>
  </si>
  <si>
    <t xml:space="preserve">COMPAÑIA MINERA ZAFRANAL S.A.C. </t>
  </si>
  <si>
    <t>PROYECTO ZAFRANAL, CAMPAMENTO ZAFRANAL</t>
  </si>
  <si>
    <t>HUANCARQUI</t>
  </si>
  <si>
    <t>MARIA LUZ SALINAS GALLARDO</t>
  </si>
  <si>
    <t>0006-CDFJ-15-2010</t>
  </si>
  <si>
    <t>CORPORACION MARA S.A</t>
  </si>
  <si>
    <t>JR. PERSEO Nª 251 URB. LA CAMPIÑA</t>
  </si>
  <si>
    <t>C1:55:SOLVENTE 1 </t>
  </si>
  <si>
    <t>C1:55:SOLVENTE 3 </t>
  </si>
  <si>
    <t>C1:330:XILENO </t>
  </si>
  <si>
    <t>MOORE MAC TERVET, ESAR</t>
  </si>
  <si>
    <t>0019-CDFJ-07-2005</t>
  </si>
  <si>
    <t>TOLVAS S.A.C.</t>
  </si>
  <si>
    <t>PASAJE EL CARMEN 201</t>
  </si>
  <si>
    <t>ROJAS LECCA, MERY MIXI</t>
  </si>
  <si>
    <t>139289-051-251018</t>
  </si>
  <si>
    <t>MADERERA RIO ACRE S.A.C.</t>
  </si>
  <si>
    <t>CARR. INTEROCEANICA SUR PTO MALDONADO - IÑAPARI KM. 227</t>
  </si>
  <si>
    <t>TAHUAMANU</t>
  </si>
  <si>
    <t>IÑAPARI</t>
  </si>
  <si>
    <t>C1:7000:Diesel B5 S-50,GASOLINA 84 </t>
  </si>
  <si>
    <t>ERASMO MARTIN WONG KONGFOOK</t>
  </si>
  <si>
    <t>218-113-150118</t>
  </si>
  <si>
    <t>SHOUGANG HIERRO PERU S.A.A.</t>
  </si>
  <si>
    <t>C1:4500:GASOHOL 84 PLUS </t>
  </si>
  <si>
    <t>VERA LA TORRE , RAUL ERNESTO</t>
  </si>
  <si>
    <t>121846-115-251020</t>
  </si>
  <si>
    <t>CORPORACION PETROQUIMICA DEL PERU S.A.C.</t>
  </si>
  <si>
    <t>CALLE LOS CALIBRADORES MZ. O-1, LOTE 04, ACOMPIA</t>
  </si>
  <si>
    <t>C1:15178:CGN SOLVENTE </t>
  </si>
  <si>
    <t>C1:10968:CGN SOLVENTE </t>
  </si>
  <si>
    <t>C1:6354:SOLVENTE 1 </t>
  </si>
  <si>
    <t>C1:4226:SOLVENTE 1 </t>
  </si>
  <si>
    <t>C1:6353:SOLVENTE 3 </t>
  </si>
  <si>
    <t>JORGE IBAÑEZ CALLE</t>
  </si>
  <si>
    <t>0001-CDFJ-08-2009</t>
  </si>
  <si>
    <t>TRANSPORTES HORIZONTE SA</t>
  </si>
  <si>
    <t xml:space="preserve">CALLE REPUBLICA PERU KM 10 - PARQUE INDUSTRIAL </t>
  </si>
  <si>
    <t>WANCHAQ</t>
  </si>
  <si>
    <t>C1:1700:DIESEL B2 </t>
  </si>
  <si>
    <t>SOTO GARRAFA, CECILIO</t>
  </si>
  <si>
    <t>20200-051-030820</t>
  </si>
  <si>
    <t>CEMENTOS SELVA S.A.</t>
  </si>
  <si>
    <t>CARRETERA FERNANDO BELAUNDE TERRY KM 468</t>
  </si>
  <si>
    <t>ELIAS SOPLIN VARGAS</t>
  </si>
  <si>
    <t>C1:23000:Diesel B5 S-50 </t>
  </si>
  <si>
    <t>MARCOS GERMAN TEJADA PUERTA</t>
  </si>
  <si>
    <t>118804-051-220520</t>
  </si>
  <si>
    <t>TRANSPORTE DE CARGA INTER REGIONAL S.R.L.</t>
  </si>
  <si>
    <t>MZ. D, LOTE A, ZONA INDUSTRIAL MUNICIPAL N° 02A</t>
  </si>
  <si>
    <t>DEMETRIA IGNACIA ARZAPALO CALLUPE</t>
  </si>
  <si>
    <t>0049-CDFJ-15-2005</t>
  </si>
  <si>
    <t>SAMITEX S.A.</t>
  </si>
  <si>
    <t>AV. EL SOL 1191 LA CAMPIÑA</t>
  </si>
  <si>
    <t>C1:7000:PETRÓLEOS INDUSTRIALES </t>
  </si>
  <si>
    <t>ACKERMAN GOLDSTEIN, JOSE</t>
  </si>
  <si>
    <t>0005-CDFJ-11-2000</t>
  </si>
  <si>
    <t>PAPELERA INKA S.A.</t>
  </si>
  <si>
    <t>PREDIO SAN ROQUE NO. 2</t>
  </si>
  <si>
    <t>C1:4540:DIESEL 2 </t>
  </si>
  <si>
    <t>CUMSILLE NEIRA, HUGO OSVALDO</t>
  </si>
  <si>
    <t>0012-CDFJ-15-2001</t>
  </si>
  <si>
    <t>MUNICIPALIDAD DE LOS OLIVOS</t>
  </si>
  <si>
    <t>CALLE 31, URBANIZACION LOS NARANJOS</t>
  </si>
  <si>
    <t>CASTILLO ALFARO, FELIPE BALDOMERO</t>
  </si>
  <si>
    <t>0002-CDFJ-06-2008</t>
  </si>
  <si>
    <t>PAMPA CUYOC - LA COLPA</t>
  </si>
  <si>
    <t>SAN MIGUEL</t>
  </si>
  <si>
    <t>LLAPA</t>
  </si>
  <si>
    <t>C1:2985:GASOLINA 84 </t>
  </si>
  <si>
    <t>C1:55440:DIESEL B2 </t>
  </si>
  <si>
    <t>RAMIREZ PATRON, LUIS EDUARDO</t>
  </si>
  <si>
    <t>GALLETERA DEL NORTE S.A.</t>
  </si>
  <si>
    <t>AV. TEODORO VALCARCEL Nº 950</t>
  </si>
  <si>
    <t>SALOMON SALOMON, JAVIER</t>
  </si>
  <si>
    <t>0001-CDFJ-02-2003</t>
  </si>
  <si>
    <t>DON FERNANDO S.A.C</t>
  </si>
  <si>
    <t>AV LOS PESCADORES 354 ZONA INDUSTRIAL 27 DE OCTUBRE</t>
  </si>
  <si>
    <t>C1:3600:PETRÓLEO INDUSTRIAL Nº 6 </t>
  </si>
  <si>
    <t>VASQUEZ WONG, LUIS FEDERICO</t>
  </si>
  <si>
    <t>82819-112-141215</t>
  </si>
  <si>
    <t>ENVASADORA SAN GABRIEL S.R.L.</t>
  </si>
  <si>
    <t>CALLE LA PAMPILLA N° 121-135 (ALT. AV. GAMBETTA ANTES DEL CENTRO POBLADO “MI PERU”)</t>
  </si>
  <si>
    <t>C1:5350:SOLVENTE 1 </t>
  </si>
  <si>
    <t>C1:5300:SOLVENTE 1 </t>
  </si>
  <si>
    <t>C1:5300:SOLVENTE 3 </t>
  </si>
  <si>
    <t>C1:10640:SOLVENTE 3 </t>
  </si>
  <si>
    <t>C1:11200:Diesel B5 S-50 </t>
  </si>
  <si>
    <t>C1:10460:CGN SOLVENTE </t>
  </si>
  <si>
    <t>LUIS ALBERTO PÉREZ TAIMAN</t>
  </si>
  <si>
    <t>118336-975-191115</t>
  </si>
  <si>
    <t>AV. ABELARDO QUIÑONES S/N - AEROPUERTO CORPAC</t>
  </si>
  <si>
    <t>LEONCIO PRADO</t>
  </si>
  <si>
    <t>RUPA-RUPA</t>
  </si>
  <si>
    <t>C1:45000:TURBO A-1 </t>
  </si>
  <si>
    <t>103820-051-081014</t>
  </si>
  <si>
    <t>INVERSIONES ALVAMARPE S.R.L.</t>
  </si>
  <si>
    <t>CONSECION MINERA PLAYA PIBE</t>
  </si>
  <si>
    <t>C1:5200:Diesel B5 S-50 </t>
  </si>
  <si>
    <t>ALCIDES UGARTE PIMENTEL</t>
  </si>
  <si>
    <t>0001-CDFJ-15-2004</t>
  </si>
  <si>
    <t>AJEPER S.A.</t>
  </si>
  <si>
    <t>AV. LA PAZ LOTE 30, 31, 32, 33 A. ASOCI. DIGNIDAD NACIONAL - SANTA MARIA DE HUACHIPA</t>
  </si>
  <si>
    <t>41578-051-190614</t>
  </si>
  <si>
    <t>EMPRESA DE TRANSPORTES Y REPRESENTACIONES SARITA COLONIA Y VILLA SOL S.A</t>
  </si>
  <si>
    <t>AV. JOSE SANTOS CHOCANO N° 201</t>
  </si>
  <si>
    <t>RICARDO PALMA</t>
  </si>
  <si>
    <t>C1:4900:Diesel B5 S-50 </t>
  </si>
  <si>
    <t xml:space="preserve">RONDINEL RUIZ JESUS ELIAS </t>
  </si>
  <si>
    <t>176-051-151112</t>
  </si>
  <si>
    <t>SEGURO SOCIAL DE SALUD-ESSALUD</t>
  </si>
  <si>
    <t>AV. EDGARDO REBAGLIATI N° 490</t>
  </si>
  <si>
    <t>C1:25000:PETRÓLEO INDUSTRIAL Nº 6 </t>
  </si>
  <si>
    <t>C1:25000:Diesel B5 S-50 </t>
  </si>
  <si>
    <t>DARWIN JOSE EMILIO AQUINO CAVERO</t>
  </si>
  <si>
    <t>111375-051-300315</t>
  </si>
  <si>
    <t xml:space="preserve">COMPAÑIA MINERA SANTA LUISA S.A. </t>
  </si>
  <si>
    <t>UNIDAD MINERA ATALAYA</t>
  </si>
  <si>
    <t>C1:21380:DIESEL B5 </t>
  </si>
  <si>
    <t>ROBERTO VELARDE VENTURA</t>
  </si>
  <si>
    <t>0030-CDFJ-15-2009</t>
  </si>
  <si>
    <t>INDUSTRIAS VENCEDOR S.A.</t>
  </si>
  <si>
    <t>JIRON MANUEL DEL MAR Y BERNEDO 1015</t>
  </si>
  <si>
    <t>C1:6380:SOLVENTE 3 </t>
  </si>
  <si>
    <t>C1:12745:TOLUENO </t>
  </si>
  <si>
    <t>C1:11600:XILENO </t>
  </si>
  <si>
    <t>C1:6700:SOLVENTE 3 </t>
  </si>
  <si>
    <t>0009-CDFJ-04-2005</t>
  </si>
  <si>
    <t>ROMELIZA SAC</t>
  </si>
  <si>
    <t xml:space="preserve">MOQUEGUA 360 URB SEMIR RURAL PACHACUTEC GRUPO ZONAL 19 ZONA </t>
  </si>
  <si>
    <t>C1:4390:DIESEL 2 </t>
  </si>
  <si>
    <t>ROMERO LIZARRAGA, CARLOS LEONEL</t>
  </si>
  <si>
    <t>97344-051-010812</t>
  </si>
  <si>
    <t xml:space="preserve">SOLDEX SA </t>
  </si>
  <si>
    <t>ANTIGUA PANAMERICANA SUR KM. 38.5</t>
  </si>
  <si>
    <t>C1:1620:Diesel B5 S-50 </t>
  </si>
  <si>
    <t>FEDERICO DE LAS CASAS CACERES</t>
  </si>
  <si>
    <t>1257-051-120416</t>
  </si>
  <si>
    <t>CORPORACION DE CONGELADOS Y CONSERVAS DEL PERU S.A.C.</t>
  </si>
  <si>
    <t>MZ. A, LOTE 5, ZONA INDUSTRIAL</t>
  </si>
  <si>
    <t>C1:6500:DIESEL B5 </t>
  </si>
  <si>
    <t>GUILLERMO JIMENEZ AGUILERA</t>
  </si>
  <si>
    <t>97675-115-011217</t>
  </si>
  <si>
    <t xml:space="preserve">ORAZUL ENERGY PERU S.A. </t>
  </si>
  <si>
    <t>CARRETERA FEDERICO BASADRE KM. 10</t>
  </si>
  <si>
    <t>C1:2200:INSUMOS QUÍMICOS </t>
  </si>
  <si>
    <t>MELISSA SUGEY ROBLES RUIZ</t>
  </si>
  <si>
    <t>96494-051-120512</t>
  </si>
  <si>
    <t>TRANSPORTES JERUSALEN S.R.L.</t>
  </si>
  <si>
    <t>CARRETERA CAJAMARCA - BAMBAMARCA KM.10, CENTRO POBLADO HUAMBOCANCHA ALTA</t>
  </si>
  <si>
    <t>C1:3145:DIESEL B5 </t>
  </si>
  <si>
    <t>LUIS YOPLA CASTREJON</t>
  </si>
  <si>
    <t>0005-CDFJ-15-2006</t>
  </si>
  <si>
    <t>EMPRESA DE TRANSPORTES NUEVO HORIZONTE S.A.</t>
  </si>
  <si>
    <t xml:space="preserve">.AV. SAN JUAN N. 115 I ETAPA </t>
  </si>
  <si>
    <t>CCORPA QUISPE, RICARDO</t>
  </si>
  <si>
    <t>1533-051-2010</t>
  </si>
  <si>
    <t>COMERCIAL ALIMENTICIA S.A.C.</t>
  </si>
  <si>
    <t>CALLE CAPIRONA N° 195, ZONA INDUSTRIAL</t>
  </si>
  <si>
    <t>C1:1200:DIESEL B2 </t>
  </si>
  <si>
    <t>MARGARITA SONIA SIMON MARCELO/JUANA ROSA ABARCA CALDERON</t>
  </si>
  <si>
    <t>64503-051-190218</t>
  </si>
  <si>
    <t>EXLOG SAC</t>
  </si>
  <si>
    <t>AV. LIMA 503 MZ E-6 LOTE 05, GRUPO 19</t>
  </si>
  <si>
    <t>JENY EDITH TICLAVILCA ARCE</t>
  </si>
  <si>
    <t>0004-CDFJ-13-2000</t>
  </si>
  <si>
    <t>EMPRESA DE TRANSPORTES ICARO S.A.</t>
  </si>
  <si>
    <t>AV. ABANCAY N°1964-SECTOR GRAN CHIMU</t>
  </si>
  <si>
    <t>RODRIGUEZ VILLACORTA, WALTER</t>
  </si>
  <si>
    <t>100143-051-130113</t>
  </si>
  <si>
    <t>EMPRESA MINERA CHAMA PERU E.I.R.L</t>
  </si>
  <si>
    <t>CONCESION MINERA AFC 13, SECTOR PAMPILLA CHAQUIMINAS, COMUNIDAD CAMPESINA ANANEA</t>
  </si>
  <si>
    <t>C1:5268:Diesel B5 S-50 </t>
  </si>
  <si>
    <t>CESAR CHAMBI MASCO</t>
  </si>
  <si>
    <t>18683-053-111016</t>
  </si>
  <si>
    <t>ENGIE ENERGÍA PERÚ S.A.</t>
  </si>
  <si>
    <t>CARRETERA COSTANERA SUR KM 120.5, SECTOR PAMPA DE PALO, LOMA LA BUITRERA</t>
  </si>
  <si>
    <t>C1:2642:Diesel B5 S-50 </t>
  </si>
  <si>
    <t>C1:123704:Diesel B5 S-50 </t>
  </si>
  <si>
    <t>C1:2738148:Diesel B5 S-50 </t>
  </si>
  <si>
    <t>C1:3118024:Diesel B5 S-50 </t>
  </si>
  <si>
    <t>VICENT JOSEPH VANDERSTOCKT / GILDA MARÍA LUISA SPALLAROSSA LECCA</t>
  </si>
  <si>
    <t>0068-CDFJ-15-2005</t>
  </si>
  <si>
    <t>COSMOS SERVIS S.A.</t>
  </si>
  <si>
    <t>SECTOR 3 MZ.26 S/N COOPERATIVA DE SERVICIOS 3 DE OCTUBRE</t>
  </si>
  <si>
    <t>CHAVEZ FALCONI, ROBERT</t>
  </si>
  <si>
    <t>AV. PERALVILLO Nº 3300 PAAMERICANA NORTE KM. 153</t>
  </si>
  <si>
    <t>SANTA MARIA</t>
  </si>
  <si>
    <t>VELA AGUILAR, WALTER</t>
  </si>
  <si>
    <t>88280-975-050115</t>
  </si>
  <si>
    <t>FUERZA AEREA DEL PERU</t>
  </si>
  <si>
    <t>BASE AÉREA LAS PALMAS - AV. JORGE CHÁVEZ S/N</t>
  </si>
  <si>
    <t>C1:4080:GASOLINA 100 LL </t>
  </si>
  <si>
    <t>C1:5212:GASOLINA 100 LL </t>
  </si>
  <si>
    <t>C1:5211:TURBO A-1 </t>
  </si>
  <si>
    <t>C1:10546:TURBO A-1 </t>
  </si>
  <si>
    <t>C1:24441:TURBO A-1 </t>
  </si>
  <si>
    <t>RICARDO ABSALÓN GUERRA DÍAZ</t>
  </si>
  <si>
    <t>82473-051-120916</t>
  </si>
  <si>
    <t>CAMPAMENTO CENTRAL DE AUTODEMA DE MAJES</t>
  </si>
  <si>
    <t>C1:10000:RESIDUAL 500 (USO PROPIO) </t>
  </si>
  <si>
    <t>JAVIER ANTONIO GILARDI ARBULU</t>
  </si>
  <si>
    <t>0009-CDFJ-15-2006</t>
  </si>
  <si>
    <t>CIFARMA S.A.</t>
  </si>
  <si>
    <t>CARRETERA KM. 3 NÂº 1315</t>
  </si>
  <si>
    <t>GALVEZ VILLAR, PABLO</t>
  </si>
  <si>
    <t>0028-CDFJ-15-2009</t>
  </si>
  <si>
    <t>IAN PERU S.A.</t>
  </si>
  <si>
    <t>KM. 5 CARRETERA QUILMANA - IMPERIAL</t>
  </si>
  <si>
    <t>IMPERIAL</t>
  </si>
  <si>
    <t>SANZ SALILLAS, CARMELO</t>
  </si>
  <si>
    <t>0077-CDFJ-15-2005</t>
  </si>
  <si>
    <t>EMPRESA DE TRANSPORTE, TURISMO E INVERSIONES SEÑOR DE LA SOLEDAD S.A.</t>
  </si>
  <si>
    <t>JR. MOQUEGUA N° 296 Y JR. ABANCAY N° 540</t>
  </si>
  <si>
    <t>ALVARADO OYOLA, GREGORIO EDGAR</t>
  </si>
  <si>
    <t>0023-CDFJ-07-2005</t>
  </si>
  <si>
    <t>EMPRESA DE TRANSPORTES RAPIDO MUSA S.A.</t>
  </si>
  <si>
    <t xml:space="preserve">AV. MANCO CAPAC 780 </t>
  </si>
  <si>
    <t>ALVAREZ NAVARRO, MANUEL MARIANO</t>
  </si>
  <si>
    <t>0078-CDFJ-15-2005</t>
  </si>
  <si>
    <t>EMPRESA DE TRANSPORTES TURISMO E INVERSIONES SEÑOR DE LA SOLEDAD S.A.</t>
  </si>
  <si>
    <t>AV. JULIO C. TELLO S/N, MZ. 36, URB. MIRAMAR</t>
  </si>
  <si>
    <t>PREMIX CONCRETERA S.A.</t>
  </si>
  <si>
    <t>PROLONGACION MARISCAL NIETO MZ B LT 4-5. URB. LOS SAUCES</t>
  </si>
  <si>
    <t>C1:5536:DIESEL 2 </t>
  </si>
  <si>
    <t>PINTO RODRIGUEZ, MARIO</t>
  </si>
  <si>
    <t>145725-051-110819</t>
  </si>
  <si>
    <t>PATRICIA QUISPE VEGA</t>
  </si>
  <si>
    <t xml:space="preserve">CONCESION MINERA "SALVASION I" CON CODIGO 07-00196-03 </t>
  </si>
  <si>
    <t>C1:9168:Diesel B5 S-50 </t>
  </si>
  <si>
    <t>C1:8300:Diesel B5 S-50 </t>
  </si>
  <si>
    <t>TRUPAL S.A.</t>
  </si>
  <si>
    <t>MALCA SIN NUMERO</t>
  </si>
  <si>
    <t>SANTIAGO DE CAO</t>
  </si>
  <si>
    <t>C1:1320000:PETRÓLEO INDUSTRIAL Nº 500 </t>
  </si>
  <si>
    <t>RUBINI VARGAS, AUGUSTO OSCAR</t>
  </si>
  <si>
    <t>111613-051-221014</t>
  </si>
  <si>
    <t>EMPRESA DE TRANSPORTES Y SERVICIOS MULTIPLES ILOSUR S.A.</t>
  </si>
  <si>
    <t>ASOCIACIÓN PACOCHA, LOTE A-2D1, SECTOR 2, PAMPA INALAMBRICA</t>
  </si>
  <si>
    <t>C1:3290:DIESEL B5 </t>
  </si>
  <si>
    <t>ANGELITO DIONICIO VILLANUEVA MEDINA</t>
  </si>
  <si>
    <t>117125-051-191115</t>
  </si>
  <si>
    <t xml:space="preserve">RESINAS Y QUIMICOS SAC. </t>
  </si>
  <si>
    <t xml:space="preserve">CALLE QUINTA MZ C LOTE 13B URB. LAS VEGAS </t>
  </si>
  <si>
    <t>115469-051-300615</t>
  </si>
  <si>
    <t>CARRETERA LLAULLIPATA S/N, ESTACIÓN FERREA POROY</t>
  </si>
  <si>
    <t>POROY</t>
  </si>
  <si>
    <t>GENARO TAPIA OVIEDO</t>
  </si>
  <si>
    <t>0008-CDFJ-04-2002</t>
  </si>
  <si>
    <t>SEGURO SOCIAL DE SALUD - ESSALUD - HOSPITAL III YANAHUARA</t>
  </si>
  <si>
    <t>ESQ. AV. ZAMACOLA - GARAYCOCHEA Y LORETO</t>
  </si>
  <si>
    <t>YANAHUARA</t>
  </si>
  <si>
    <t>CASTRO MONTERO, HERNAN ISAAC</t>
  </si>
  <si>
    <t>111349-051-220914</t>
  </si>
  <si>
    <t>SDF ENERGIA S.A.C.</t>
  </si>
  <si>
    <t xml:space="preserve">AV. CORONEL NÉSTOR GAMBETTA N° 6815 </t>
  </si>
  <si>
    <t>C1:79260:Diesel B5 S-50 </t>
  </si>
  <si>
    <t>C1:39630:Diesel B5 S-50 </t>
  </si>
  <si>
    <t>ALBERTO MIGUEL SILVA SILVA</t>
  </si>
  <si>
    <t>SOCIEDAD ANONIMA DE NAVEGACION AMAZONICA</t>
  </si>
  <si>
    <t>CALLE CHICLAYO MZ.C, LOTE 6</t>
  </si>
  <si>
    <t>PUNCHANA</t>
  </si>
  <si>
    <t>JARAMA DEL AGUILA, ROSAURA EDITH</t>
  </si>
  <si>
    <t>140659-051-090119</t>
  </si>
  <si>
    <t xml:space="preserve">CEPSA PERUANA S.A.C. </t>
  </si>
  <si>
    <t>LOCACION LOS ANGELES 1X ALTURA DEL KM 11 DE LA CARRETERA FERNANDO BELAUNDE TERRY</t>
  </si>
  <si>
    <t>PUERTO INCA</t>
  </si>
  <si>
    <t>TOURNAVISTA</t>
  </si>
  <si>
    <t>C1:21000:Diesel B5 S-50 </t>
  </si>
  <si>
    <t>ALEJANDRO CHALCO LUNA</t>
  </si>
  <si>
    <t>16453-051-270620</t>
  </si>
  <si>
    <t>SAKANA DEL PERU S.A.</t>
  </si>
  <si>
    <t>MZ. C LOTE 17 - ZONA INDUSTRIAL II</t>
  </si>
  <si>
    <t>C1:5600:Diesel B5 S-50 </t>
  </si>
  <si>
    <t xml:space="preserve">ERASMO RODRIGUEZ FALLA </t>
  </si>
  <si>
    <t>133611-051-150520</t>
  </si>
  <si>
    <t>CANAL DE DERIVACION CHIRA KM. 48 FUNDO TERRA – CIENEGUILLO SUR</t>
  </si>
  <si>
    <t>C1:2000:Diesel B5 S-50,GASOHOL 90 PLUS </t>
  </si>
  <si>
    <t>115468-051-300615</t>
  </si>
  <si>
    <t>AV. FERROCARRIL S/N, ESTACIÓN FERREA OLLANTAYTAMBO</t>
  </si>
  <si>
    <t>OLLANTAYTAMBO</t>
  </si>
  <si>
    <t>1167-052-210720</t>
  </si>
  <si>
    <t>PETROLEOS DEL PERU - PETROPERU S.A.</t>
  </si>
  <si>
    <t>CARRETERA BAYOVAR S/N - PUNTA BAPPO - BAYOVAR</t>
  </si>
  <si>
    <t>C1:8720:Diesel B5 S-50 </t>
  </si>
  <si>
    <t>C1:787500:Diesel B5 S-50 </t>
  </si>
  <si>
    <t>C1:4360:Diesel B5 S-50 </t>
  </si>
  <si>
    <t>148650-051-170120</t>
  </si>
  <si>
    <t>TAL S.A.</t>
  </si>
  <si>
    <t>FUNDO PUERTO MORIN</t>
  </si>
  <si>
    <t>C1:290:GASOHOL 90 PLUS </t>
  </si>
  <si>
    <t>0002-CDFJ-02-2009</t>
  </si>
  <si>
    <t>PESQUERAS UNIDAS S.A.C.</t>
  </si>
  <si>
    <t>JR. HUANCAVELICA NO 1271 FLORIDA BAJA</t>
  </si>
  <si>
    <t>C1:7480:PETRÓLEOS INDUSTRIALES </t>
  </si>
  <si>
    <t>MUELLE WHILAR, EDUARDO MARTIN</t>
  </si>
  <si>
    <t>122135-051-110816</t>
  </si>
  <si>
    <t xml:space="preserve">AZTECA COMUNICACIONES PERU S.A.C. </t>
  </si>
  <si>
    <t xml:space="preserve">AV QUINTA AVENIDA SUB LOTE 22A-A-1N° 5 Y N°4 </t>
  </si>
  <si>
    <t>JOSE ARMANDO MONTES DE PERALTA CALLIRGOS</t>
  </si>
  <si>
    <t>INDUSTRIAS DEL PAPEL S.A.</t>
  </si>
  <si>
    <t>CARRETERA CENTRAL KM. 18.5</t>
  </si>
  <si>
    <t>C1:4000:PETRÓLEO INDUSTRIAL Nº 5 </t>
  </si>
  <si>
    <t>C1:6000:PETRÓLEO INDUSTRIAL Nº 5 </t>
  </si>
  <si>
    <t>LUGON CERUTI, JOSE ARTURO</t>
  </si>
  <si>
    <t>NAVIERA ORIENTE S.A. (SAN JUAN I)</t>
  </si>
  <si>
    <t>PUERTO DE HUALLAGA - PUCALLPA</t>
  </si>
  <si>
    <t>C1:700:DIESEL 2 </t>
  </si>
  <si>
    <t>C1:1250:DIESEL 2 </t>
  </si>
  <si>
    <t>TORRES CONTRERAS, NELSON</t>
  </si>
  <si>
    <t>1531-051-101016</t>
  </si>
  <si>
    <t>EMPRESA DE TRANSPORTES Y SERVICIOS LIBERTAD S.A.</t>
  </si>
  <si>
    <t>AV. INCA ROCA Nº 724, SECTOR RIO SECO</t>
  </si>
  <si>
    <t>C1:5000:DIESEL B5,Diesel B5 S-50 </t>
  </si>
  <si>
    <t>TEODORO BENITES RODRIGUEZ</t>
  </si>
  <si>
    <t>118334-975-191115</t>
  </si>
  <si>
    <t>AVENIDA EJERCITO S/N - BASE CONTRASUBVERSIVA N° 42</t>
  </si>
  <si>
    <t>PICHARI</t>
  </si>
  <si>
    <t>C1:20000:TURBO A-1 </t>
  </si>
  <si>
    <t>95055-051-141211</t>
  </si>
  <si>
    <t>EMPRESA DE TRANSPORTES GENERALES LA ARDILLA S.A.</t>
  </si>
  <si>
    <t>ASOCIACION DE VIVIENDAS SANTA MARIA SUB LOTE A, CON FRENTE A LA AV. LIMA</t>
  </si>
  <si>
    <t>C1:6600:Diesel B5 S-50 </t>
  </si>
  <si>
    <t>CARLOS TICONA MIRAMIRA</t>
  </si>
  <si>
    <t>105472-051-171013</t>
  </si>
  <si>
    <t>EMPRESA REGIONAL DE SERVICIO PUBLICO DE ELECTRICIDAD ELECTRONORTE MEDIO S.A.HIDRANDINA S.A.</t>
  </si>
  <si>
    <t>CARRETERA A PONGOR S/N SECTOR PICUP</t>
  </si>
  <si>
    <t>C1:50000:DIESEL B5 </t>
  </si>
  <si>
    <t>ANGEL ERNESTO HERRERA PIMPINCOS</t>
  </si>
  <si>
    <t>MITSUI MINING &amp; SMELTING CO. LTD. - SUCURSAL DEL PERU</t>
  </si>
  <si>
    <t>ZONA PALLCA</t>
  </si>
  <si>
    <t>PACLLON</t>
  </si>
  <si>
    <t>C1:21100:DIESEL 2 </t>
  </si>
  <si>
    <t>VELARDE VENTURA, ROBERTO</t>
  </si>
  <si>
    <t>0002-CDFJ-21-2000</t>
  </si>
  <si>
    <t>EMPRESA DE GENERACION ELECTRICA SAN GABAN S.A.</t>
  </si>
  <si>
    <t>CARRETERA JULIACA - PUNO TAPARACHI S/N</t>
  </si>
  <si>
    <t>SAN ROMAN</t>
  </si>
  <si>
    <t>JULIACA</t>
  </si>
  <si>
    <t>C1:21000:DIESEL 2 </t>
  </si>
  <si>
    <t>TATAJE HERNANDEZ, ALEJANDRO</t>
  </si>
  <si>
    <t>91436-051-121011</t>
  </si>
  <si>
    <t>BANCO DE CREDITO DEL PERU</t>
  </si>
  <si>
    <t>AV. DEFENSORES DEL MORRO N° 1868, LOTES.27 - 29, URB. FUNDO VILLA-SECCION C</t>
  </si>
  <si>
    <t>C1:9176:DIESEL B5 </t>
  </si>
  <si>
    <t>JOSÉ IGNACIO MAURTUA HELDEN</t>
  </si>
  <si>
    <t>265-051-280215</t>
  </si>
  <si>
    <t>ALICORP S.A.</t>
  </si>
  <si>
    <t>AV. ARGENTINA N° 5027</t>
  </si>
  <si>
    <t>C1:65907:Diesel B5 S-50 </t>
  </si>
  <si>
    <t>DOROTHY ANN PESCOD FRANKLIN</t>
  </si>
  <si>
    <t>45735-051-230919</t>
  </si>
  <si>
    <t>NEXA RESOURCES PERU S.A.A.</t>
  </si>
  <si>
    <t>APROXIMADAMENTE A 45KM DE LA COSTA,ALT.KM 180.950 PANAM.SUR</t>
  </si>
  <si>
    <t>CHAVIN</t>
  </si>
  <si>
    <t>JONATHAN ALEXANDER FARFAN QUISPE</t>
  </si>
  <si>
    <t>0003-CDFJ-12-2003</t>
  </si>
  <si>
    <t>COMPAÑÍA MINERA ARGENTUM S.A.</t>
  </si>
  <si>
    <t>ALPAMINA ( UNIDAD MANUELITA)</t>
  </si>
  <si>
    <t>YAULI</t>
  </si>
  <si>
    <t>MOROCOCHA</t>
  </si>
  <si>
    <t>RAMIREZ RODRIGUEZ, CARLOS</t>
  </si>
  <si>
    <t>96322-051-200412</t>
  </si>
  <si>
    <t>EMPRESA DE TRANSPORTES Y SERVICIOS MULTIPLES CALIFORNIA S.A.C.</t>
  </si>
  <si>
    <t xml:space="preserve">PUEBLO JOVEN PROYECTO ESPECIAL UCV 153-D, AA.HH.HUAYCAN, ZONA J, LOTES N° 8, 18 Y 19 </t>
  </si>
  <si>
    <t>MARIA DEL CARMEN BALDOCEDA SOLIS</t>
  </si>
  <si>
    <t>141995-051-200319</t>
  </si>
  <si>
    <t>INVERSIONES JAVIERIN I E.I.R.L.</t>
  </si>
  <si>
    <t>CONCESION MINERA ANDRES WILFREDO CON CODIGO N° 070021496</t>
  </si>
  <si>
    <t>JAVIER EDISSON CONTO CCANA</t>
  </si>
  <si>
    <t>118335-975-191115</t>
  </si>
  <si>
    <t>AV. PALMAPAMPA S/N - BASE AEREA PALMAPAMPA</t>
  </si>
  <si>
    <t>SAMUGARI</t>
  </si>
  <si>
    <t>99686-051-131212</t>
  </si>
  <si>
    <t>AGROINDUSTRIAS DEL MANTARO S.A.C.</t>
  </si>
  <si>
    <t>PROLONGACION DEL JR. MANTARO N° 196</t>
  </si>
  <si>
    <t>C1:4750:PETRÓLEO INDUSTRIAL Nº 6 </t>
  </si>
  <si>
    <t>AUGUSTO CESAR FERNANDINI FRIAS</t>
  </si>
  <si>
    <t>110092-051-201115</t>
  </si>
  <si>
    <t>CALLE LA MILLA N° 138 URB. ENGRANAJE</t>
  </si>
  <si>
    <t>92830-051-090611</t>
  </si>
  <si>
    <t>TURISMO DIAS S.A</t>
  </si>
  <si>
    <t xml:space="preserve">CALLE JUAN CUGLIEVAN 190 </t>
  </si>
  <si>
    <t>C1:4500:DIESEL B5 </t>
  </si>
  <si>
    <t>ADELMO FELIBRANDO CORCUERA GUTIERREZ</t>
  </si>
  <si>
    <t>0007-CDFJ-15-2008</t>
  </si>
  <si>
    <t>EMPRESA DE TRANSPORTE SINCHI ROCA S.A.</t>
  </si>
  <si>
    <t xml:space="preserve">AV. UNIVERSITARIA UC-10588 EX FUNDO CAUDEVILLA HUACOY Y PUNCHAUCA </t>
  </si>
  <si>
    <t>C1:5300:DIESEL 2 </t>
  </si>
  <si>
    <t>SANABRIA MORA, GAVINO</t>
  </si>
  <si>
    <t>1165-051-260916</t>
  </si>
  <si>
    <t>CAS. ESTACION 1- CAR. ESTACION 1 KM. 0.00 – CASERIO SARAMURO</t>
  </si>
  <si>
    <t>URARINAS</t>
  </si>
  <si>
    <t>C1:14319.34:TURBO A-1 </t>
  </si>
  <si>
    <t>C1:6192.4:TURBO A-1 </t>
  </si>
  <si>
    <t>C1:6332.94:TURBO A-1 </t>
  </si>
  <si>
    <t>C1:124883.13:DIESEL 2 </t>
  </si>
  <si>
    <t>132912-051-181117</t>
  </si>
  <si>
    <t>CARRETERA MONZÓN – TINGO MARÍA KM. 21 – CASERIO LA GRANJA C.P. CACHICOTO</t>
  </si>
  <si>
    <t>HUAMALIES</t>
  </si>
  <si>
    <t>MONZON</t>
  </si>
  <si>
    <t>LEONARDO JUVENAL MOLINA MONTERO</t>
  </si>
  <si>
    <t>0019-CDFJ-15-2003</t>
  </si>
  <si>
    <t>VITA GAS S.A.- VITALIANO PONCE MEDRANO</t>
  </si>
  <si>
    <t>AV. LOS ROBLES MZ. I LT. 10 URB. LA CAPITANA</t>
  </si>
  <si>
    <t>PONCE MEDRANO, VITALIANO</t>
  </si>
  <si>
    <t>392-051-110118</t>
  </si>
  <si>
    <t>PESQUERA PELAYO S.A.C.</t>
  </si>
  <si>
    <t>AV. LA MARINA N° 121</t>
  </si>
  <si>
    <t>SUPE</t>
  </si>
  <si>
    <t>C1:151656:PETRÓLEO INDUSTRIAL Nº 500 </t>
  </si>
  <si>
    <t>C1:26924:Diesel B5 S-50 </t>
  </si>
  <si>
    <t>ALEXANDRA LORENZA GONZALES SULLÓN</t>
  </si>
  <si>
    <t>138967-051-181018</t>
  </si>
  <si>
    <t>AGROLMOS S.A.</t>
  </si>
  <si>
    <t>LOTE AL 6 ENTRE VALLES DE LOS RÍOS CASCAJAL Y OLMOS</t>
  </si>
  <si>
    <t>JULIO CESAR TALLEDO DE LAMA</t>
  </si>
  <si>
    <t>0039-CDFJ-15-2009</t>
  </si>
  <si>
    <t>FASHION CENTER S.A</t>
  </si>
  <si>
    <t>MALECON DE LA RESERVA 610 OF. 138</t>
  </si>
  <si>
    <t>C1:2500:DIESEL B2 </t>
  </si>
  <si>
    <t>VALDIVIA RIVAS, DINO RAYMUNDO</t>
  </si>
  <si>
    <t>TEXGROUP S.A.</t>
  </si>
  <si>
    <t>JR. SUCRE Nº 281. URB. VULCANO</t>
  </si>
  <si>
    <t>C1:6000:PETRÓLEOS INDUSTRIALES </t>
  </si>
  <si>
    <t>HERRERA PAREDES, LUIS ALBERTO</t>
  </si>
  <si>
    <t>14785-053-220119</t>
  </si>
  <si>
    <t>SOUTHERN PERU COPPER CORPORATION, SUCURSAL DEL PERU</t>
  </si>
  <si>
    <t>PUNTA TABLONES S/N-FUNDICION SOUTHERN PERU</t>
  </si>
  <si>
    <t>PACOCHA</t>
  </si>
  <si>
    <t>C1:5880000:PETRÓLEO INDUSTRIAL Nº 500 </t>
  </si>
  <si>
    <t>C1:3360000:PETRÓLEO INDUSTRIAL Nº 500 </t>
  </si>
  <si>
    <t>C1:3360000:Diesel B5 S-50 </t>
  </si>
  <si>
    <t>150862-051-010920</t>
  </si>
  <si>
    <t>AVENIDA LAS AZUCENAS MANZANA “R” LOTE 7, ASOCIACION DE VIVIENDA PAZ Y DESARROLLO SAN PEDRO Y SAN PABLO – JICAMARCA, ANEXO “8”</t>
  </si>
  <si>
    <t>C1:3204:Diesel B5 S-50 </t>
  </si>
  <si>
    <t xml:space="preserve">ROBERTO LEGUIA VASQUEZ </t>
  </si>
  <si>
    <t>96060-051-280520</t>
  </si>
  <si>
    <t>LEONARDO HUAMAN HUANCA</t>
  </si>
  <si>
    <t>PARCELA N° 29, PROYECTO NUEVA AREQUIPA S/N</t>
  </si>
  <si>
    <t>0004-CDFJ-15-2008</t>
  </si>
  <si>
    <t>EMPRESA DE SERVICIO ESPECIAL DE TRANSPORTE SAN JUDAS TADEO S.A</t>
  </si>
  <si>
    <t>JR.GRAL.VIDAL N° 946 MZ 7 - D LOTE 7 PPJJ SAN FRANCISCO DE LA TABLAD DE LURIN SECTOR PRIMERA</t>
  </si>
  <si>
    <t>CAMPOS SANCHEZ, HERVIN OMAR</t>
  </si>
  <si>
    <t>149608-051-090620</t>
  </si>
  <si>
    <t>CARRETERA OLMOS CORRAL QUEMADO KM 26 CASERIO BEATITA</t>
  </si>
  <si>
    <t>C1:1162:Diesel B5 S-50 </t>
  </si>
  <si>
    <t>ALFONSO DANIEL ALFREDO CARLOS PINILLOS MONCLOA</t>
  </si>
  <si>
    <t>140750-051-240119</t>
  </si>
  <si>
    <t>SUPERMERCADOS PERUANOS S.A</t>
  </si>
  <si>
    <t>AV. SALAVERRY N° 888 (PLAZA VEA HIPER PLAZA CENTER TARAPOTO)</t>
  </si>
  <si>
    <t>MORALES</t>
  </si>
  <si>
    <t>ALONSO FERNANDO MARQUEZ ARENA</t>
  </si>
  <si>
    <t>90348-051-031114</t>
  </si>
  <si>
    <t>EMPRESA DE TRANSPORTES KENY SAC</t>
  </si>
  <si>
    <t>AV. PANAMERICANA NORTE KM. 571 – EL MILAGRO</t>
  </si>
  <si>
    <t>C1:7000:DIESEL B5 </t>
  </si>
  <si>
    <t>CARLOS MANUEL BALTODANO TAPIA</t>
  </si>
  <si>
    <t>118333-975-191115</t>
  </si>
  <si>
    <t>CARRETERA TAMBOPATA KM, 8 - BASE AEREA FAP</t>
  </si>
  <si>
    <t>C1:10000:TURBO A-1 </t>
  </si>
  <si>
    <t>45660-051-070916</t>
  </si>
  <si>
    <t>EMPRESA DE TRANSPORTES ARCO IRIS EXPRESS S.A</t>
  </si>
  <si>
    <t>AV. MIGUEL GRAU - SECTOR II MZ. 2 LT. 1,2 Y 24 - EL MILAGRO</t>
  </si>
  <si>
    <t>C1:3500:DIESEL B5,Diesel B5 S-50 </t>
  </si>
  <si>
    <t>VICTOR RAUL ALCALDE CAMACHO</t>
  </si>
  <si>
    <t>18763-052-160117</t>
  </si>
  <si>
    <t>PAMPA CALICHE S/N KM. 7.5 CARRETERA COSTANERA</t>
  </si>
  <si>
    <t>C1:113000:PETRÓLEO INDUSTRIAL Nº 6 </t>
  </si>
  <si>
    <t>C1:113000:Diesel B5 S-50 </t>
  </si>
  <si>
    <t>NESTOR ACOSTUPA HUANCA</t>
  </si>
  <si>
    <t>109104-051-070218</t>
  </si>
  <si>
    <t>INVERSIONES Y SERVICIOS CKF S.A.C.</t>
  </si>
  <si>
    <t>AV. TUPAC AMARU KM. 22.5 LOTE PUNCHAUCA</t>
  </si>
  <si>
    <t>C1:5214:Diesel B5 S-50 </t>
  </si>
  <si>
    <t>KELY DIANA FUENTES CASTRO</t>
  </si>
  <si>
    <t>149729-051-240620</t>
  </si>
  <si>
    <t>EXPRESO LEON DEL NORTE S.R.L.</t>
  </si>
  <si>
    <t>MZ G LT 05 SECTOR LOS CLAVELES CENTRO POBLADO EL MILAGRO</t>
  </si>
  <si>
    <t>C1:6384:Diesel B5 S-50 </t>
  </si>
  <si>
    <t>MARILU CORDOVA NARRO</t>
  </si>
  <si>
    <t>0003-CDFJ-06-2006</t>
  </si>
  <si>
    <t>GLORIA S.A.</t>
  </si>
  <si>
    <t>CARRETERA PORONGO A TARTAR KM 0.2 - CASERIO TARTAR GRANDE</t>
  </si>
  <si>
    <t>LOS BAÑOS DEL INCA</t>
  </si>
  <si>
    <t>C1:12530:PETRÓLEO INDUSTRIAL Nº 6 </t>
  </si>
  <si>
    <t>TEJADA DIAZ, LUIS ALBERTO</t>
  </si>
  <si>
    <t>131570-051-050318</t>
  </si>
  <si>
    <t>SERVICENTRO APURIMAC S.A.</t>
  </si>
  <si>
    <t>ASOC. DE VIVIENDA HIJOS DE APURIMAC MZ. H, LOTES 1,2,3,12,13,14 STA. CLARA</t>
  </si>
  <si>
    <t>HIPOLITO TAPIA MALPARTIDA</t>
  </si>
  <si>
    <t>0002-CDFJ-04-2003</t>
  </si>
  <si>
    <t>CORPORACION JOSE R. LINDLEY S.A.</t>
  </si>
  <si>
    <t>AV. AREQUIPA N° 111 - TIABAYA</t>
  </si>
  <si>
    <t>TIABAYA</t>
  </si>
  <si>
    <t>ARREDONDO BASSO, LUIS ALFREDO</t>
  </si>
  <si>
    <t>0007-CDFJ-16-2003</t>
  </si>
  <si>
    <t>EMBOTELLADORA LA SELVA S.A.</t>
  </si>
  <si>
    <t>PUTUMAYO ESQ. CALLE ALZAMORA</t>
  </si>
  <si>
    <t>BORJA RUBIO, WALTER</t>
  </si>
  <si>
    <t>98201-115-170117</t>
  </si>
  <si>
    <t>PINTURAS BICOLOR S.A.C.</t>
  </si>
  <si>
    <t>CALLE LOS MARTILLOS N° 5065</t>
  </si>
  <si>
    <t>C1:1000:SOLVENTE 1 </t>
  </si>
  <si>
    <t>C1:2000:SOLVENTE 1 </t>
  </si>
  <si>
    <t>C1:2000:CGN SOLVENTE </t>
  </si>
  <si>
    <t>REYNALDO CASTRO SALAS</t>
  </si>
  <si>
    <t>COMPAÑIA MINERA AGREGADOS CALCAREOS S.A.</t>
  </si>
  <si>
    <t>AV. EL ZINC N° 280 URB. INDUSTRIAL INFANTAS</t>
  </si>
  <si>
    <t>C1:1450:DIESEL 2 </t>
  </si>
  <si>
    <t>C1:15000:PETRÓLEO INDUSTRIAL Nº 6 </t>
  </si>
  <si>
    <t>C1:5250:DIESEL 2 </t>
  </si>
  <si>
    <t>RAVINES GONZALES, JOSE DONATO</t>
  </si>
  <si>
    <t>0048-CDFJ-15-2008</t>
  </si>
  <si>
    <t>CORPORACION PERUANA DE PRODUCTOS QUIMICOS S.A.- CPPQ S.A.</t>
  </si>
  <si>
    <t>AV. CESAR VALLEJO N° 1877</t>
  </si>
  <si>
    <t>C1:56800:SOLVENTE 3 </t>
  </si>
  <si>
    <t>C1:28500:HEXANO </t>
  </si>
  <si>
    <t>C1:12000:SOLVENTE 3 </t>
  </si>
  <si>
    <t>C1:12200:SOLVENTE 1 </t>
  </si>
  <si>
    <t>C1:31662:XILENO </t>
  </si>
  <si>
    <t>C1:31719:TOLUENO </t>
  </si>
  <si>
    <t>C1:14500:SOLVENTE 3 </t>
  </si>
  <si>
    <t>SCHENONE HUAMAN, BRUNO RAFAEL</t>
  </si>
  <si>
    <t>33679-051-220114</t>
  </si>
  <si>
    <t>PETRAMAS S.A.C.</t>
  </si>
  <si>
    <t>QUEBRADA HUAYCOLORO KM 7 S/N</t>
  </si>
  <si>
    <t>CARLOS ITALO DIEGO SORIA DALL´ORSO</t>
  </si>
  <si>
    <t>133738-051-260118</t>
  </si>
  <si>
    <t>UNIDAD EJECUTORA HOSPITAL SAN JUAN DE LURIGANCHO</t>
  </si>
  <si>
    <t>PROLONGACION AV. CANTO GRANDE S/N (PARADA 11)</t>
  </si>
  <si>
    <t>EDWLN JOHNY SAAVEDRA MARCHAN</t>
  </si>
  <si>
    <t>0002-CDFJ-04-2005</t>
  </si>
  <si>
    <t>AGROINDUSTRIAL DEL PERU SOCIEDAD ANONIMA CERRADA</t>
  </si>
  <si>
    <t xml:space="preserve">PREDIO 207-A. SECTOR </t>
  </si>
  <si>
    <t>C1:40000:PETRÓLEOS INDUSTRIALES </t>
  </si>
  <si>
    <t>C1:20000:DIESEL B2 </t>
  </si>
  <si>
    <t>CHAMPION HAU, OSCAR</t>
  </si>
  <si>
    <t>ADHESIVOS DEL NORTE S.A.</t>
  </si>
  <si>
    <t>PANAMERICANA NORTE KM 80.5</t>
  </si>
  <si>
    <t>HUDTWALCKER TEIXEIRA, ANTONIO</t>
  </si>
  <si>
    <t>95883-051-050312</t>
  </si>
  <si>
    <t>MOLINO Y COMERCIALIZADORA JUAN S.R.L.</t>
  </si>
  <si>
    <t>CARRETERA PANAMERICNA NORTE KM. 3 SECTOR PUERTO EL CURA TUMBES</t>
  </si>
  <si>
    <t>C1:3000:DIESEL B5 </t>
  </si>
  <si>
    <t>JAVIER ALEMAN CORONEL</t>
  </si>
  <si>
    <t>911-051-180620</t>
  </si>
  <si>
    <t>CARTAVIO RUM COMPANY S.A.C.</t>
  </si>
  <si>
    <t>CARRETERA A CHIQUITOY N° 04 Z.I. CARTAVIO (PORTADA A CHIQUITOY)</t>
  </si>
  <si>
    <t>C1:28239:PETRÓLEO INDUSTRIAL Nº 6 </t>
  </si>
  <si>
    <t>C1:9337:PETRÓLEO INDUSTRIAL Nº 6 </t>
  </si>
  <si>
    <t>C1:8176:Diesel B5 S-50 </t>
  </si>
  <si>
    <t>JORGE LUIS RODRIGUEZ PAJARES</t>
  </si>
  <si>
    <t>106240-051-270815</t>
  </si>
  <si>
    <t xml:space="preserve">CONSORCIO METALURGICO S.A. </t>
  </si>
  <si>
    <t>AV. MAQUINARIAS N° 3150 CERCADO DE LIMA</t>
  </si>
  <si>
    <t>C1:6600:PETRÓLEO INDUSTRIAL Nº 6 </t>
  </si>
  <si>
    <t>C1:450:Diesel B5 S-50 </t>
  </si>
  <si>
    <t>OLIVER THOMAS ALEXANDER STARK PREUSS</t>
  </si>
  <si>
    <t>146513-051-180919</t>
  </si>
  <si>
    <t>IMPALA TERMINALS PERU S.A.C.</t>
  </si>
  <si>
    <t>AV. CONTRALMIRANTE IGNACIO MARIATEGUI N° 808</t>
  </si>
  <si>
    <t>CRISTIAAN LANDEO OROZCO</t>
  </si>
  <si>
    <t>0001-CDFJ-20-2010</t>
  </si>
  <si>
    <t>CHIMU AGROPECUARIA S.A.</t>
  </si>
  <si>
    <t>CALLE 8 MZ. B LOTE 6 URBANIZACION PARQUE INDUSTRIAL</t>
  </si>
  <si>
    <t>C1:4900:PETRÓLEO INDUSTRIAL Nº 6 </t>
  </si>
  <si>
    <t>PAREDES FLORIAN, MELVA ALEJANDRINA</t>
  </si>
  <si>
    <t>95199-051-250113</t>
  </si>
  <si>
    <t xml:space="preserve">AGROMERK S.A </t>
  </si>
  <si>
    <t xml:space="preserve">LOTE Nº 10, DENOMINADO ZONA LOS HUERTOS DE PAMPA DE LARA, EX HACIENDA ESQUIVEL - PASAJE RENACIMIENTO S/N </t>
  </si>
  <si>
    <t>C1:3800:PETRÓLEO INDUSTRIAL Nº 6 </t>
  </si>
  <si>
    <t>ALFONSO PEDRO RAFAEL POBLETE BRESCIA</t>
  </si>
  <si>
    <t>0005-CDFJ-11-2006</t>
  </si>
  <si>
    <t>AGROINDUSTRIAS ICELS S.A.C.</t>
  </si>
  <si>
    <t>PARQUE INDUSTRIAL D-4</t>
  </si>
  <si>
    <t>C1:3897:PETRÓLEO INDUSTRIAL Nº 500 </t>
  </si>
  <si>
    <t>C1:1050:PETRÓLEO INDUSTRIAL Nº 500 </t>
  </si>
  <si>
    <t>ALMORA CASTILLO, CARLOS RUBEN</t>
  </si>
  <si>
    <t>118332-975-161115</t>
  </si>
  <si>
    <t>JR. MARIA LOZANO S/N AEROPUERTO PUCALLPA</t>
  </si>
  <si>
    <t>C1:3500:GASOLINA 100 LL </t>
  </si>
  <si>
    <t>C1:40000:TURBO A-1 </t>
  </si>
  <si>
    <t>155-051-290120</t>
  </si>
  <si>
    <t>NEXA RESOURCES EL PORVENIR S.A.C.</t>
  </si>
  <si>
    <t>UNIDAD MINERA EL PORVENIR</t>
  </si>
  <si>
    <t>SAN FCO.DE ASIS DE YARUSYAC</t>
  </si>
  <si>
    <t>C1:3000:GASOHOL 84 PLUS </t>
  </si>
  <si>
    <t>C1:3000:SIN PRODUCTO </t>
  </si>
  <si>
    <t>139452-051-061118</t>
  </si>
  <si>
    <t>EMPRESA MINERA MARCELO´S SRL</t>
  </si>
  <si>
    <t>CONCESION MINERA "CECILIO GREGORIA A" CODIGO 1700033AX01</t>
  </si>
  <si>
    <t>MARCO BACA CAZAS</t>
  </si>
  <si>
    <t>0052-CDFJ-15-2008</t>
  </si>
  <si>
    <t>MARINA DE GUERRA DEL PERU - GRIFO NEPTUNO</t>
  </si>
  <si>
    <t>AV. SALAVERRY CDRA. 24 S/N JESUS MARIA</t>
  </si>
  <si>
    <t>C1:5630:GASOLINA 90 </t>
  </si>
  <si>
    <t>C1:5630:DIESEL 2 </t>
  </si>
  <si>
    <t>C1:5630:GASOLINA 97 </t>
  </si>
  <si>
    <t>AMPUERO TRABUCCO, JUAN CARLOS</t>
  </si>
  <si>
    <t>567-051-191219</t>
  </si>
  <si>
    <t>CUPRICA S.A.C.</t>
  </si>
  <si>
    <t>CALLE ALONSO DE MOLINA Nº 247 - URB. ZONA INDUSTRIAL</t>
  </si>
  <si>
    <t>SEGUNDO FERNANDEZ BURGOS</t>
  </si>
  <si>
    <t>84110-115-110712</t>
  </si>
  <si>
    <t>ARTECOLA PERU S.A.</t>
  </si>
  <si>
    <t>AV. SANTA ROSA 410, URB. INDUSTRIAL AURORA</t>
  </si>
  <si>
    <t>C1:2000:TOLUENO </t>
  </si>
  <si>
    <t>C1:1500:SOLVENTE 1 </t>
  </si>
  <si>
    <t>LUCIANO BRITZKI GUIMARAES</t>
  </si>
  <si>
    <t>0010-CDFJ-16-2000</t>
  </si>
  <si>
    <t>ELECTRO ORIENTE S.A. - YURIMAGUAS</t>
  </si>
  <si>
    <t>PLANTA ELECTRICA DE YURIMAGUAS</t>
  </si>
  <si>
    <t>C1:37000:DIESEL 2 </t>
  </si>
  <si>
    <t>JAUREGUI FLORES, JOSE PASCUAL</t>
  </si>
  <si>
    <t>0009-CDFJ-07-2009</t>
  </si>
  <si>
    <t>PRESERVANTES DE MADERA S.A. PREMASA</t>
  </si>
  <si>
    <t>PUNTA PESCADORES MZ. A LT. 1 Y 2 URB. INDUSTRIAL SANTO DOMINGO DE BOCANEGRA</t>
  </si>
  <si>
    <t>CAMPOS MARTINEZ, JORGE</t>
  </si>
  <si>
    <t>ELECTROCENTRO S.A.-TARMA</t>
  </si>
  <si>
    <t>CALLE JOSE GALVEZ MORENO Nº 860</t>
  </si>
  <si>
    <t>LOPEZ TEJERINA, MARIO FERNANDO</t>
  </si>
  <si>
    <t>0004-CDFJ-07-2008</t>
  </si>
  <si>
    <t>BADINOTTI PERU S.A.</t>
  </si>
  <si>
    <t>AV. PRECURSORES Nº 260</t>
  </si>
  <si>
    <t>C1:5750:PETRÓLEO INDUSTRIAL Nº 500 </t>
  </si>
  <si>
    <t>C1:2350:DIESEL B2 </t>
  </si>
  <si>
    <t>C1:2000:PETRÓLEO INDUSTRIAL Nº 500 </t>
  </si>
  <si>
    <t>C1:660:XILENO </t>
  </si>
  <si>
    <t>C1:220:TOLUENO </t>
  </si>
  <si>
    <t>C1:5500:ASFALTO LÍQUIDO RC-250 </t>
  </si>
  <si>
    <t>RIZO PATRON, RUIZ DE SOMOCURCIO GUSTAVO ADOLFO</t>
  </si>
  <si>
    <t>TRANSPORTE RAPIDO UNIVERSAL S.A.</t>
  </si>
  <si>
    <t>MZ.A LOTES 5E, 5F, 5G, 5H. SOC. UNION COLONI. TABLADA LURIN</t>
  </si>
  <si>
    <t>C1:5900:DIESEL </t>
  </si>
  <si>
    <t>LUNG FE JOP, ANA LUY</t>
  </si>
  <si>
    <t>0004-CDFJ-07-2000</t>
  </si>
  <si>
    <t>AV. VENTANILLA KM.8</t>
  </si>
  <si>
    <t>C1:29300:DIESEL 2 </t>
  </si>
  <si>
    <t>CHAU ELIAS, JUAN MANUEL</t>
  </si>
  <si>
    <t>0020-CDFJ-15-2007</t>
  </si>
  <si>
    <t>CORPORACION TURISTICA PERUANA S.A.C.</t>
  </si>
  <si>
    <t>AV. BENAVIDES 420</t>
  </si>
  <si>
    <t>THORNBERRY SCHIANTARRELLI, EDIE ALDO ANGEL</t>
  </si>
  <si>
    <t>118148-051-031215</t>
  </si>
  <si>
    <t>ACEROS CHILCA S.A.C.</t>
  </si>
  <si>
    <t>QUEBRADA DE PARCA</t>
  </si>
  <si>
    <t xml:space="preserve">GIANFRANCO ARCE ALLEVA </t>
  </si>
  <si>
    <t>94855-051-191211</t>
  </si>
  <si>
    <t>M.I.K. CARPE S.A.C.</t>
  </si>
  <si>
    <t>ZONA INDUSTRIAL II MZ. V LOTE 01 SUB LOTE 1 A-1</t>
  </si>
  <si>
    <t>TAE HO KIM</t>
  </si>
  <si>
    <t>0003-CDFJ-13-2009</t>
  </si>
  <si>
    <t>MOLINERA INCA S.A.</t>
  </si>
  <si>
    <t>AV. PANAMERICANA NORTE KM. 558</t>
  </si>
  <si>
    <t>C1:3700:DIESEL B2 </t>
  </si>
  <si>
    <t>ABANTO GONZALEZ, ATANACIO MIGUEL</t>
  </si>
  <si>
    <t>61153-051-050314</t>
  </si>
  <si>
    <t xml:space="preserve">AV. LOS PINOS MZ. E LT. 13 URB. SHANGRILA </t>
  </si>
  <si>
    <t>132069-051-031017</t>
  </si>
  <si>
    <t>EMPRESA DE TRANSPORTES HEROINAS TOLEDO CONCEPCION S.R.L.</t>
  </si>
  <si>
    <t>AV. ORIENTE S/N ANEXO DE ALAYO</t>
  </si>
  <si>
    <t>JULIA ISOLINA MARAVI DE TORPOCO</t>
  </si>
  <si>
    <t>DIRECCION REGIONAL DE TRANSPORTES COMUNICACIONES Y VIVIENDA</t>
  </si>
  <si>
    <t>AV. GUARDIA CIVIL N° 702</t>
  </si>
  <si>
    <t>PAUCARPATA</t>
  </si>
  <si>
    <t>C1:4000:GASOLINA 84 </t>
  </si>
  <si>
    <t>MALAGA MALAGA, MOISES</t>
  </si>
  <si>
    <t>0005-CDFJ-15-2010</t>
  </si>
  <si>
    <t>CALZADO CHOSICA S.A.C.</t>
  </si>
  <si>
    <t>CARRETERA CENTRAL KM. 40.5</t>
  </si>
  <si>
    <t>C1:10000:PETRÓLEO INDUSTRIAL Nº 6 </t>
  </si>
  <si>
    <t>C1:4200:SOLVENTE 1 </t>
  </si>
  <si>
    <t>PESCHIERA CASSINELLI, JORGE RICARDO</t>
  </si>
  <si>
    <t>FUNDICION CENTRAL S.A.</t>
  </si>
  <si>
    <t>MZ. C, LT. 10, CALLE 1, SANTA RAQUEL</t>
  </si>
  <si>
    <t>NIERI GUERRERO, ING. ALFONSO</t>
  </si>
  <si>
    <t>118768-053-021215</t>
  </si>
  <si>
    <t>SAMAY I S.A.</t>
  </si>
  <si>
    <t>LOTE 2 - 25</t>
  </si>
  <si>
    <t>C1:3196483:Diesel B5 S-50 </t>
  </si>
  <si>
    <t>RAUL DIAZ DIAZ</t>
  </si>
  <si>
    <t>103314-051-290916</t>
  </si>
  <si>
    <t>INDUAMERICA SERVICIOS LOGISTICOS S.A.C.</t>
  </si>
  <si>
    <t xml:space="preserve">CARRETERA PANAMERICANA NORTE KM. 664, LOTE SOLAR S/N - CRUCE EL MILAGRO </t>
  </si>
  <si>
    <t>SIXTO PERALES HUANCARUNA</t>
  </si>
  <si>
    <t>0001-CDFJ-07-2001</t>
  </si>
  <si>
    <t>INVERSIONES SAN GABRIEL S.A.</t>
  </si>
  <si>
    <t>AV. NESTOR GAMBETTA N° 4661</t>
  </si>
  <si>
    <t>C1:4500:PETRÓLEO INDUSTRIAL Nº 5 </t>
  </si>
  <si>
    <t>REZQALLAH SALAME, SALIM JABRA</t>
  </si>
  <si>
    <t>45390-051-190614</t>
  </si>
  <si>
    <t>ARUNTANI S.A.C</t>
  </si>
  <si>
    <t>PROYECTO MINERO JESSICA</t>
  </si>
  <si>
    <t>OCUVIRI</t>
  </si>
  <si>
    <t>LUIS ARTEMIO ALVA FLORIAN</t>
  </si>
  <si>
    <t>EMPRESA NACIONAL PESQUERA S.A. - PESCA PERU</t>
  </si>
  <si>
    <t>AV. CENTENARIO Nº 1956 - UNIDAD OPERATIVA Nº 3241</t>
  </si>
  <si>
    <t>C1:20000:PETRÓLEOS INDUSTRIALES </t>
  </si>
  <si>
    <t>CAÑOTE SANTAMARIA, GODOFREDO</t>
  </si>
  <si>
    <t>106487-051-030114</t>
  </si>
  <si>
    <t>EMPRESA DE TRANSPORTES Y SERVICIOS SAN JUAN BAUTISTA S.A</t>
  </si>
  <si>
    <t>MZ- I-2 LTE-5 ASOCIACION HUERTA GRANJA EL AYLLU</t>
  </si>
  <si>
    <t>C1:4011:Diesel B5 S-50 </t>
  </si>
  <si>
    <t>CARLOS VILLENA LARA</t>
  </si>
  <si>
    <t>151608-051-231020</t>
  </si>
  <si>
    <t>OCHO SUR P S.A.C.</t>
  </si>
  <si>
    <t>N° S/N SEC. NARANJAL FDO. TIBECOCHA</t>
  </si>
  <si>
    <t>NUEVA REQUENA</t>
  </si>
  <si>
    <t>C1:9000:DIESEL B5 </t>
  </si>
  <si>
    <t>C1:1700:GASOLINA 90 </t>
  </si>
  <si>
    <t xml:space="preserve">SERGE GEORGES VERHAERT </t>
  </si>
  <si>
    <t>139086-051-161018</t>
  </si>
  <si>
    <t>UNVIERSIDAD NACIONAL DE SAN AGUSTIN</t>
  </si>
  <si>
    <t>URB. AURORA CALLE N°1 ESTADIO DE LA UNVIERSIDAD NACIONAL DE SAN AGUSTIN</t>
  </si>
  <si>
    <t>C1:980:Diesel B5 S-50 </t>
  </si>
  <si>
    <t>ROHEL SANCHEZ SANCHEZ</t>
  </si>
  <si>
    <t>107885-051-080414</t>
  </si>
  <si>
    <t>AGRICOLA DON RICARDO S.A.C.</t>
  </si>
  <si>
    <t>FUNDO DON CARLOS S/N</t>
  </si>
  <si>
    <t>LA TINGUIÑA</t>
  </si>
  <si>
    <t>C1:1750:DIESEL B5 </t>
  </si>
  <si>
    <t>ALEJANDRO FUENTES LEÓN</t>
  </si>
  <si>
    <t>EMPRESA NACIONAL PESQUERA S.A. - PESCA PERU - UNIDAD OPERATIVA Nº 3283</t>
  </si>
  <si>
    <t>AV. PROLONGACION CENTENARIO Nº 1954</t>
  </si>
  <si>
    <t>C1:15000:DIESEL 2 </t>
  </si>
  <si>
    <t>CAÑOTE SANTA MARINA, GODOFREDO</t>
  </si>
  <si>
    <t>0001-CDFJ-21-2000</t>
  </si>
  <si>
    <t>AV. FLORAL S/N</t>
  </si>
  <si>
    <t>C1:35000:DIESEL B2 </t>
  </si>
  <si>
    <t>RAMIREZ GUTIERREZ, JESUS VALENTIN</t>
  </si>
  <si>
    <t>1139666-PIU</t>
  </si>
  <si>
    <t>PESQUERA CONDOR PERUANO S.A.</t>
  </si>
  <si>
    <t>KM. 1.5 CARRETERA PAITA - PIURA</t>
  </si>
  <si>
    <t>C1:88571:DIESEL 2 </t>
  </si>
  <si>
    <t>URIZAR JORGE, MARCO TULIO</t>
  </si>
  <si>
    <t>1554-051-300117</t>
  </si>
  <si>
    <t>MINAS ALTA CORDILLERA S.A.C.</t>
  </si>
  <si>
    <t>PARAJE ARIRAHUA</t>
  </si>
  <si>
    <t>C1:11600:Diesel B5 S-50 </t>
  </si>
  <si>
    <t>LUIGI ERNESTO LAZO CANGAHUALA</t>
  </si>
  <si>
    <t>INDUSTRIA PERUANA DE METALES Y DERIVADOS S.A.</t>
  </si>
  <si>
    <t>AV. MATERIALES N° 2665</t>
  </si>
  <si>
    <t>MUJICA DIEZ CANSECO, GUILLERMO</t>
  </si>
  <si>
    <t>134727-051-270218</t>
  </si>
  <si>
    <t>MULTISERVICIOS E INVERSIONES CHUM PUM CALLAO SA</t>
  </si>
  <si>
    <t>AV JULIO C TELLO PROLONGACION ABTAO MZ A LOTE 3 Y 4 PROGRAMA MUNICIPAL DE VIVIENDA LA PERLA</t>
  </si>
  <si>
    <t>C1:2900:Diesel B5 S-50 </t>
  </si>
  <si>
    <t>ANA MARIA CENTENO MANRIQUE</t>
  </si>
  <si>
    <t>223-112-041018</t>
  </si>
  <si>
    <t>NEXA RESOURCES CAJAMARQUILLA S.A.</t>
  </si>
  <si>
    <t>CARRETERA CENTRAL KM. 9.5, DESVIO A HUACHIPA</t>
  </si>
  <si>
    <t>C1:108000:PETRÓLEO INDUSTRIAL Nº 500 </t>
  </si>
  <si>
    <t>CESAR AUGUSTO LARA BURNEO</t>
  </si>
  <si>
    <t>0006-CDFJ-24-2000</t>
  </si>
  <si>
    <t>P.E.L. SANTA ROSA S.C.R.L.</t>
  </si>
  <si>
    <t>NOR OESTE RIO TUMBES SECTOR LA CANELA</t>
  </si>
  <si>
    <t>C1:7800:DIESEL 2 </t>
  </si>
  <si>
    <t>LEON TEMPLE, GUSTAVO</t>
  </si>
  <si>
    <t>0045-CDFJ-15-2008</t>
  </si>
  <si>
    <t>LIDERMIX S.A.C.</t>
  </si>
  <si>
    <t>AV. LAS ACACIAS MZ. J LOTE 13 A, CPM HUACHIPA</t>
  </si>
  <si>
    <t>AGUIRRE LAOS, ZESAR RICARDO</t>
  </si>
  <si>
    <t>31646-051-280411</t>
  </si>
  <si>
    <t>EMPRESA DE TRANSPORTES TREINTITRES S.A.</t>
  </si>
  <si>
    <t>ASOCIACION DE VIVIENDA LOS PORTALES DE SANTA RITA, MZ. C LOTES 1-6 (AV. CANTA CALLAO S/N)</t>
  </si>
  <si>
    <t>HUGO HUMBERTO VILLANUEVA CRUZ</t>
  </si>
  <si>
    <t>0001-CDFJ-11-2010</t>
  </si>
  <si>
    <t>AGRICOLA CHAPI S.A</t>
  </si>
  <si>
    <t>FUNDO DON ERNESTO, SECTOR CINCO PIEDRAS PAMPA DE LOS CASTILLOS PANAMERICANA SUR KM 320</t>
  </si>
  <si>
    <t>SANTIAGO</t>
  </si>
  <si>
    <t>C1:2200:DIESEL B2 </t>
  </si>
  <si>
    <t>MOYA ECHECOPAR, JOSE ANGEL</t>
  </si>
  <si>
    <t>LADRILLERA KAR S.A.</t>
  </si>
  <si>
    <t>PASAJE ROSA MANUEL S/N. URB. CERES</t>
  </si>
  <si>
    <t>C1:18000:PETRÓLEO INDUSTRIAL Nº 6 </t>
  </si>
  <si>
    <t>BATTILANA SUITO, EDUARDO</t>
  </si>
  <si>
    <t>0003-CDFJ-24-2000</t>
  </si>
  <si>
    <t>LANGOSTINERA EL CRUSTACEO S.C.R.L.</t>
  </si>
  <si>
    <t>CHACRA GONZALES</t>
  </si>
  <si>
    <t>ZARUMILLA</t>
  </si>
  <si>
    <t>AGUAS VERDES</t>
  </si>
  <si>
    <t>ABERASTURI SEOANE, RAMON E</t>
  </si>
  <si>
    <t>ARMADORES Y CONGELADORES DEL PACIFICO S.A. (ARCOPASA)</t>
  </si>
  <si>
    <t>JORGE CHAVEZ N° 418 (BUQUE/FACTORIA ISABEL)</t>
  </si>
  <si>
    <t>PINTOS GRIVOT, LAURENT</t>
  </si>
  <si>
    <t>0001-CDFJ-24-2000</t>
  </si>
  <si>
    <t>EMPRESA LANGOSTINERA ATAYASA S.A.</t>
  </si>
  <si>
    <t>SECTOR CHERRES</t>
  </si>
  <si>
    <t>0003-CDFJ-04-2006</t>
  </si>
  <si>
    <t>UNIDAD ECONOMICA ADMINISTRATIVA (UEA) - ORCOPAMPA</t>
  </si>
  <si>
    <t>ORCOPAMPA</t>
  </si>
  <si>
    <t>C1:13895:DIESEL 2 </t>
  </si>
  <si>
    <t>SANTILLAN FARJE, MARIO</t>
  </si>
  <si>
    <t>16482-051-291117</t>
  </si>
  <si>
    <t>AV. INDUSTRIAL S/N - EX FUNDO CANCHAMANA</t>
  </si>
  <si>
    <t>C1:28692:Diesel B5 S-50 </t>
  </si>
  <si>
    <t>C1:34184:PETROLEO INDUSTRIAL No. 6 - EXPORTACION </t>
  </si>
  <si>
    <t>PESCA PERU REFINERIA CHIMBOTE - EX PESCA PERU U.O. 1343</t>
  </si>
  <si>
    <t>AV. LOS PESCADORES S/N (PASAJE SANTA MARTHA 215 INT 2 ZONA INDUSTRIAL 27 DE OCTUBRE</t>
  </si>
  <si>
    <t>C1:16421:PETRÓLEO INDUSTRIAL Nº 500 </t>
  </si>
  <si>
    <t>CAÑOTE SANTAMARINA, GODOFREDO</t>
  </si>
  <si>
    <t>0004-CDFJ-04-2008</t>
  </si>
  <si>
    <t>MINERA TITAN DEL PERU S.R.L.</t>
  </si>
  <si>
    <t>FUNDO TODA UNA VIDA. SECTOR CHALA VIEJO. VALLE CHALA U.C. 000176 ALTURA KM. 620 CRRETERA PANAMERICAN SUR</t>
  </si>
  <si>
    <t>BENZA ARIAS, LUIS FEDERICO</t>
  </si>
  <si>
    <t>0009-CDFJ-16-2000</t>
  </si>
  <si>
    <t>ELECTRO ORIENTE S.A. - IQUITOS</t>
  </si>
  <si>
    <t>PLANTA ELECTRICA DE IQUITOS</t>
  </si>
  <si>
    <t>C1:286343:PETRÓLEO INDUSTRIAL Nº 6 </t>
  </si>
  <si>
    <t>118239-051-170216</t>
  </si>
  <si>
    <t>EMPRESA ADMINISTRADORA CERRO S.A.C.</t>
  </si>
  <si>
    <t>CENTRO POBLADODE PARAGSHA PARCELA I CERRO SHUCO - PLANTA DE OXIDOS</t>
  </si>
  <si>
    <t>SIMON BOLIVAR</t>
  </si>
  <si>
    <t>OTTO JUAN NORBERTO ELESPURU NESANOVICH</t>
  </si>
  <si>
    <t>0029-CDFJ-04-2001</t>
  </si>
  <si>
    <t>MICHELL &amp; CIA S.A.</t>
  </si>
  <si>
    <t>JACINTO IBAÑEZ N° 346 - PARQUE INDUSTRIAL</t>
  </si>
  <si>
    <t>CUEVA MEZA, YUBEL GERMAN</t>
  </si>
  <si>
    <t>55986-051-240818</t>
  </si>
  <si>
    <t>FAMESA EXPLOSIVOS S.A.C.</t>
  </si>
  <si>
    <t>CARRETERA PANAMERICANA NORTE KM 57.5. FUNDO INCAPAMPA</t>
  </si>
  <si>
    <t>C1:700:Diesel B5 S-50 </t>
  </si>
  <si>
    <t>C1:15300:Diesel B5 S-50 </t>
  </si>
  <si>
    <t>YAMANISHI YAMANISHI, CARMELA</t>
  </si>
  <si>
    <t>41549-051-011019</t>
  </si>
  <si>
    <t>EMPRESA CAPLINA DE TRANSPORTES TURISTICOS INTERNACIONALES S.R.L.</t>
  </si>
  <si>
    <t>AV. PASEO DE LA REPUBLICA NRO. 619 - 627</t>
  </si>
  <si>
    <t>SERGIO PASTOR FLORES VILDOSO</t>
  </si>
  <si>
    <t>ASOCIADOS COSAPI S.A. Y DRAGADOS Y CONSTRUCCIONES S.A.</t>
  </si>
  <si>
    <t>CAMPAMENTO CHUANI</t>
  </si>
  <si>
    <t>CARABAYA</t>
  </si>
  <si>
    <t>OLLACHEA</t>
  </si>
  <si>
    <t>HELFER LLERENA, LIZARDO ERNESTO</t>
  </si>
  <si>
    <t>121782-052-150916</t>
  </si>
  <si>
    <t>INFRAESTRUCTURAS Y ENERGIAS DEL PERU S.A.C.</t>
  </si>
  <si>
    <t>CARRETERA PUERTO MALDONADO QUINCE MIL, SUB LOTE A1-A2</t>
  </si>
  <si>
    <t>C1:173000:Diesel B5 S-50 </t>
  </si>
  <si>
    <t>C1:40000:Diesel B5 S-50 </t>
  </si>
  <si>
    <t>PEDRO SANDOVAL CALLE</t>
  </si>
  <si>
    <t>AV. ARGENTINA NO 2085</t>
  </si>
  <si>
    <t>CONSERVAS SANTA ADELA S.A.</t>
  </si>
  <si>
    <t>AV. ENRIQUE MEIGGS N° 1798, CHIMBOTE</t>
  </si>
  <si>
    <t>QUIÑONES CASTILLO, ALFREDO</t>
  </si>
  <si>
    <t>0001-CDFJ-20-2005</t>
  </si>
  <si>
    <t>FRUTOS DEL PERU S.A.</t>
  </si>
  <si>
    <t>CALLE I, MZ. B-1, LOTE 2, ZONA INDUSTRIAL MUNICIPAL Nº 02</t>
  </si>
  <si>
    <t>C1:3500:PETRÓLEOS INDUSTRIALES </t>
  </si>
  <si>
    <t>GUERRA BENDEZU, LUIS ENRIQUE</t>
  </si>
  <si>
    <t>93871-051-140520</t>
  </si>
  <si>
    <t>MAMUT PERU S.A.C.</t>
  </si>
  <si>
    <t>CAMPAMENTO MAMUT, PLANTA CONCENTRADORA BAYOVAR, COMPAÑIA MINERA MISKY MAYO</t>
  </si>
  <si>
    <t>PAOLI CONSIGLIERE CARLA FIORELLA</t>
  </si>
  <si>
    <t>1423-051-040711</t>
  </si>
  <si>
    <t>CORPORACION LINDLEY S.A.</t>
  </si>
  <si>
    <t>AV. ABELARDO QUIÑONES N° 186</t>
  </si>
  <si>
    <t>C1:3700:PETRÓLEO INDUSTRIAL Nº 6 </t>
  </si>
  <si>
    <t>JOHNNY ROBINSON LINDLEY SUAREZ</t>
  </si>
  <si>
    <t>29-052-080914</t>
  </si>
  <si>
    <t>SUDAMERICANA DE FIBRAS S.A.</t>
  </si>
  <si>
    <t>AV. NESTOR GAMBETA Nº 6815</t>
  </si>
  <si>
    <t>C1:66050:PETRÓLEO INDUSTRIAL Nº 500 </t>
  </si>
  <si>
    <t>WOLL RIVAS, DANIEL JOSE</t>
  </si>
  <si>
    <t xml:space="preserve">VIDRIERIA 28 DE JULIO S.A.C. </t>
  </si>
  <si>
    <t xml:space="preserve">CARRETERA CENTRAL KM. 8,5 </t>
  </si>
  <si>
    <t>C1:70000:DIESEL 2 </t>
  </si>
  <si>
    <t>FURUKAWA OBARA, ERNESTO</t>
  </si>
  <si>
    <t>40652-051-130315</t>
  </si>
  <si>
    <t>CARRETERA PANAMERICANA SUR KM. 11.5. CALLE INTERIOR S/N</t>
  </si>
  <si>
    <t>C1:20000:Diesel B5 S-50 </t>
  </si>
  <si>
    <t>98101-051-170913</t>
  </si>
  <si>
    <t xml:space="preserve">TRANSPORTES SIERRA BLANCA S.A. </t>
  </si>
  <si>
    <t>JR. LOS GALLOS N 166 LOTE 01 DE LA CALLE B,PREDIO SEMITURISTICO LAS PRADERAS DE LURIN</t>
  </si>
  <si>
    <t>JORGE LUIS FRITSCHI ESCOBAR</t>
  </si>
  <si>
    <t>0003-CDFJ-02-2001</t>
  </si>
  <si>
    <t>NYRSTAR ANCASH S.A.</t>
  </si>
  <si>
    <t>UNIDAD MINERA PUCARRAJU - PARAJE ICHIC</t>
  </si>
  <si>
    <t>C1:3500:DIESEL B5 </t>
  </si>
  <si>
    <t>CARLOS CESAR CUEVA CABALLERO</t>
  </si>
  <si>
    <t>542-051-220218</t>
  </si>
  <si>
    <t>J.C.A.TRANSPORTES S.R.L.</t>
  </si>
  <si>
    <t>JR. HUARI N° 245, LOTIZACION RESIDENCIAL EL DESCANSO</t>
  </si>
  <si>
    <t>CAMAVILCA ARZAPALO, JULIO</t>
  </si>
  <si>
    <t>102204-051-211114</t>
  </si>
  <si>
    <t>EMPRESA DE SERVICIOS GENERALES JUVID S.R.L</t>
  </si>
  <si>
    <t>CONCESION MINERA VILLA 8 C</t>
  </si>
  <si>
    <t>C1:3750:Diesel B5 S-50 </t>
  </si>
  <si>
    <t>C1:3990:Diesel B5 S-50 </t>
  </si>
  <si>
    <t xml:space="preserve">JULIO CESAR ARAMAYO HINOJOSA </t>
  </si>
  <si>
    <t>136731-051-100618</t>
  </si>
  <si>
    <t>EMPRESA BUSINESS CORPORATION MILENIUM S.A.C.</t>
  </si>
  <si>
    <t>AV. SAN MARTIN N° 487 URB. CANTO GRANDE</t>
  </si>
  <si>
    <t>GERARDO FELIX ARROYO GUERRA</t>
  </si>
  <si>
    <t>247-052-260418</t>
  </si>
  <si>
    <t>MINERA AURIFERA RETAMAS SA</t>
  </si>
  <si>
    <t>MINA SAN ANDRES</t>
  </si>
  <si>
    <t>PATAZ</t>
  </si>
  <si>
    <t>PARCOY</t>
  </si>
  <si>
    <t>C1:30000:DIESEL B5,Diesel B5 S-50 </t>
  </si>
  <si>
    <t>C1:0:DIESEL B5,Diesel B5 S-50 </t>
  </si>
  <si>
    <t>C1:85000:DIESEL B5,Diesel B5 S-50 </t>
  </si>
  <si>
    <t>GABRIELA PEREZ COSTA PISCOYA</t>
  </si>
  <si>
    <t>122375-051-200716</t>
  </si>
  <si>
    <t>COMPAÑIA MINERA ARES S.A.C</t>
  </si>
  <si>
    <t>CARRETERA SELENE HUANACMARCA - INMACULADO KM 88 (ANEXO DE HUANCUTE)</t>
  </si>
  <si>
    <t>PAUCAR DEL SARA SARA</t>
  </si>
  <si>
    <t>OYOLO</t>
  </si>
  <si>
    <t>C1:200000:Diesel B5 S-50 </t>
  </si>
  <si>
    <t xml:space="preserve">MARIA CRISTINA ALVA NORIEGA </t>
  </si>
  <si>
    <t>123392-051-201116</t>
  </si>
  <si>
    <t>COMPAÑIA ELECTRICA EL PLATANAL S.A. - CELEPSA</t>
  </si>
  <si>
    <t>FUNDO SAN JUANITO KM 65.5 CARRETERA CAÑETE -YAUYOS</t>
  </si>
  <si>
    <t>ZUÑIGA</t>
  </si>
  <si>
    <t>PEDRO ALFONSO LERNER RIZO PATRON</t>
  </si>
  <si>
    <t>0019-CDFJ-15-2008</t>
  </si>
  <si>
    <t>EMPRESA DE TRANSPORTE SERVICIOS E INVERSIONES GRUPO CUATRO (IV)</t>
  </si>
  <si>
    <t>MZ.N LOTE 07 URBANIZACION LOS HUERTOS DE SAN DIEGO</t>
  </si>
  <si>
    <t>ANCALLA QUISPE, VICENTE</t>
  </si>
  <si>
    <t>62223-051-251019</t>
  </si>
  <si>
    <t>BANCO BBVA PERU</t>
  </si>
  <si>
    <t>AV. REPUBLICA DE PANAMA N° 3055, URB. EL PALOMAR</t>
  </si>
  <si>
    <t>C1:3405:Diesel B5 S-50 </t>
  </si>
  <si>
    <t>SANDRA ANA MARIA CABANILLAS GAMARRA</t>
  </si>
  <si>
    <t>0023-CDFJ-15-2003</t>
  </si>
  <si>
    <t>LAVA QUICK EXPRESS S.A.</t>
  </si>
  <si>
    <t>JR. DANTE N° 1206-1210</t>
  </si>
  <si>
    <t>CARRION DEL SOLAR, ANDRES FELIPE</t>
  </si>
  <si>
    <t>145306-051-180719</t>
  </si>
  <si>
    <t>BAHIA CONTINENTAL S.A.C.</t>
  </si>
  <si>
    <t>PASAJE SAN LORENZO NRO. 243</t>
  </si>
  <si>
    <t>C1:5323:Diesel B5 S-50 </t>
  </si>
  <si>
    <t>CELIS MARIANELLA ACOSTA GALIANO</t>
  </si>
  <si>
    <t>18777-051-040716</t>
  </si>
  <si>
    <t>EMP. DE TRANSPORTES SERVICIO Y COMERCIALIZACION EXPRESO SANTA ANITA S.A</t>
  </si>
  <si>
    <t>AV. PACASMAYO MZ. W, LOTES 29, 30 Y 31 URB. EL ALAMO</t>
  </si>
  <si>
    <t>WALDO ROGER POMA GAGLIUFFI</t>
  </si>
  <si>
    <t>105793-051-041014</t>
  </si>
  <si>
    <t>INVERSIONES DJL S.A.C.</t>
  </si>
  <si>
    <t>CONCESION MINERA PLAYA MARTA</t>
  </si>
  <si>
    <t>LUCILA HUANCA AMPUERO</t>
  </si>
  <si>
    <t>0007-CDFJ-04-2008</t>
  </si>
  <si>
    <t>SANTA GABRIELA SAC</t>
  </si>
  <si>
    <t>LATERAL 9, F-147-IRIRGACION SANTA RITA SIGUAS</t>
  </si>
  <si>
    <t>SANTA RITA DE SIGUAS</t>
  </si>
  <si>
    <t>LOZADA HERRERA, DANIEL GERMAN</t>
  </si>
  <si>
    <t>96450-051-200412</t>
  </si>
  <si>
    <t>INVERSIONES MUJE S.C.R.LTDA.</t>
  </si>
  <si>
    <t>AV. NICOLAS DE PIEROLA N° 502</t>
  </si>
  <si>
    <t>MIGUEL RONALD MUJE MENDOZA</t>
  </si>
  <si>
    <t>109552-051-090614</t>
  </si>
  <si>
    <t xml:space="preserve">PERENCO PERU PETROLEUM LIMITED SUCURSAL DEL PERU </t>
  </si>
  <si>
    <t>COORDENADAS[ (E) 455,586.00 (N) 9827611.00 // (E) 458762.00 (N) 9788030.00</t>
  </si>
  <si>
    <t>C1:210000:Diesel B5 S-50 </t>
  </si>
  <si>
    <t>BRUNO EDMOND LUCIEN VISCONTI</t>
  </si>
  <si>
    <t>ELECTROCENTRO S.A. LA MERCED</t>
  </si>
  <si>
    <t>PARAJE CHUNCHUYACU KM 35 CARRETERA CENTRAL LA MERCED</t>
  </si>
  <si>
    <t>SAN RAMON</t>
  </si>
  <si>
    <t>123864-051-121016</t>
  </si>
  <si>
    <t>MINERA AURIFERA CAYCHIVE CENTRAL S.A.</t>
  </si>
  <si>
    <t>CONCESION CABECERA CAYCHIVE 2000-A</t>
  </si>
  <si>
    <t>C1:5121:Diesel B5 S-50 </t>
  </si>
  <si>
    <t>JESUS MANUEL YANARICO OROCHE</t>
  </si>
  <si>
    <t>138918-051-021018</t>
  </si>
  <si>
    <t>REGION LORETO - HOSPITAL SANTA GEMA DE YURIMAGUAS</t>
  </si>
  <si>
    <t>CALLES UCAYALI, JULIO CESAR RUIZ, JOSE GALVEZ Y DANIEL ALCIDES CARRION DEL BARRIO AGUAMIRO</t>
  </si>
  <si>
    <t>C1:1500:DIESEL B5 </t>
  </si>
  <si>
    <t>PEDRO TONY CAMEL VALERO</t>
  </si>
  <si>
    <t>ELECTROCENTRO S.A.</t>
  </si>
  <si>
    <t>JR. MANUEL PRADO Nº 584 - SATIPO</t>
  </si>
  <si>
    <t>C1:5800:DIESEL 2 </t>
  </si>
  <si>
    <t>C1:5100:DIESEL 2 </t>
  </si>
  <si>
    <t>C1:5350:DIESEL 2 </t>
  </si>
  <si>
    <t>102286-051-181114</t>
  </si>
  <si>
    <t>EMPRESA MINERA CRISTIAN MARLY S.A.C</t>
  </si>
  <si>
    <t>CONCESION MINERA JEANNE LINDA XXVII</t>
  </si>
  <si>
    <t>MARIO DANIEL TICONA HUAQUISTO</t>
  </si>
  <si>
    <t>139097-051-091118</t>
  </si>
  <si>
    <t>FZG METALES SAC</t>
  </si>
  <si>
    <t>PARCELA C1 SANTO DOMINGO DE BOCA NEGRA ALT. KM 4.5 AV. NESTOR GAMBETA</t>
  </si>
  <si>
    <t>C1:1800:PETRÓLEO INDUSTRIAL Nº 6 </t>
  </si>
  <si>
    <t>RUDY ALBERTO ZAPANA MORALES</t>
  </si>
  <si>
    <t>102980-051-060813</t>
  </si>
  <si>
    <t>EXPORTADORA CETUS S.A.C.</t>
  </si>
  <si>
    <t>AV. LOS DIAMANTES MZ. C LOTE 7 ZONA INDUSTRIAL II</t>
  </si>
  <si>
    <t>CARLOS EDEVALY DE LA PEÑA ROJAS</t>
  </si>
  <si>
    <t>125875-051-250617</t>
  </si>
  <si>
    <t xml:space="preserve">MIXERCON S.A </t>
  </si>
  <si>
    <t xml:space="preserve">CALLE LA JOJOBA MZ. B LOTE 10 ASOCIACIÓN LA CONCORDIA </t>
  </si>
  <si>
    <t>C1:4865:Diesel B5 S-50 </t>
  </si>
  <si>
    <t>JOSE LUIS VIACAVA ESPINOZA</t>
  </si>
  <si>
    <t>61681-051-031219</t>
  </si>
  <si>
    <t>OCEANO SEAFOOD S.A.</t>
  </si>
  <si>
    <t>AV. LOS PESCADORES Nº 1270</t>
  </si>
  <si>
    <t>MAURICIO FEDERICO NEGRON VARGAS</t>
  </si>
  <si>
    <t>112366-115-280515</t>
  </si>
  <si>
    <t>MEGABANDA S.A.C.</t>
  </si>
  <si>
    <t>AV CHOSICA KM 3.8 PARCELA 1C, 2DA ETAPA</t>
  </si>
  <si>
    <t>C1:1313:SOLVENTE 1 </t>
  </si>
  <si>
    <t>JOSE ELOY LINO SALAS</t>
  </si>
  <si>
    <t>0007-CDFJ-13-2003</t>
  </si>
  <si>
    <t>PESQUERA HAYDUK S.A.</t>
  </si>
  <si>
    <t>PLAYA NORTE S/N PUERTO MALABRIGO</t>
  </si>
  <si>
    <t>C1:160000:PETRÓLEO INDUSTRIAL Nº 6 </t>
  </si>
  <si>
    <t>C1:130000:DIESEL 2 </t>
  </si>
  <si>
    <t>QUIROZ LOPEZ, HENRY</t>
  </si>
  <si>
    <t>148782-051-130220</t>
  </si>
  <si>
    <t>GRUPO CAVASSA S.A.C.</t>
  </si>
  <si>
    <t>AV. BUENOS AIRES N° 255 – ZAPALLAL</t>
  </si>
  <si>
    <t>CARLOS RODOLFO MINAYA DANTE</t>
  </si>
  <si>
    <t>TRANSPORTES GROM S.A.C.</t>
  </si>
  <si>
    <t>AV. LA PAZ N° 2561</t>
  </si>
  <si>
    <t>ORLANDINI DIBOS, RAUL HOMERO M</t>
  </si>
  <si>
    <t>141209-115-060120</t>
  </si>
  <si>
    <t>ASIENTO MINERO CERRO VERDE S/N, CARRETERA VARIANTE DE TINAJONES KM. 25 SECTOR 2</t>
  </si>
  <si>
    <t>C1:31700:LUBRICANTES </t>
  </si>
  <si>
    <t>C1:23700:LUBRICANTES </t>
  </si>
  <si>
    <t>C1:19800:LUBRICANTES </t>
  </si>
  <si>
    <t>C1:11800:LUBRICANTES </t>
  </si>
  <si>
    <t>C1:3434:LUBRICANTES </t>
  </si>
  <si>
    <t>38996-051-241011</t>
  </si>
  <si>
    <t>CORPORACIÓN MINERA CENTAURO S.A.C.</t>
  </si>
  <si>
    <t>PARAJE QUICAY - COMUNIDAD CAMPESINA SANTA ANA DE PACOYAN</t>
  </si>
  <si>
    <t>C1:9879:DIESEL B5 </t>
  </si>
  <si>
    <t>OSWALDO NILTON SANCHEZ CASAS</t>
  </si>
  <si>
    <t>EMPRESA DE TRANSPORTES EL CARMEN DE LA PUNTA S.A.</t>
  </si>
  <si>
    <t>ESQ. AV. DEL PARQUE, AV. S. JUAN, CALLE A, URB. NUEVO SOL</t>
  </si>
  <si>
    <t>AURELIO OSORIO, CRISTOBAL</t>
  </si>
  <si>
    <t>0002-CDFJ-14-2006</t>
  </si>
  <si>
    <t>INDUSTRIAS DEL CARTON S.A.</t>
  </si>
  <si>
    <t xml:space="preserve">AV. BRASIL 100 </t>
  </si>
  <si>
    <t>CAYALTI</t>
  </si>
  <si>
    <t>C1:1958:PETRÓLEO INDUSTRIAL Nº 500 </t>
  </si>
  <si>
    <t>C1:1508:PETRÓLEO INDUSTRIAL Nº 6 </t>
  </si>
  <si>
    <t>CICCIA GABILLO, MARCO ANTONIO</t>
  </si>
  <si>
    <t>0033-CDFJ-15-2008</t>
  </si>
  <si>
    <t>AUROQUIMICA S.A.C.</t>
  </si>
  <si>
    <t>CARRETERA CENTRAL KM 175</t>
  </si>
  <si>
    <t>KAHN PANDURO, ANGEL EDUARDO</t>
  </si>
  <si>
    <t>1164-051-190711</t>
  </si>
  <si>
    <t>JR. LOS PESCADORES N° 946 - ZONA INDUSTRIAL I</t>
  </si>
  <si>
    <t>C1:104714:DIESEL B5 </t>
  </si>
  <si>
    <t>MANUEL MOGOLLÓN NIMA</t>
  </si>
  <si>
    <t>0047-CDFJ-15-2008</t>
  </si>
  <si>
    <t>LAS SALINAS DE HUACHO</t>
  </si>
  <si>
    <t>C1:12374.19:DIESEL B2 </t>
  </si>
  <si>
    <t>C1:4142.34:DIESEL B2 </t>
  </si>
  <si>
    <t>95490-051-090412</t>
  </si>
  <si>
    <t>NAVIERA J&amp;A SAC</t>
  </si>
  <si>
    <t>CARRETERA FEDERICO BASADRE KM 13.200</t>
  </si>
  <si>
    <t>EDGAR NEME VARGAS PULIDO</t>
  </si>
  <si>
    <t>AGRIBRANDS PURINA PERU S.A.</t>
  </si>
  <si>
    <t>CARRETERA PANAMERICANA NORTE KM 17.5</t>
  </si>
  <si>
    <t>C1:8500:PETRÓLEOS INDUSTRIALES </t>
  </si>
  <si>
    <t>PODESTA HAUSTEIN, FRANCISCO</t>
  </si>
  <si>
    <t>133189-051-281117</t>
  </si>
  <si>
    <t>MINERA AURIFERA EDWART S.A.C.</t>
  </si>
  <si>
    <t xml:space="preserve">CONCESION MINERA CABECERA CAICHIVE 2000-B </t>
  </si>
  <si>
    <t>C1:5158:Diesel B5 S-50 </t>
  </si>
  <si>
    <t>LAZARO QUISPE QUISPE</t>
  </si>
  <si>
    <t>99419-051-100113</t>
  </si>
  <si>
    <t>MINERA BARRICK MISQUICHILCA S.A</t>
  </si>
  <si>
    <t>PROYECTO MINERO ALTO CHICAMA- LAGUNA NORTE PLANTA CIC, KM. 141, CARRETERA OTUZCO- HUAMACHUCO</t>
  </si>
  <si>
    <t>C1:26000:DIESEL B5 </t>
  </si>
  <si>
    <t>GUILLERMO SALVADOR DIEZ CANSECO TIRADO</t>
  </si>
  <si>
    <t>0001-CDFJ-18-2000</t>
  </si>
  <si>
    <t>VARADERO SUR PERU S.A.</t>
  </si>
  <si>
    <t>CALETA CALIENTA NEGROS KM. 2</t>
  </si>
  <si>
    <t>LIENDO PIZARRO, GUILLERMO ALBERTO</t>
  </si>
  <si>
    <t>0001-CDFJ-20-2002</t>
  </si>
  <si>
    <t>EPPO S.A.</t>
  </si>
  <si>
    <t>AV. GRAU 1581</t>
  </si>
  <si>
    <t>BAYONA RUIZ, AURELIO</t>
  </si>
  <si>
    <t>44577-051-211216</t>
  </si>
  <si>
    <t>EMPRESA DE TRANSPORTE ROLIN HERMANOS S.A.C.</t>
  </si>
  <si>
    <t>MZ."O", LOTE 3 GRUPO RESIDENCIAL N° 02 P.J. EDILBERTO RAMOS</t>
  </si>
  <si>
    <t>C1:1950:SIN PRODUCTO </t>
  </si>
  <si>
    <t>JUSTINIANA VICENTE BASILIO</t>
  </si>
  <si>
    <t>142037-051-200319</t>
  </si>
  <si>
    <t xml:space="preserve">CONSORCIO LIMA SUR S.A.C. </t>
  </si>
  <si>
    <t xml:space="preserve">AV. PACASMAYO MZ. C LT. 01 PROGRAMA DE VIVIENDA LOS LAURELES EX FUNDO OQUENDO </t>
  </si>
  <si>
    <t>LUIS ALBERTO GAONA JARAMILLO</t>
  </si>
  <si>
    <t>101974-051-020816</t>
  </si>
  <si>
    <t xml:space="preserve">CELSO QUISPE CHIPANA </t>
  </si>
  <si>
    <t>CONCESION MINERA CU &amp; SA 2</t>
  </si>
  <si>
    <t>C1:7500:Diesel B5 S-50 </t>
  </si>
  <si>
    <t>0020-CDFJ-15-2002</t>
  </si>
  <si>
    <t>CENTRO INTERNACIONAL DE LA PAPA</t>
  </si>
  <si>
    <t>AV. LA UNIVERSIDAD N° 1895</t>
  </si>
  <si>
    <t>TANG FIGUEROA, ALDO</t>
  </si>
  <si>
    <t>TEXTIL ALGODONERA S.A.</t>
  </si>
  <si>
    <t>AV. ARGENTINA Nº 2656</t>
  </si>
  <si>
    <t>C1:42000:PETRÓLEO INDUSTRIAL Nº 500 </t>
  </si>
  <si>
    <t>SAID YARUR, LUIS ALBERTO</t>
  </si>
  <si>
    <t>0001-CDFJ-20-2009</t>
  </si>
  <si>
    <t>TRANSPORTES GILBERTO LAVALLE O. E.I.R.L.</t>
  </si>
  <si>
    <t>AV. A N°116</t>
  </si>
  <si>
    <t>PARIÑAS</t>
  </si>
  <si>
    <t>C1:2800:DIESEL B2 </t>
  </si>
  <si>
    <t>LAVALLE OLAYA, GILBERTO</t>
  </si>
  <si>
    <t>EMPRESA DE TRANSPORTES URBANOS LOS CHINOS S.A.</t>
  </si>
  <si>
    <t>AV. LIMA S/N KM 31,5 CARRETERA ATOCONGO</t>
  </si>
  <si>
    <t>FLORINDEZ CARRASCO, JUAN JOSE</t>
  </si>
  <si>
    <t>97144-051-140612</t>
  </si>
  <si>
    <t xml:space="preserve">INCA RAIL S.A.C. </t>
  </si>
  <si>
    <t>ESTACION FERROVIARIA DE OLLANTAYTAMBO</t>
  </si>
  <si>
    <t>JOSE LUIS ARBILDO CASTRO</t>
  </si>
  <si>
    <t>0003-CDFJ-02-2002</t>
  </si>
  <si>
    <t>COMPANEX PERU S.A.</t>
  </si>
  <si>
    <t>ZONA INDUSTRIAL VILLA MARÍA - MZA O ESQUINA CON JR. PIURAY AV. BRASIL</t>
  </si>
  <si>
    <t>C1:14000:PETRÓLEO INDUSTRIAL Nº 500 </t>
  </si>
  <si>
    <t>BUSTO QUISPE, ZOILA</t>
  </si>
  <si>
    <t>91974-051-151211</t>
  </si>
  <si>
    <t>EMPRESA DE TRANSPORTE Y TURISMO CINCO ESTRELLAS S.A.</t>
  </si>
  <si>
    <t>AV. SAN MARTIN S/N - MZ. CB, LOTE 03 - COMUNIDAD CAMPESINA JICAMARCA ANEXO 22</t>
  </si>
  <si>
    <t>C1:4417:Diesel B5 S-50 </t>
  </si>
  <si>
    <t>ALFREDO YANAYACO COCHACHI</t>
  </si>
  <si>
    <t>21171-051-090817</t>
  </si>
  <si>
    <t>CORPORACION RICO S.A.C.</t>
  </si>
  <si>
    <t>VIA DE EVITAMIENTO KM. 1.5</t>
  </si>
  <si>
    <t>C1:2000:GASOHOL 95 PLUS </t>
  </si>
  <si>
    <t>C1:8536:RESIDUAL 500 (USO PROPIO) </t>
  </si>
  <si>
    <t>C1:3979:RESIDUAL 500 (USO PROPIO) </t>
  </si>
  <si>
    <t>JAVIER MARTIN LOPEZ ZAPATA</t>
  </si>
  <si>
    <t>0001-CDFJ-03-2002</t>
  </si>
  <si>
    <t>WARI SERVICE S.A.C.</t>
  </si>
  <si>
    <t>AV. ARENAS N°200</t>
  </si>
  <si>
    <t>PALOMINO ORTIZ, RICHARD ARMANDO</t>
  </si>
  <si>
    <t>0017-CDFJ-04-2004</t>
  </si>
  <si>
    <t>COMPANIA MINERA ARES S.A.C.</t>
  </si>
  <si>
    <t>PARAJE CAJCHAYA</t>
  </si>
  <si>
    <t>C1:208000:DIESEL 2 </t>
  </si>
  <si>
    <t>REATEGUI DIAZ, JAVIER</t>
  </si>
  <si>
    <t>137614-051-260718</t>
  </si>
  <si>
    <t>ALICORP S.A.A.</t>
  </si>
  <si>
    <t>JR. HUASCAR 143</t>
  </si>
  <si>
    <t>C1:3848:Diesel B5 S-50 </t>
  </si>
  <si>
    <t>JESSICA YVETTE OBLITAS CALDERÓN</t>
  </si>
  <si>
    <t>40484-051-110816</t>
  </si>
  <si>
    <t>R. STIGLICH S.A</t>
  </si>
  <si>
    <t xml:space="preserve">AV. REPUBLICA ARGENTINA N° 3398 </t>
  </si>
  <si>
    <t>C1:5000:Diesel B5 S-50 UV </t>
  </si>
  <si>
    <t>JAVIER MANUEL PRADO BUSTAMANTE</t>
  </si>
  <si>
    <t>0001-CDFJ-21-2002</t>
  </si>
  <si>
    <t>PROGRAMA NACIONAL DE MANTENIMIENTO Y CONSERVACION VIAL</t>
  </si>
  <si>
    <t>CARRETERA PUNO - DESAGUADERO KM 525</t>
  </si>
  <si>
    <t>EL COLLAO</t>
  </si>
  <si>
    <t>ILAVE</t>
  </si>
  <si>
    <t>RODRIGUEZ LEON, ALFREDO SALVADOR</t>
  </si>
  <si>
    <t>EMPRESA DE TRANSPORTE SAN MARTIN DE PORRAS S.A.</t>
  </si>
  <si>
    <t>LOS ANGELES S/N</t>
  </si>
  <si>
    <t>BALDEOS ARDIAN, FELIX</t>
  </si>
  <si>
    <t>94389-115-270312</t>
  </si>
  <si>
    <t>ZONA TRUCK SHOP – PREDIO YANACANCHA U.C. 00106 CAMPAMENTO MINERO YANACANCHA - ANTAMINA</t>
  </si>
  <si>
    <t>C1:16000:LUBRICANTES </t>
  </si>
  <si>
    <t>MAGALY MARIANA GONZALES DENEGRI</t>
  </si>
  <si>
    <t>0006-CDFJ-15-2006</t>
  </si>
  <si>
    <t>UNION DE CERVECERIAS PERUANAS BACKUS Y JHONSTON S.A.</t>
  </si>
  <si>
    <t>AV. NICOLAS AYLLON N°4050</t>
  </si>
  <si>
    <t>C1:900000:PETRÓLEO INDUSTRIAL Nº 6 </t>
  </si>
  <si>
    <t>C1:900000:PETRÓLEO INDUSTRIAL Nº 5 </t>
  </si>
  <si>
    <t>C1:900000:DIESEL 2 </t>
  </si>
  <si>
    <t>GAMBIRAZIO M., GONZALO</t>
  </si>
  <si>
    <t>0003-CDFJ-07-2001</t>
  </si>
  <si>
    <t>CONSORCIO MINERO S.A. - CORMIN</t>
  </si>
  <si>
    <t>AV. NESTOR GAMBETTA N° 5500</t>
  </si>
  <si>
    <t>C1:3240:DIESEL 2 </t>
  </si>
  <si>
    <t>TROVARELLI VECCHIO, RICARDO JUAN</t>
  </si>
  <si>
    <t>0057-CDFJ-15-2005</t>
  </si>
  <si>
    <t>EMPRESA DE TRANSPORTES UNIDOS CHAMA S.A.</t>
  </si>
  <si>
    <t>PARQUE INDUSTRIAL PARCELA II, MZ. N-1, LOTE 13</t>
  </si>
  <si>
    <t>LOZANO SOTELO, GODOFREDO</t>
  </si>
  <si>
    <t>145712-051-080819</t>
  </si>
  <si>
    <t>CORPORACION PRISMA S.A.C.</t>
  </si>
  <si>
    <t>SECTOR INQUILLANI C.C. DE SANTA CRUZ DE MIJANO KM. 1 CARRETERA PUTINA - RINCONADA</t>
  </si>
  <si>
    <t>PUTINA</t>
  </si>
  <si>
    <t xml:space="preserve">SOCRATES ARISTOTELES LOPEZ SANCHEZ </t>
  </si>
  <si>
    <t>88487-051-2010</t>
  </si>
  <si>
    <t>PERURAIL SA</t>
  </si>
  <si>
    <t>PANAMERICANA SUR KM 999</t>
  </si>
  <si>
    <t>COCACHACRA</t>
  </si>
  <si>
    <t>C1:8000:DIESEL B2 </t>
  </si>
  <si>
    <t>RAUL FELIPE GALDO MARIN</t>
  </si>
  <si>
    <t>0001-CDFJ-04-2003</t>
  </si>
  <si>
    <t>CROMINCO S.A.</t>
  </si>
  <si>
    <t>CALLE VICTOR LIRA S/N - LOTE 9-B, PARQUE INDUSTRIAL</t>
  </si>
  <si>
    <t>SUNI TORRES, FRANCISCO</t>
  </si>
  <si>
    <t>122928-051-100817</t>
  </si>
  <si>
    <t>CARRETERA PANAMERICANA SUR KM. 987 SAN JOSÉ</t>
  </si>
  <si>
    <t>C1:3000:GASOHOL 90 PLUS </t>
  </si>
  <si>
    <t>110630-051-280814</t>
  </si>
  <si>
    <t>SERVICIOS GENERALES JELA E.I.R.L</t>
  </si>
  <si>
    <t xml:space="preserve">CARRETERA SULLANA PAITA KM 2.8 </t>
  </si>
  <si>
    <t>JOHAN ALEX RUIZ MIRANDA</t>
  </si>
  <si>
    <t>61716-051-280520</t>
  </si>
  <si>
    <t>OBRAS Y SERVICIOS PETROLEROS S.A.C.</t>
  </si>
  <si>
    <t>CARRET. PANAMERICANA NORTE KM. 1,122.30 CAMPAMENTO 321 LOTE II</t>
  </si>
  <si>
    <t>C1:5000:GASOHOL 90 PLUS </t>
  </si>
  <si>
    <t>WONG SANCHEZ ROBERTO</t>
  </si>
  <si>
    <t>0003-CDFJ-16-2003</t>
  </si>
  <si>
    <t>RIVERA IZQUIERDA RIO AMAZONAS A 43 KM DE IQUITOS</t>
  </si>
  <si>
    <t>INDIANA</t>
  </si>
  <si>
    <t>C1:3540:DIESEL 2 </t>
  </si>
  <si>
    <t>61941-051-081113</t>
  </si>
  <si>
    <t>EMPRESA DE TRANSPORTES Y SERVICIOS MUTIPLES REAL DE VILLA S.A.C.</t>
  </si>
  <si>
    <t>P.J. EDILBERTO RAMOS, MZ. A, LT.14, GRUPO RESIDENCIAL I</t>
  </si>
  <si>
    <t>HELFER SIMEON GARCIA JUSTO</t>
  </si>
  <si>
    <t>0001-CDFJ-09-2006</t>
  </si>
  <si>
    <t>UNIDAD MINERA JULCANI</t>
  </si>
  <si>
    <t>ANGARAES</t>
  </si>
  <si>
    <t>CCOCHACCASA</t>
  </si>
  <si>
    <t>C1:3012:DIESEL 2 </t>
  </si>
  <si>
    <t>C1:3170:GASOLINA 84 </t>
  </si>
  <si>
    <t>C1:3296:GASOLINA 84 </t>
  </si>
  <si>
    <t>C1:3868:DIESEL 2 </t>
  </si>
  <si>
    <t>PALLETE TOCUNAGA, ALFREDO</t>
  </si>
  <si>
    <t>0001-CDFJ-02-2006</t>
  </si>
  <si>
    <t>OLDIM S.A</t>
  </si>
  <si>
    <t>JR. MALECON GRAU 2699 AA.HH FLORIDA BAJA</t>
  </si>
  <si>
    <t>C1:3288:PETRÓLEO INDUSTRIAL Nº 500 </t>
  </si>
  <si>
    <t>C1:900:PETRÓLEO INDUSTRIAL Nº 500 </t>
  </si>
  <si>
    <t>CRUZ SOLIS, SANTIAGO GREGORIO</t>
  </si>
  <si>
    <t>INMOBILIARIA DE TURISMO S.A.</t>
  </si>
  <si>
    <t>PANCHO FIERRO NO 194-ESQ. MERINO NO 122</t>
  </si>
  <si>
    <t>ZAVALA COSTA, JAVIER CARLOS ALCIBIADES</t>
  </si>
  <si>
    <t>0002-CDFJ-07-2001</t>
  </si>
  <si>
    <t>CORPORACION TRANSERFI S.A.C.</t>
  </si>
  <si>
    <t>MZ D-LOTE 8 ASOCIACION DE VIVIENDA MARQUEZ</t>
  </si>
  <si>
    <t>C1:3400:DIESEL 2 </t>
  </si>
  <si>
    <t>PALERMO FIGUEROA GUTIERREZ, ROSALI</t>
  </si>
  <si>
    <t>102100-051-160719</t>
  </si>
  <si>
    <t>SERVICIO Y TURISMO EXPRES VIA NACIONAL S.A.C.</t>
  </si>
  <si>
    <t>JR MARCOS FARFAN N° 3384</t>
  </si>
  <si>
    <t>MARIA SALOME AGREDA DE LA CRUZ</t>
  </si>
  <si>
    <t>J.S. TRANSPORTES S.A. (EMBARGO DE INSCRIPCION 0230074687927)</t>
  </si>
  <si>
    <t>MZ.G LOTE 1A AV.PACIFICO URB. BUENOS AIRES</t>
  </si>
  <si>
    <t>HUAMANCONDOR DE SORIA, MARIA</t>
  </si>
  <si>
    <t>HOSPITAL REGIONAL HONORIO DELGADO</t>
  </si>
  <si>
    <t>AV. DANIEL ALCIDES CARRIÓN N° 505 - LA PAMPILLA.</t>
  </si>
  <si>
    <t>C1:14000:DIESEL 2 </t>
  </si>
  <si>
    <t>FLORES HINOJOSA, HECTOR</t>
  </si>
  <si>
    <t>99360-051-230919</t>
  </si>
  <si>
    <t xml:space="preserve">A 45 KM DE LA COSTA - ALT KM 180.85 PANAM SUR </t>
  </si>
  <si>
    <t>0004-CDFJ-11-2006</t>
  </si>
  <si>
    <t>CONSERVAS Y DERIVADOS SAN ANDRES S.A.C.</t>
  </si>
  <si>
    <t>FUNDO MOGOTE GRANDE SAN ANDRES</t>
  </si>
  <si>
    <t>C1:3195:PETRÓLEO INDUSTRIAL Nº 500 </t>
  </si>
  <si>
    <t>VASQUEZ SANABRIA, ALDO RAUL</t>
  </si>
  <si>
    <t>DISCOVERY PERU S.A.</t>
  </si>
  <si>
    <t>AV. EL DERBY S/N, HIPÓDROMO DE MONTERRICO, PUERTA NO. 4</t>
  </si>
  <si>
    <t>C1:4000:GASOLINA 90 </t>
  </si>
  <si>
    <t>DUFOUR CATTANEO, OSCAR</t>
  </si>
  <si>
    <t>0007-CDFJ-14-2002</t>
  </si>
  <si>
    <t>ESSALUD HOSPITAL ALMANZOR AGUINAGA ASENJO</t>
  </si>
  <si>
    <t>PLAZA DE LA SEGURIDAD SOCIAL S/N</t>
  </si>
  <si>
    <t>C1:7568:DIESEL 2 </t>
  </si>
  <si>
    <t>0002-CDFJ-11-2004</t>
  </si>
  <si>
    <t>AV. MANUEL SANTANA CHIRI N° 903 - URB. LUREN</t>
  </si>
  <si>
    <t>C1:2430:DIESEL 2 </t>
  </si>
  <si>
    <t>C1:530:DIESEL 2 </t>
  </si>
  <si>
    <t>MENDOZA HERNANDEZ, MARCOS ARCADIO</t>
  </si>
  <si>
    <t>147200-051-111119</t>
  </si>
  <si>
    <t>JACQUELINE SOLIS VERA</t>
  </si>
  <si>
    <t>CONCESION MINERA VALENCIA UNO - SECCION B - SECTOR NUEVA UNION</t>
  </si>
  <si>
    <t>C1:9270:Diesel B5 S-50 </t>
  </si>
  <si>
    <t>0004-CDFJ-16-2000</t>
  </si>
  <si>
    <t>SANTA FE PETROLEUM DEL PERU S.A.</t>
  </si>
  <si>
    <t>LT. 65-M (LOCAC. STA MARTHA. AV. LAS FLORES S/N CARRET. SANTA CLARA</t>
  </si>
  <si>
    <t>C1:4800:GASOLINA DE AVIACIÓN </t>
  </si>
  <si>
    <t>C1:5500:GASOLINA 84 </t>
  </si>
  <si>
    <t>300-052-220916</t>
  </si>
  <si>
    <t>TECNOLOGICA DE ALIMENTOS S.A. (TASA)</t>
  </si>
  <si>
    <t>CARRETERA PISCO A PARACAS KM. 17.1</t>
  </si>
  <si>
    <t>C1:46800:DIESEL B5,Diesel B5 S-50 </t>
  </si>
  <si>
    <t>C1:103500:PETRÓLEO INDUSTRIAL Nº 6 </t>
  </si>
  <si>
    <t>C1:71000:PETRÓLEO INDUSTRIAL Nº 500 </t>
  </si>
  <si>
    <t>PINILLOS GONZALES CARLOS JULIO</t>
  </si>
  <si>
    <t>0022-CDFJ-15-2003</t>
  </si>
  <si>
    <t>EMP. DE TRANSPORTES SOL DE ORO S.A.</t>
  </si>
  <si>
    <t>AV. RICARDO PALMA MZ. B LT. 6 AL 10, RESID. MADRID III ETAPA</t>
  </si>
  <si>
    <t>BULEJE SOTO, JOSE FELIX</t>
  </si>
  <si>
    <t>1551-051-270812</t>
  </si>
  <si>
    <t>CASTROVIRREYNA COMPAÑIA MINERA S.A.</t>
  </si>
  <si>
    <t>UNIDAD MINERA CASTROVIRREYNA, CAMPAMENTO MINERO SAN GENARO, PARAJE SANTA ANA</t>
  </si>
  <si>
    <t>CASTROVIRREYNA</t>
  </si>
  <si>
    <t>SANTA ANA</t>
  </si>
  <si>
    <t>JOHANNA LUISA GALARZA ALIAGA</t>
  </si>
  <si>
    <t>148929-051-270120</t>
  </si>
  <si>
    <t>ASOCIACION DE TRANSPORTISTAS LA PAZ CAJAMARCA</t>
  </si>
  <si>
    <t>AV. LA PAZ S/N CUADRA 20 (REF. A 100 M CRUCE CON AV. HEROES DEL CENEPA)</t>
  </si>
  <si>
    <t>C1:4000:GASOHOL 90 PLUS </t>
  </si>
  <si>
    <t>VICTORIA LILIANA CALUA PEREZ</t>
  </si>
  <si>
    <t>151443-051-141020</t>
  </si>
  <si>
    <t>COMPLEJO AGROINDUSTRIAL BETA S.A.</t>
  </si>
  <si>
    <t>MZ A A000 LOTE S/N CAS. ÑOMALA</t>
  </si>
  <si>
    <t>MORROPON</t>
  </si>
  <si>
    <t>CHULUCANAS</t>
  </si>
  <si>
    <t>C1:5050:Diesel B5 S-50 </t>
  </si>
  <si>
    <t>C1:540:GASOHOL 90 PLUS </t>
  </si>
  <si>
    <t>LUCIANA BETZABEL LEVY CORDOVA</t>
  </si>
  <si>
    <t>139507-051-010219</t>
  </si>
  <si>
    <t>TOMAS CHAMPI QUISPE</t>
  </si>
  <si>
    <t>ACUMULACION WASHINGTON III; CODIGO 070000114L</t>
  </si>
  <si>
    <t>0000034-ANC</t>
  </si>
  <si>
    <t>S.M.R.L. MAGISTRAL DE HUARAZ S.A.C</t>
  </si>
  <si>
    <t xml:space="preserve">PARAJE MINAPATA, CORDILLERA OCCIDENTAL DE LOS ANDES </t>
  </si>
  <si>
    <t>AQUIA</t>
  </si>
  <si>
    <t>MARTINEZ LIZARRAGA, ALBERTO</t>
  </si>
  <si>
    <t>1506-051-181016</t>
  </si>
  <si>
    <t>TRANSPORTES MENDOZA S.C.R.L.</t>
  </si>
  <si>
    <t>JR. CASMA Nº 213 MIRAMAR BAJO</t>
  </si>
  <si>
    <t>MENDOZA VARAS, ALFONSO VIDAL</t>
  </si>
  <si>
    <t>0044-CDFJ-15-2006</t>
  </si>
  <si>
    <t>INDUSTRIA DE GRASAS Y ACEITES S.A.</t>
  </si>
  <si>
    <t>CALLE LOS BRILLANTES MZ B1 LT 1, URB LA CAPITANA - HUACHIPA</t>
  </si>
  <si>
    <t>C1:4660:PETRÓLEO INDUSTRIAL Nº 6 </t>
  </si>
  <si>
    <t>MARAVI RUIZ, JULIO VICENTE</t>
  </si>
  <si>
    <t>0014-CDFJ-15-2006</t>
  </si>
  <si>
    <t>ESSALUD - HOSPITAL NACIONAL GUILLERMO ALMENARA IRIGOYEN</t>
  </si>
  <si>
    <t>AV. GRAU 800</t>
  </si>
  <si>
    <t>C1:5000:PETRÓLEO INDUSTRIAL Nº 5 </t>
  </si>
  <si>
    <t>C1:10000:PETRÓLEO INDUSTRIAL Nº 5 </t>
  </si>
  <si>
    <t>BARAYBAR GUTIERREZ DE LA FUENTE, JAVIER</t>
  </si>
  <si>
    <t>1487-052-260916</t>
  </si>
  <si>
    <t>PETROLEOS DEL PERU - PETROPERÚ S.A.</t>
  </si>
  <si>
    <t>CAS. FELIX FLORES S/N (CERCA AL POBLADO TNTE. LOPEZ) - DIVISION OLEODUCTO ESTACION 5</t>
  </si>
  <si>
    <t>DATEM DEL MARAÑON</t>
  </si>
  <si>
    <t>MANSERICHE</t>
  </si>
  <si>
    <t>C1:14450:TURBO A-1 </t>
  </si>
  <si>
    <t>C1:124489:TURBO A-1 </t>
  </si>
  <si>
    <t>C1:6330:TURBO A-1 </t>
  </si>
  <si>
    <t>C1:14390:TURBO A-1 </t>
  </si>
  <si>
    <t>C1:564946:DIESEL B5 </t>
  </si>
  <si>
    <t>C1:564944:DIESEL B5 </t>
  </si>
  <si>
    <t>C1:11992:TURBO A-1 </t>
  </si>
  <si>
    <t>C1:5837:TURBO A-1 </t>
  </si>
  <si>
    <t>C1:3140:DIESEL B5 </t>
  </si>
  <si>
    <t>C1:6303:TURBO A-1 </t>
  </si>
  <si>
    <t>91055-115-170212</t>
  </si>
  <si>
    <t>INDUSTRIAS ELECTRO QUÍMICAS S.A.</t>
  </si>
  <si>
    <t>AV. ELMER FAUCETT 1920</t>
  </si>
  <si>
    <t>RAUL ALBERTO FRANCISCO MUSSO VENTO</t>
  </si>
  <si>
    <t>90522-051-101116</t>
  </si>
  <si>
    <t>EMPRESA DE TRANSPORTES GAMBINI S.R.L</t>
  </si>
  <si>
    <t>CARRETERA PATIVILCA - HUARAZ KM 199, MANZANA 1123, LOTE 6, ESQUINA CON CALLE QUECHCAP, SECTOR TACLLAN</t>
  </si>
  <si>
    <t>C1:3970:Diesel B5 S-50 </t>
  </si>
  <si>
    <t>GUILLERMO ANTONIO GAMBINI MEZA</t>
  </si>
  <si>
    <t>61073-051-060819</t>
  </si>
  <si>
    <t>RICARDO AMANCIO SOVERO NONALAYA</t>
  </si>
  <si>
    <t>CALLE LOS PAICHES S/N, SAN CARLOS ANTIGUO, LA MERCED</t>
  </si>
  <si>
    <t>82491-051-200815</t>
  </si>
  <si>
    <t>COMPAÑIA MINERA KOLPA S.A.</t>
  </si>
  <si>
    <t>CARRETERA CHONTA-LIRCAY KM 22</t>
  </si>
  <si>
    <t>DERMAN ANTONIO PALACIOS LOPEZ</t>
  </si>
  <si>
    <t>1427-051-230916</t>
  </si>
  <si>
    <t>CARRETERA A PARACAS KM. 15.5</t>
  </si>
  <si>
    <t>C1:35500:DIESEL B5,Diesel B5 S-50 </t>
  </si>
  <si>
    <t>C1:35500:Diesel B5 S-50 </t>
  </si>
  <si>
    <t>C1:35500:PETRÓLEO INDUSTRIAL Nº 500 </t>
  </si>
  <si>
    <t>CARLOS JULIO PINILLOS GONZALES</t>
  </si>
  <si>
    <t>0031-CDFJ-15-2006</t>
  </si>
  <si>
    <t>AV STA. JOSEFINA 527 URB.INDUSTR LAS VEGAS KM.30 PANAM.NORTE</t>
  </si>
  <si>
    <t>C1:11657:PETRÓLEO INDUSTRIAL Nº 500 </t>
  </si>
  <si>
    <t>90772-051-2011</t>
  </si>
  <si>
    <t>EMPRESA DE TRANSPORTES VICTOR HUGO S.A.C</t>
  </si>
  <si>
    <t>AVENIDA PROLONGACION VALLEJO 1362 URBANIZACION PUERTA DEL SOL</t>
  </si>
  <si>
    <t>C1:3149:DIESEL B5 </t>
  </si>
  <si>
    <t>VICTOR FLORES GAMARRA</t>
  </si>
  <si>
    <t>221-051-190919</t>
  </si>
  <si>
    <t>AV. SIMON BOLIVAR S/N SECTOR CRUZ VERDE</t>
  </si>
  <si>
    <t>C1:1300:Diesel B5 S-50 </t>
  </si>
  <si>
    <t>C1:48804:Diesel B5 S-50 </t>
  </si>
  <si>
    <t>JAIME DAVID AMPUERO ESPINOZA</t>
  </si>
  <si>
    <t>99281-051-280313</t>
  </si>
  <si>
    <t>INVERSIONES Y SERVICIOS GRIJALVA MATOS S.A.C.</t>
  </si>
  <si>
    <t>ALFONSO UGARTE N° 226 (MZ. A LOTE 12) TAMBO REAL ANTIGUO</t>
  </si>
  <si>
    <t>C1:1167:DIESEL B5 </t>
  </si>
  <si>
    <t>LEIDY LAURA MASSIEL GRIJALVA MATOS</t>
  </si>
  <si>
    <t>124182-051-130619</t>
  </si>
  <si>
    <t>SOCIEDAD MINERA DE RESPONSABILIDAD LIMITADA ACUMULACION SEÑOR DE LOS MILAGROS</t>
  </si>
  <si>
    <t>CONCESION MINERA ACUMULACION SEÑOR DE LOS MILAGROS</t>
  </si>
  <si>
    <t>C1:3700:Diesel B5 S-50 </t>
  </si>
  <si>
    <t>COSME HERNAN QUISPE CCORI</t>
  </si>
  <si>
    <t>ESSALUD SULLANA</t>
  </si>
  <si>
    <t>CALLE SANTA CLARA S/N</t>
  </si>
  <si>
    <t>C1:110:DIESEL 2 </t>
  </si>
  <si>
    <t>0001-CDFJ-02-2004</t>
  </si>
  <si>
    <t>AUSTRAL GROUP S.A.</t>
  </si>
  <si>
    <t>PUERTO DE HUARMEY S/N</t>
  </si>
  <si>
    <t>HUARMEY</t>
  </si>
  <si>
    <t>C1:117430:PETRÓLEO INDUSTRIAL Nº 500 </t>
  </si>
  <si>
    <t>C1:117430:DIESEL 2 </t>
  </si>
  <si>
    <t>GÓMEZ ROJAS, VICTOR HUMBERTO</t>
  </si>
  <si>
    <t>20141-051-261113</t>
  </si>
  <si>
    <t>COMERCIO Y CIA. S.A.</t>
  </si>
  <si>
    <t>PROLONGACION MESONES MURO Nº 1835</t>
  </si>
  <si>
    <t>C1:13500:DIESEL B5 </t>
  </si>
  <si>
    <t>MARCIANO REQUEJO MEGO</t>
  </si>
  <si>
    <t>0040-CDFJ-15-2006</t>
  </si>
  <si>
    <t>EMPRESA DE TRANSPORTES Y SERVICIOS EL RETABLO SAC</t>
  </si>
  <si>
    <t>CALLE MAYOR PNP J.ZEGARRA SARMIENTO S/N URB.LOS JARDINES DE SHANGRILA - LA</t>
  </si>
  <si>
    <t>C1:2147:DIESEL 2 </t>
  </si>
  <si>
    <t>VARGAS VARGAS, AQUINO E</t>
  </si>
  <si>
    <t>0034-CDFJ-15-2006</t>
  </si>
  <si>
    <t>EMPRESA ALGODONERA S.A.</t>
  </si>
  <si>
    <t>AV. LA ARBOLEDA 235 MZ. A LT. 2 - URB. SANTA RAQUEL INDUSTRIAL</t>
  </si>
  <si>
    <t>GASTIABURU VASQUEZ DE VELASCO, WILFREDO</t>
  </si>
  <si>
    <t>116593-052-021015</t>
  </si>
  <si>
    <t>FENIX POWER PERU S.A.</t>
  </si>
  <si>
    <t>AV. SAN PEDRO S/N CENTRO POBLADO MENOR LAS SALINAS</t>
  </si>
  <si>
    <t>C1:280000:Diesel B5 S-50 </t>
  </si>
  <si>
    <t xml:space="preserve">MARIELLA KARINA PAREDES DEMARINI </t>
  </si>
  <si>
    <t>CALERA CUT OFF S.A.</t>
  </si>
  <si>
    <t>CARRETERA CENTRAL KM. 158 PACHACHACA</t>
  </si>
  <si>
    <t>C1:50000:PETRÓLEO INDUSTRIAL Nº 500 </t>
  </si>
  <si>
    <t>C1:6300:PETRÓLEO INDUSTRIAL Nº 500 </t>
  </si>
  <si>
    <t>ARIAS DAVILA, ADRIAN AGUSTIN</t>
  </si>
  <si>
    <t>148228-051-211020</t>
  </si>
  <si>
    <t>OROSEL METAL PERU EMPRESA INDIVIDUAL DE RESPONSABILIDAD LIMITADA</t>
  </si>
  <si>
    <t>CONCESION MINERA CUATRO MILPAS</t>
  </si>
  <si>
    <t>GABY FULGENCIA HUAQUISTO CORNEJO</t>
  </si>
  <si>
    <t>0038-CDFJ-15-2008</t>
  </si>
  <si>
    <t>TRANSPORTES SAN IGNACIO S.A</t>
  </si>
  <si>
    <t>ANEXO 22 JICAMARCA SECTOR EL PEDREGAL MZ. D LOTE 3</t>
  </si>
  <si>
    <t>CARDENAS VALENZUELA, SEGUNDO NEPTALI</t>
  </si>
  <si>
    <t>0005-CDFJ-04-2003</t>
  </si>
  <si>
    <t>OMNIAGRO S.A.</t>
  </si>
  <si>
    <t>CALLE AMBROSIO VUCETICH N° 115 - PARQUE INDUSTRIAL.</t>
  </si>
  <si>
    <t>C1:1400:PETRÓLEO INDUSTRIAL Nº 500 </t>
  </si>
  <si>
    <t>C1:6000:PETRÓLEO INDUSTRIAL Nº 500 </t>
  </si>
  <si>
    <t>RIVERA TAMAYO, ALEXIS</t>
  </si>
  <si>
    <t>144306-051-310519</t>
  </si>
  <si>
    <t>MAMANI YUCRA TECLA</t>
  </si>
  <si>
    <t>CONCESION MINERA SAN HILARIO LI (CODIGO Nª 070011405)</t>
  </si>
  <si>
    <t>C1:6503:Diesel B5 S-50 </t>
  </si>
  <si>
    <t>16456-051-010613</t>
  </si>
  <si>
    <t>GRUPO LCM S.A.C.</t>
  </si>
  <si>
    <t>AV. LA MARINA N° 1395</t>
  </si>
  <si>
    <t>C1:3728:DIESEL B5 </t>
  </si>
  <si>
    <t>LUIS CELIS MOREY</t>
  </si>
  <si>
    <t>19734-051-211116</t>
  </si>
  <si>
    <t>CARRETERA PANAMERICANA NORTE KM. 496</t>
  </si>
  <si>
    <t>C1:5290:DIESEL B5 </t>
  </si>
  <si>
    <t>C1:13210:Diesel B5 S-50,IFO - 380 / BUNKER </t>
  </si>
  <si>
    <t>115885-051-220715</t>
  </si>
  <si>
    <t xml:space="preserve">KALLPA GENERACION S.A. </t>
  </si>
  <si>
    <t>AV. SANTO DOMINGO DE LOS OLLEROS S/N</t>
  </si>
  <si>
    <t>C1:600:Diesel B5 S-50 </t>
  </si>
  <si>
    <t>HUGO RAFAEL ALVEAR JIMENEZ</t>
  </si>
  <si>
    <t>1428-051-171012</t>
  </si>
  <si>
    <t>CORPORACION PESQUERA INCA S.A.C.</t>
  </si>
  <si>
    <t>CALLE 2, NUMERO 101, MANZANA E, LOTE 0, LOTIZACION INDUSTRIAL GRAN TRAPECIO</t>
  </si>
  <si>
    <t>C1:42500:PETRÓLEO INDUSTRIAL Nº 6 </t>
  </si>
  <si>
    <t>C1:16000:DIESEL B5 </t>
  </si>
  <si>
    <t>CLEMENCIA BARRETO GONZALES DEL RIEGO</t>
  </si>
  <si>
    <t>0017-CDFJ-15-2009</t>
  </si>
  <si>
    <t>EMPRESA DE TRANSPORTES SOL Y MAR S.A.</t>
  </si>
  <si>
    <t>AV. PEDRO RUIZ GALLO N° 1905</t>
  </si>
  <si>
    <t>TRANSPORTES REVILLA S.R.LTDA.</t>
  </si>
  <si>
    <t>AV. CARLOS SUTTON S/N, LTE. 9 Y 10, MZ. K, CIUDAD DE MAJES</t>
  </si>
  <si>
    <t>LLUTA</t>
  </si>
  <si>
    <t>REVILLA LLERENA, FELIPE</t>
  </si>
  <si>
    <t>93598-051-101011</t>
  </si>
  <si>
    <t>FOSFATOS DEL PACIFICO S.A.</t>
  </si>
  <si>
    <t>CARRETERA BAYOVAR KM. 36 - CONCESIÓN BAYOVAR 9</t>
  </si>
  <si>
    <t>CARLOS JOSÉ MOLINELLI MATEO</t>
  </si>
  <si>
    <t>44743-051-180212</t>
  </si>
  <si>
    <t xml:space="preserve">EMPRESA DE TRANSPORTES RAPIDO VIRGEN DE COPACABANA S.A.C. </t>
  </si>
  <si>
    <t>ASENTAMIENTO HUMANO VILLA UNION MZ. Y - LOTE N° 10</t>
  </si>
  <si>
    <t>ALTO SELVA ALEGRE</t>
  </si>
  <si>
    <t>VICTOR LEONIDAS BERNAL MONTENEGRO</t>
  </si>
  <si>
    <t>0002-CDFJ-18-2000</t>
  </si>
  <si>
    <t>ASIENTO MINERO DE CUAJONE (UNIDAD DE PRODUCCION CUAJONE)</t>
  </si>
  <si>
    <t>MARISCAL NIETO</t>
  </si>
  <si>
    <t>TORATA</t>
  </si>
  <si>
    <t>C1:200000:DIESEL B2 </t>
  </si>
  <si>
    <t>C1:80000:DIESEL B2 </t>
  </si>
  <si>
    <t>C1:125000:DIESEL B2 </t>
  </si>
  <si>
    <t>C1:784835:DIESEL B2 </t>
  </si>
  <si>
    <t>HERRERA DAVILA, RAUL ALFREDO</t>
  </si>
  <si>
    <t>0007-CDFJ-07-2003</t>
  </si>
  <si>
    <t>SHELL LUBRICANTES DEL PERU S.A.</t>
  </si>
  <si>
    <t>AV. CONTRALMIRANTE MORA N° 687</t>
  </si>
  <si>
    <t>C1:4500:PETRÓLEOS INDUSTRIALES </t>
  </si>
  <si>
    <t>RAMIREZ FILOMENO, ENRIQUE JAVIER</t>
  </si>
  <si>
    <t>144676-112-210619</t>
  </si>
  <si>
    <t>JMK EQUIPOS S.A.C.</t>
  </si>
  <si>
    <t xml:space="preserve">AV. CAJAMARQUILLA LOTE 125 </t>
  </si>
  <si>
    <t>C1:8391:CEMENTO ASFÁLTICO 60-70 </t>
  </si>
  <si>
    <t>C1:7926:CEMENTO ASFÁLTICO 60-70 </t>
  </si>
  <si>
    <t>C1:3493:PETRÓLEO INDUSTRIAL Nº 4 </t>
  </si>
  <si>
    <t>JORGE RAFAEL MOROCHO KHAN</t>
  </si>
  <si>
    <t>C1:3700:DIESEL 2 </t>
  </si>
  <si>
    <t>GRAÑA LUZA, CARLOS GERARDO</t>
  </si>
  <si>
    <t>0033-CDFJ-15-2006</t>
  </si>
  <si>
    <t>PERUBAR S.A.</t>
  </si>
  <si>
    <t xml:space="preserve">CARRETERA CENTRAL KM 110 </t>
  </si>
  <si>
    <t>FERNANDES FERREIRA, ROGERIO</t>
  </si>
  <si>
    <t>AUTOPISTA LIMA - PUCUSANA, KM 31,8, U.C. 10606,</t>
  </si>
  <si>
    <t>C1:10568:DIESEL 2 </t>
  </si>
  <si>
    <t>C1:19815:PETRÓLEO INDUSTRIAL Nº 500 </t>
  </si>
  <si>
    <t>ARRESE -, CARLOS</t>
  </si>
  <si>
    <t>19681-053-230920</t>
  </si>
  <si>
    <t>ENEL GENERACION PIURA S.A.</t>
  </si>
  <si>
    <t>CARRETERA TALARA - LOBITOS KM 3.5</t>
  </si>
  <si>
    <t>C1:1585020:Diesel B5 S-50 </t>
  </si>
  <si>
    <t>LUIS ALBERTO ROMERO ORELLANA</t>
  </si>
  <si>
    <t>41853-051-080513</t>
  </si>
  <si>
    <t>INVERSIONES Y REPRESENTACIONES NORVIAL S.A.C.</t>
  </si>
  <si>
    <t>PAMPA SAN ANTONIO KM. 22.00, CARRETERA A CANTA</t>
  </si>
  <si>
    <t>EDGAR VALENZUELA VALENZUELA</t>
  </si>
  <si>
    <t>20746-051-280513</t>
  </si>
  <si>
    <t>COOPERATIVA DE TRANSPORTES CORAZON DE JESUS LTDA.</t>
  </si>
  <si>
    <t>JR. INCA ROCA N° 901 - 4TA ZONA TAHUANTINSUYO</t>
  </si>
  <si>
    <t>JOSE FRANCISCO MENDOZA ABANTO</t>
  </si>
  <si>
    <t>107997-051-230314</t>
  </si>
  <si>
    <t>EMPRESA DE TRANSPORTES Y SERVICIOS MULTIPLES ROSA DE LAS AMERICAS SRL</t>
  </si>
  <si>
    <t>SUB LOTE 4B - TERRENO RUSTICO ENTRE LAS MANZANAS "L" Y "G" - ASOCIACION DE VIVIENDA VALLE HERMOSO</t>
  </si>
  <si>
    <t>C1:3950:Diesel B5 S-50 </t>
  </si>
  <si>
    <t>SEGUNDO ENRIQUE SIGUAS SALDAÑA</t>
  </si>
  <si>
    <t>42841-051-300413</t>
  </si>
  <si>
    <t>ARUNTANI S.A.C.</t>
  </si>
  <si>
    <t xml:space="preserve">YACIMIENTO TUCARI, CERRO TUCARIRANI </t>
  </si>
  <si>
    <t>CARUMAS</t>
  </si>
  <si>
    <t>0005-CDFJ-24-2000</t>
  </si>
  <si>
    <t>PEQUEÑA EMPRESA LANGOSTINERA MISOLE S.C.R.L.</t>
  </si>
  <si>
    <t>ESTERO RIO CHICO - ZONA LA CONDEZA</t>
  </si>
  <si>
    <t>BUSTAMANTE OLIVARES, MARCELINO</t>
  </si>
  <si>
    <t>1286-051-030714</t>
  </si>
  <si>
    <t>MINISTERIO DE TRANSPORTES Y COMUNICACIONES</t>
  </si>
  <si>
    <t>AV. FERROCARRIL Nº 461</t>
  </si>
  <si>
    <t>HUANCAYO</t>
  </si>
  <si>
    <t>C1:6050:Diesel B5 S-50 </t>
  </si>
  <si>
    <t>C1:2150:Diesel B5 S-50 </t>
  </si>
  <si>
    <t>C1:4700:Diesel B5 S-50 </t>
  </si>
  <si>
    <t>MARTHA TERESA MARTINEZ ORMEÑO</t>
  </si>
  <si>
    <t>58084-051-231215</t>
  </si>
  <si>
    <t>MATARANI SOCIEDAD ANÓNIMA CERRADA</t>
  </si>
  <si>
    <t>MUELLE PESQUERO S/N. TERMINAL MARITIMO DE MATARANI</t>
  </si>
  <si>
    <t>C1:2272:PETRÓLEOS INDUSTRIALES </t>
  </si>
  <si>
    <t>C1:184:PETRÓLEOS INDUSTRIALES </t>
  </si>
  <si>
    <t>C1:651:PETRÓLEOS INDUSTRIALES </t>
  </si>
  <si>
    <t>RAUL ENRIQUE ARAMBURU ROMERO</t>
  </si>
  <si>
    <t>0004-CDFJ-24-2000</t>
  </si>
  <si>
    <t>PEQUYA EMPRESA LANGOSTINERA SANTA CRUZ S.R.L.</t>
  </si>
  <si>
    <t>MARGEN DERECHA DEL RIO TUMBES FUNDO EL ALCALDE</t>
  </si>
  <si>
    <t>0008-CDFJ-02-2001</t>
  </si>
  <si>
    <t>CORPORACION PESQUERA INCA S.A.</t>
  </si>
  <si>
    <t>AV. INDEPENDENCIA S/N UNIDAD PERAIVA N°1703</t>
  </si>
  <si>
    <t>C1:15386:PETRÓLEOS INDUSTRIALES </t>
  </si>
  <si>
    <t>C1:43318:PETRÓLEOS INDUSTRIALES </t>
  </si>
  <si>
    <t>C1:4176:DIESEL 2 </t>
  </si>
  <si>
    <t>C1:15386:DIESEL 2 </t>
  </si>
  <si>
    <t>C1:21210:DIESEL 2 </t>
  </si>
  <si>
    <t>ORTEGA HIDALGO, JAVIER FERNANDO</t>
  </si>
  <si>
    <t>HIDROSTAL S.A.</t>
  </si>
  <si>
    <t>AV. PORTADA DEL SOL Nº 722</t>
  </si>
  <si>
    <t>C1:9600:DIESEL 2 </t>
  </si>
  <si>
    <t>REHWALDT HOEHNE, ULRICH</t>
  </si>
  <si>
    <t>44946-051-060618</t>
  </si>
  <si>
    <t>EMPRESA ELECTRICIDAD DEL PERU - ELECTROPERU S.A.</t>
  </si>
  <si>
    <t>CAMPAMENTO CAMPO ARMIÑO</t>
  </si>
  <si>
    <t>TAYACAJA</t>
  </si>
  <si>
    <t>COLCABAMBA</t>
  </si>
  <si>
    <t>C1:5620:GASOHOL 95 PLUS </t>
  </si>
  <si>
    <t>C1:5628:Diesel B5 S-50 </t>
  </si>
  <si>
    <t>EDWIN TEODORO SAN ROMAN ZUBIZARRETA</t>
  </si>
  <si>
    <t>0001-CDFJ-08-2010</t>
  </si>
  <si>
    <t>AV. FERROCARRIL S/N</t>
  </si>
  <si>
    <t>CIA. AURIFERA REAL AVENTURA S.A.</t>
  </si>
  <si>
    <t>PARAJE CASERIO CURAUBAMBA</t>
  </si>
  <si>
    <t>0001-CDFJ-13-2000</t>
  </si>
  <si>
    <t>TRANSPORTES CARRANZA S.A.</t>
  </si>
  <si>
    <t>CARRETERA PANAMERICANA NORTE KM 557</t>
  </si>
  <si>
    <t>C1:2875:DIESEL 2 </t>
  </si>
  <si>
    <t>CARRANZA TORRES, MARIANO RAFAEL</t>
  </si>
  <si>
    <t>0003-CDFJ-20-2001</t>
  </si>
  <si>
    <t>TECNOLOGICAS DE ALIMENTOS S.A.</t>
  </si>
  <si>
    <t>CARRETERA SECHURA - PARACHIQUE KM. 18.3</t>
  </si>
  <si>
    <t>PINILLOS GONZALEZ, CARLOS JULIO</t>
  </si>
  <si>
    <t>0047-CDFJ-15-2006</t>
  </si>
  <si>
    <t>TRANSPORTES Y SERVICIOS SANTA CRUZ S.A.</t>
  </si>
  <si>
    <t>AV UNIVERSITARIA S/N ESQ CON CALLE 5</t>
  </si>
  <si>
    <t>CUBA REYES, JOSE MARCELINO</t>
  </si>
  <si>
    <t>0001-CDFJ-02-2007</t>
  </si>
  <si>
    <t>NATURAL PROTEIN TECHNOLOGIES S.A.C.</t>
  </si>
  <si>
    <t>PASAJE VIRGEN DE GUADALUPE S/N PREDIO SAN BARTOLO</t>
  </si>
  <si>
    <t>C1:635:DIESEL 2 </t>
  </si>
  <si>
    <t>C1:4359:PETRÓLEO INDUSTRIAL Nº 500 </t>
  </si>
  <si>
    <t>PETROZZI WOLL, MARCO FELIPE</t>
  </si>
  <si>
    <t>19572-051-130513</t>
  </si>
  <si>
    <t>CREDITEX S.A.A.</t>
  </si>
  <si>
    <t>MZ. G, LOTE 1 PARQUE INDUSTRIAL - LA ESPERANZA</t>
  </si>
  <si>
    <t>C1:12000:DIESEL B5 </t>
  </si>
  <si>
    <t>ROBERT WILLIANS SERNAQUE MIRANDA</t>
  </si>
  <si>
    <t>39202-051-170815</t>
  </si>
  <si>
    <t>GRANA Y MONTERO PETROLERA S.A.</t>
  </si>
  <si>
    <t>LOTE IV. PARIÑAS ALTURA KM. 1098+500 CARRETRA PANAM. NORTE CAMPAMENTO ALVAREZ</t>
  </si>
  <si>
    <t>C1:4200:DIESEL B5 </t>
  </si>
  <si>
    <t xml:space="preserve">RENZO IVAN ATALAYA PEÑA </t>
  </si>
  <si>
    <t>64493-051-031219</t>
  </si>
  <si>
    <t>CENTURYLINK PERU S.A.</t>
  </si>
  <si>
    <t>AV. MANUEL OLGUIN NRO. 381-395, URB. LOS GRANADOS</t>
  </si>
  <si>
    <t>GIANNI MARIO ENRIQUE HANAWA MAKABE</t>
  </si>
  <si>
    <t>94640-051-291111</t>
  </si>
  <si>
    <t>ICSA CONSTRUCTORES S.R.L.</t>
  </si>
  <si>
    <t>CALLE LOS GIRASOLES AA. HH. LOS CEDROS MZ. C LOTE 01</t>
  </si>
  <si>
    <t>JAIME IDROGO CRUZADO</t>
  </si>
  <si>
    <t>117689-051-291215</t>
  </si>
  <si>
    <t>CORPORACION MINERA GAMAX S.R.L.</t>
  </si>
  <si>
    <t>CONCESION MINERA GAVILAN DE ORO N° 5 QUEBRADA CINCUENTA</t>
  </si>
  <si>
    <t>C1:3680:Diesel B5 S-50 </t>
  </si>
  <si>
    <t>JHON MAX BEJAR LARICO</t>
  </si>
  <si>
    <t>121484-051-300916</t>
  </si>
  <si>
    <t>ORICA MINING SERVICES PERU S.A.</t>
  </si>
  <si>
    <t>EX FUNDO NIEVERIA KM. 12.5</t>
  </si>
  <si>
    <t>C1:10500:Diesel B5 S-50 </t>
  </si>
  <si>
    <t>C1:10500:PETRÓLEO INDUSTRIAL Nº 6 </t>
  </si>
  <si>
    <t>JULIO ANTONIO VALVERDE PONTE</t>
  </si>
  <si>
    <t>0005-CDFJ-13-2007</t>
  </si>
  <si>
    <t>EMPRESA DE TRANSPORTES VIRGEN DEL ARCO S.A</t>
  </si>
  <si>
    <t>MZ. R LOTE 4,5 Y 6 - LOS LIBERTADORES</t>
  </si>
  <si>
    <t>MUÑOZ REYES, RAUL ANTONIO</t>
  </si>
  <si>
    <t>0020-CDFJ-07-2005</t>
  </si>
  <si>
    <t>YACHT CLUB PERUANO</t>
  </si>
  <si>
    <t>AV. BOLOGNESI NRO. 761</t>
  </si>
  <si>
    <t>LA PUNTA</t>
  </si>
  <si>
    <t>C1:2000:GASOLINA 90 </t>
  </si>
  <si>
    <t>YABAR BRAGAGNINI, JOSE FERNANDO</t>
  </si>
  <si>
    <t>131719-051-021020</t>
  </si>
  <si>
    <t>PIETRA FORESTAL PERU S.A.C.</t>
  </si>
  <si>
    <t>KM. 18 DE LA MARGEN DERECHA DE LA CARRETERA PUERTO MALDONADO-MAZUCO, SECTOR DENOMINADO EL CASTAÑAL (KM. 413+650 INTEROCEANICA SUR, TRAMO 3, INAMBARI-I</t>
  </si>
  <si>
    <t>C1:250:null C1:55:GASOLINA 84 </t>
  </si>
  <si>
    <t>ROBERTO DI MARCO BIASIZZO</t>
  </si>
  <si>
    <t>95798-051-060218</t>
  </si>
  <si>
    <t>TRANSPORTES MERCEDES S.R.L.</t>
  </si>
  <si>
    <t>CALLE AMAUTA MZ. B LOTE 06 URB. SEMIRUSTICA MAMPUESTO</t>
  </si>
  <si>
    <t>MARINO CRISTIAN BALLENA NEGREIROS</t>
  </si>
  <si>
    <t>141004-051-300119</t>
  </si>
  <si>
    <t xml:space="preserve">AGROINDUSTRIAL LAREDO S.A.A. </t>
  </si>
  <si>
    <t>CALLE 23 S/N CENTRO POBLADO DE CHICLIN - FUNDO CHICLIN</t>
  </si>
  <si>
    <t>CHICAMA</t>
  </si>
  <si>
    <t>0004-CDFJ-07-2001</t>
  </si>
  <si>
    <t>AV. NESTOR GAMBETTA KM. 3,6</t>
  </si>
  <si>
    <t>C1:4600:DIESEL 2 </t>
  </si>
  <si>
    <t>ABERASTURI SEOANE, BRUNO</t>
  </si>
  <si>
    <t>93641-051-251114</t>
  </si>
  <si>
    <t xml:space="preserve">MINERA AURIFERA SUR AMAZONICO SCRL </t>
  </si>
  <si>
    <t>CONCESION MINERA CABECERA CAYCHIVE 2000</t>
  </si>
  <si>
    <t>C1:3100:DIESEL B5 </t>
  </si>
  <si>
    <t>FORTUNATO SUMERINDE FOCCO</t>
  </si>
  <si>
    <t>LINERA BARRANCA S.A. - AGROLINSA</t>
  </si>
  <si>
    <t>AV. BUENOS AIRES S/N LA CAMPIÑA KM. 4.5</t>
  </si>
  <si>
    <t>GARAY SALA, PEDRO</t>
  </si>
  <si>
    <t>19285-051-280217</t>
  </si>
  <si>
    <t>P &amp; G INDUSTRIAL PERU S.R.L.</t>
  </si>
  <si>
    <t>AV.MATERIALES Nº 2920</t>
  </si>
  <si>
    <t>C1:17000:Diesel B5 S-50 </t>
  </si>
  <si>
    <t>RICARDO MARTINEZ LASTRA</t>
  </si>
  <si>
    <t>0002-CDFJ-08-2001</t>
  </si>
  <si>
    <t>PERU ORIENT EXPRESS HOTELS S.A.</t>
  </si>
  <si>
    <t>CALLE PALACIO 136 - 140</t>
  </si>
  <si>
    <t>C1:1975:DIESEL 2 </t>
  </si>
  <si>
    <t>SPAGNOL PHILIPPE, VICENT</t>
  </si>
  <si>
    <t>0002-CDFJ-15-2000</t>
  </si>
  <si>
    <t>COMPAÑIA MINERA PATIVILCA S.A.</t>
  </si>
  <si>
    <t>ASIENTO MINERO PATIVILCA</t>
  </si>
  <si>
    <t>MALA</t>
  </si>
  <si>
    <t>C1:31579:DIESEL 2 </t>
  </si>
  <si>
    <t>GONZALO FRYRE, ARMESTER</t>
  </si>
  <si>
    <t>0009-CDFJ-07-2005</t>
  </si>
  <si>
    <t>CARRETERA VENTANILLA KM. 14.200</t>
  </si>
  <si>
    <t>0002-CDFJ-06-2004</t>
  </si>
  <si>
    <t>EMPRESA REGIONAL DE SERVICIO PÚBLICO DE ELECTRICIDAD ELECTRO NORTE MEDIO S.A. (HIDRANDINA)</t>
  </si>
  <si>
    <t>JR. SUCRE CUADRA 1 - BARRIO EL ROSARIO</t>
  </si>
  <si>
    <t>CELENDIN</t>
  </si>
  <si>
    <t>ARRESE PEREZ, RICARDO JOSE</t>
  </si>
  <si>
    <t>102295-051-170413</t>
  </si>
  <si>
    <t>ADRIAN VICTOR MAMANI MAMANI</t>
  </si>
  <si>
    <t>CONCESION MINERA "ROSITA DOS 2007" CENTRO POBLADO DE HUAJCHANI</t>
  </si>
  <si>
    <t>CRUCERO</t>
  </si>
  <si>
    <t>107155-051-041014</t>
  </si>
  <si>
    <t>UNION MINERA HIPASUR S.A.C.</t>
  </si>
  <si>
    <t xml:space="preserve">CONCESION MINERA PUERTO BELEN </t>
  </si>
  <si>
    <t>DAMIAN ALFREDO HUAQUISTO AMPUERO</t>
  </si>
  <si>
    <t>118135-051-220816</t>
  </si>
  <si>
    <t>AV. ALMIRANTE MIGUEL GRAU S/N, CPM PLAYA HERMOSA</t>
  </si>
  <si>
    <t>SAN VICENTE DE CAÑETE</t>
  </si>
  <si>
    <t>C1:8186:Diesel B5 S-50 </t>
  </si>
  <si>
    <t>0002-CDFJ-13-2008</t>
  </si>
  <si>
    <t>AVICOLA YUGOSLAVIA SAC</t>
  </si>
  <si>
    <t>ALTO MOCHE No 25 E VALLE SANTA CATALINA - ALTURA KM. 556 DE LA CARRETERA PANAMERICANA NORTE</t>
  </si>
  <si>
    <t>C1:600:PETRÓLEO INDUSTRIAL Nº 6 </t>
  </si>
  <si>
    <t>NESTOROVIC RAZZETO, EDUARDO</t>
  </si>
  <si>
    <t>0045-CDFJ-15-2001</t>
  </si>
  <si>
    <t>FERROCARRIL CENTRAL ANDINO S.A.</t>
  </si>
  <si>
    <t>JR. BRASIL S/N ESTACIÓN DEL FERROCARRIL</t>
  </si>
  <si>
    <t>C1:30000:DIESEL B2 </t>
  </si>
  <si>
    <t>ROBERSON SHAW, JACK ALLEN</t>
  </si>
  <si>
    <t>0003-CDFJ-07-2004</t>
  </si>
  <si>
    <t>OWENS ILLINOIS PERU S.A.</t>
  </si>
  <si>
    <t xml:space="preserve">AV. VENEZUELA NO 2695 </t>
  </si>
  <si>
    <t>C1:47500:PETRÓLEO INDUSTRIAL Nº 500 </t>
  </si>
  <si>
    <t>C1:12000:DIESEL B2 </t>
  </si>
  <si>
    <t>DAVILA JARAMILLO, GUILLERMO</t>
  </si>
  <si>
    <t>84215-051-171016</t>
  </si>
  <si>
    <t xml:space="preserve">PUERTOS DEL PACIFICO S.A </t>
  </si>
  <si>
    <t xml:space="preserve">PASAJE DON OSCAR S/N, MZ. C, AA.HH. ACAPULCO </t>
  </si>
  <si>
    <t>C1:22300:PETRÓLEO INDUSTRIAL Nº 500 </t>
  </si>
  <si>
    <t>RAUL ENRIQUE ARAMBURÚ ROMERO</t>
  </si>
  <si>
    <t>0001-CDFJ-22-2007</t>
  </si>
  <si>
    <t>AGROSERVICIOS RIO BIAVO S.A.</t>
  </si>
  <si>
    <t>CARRETERA A BARRANCA KM 26 (NUEVO LIMA)</t>
  </si>
  <si>
    <t>BAJO BIAVO</t>
  </si>
  <si>
    <t>EMPRESA NACIONAL DE PUERTOS S.A. - ENAPU S.A. - TERMINAL ILO</t>
  </si>
  <si>
    <t xml:space="preserve">CALLE MATARA N° 104 </t>
  </si>
  <si>
    <t>C1:4500:GASOLINA 84 </t>
  </si>
  <si>
    <t>134184-051-290118</t>
  </si>
  <si>
    <t>AGRICOLA COPACABANA DE CHINCHA S.A.</t>
  </si>
  <si>
    <t>FUNDO SAN AURELIO NORTE S/N</t>
  </si>
  <si>
    <t>CESAR EDUARDO PESCHIERA CLARK</t>
  </si>
  <si>
    <t>131686-051-040718</t>
  </si>
  <si>
    <t>SAN FERNANDO S.A.</t>
  </si>
  <si>
    <t>CARRETERA PANAMERICANA NORTE KM. 81.90 - FUNDO CHACARILLA</t>
  </si>
  <si>
    <t>C1:9170:Diesel B5 S-50 </t>
  </si>
  <si>
    <t>FRANCISCO XAVIER RECKZIEGEL BERSCH</t>
  </si>
  <si>
    <t>123678-051-021216</t>
  </si>
  <si>
    <t>CENTRAL DE COOPERATIVAS MINERO METALURGICAS PUNO LTDA.</t>
  </si>
  <si>
    <t>PARAJE CHAQUIMAYO</t>
  </si>
  <si>
    <t>WILLIAM ESTEBAN YAMPARA CCAMA</t>
  </si>
  <si>
    <t>0008-CDFJ-02-2000</t>
  </si>
  <si>
    <t>CORPORACION PESQUERA COISHCO S.A.</t>
  </si>
  <si>
    <t>CAMINO REAL S/N, PANAMERICANA NORTE KM. 439</t>
  </si>
  <si>
    <t>C1:120000:PETRÓLEO INDUSTRIAL Nº 6 </t>
  </si>
  <si>
    <t>C1:56180:DIESEL 2 </t>
  </si>
  <si>
    <t>GUERRERO CHUNGA, JORGE</t>
  </si>
  <si>
    <t>99609-051-271117</t>
  </si>
  <si>
    <t>SOUTH AMERICA MINING INVESTMENTS S.A.C.</t>
  </si>
  <si>
    <t>CASERIO BREAPAMPA S/N CARRETERA NAZCA- PUQUIO- CORACORA</t>
  </si>
  <si>
    <t>PARINACOCHAS</t>
  </si>
  <si>
    <t>CHUMPI</t>
  </si>
  <si>
    <t xml:space="preserve">MIGUEL ANGEL MAMANI HUAMAN </t>
  </si>
  <si>
    <t>0018-CDFJ-15-2008</t>
  </si>
  <si>
    <t>EMPRESA DE SERVICIOS MULTIPLES NUEVO PERU S.A.</t>
  </si>
  <si>
    <t xml:space="preserve">PP.JJ. PROYECTO ESPECIAL HUAYCAN 2DA. ZONA VIVIENDA ZONA </t>
  </si>
  <si>
    <t>SAYRE VILLA, WASHINTONG</t>
  </si>
  <si>
    <t>CIA MANUFACTURERA DE VIDRIO SA.</t>
  </si>
  <si>
    <t>MANUEL IRRIBARREN NO. 1280</t>
  </si>
  <si>
    <t>C1:13000:DIESEL 2 </t>
  </si>
  <si>
    <t>C1:8600:DIESEL 2 </t>
  </si>
  <si>
    <t>C1:29000:PETRÓLEOS INDUSTRIALES </t>
  </si>
  <si>
    <t>C1:30000:DIESEL 2 </t>
  </si>
  <si>
    <t>REVERDITTO RIVERA, CARLOS</t>
  </si>
  <si>
    <t>102766-051-060613</t>
  </si>
  <si>
    <t>EMPRESA DE TRANSPORTES Y SERVICIOS MULTIPLES SUR LIMA S.A.</t>
  </si>
  <si>
    <t>MZ. Z SUB LOTE 2. APV ASOC. DE COMPRADORES DE CAMPOY</t>
  </si>
  <si>
    <t>C1:2728:Diesel B5 S-50 </t>
  </si>
  <si>
    <t>REGINA ELSA SUAREZ ROMERO DE ZAVALETA</t>
  </si>
  <si>
    <t>0004-CDFJ-15-2006</t>
  </si>
  <si>
    <t>C1:40000:PETRÓLEO INDUSTRIAL Nº 500 </t>
  </si>
  <si>
    <t>ÑATO PINO, CARLOS ALFONSO</t>
  </si>
  <si>
    <t>1517-051-050418</t>
  </si>
  <si>
    <t>AV. LA MARINA N° 369, PUERTO SUPE</t>
  </si>
  <si>
    <t>C1:52000:PETRÓLEO INDUSTRIAL Nº 500,PETRÓLEO INDUSTRIAL Nº 6 </t>
  </si>
  <si>
    <t>C1:52000:DIESEL B5 </t>
  </si>
  <si>
    <t>NASRI RODRIGO DE LA PIEDRA GIHA</t>
  </si>
  <si>
    <t>0005-CDFJ-15-2004</t>
  </si>
  <si>
    <t>MACOSUR E.I.R.L.</t>
  </si>
  <si>
    <t>CARRETERA PANAMERICANA SUR KM. 20.42</t>
  </si>
  <si>
    <t>C1:4980:DIESEL 2 </t>
  </si>
  <si>
    <t>VELASQUEZ VALENCIA, CARLOS RAUL</t>
  </si>
  <si>
    <t>1243-052-291114</t>
  </si>
  <si>
    <t>DUKE ENERGY EGENOR S. en C. por A.</t>
  </si>
  <si>
    <t>AV. INDUSTRIAL ANTUNEZ DE MAYOLO S/N. (INTERIOR DE SIDER PERU)</t>
  </si>
  <si>
    <t>C1:300000:DIESEL 2 </t>
  </si>
  <si>
    <t>C1:150000:DIESEL 2 </t>
  </si>
  <si>
    <t>GARY NARRON, WILLIAM</t>
  </si>
  <si>
    <t>1096-051-170815</t>
  </si>
  <si>
    <t>GRANA Y MONTERO PETROLERA S.A</t>
  </si>
  <si>
    <t>LOTE III PORTACHUELO-TALARA</t>
  </si>
  <si>
    <t>RENZO IVAN ATALAYA PEÑA</t>
  </si>
  <si>
    <t>0006-CDFJ-04-2001</t>
  </si>
  <si>
    <t>ASOCIACION DE TRANSPORTISTAS BONAERENSE</t>
  </si>
  <si>
    <t>PP. JJ. BUENOS AIRES L - 4 COMITE 14</t>
  </si>
  <si>
    <t>C1:1900:DIESEL 2 </t>
  </si>
  <si>
    <t>ALE AGUILAR, JUAN OSWALDO</t>
  </si>
  <si>
    <t>721-052-230218</t>
  </si>
  <si>
    <t xml:space="preserve">TECNOLOGICA DE ALIMENTOS S.A. </t>
  </si>
  <si>
    <t>PANAMERICANA SUR N° 692, LA PUNTA</t>
  </si>
  <si>
    <t>ATICO</t>
  </si>
  <si>
    <t>C1:140458:PETRÓLEO INDUSTRIAL Nº 500,PETRÓLEO INDUSTRIAL Nº 6 </t>
  </si>
  <si>
    <t>C1:109000:Diesel B5 S-50 </t>
  </si>
  <si>
    <t>EMILIO ALEXIS RAMIREZ ESPINOZA</t>
  </si>
  <si>
    <t>98501-051-291112</t>
  </si>
  <si>
    <t xml:space="preserve">CONSORCIO UNIVERSAL </t>
  </si>
  <si>
    <t>AV. GENERAL CORDOVA N° 574 -576</t>
  </si>
  <si>
    <t>C1:3600:DIESEL B5 </t>
  </si>
  <si>
    <t>TEOFILO DANIEL JUSCAMAYTA HUAMAN</t>
  </si>
  <si>
    <t>86877-051-2010</t>
  </si>
  <si>
    <t>TRANSPORTES IBEROAMERICANO SRL</t>
  </si>
  <si>
    <t>VIA DE EVITAMIENTO S/N IRRIGACION ZAMACOLA ZN.G</t>
  </si>
  <si>
    <t>C1:9000:DIESEL B2 </t>
  </si>
  <si>
    <t>CLARA PUMA HACHIRE</t>
  </si>
  <si>
    <t>0001-CDFJ-08-2003</t>
  </si>
  <si>
    <t>PROYECTO ESPECIAL REGIONAL PLAN COPESCO</t>
  </si>
  <si>
    <t>PREDIO TEMPORAL PAMPA</t>
  </si>
  <si>
    <t>LUCRE</t>
  </si>
  <si>
    <t>SIRVAS CASTRO, JORGE</t>
  </si>
  <si>
    <t>14375-051-260820</t>
  </si>
  <si>
    <t>CANTARANA S.A.C.</t>
  </si>
  <si>
    <t>URB. GRAN TRAPECIO ZONA INDUSTRIAL CALLE 3 MZ. “A” LOTE 4</t>
  </si>
  <si>
    <t>C1:172413:PETRÓLEO INDUSTRIAL Nº 500 </t>
  </si>
  <si>
    <t>C1:24789:DIESEL B5 </t>
  </si>
  <si>
    <t>WONG BONILLA FELIPE ANTONIO</t>
  </si>
  <si>
    <t>TECNOFIL S.A</t>
  </si>
  <si>
    <t>JR. ISIDRO BONIFAZ 471 INT- 102</t>
  </si>
  <si>
    <t>MAJLUF BRAHIM, MIGUEL MARTIN</t>
  </si>
  <si>
    <t>91337-051-2011</t>
  </si>
  <si>
    <t>AGROMAR INDUSTRIAL S.A</t>
  </si>
  <si>
    <t xml:space="preserve">MZ. C CALLE D LT. 9 AL 15 ZONA INDUSTRIAL II </t>
  </si>
  <si>
    <t>FABIAN LENHUAR HIDALGO LAZO</t>
  </si>
  <si>
    <t>89310-051-280311</t>
  </si>
  <si>
    <t>COLPEX INTERNATIONAL S.A.C.</t>
  </si>
  <si>
    <t>AV. LA MARINA Nº 120 - ZONA INDUSTRIAL</t>
  </si>
  <si>
    <t>C1:7625:PETRÓLEO INDUSTRIAL Nº 5 </t>
  </si>
  <si>
    <t>MILOS LAZAREVIC</t>
  </si>
  <si>
    <t>CERAMICOS PERUANOS S.A. CEPERSA</t>
  </si>
  <si>
    <t>AUTOPISTA ANCON ALT. KM. 30.5 - CARABAYLLO (EX HACIENDA SAN LORENZO)</t>
  </si>
  <si>
    <t>C1:9350:PETRÓLEO INDUSTRIAL Nº 500 </t>
  </si>
  <si>
    <t>C1:3440:PETRÓLEO INDUSTRIAL Nº 500 </t>
  </si>
  <si>
    <t>C1:3670:PETRÓLEO INDUSTRIAL Nº 500 </t>
  </si>
  <si>
    <t>C1:3140:PETRÓLEO INDUSTRIAL Nº 500 </t>
  </si>
  <si>
    <t>C1:1850:DIESEL 2 </t>
  </si>
  <si>
    <t>C1:12420:DIESEL 2 </t>
  </si>
  <si>
    <t>TORPOCO CERRON, RAUL VICTORIANO</t>
  </si>
  <si>
    <t>101011-051-310313</t>
  </si>
  <si>
    <t>INVERSIONES Y REPRESENTACIONES POLO S.A.C.</t>
  </si>
  <si>
    <t>PROYECTO PILOTO NUEVO PACHACUTEC MZ. A'15 LOTE 1 GRUPO RESIDENCIAL E5, SECTOR E</t>
  </si>
  <si>
    <t>C1:6100:Diesel B5 S-50 </t>
  </si>
  <si>
    <t>POLO JUVENAL PEREZ ORIHUELA</t>
  </si>
  <si>
    <t>0007-CDFJ-15-2010</t>
  </si>
  <si>
    <t>EMPRESA DE TRANSPORTES Y SERVICIOS LOS OLIVOS S.A</t>
  </si>
  <si>
    <t>MZ. E, LOTE 3-22, URB. HUERTO DE NARANJAL (CALLE YURUMAYO Y CALLE SAN ISIDRO)</t>
  </si>
  <si>
    <t>ALMEIDA CARDENAS, ESTEBAN EDUARDO</t>
  </si>
  <si>
    <t>367-052-270717</t>
  </si>
  <si>
    <t>ASIENTO MINERO CERRO VERDE S/N, CARRETERA VARIANTE TINAJONES KM 25 – UCHUMAYO – SECTOR 1</t>
  </si>
  <si>
    <t>C1:424356:Diesel B5 S-50 </t>
  </si>
  <si>
    <t>C1:16198:SOLVENTES </t>
  </si>
  <si>
    <t>C1:2747:Diesel B5 S-50 </t>
  </si>
  <si>
    <t>14759-051-250512</t>
  </si>
  <si>
    <t>PANIFICADORA BIMBO DEL PERU S.A.</t>
  </si>
  <si>
    <t>AV. JORGE CHAVEZ Nº 860</t>
  </si>
  <si>
    <t>C1:2642:null </t>
  </si>
  <si>
    <t>0027-CDFJ-15-2009</t>
  </si>
  <si>
    <t>VIDRIOS Y CRISTALES S.A.</t>
  </si>
  <si>
    <t>JR. LAS EMPRESAS 239 URB. PRO INDUSTRIAL</t>
  </si>
  <si>
    <t>C1:8500:PETRÓLEO INDUSTRIAL Nº 5 </t>
  </si>
  <si>
    <t>ALVARADO PITMAN, CESAR RAMON</t>
  </si>
  <si>
    <t>101521-051-301013</t>
  </si>
  <si>
    <t>SERVICENTRO EL ESTANQUE S.A.C.</t>
  </si>
  <si>
    <t>UBICACIÓN RURAL VIA DE EVITAMIENTO LATERAL 1 SAN ISIDRO</t>
  </si>
  <si>
    <t>C1:6155:Diesel B5 S-50 </t>
  </si>
  <si>
    <t>ALEJANDRO RICARDO GOMEZ WONG</t>
  </si>
  <si>
    <t>0001-CDFJ-12-2008</t>
  </si>
  <si>
    <t>EMPRESA DE TRANSPORTES Y SERVICIOS MULTIPLES ALFA S.A.</t>
  </si>
  <si>
    <t>AV. PROGRESO 670</t>
  </si>
  <si>
    <t>EL TAMBO</t>
  </si>
  <si>
    <t>ÑAVINCOPA ROMERO, CESAR</t>
  </si>
  <si>
    <t>122962-051-020816</t>
  </si>
  <si>
    <t>GEO SURVEY E.I.R.L.</t>
  </si>
  <si>
    <t>CARRETERA TARMA - LA OROYA KM. 7 PARAJE BUNYAC</t>
  </si>
  <si>
    <t>C1:3000:PETRÓLEO INDUSTRIAL Nº 500,PETRÓLEO INDUSTRIAL Nº 6 </t>
  </si>
  <si>
    <t>C1:11000:PETRÓLEO INDUSTRIAL Nº 500,PETRÓLEO INDUSTRIAL Nº 6 </t>
  </si>
  <si>
    <t>CARLOS ALBERTO SANDOVAL CORDOVA</t>
  </si>
  <si>
    <t>122433-051-080716</t>
  </si>
  <si>
    <t>EMPRESA DE TRANSPORTES TRUJILLO ESPRESS S.R.L</t>
  </si>
  <si>
    <t>CALLE MONTALVO S/N PARTE DEL LOTE N° 8 SUB LOTE B Y SUB LOTE C</t>
  </si>
  <si>
    <t>C1:2995:Diesel B5 S-50 </t>
  </si>
  <si>
    <t>JAVIER MARTIN ZEVALLOS ZERPA</t>
  </si>
  <si>
    <t>0029-CDFJ-15-2009</t>
  </si>
  <si>
    <t>TECNICA COMERCIAL PERUANA S.A.</t>
  </si>
  <si>
    <t>AV. MATERIALES NO 2895</t>
  </si>
  <si>
    <t>ANGELERI ZAPATA, JULIO</t>
  </si>
  <si>
    <t>0006-CDFJ-02-2000</t>
  </si>
  <si>
    <t>AV. LOS PESCADORES Nº 151 Z.I. 27 DE OCTUBRE</t>
  </si>
  <si>
    <t>94191-051-041211</t>
  </si>
  <si>
    <t>APOYO LOGÍSTICO LM S.A.C.</t>
  </si>
  <si>
    <t>AV. EL SOL N° 911 - URB. SEMI RUSTICA CANTO GRANDE MZ. E, LOTE 14</t>
  </si>
  <si>
    <t>C1:2262:Diesel B5 S-50 </t>
  </si>
  <si>
    <t>FÉLIX VICENTE MINAYA VALENCIA</t>
  </si>
  <si>
    <t>0003-CDFJ-06-2004</t>
  </si>
  <si>
    <t>JR. ALFONSO UGARTE 461 - BARRIO SANTA ELENA</t>
  </si>
  <si>
    <t>0004-CDFJ-06-2004</t>
  </si>
  <si>
    <t>JR. VICTOR RAUL HAYA DE LA TORRE S/N - PAMPA GRANDE</t>
  </si>
  <si>
    <t>94125-051-250315</t>
  </si>
  <si>
    <t xml:space="preserve">INVERSIONES EL EXPRESO S.A.C. </t>
  </si>
  <si>
    <t>LOTES 1, 2 Y 3, MZ. K'3, PROYECTO PILOTO NUEVO PACHACUTEC GRUPO RESIDENCIAL B-4</t>
  </si>
  <si>
    <t>WALTER SARMIENTO ZAGACETA</t>
  </si>
  <si>
    <t>0001-CDFJ-04-2004</t>
  </si>
  <si>
    <t>MINERA BATEAS S.A.C.</t>
  </si>
  <si>
    <t>UNIDAD DE PRODUCCION CAYLLOMA</t>
  </si>
  <si>
    <t>C1:15100:DIESEL 2 </t>
  </si>
  <si>
    <t>C1:30421:DIESEL 2 </t>
  </si>
  <si>
    <t>C1:761:DIESEL 2 </t>
  </si>
  <si>
    <t>C1:7661:DIESEL 2 </t>
  </si>
  <si>
    <t>GANOZA AICARDI, JORGE RICARDO</t>
  </si>
  <si>
    <t>142931-112-020519</t>
  </si>
  <si>
    <t xml:space="preserve">MORO S.R.L. </t>
  </si>
  <si>
    <t>LOTIZACIÓN CAJAMARQUILLA, 2DA. ETAPA, LT. 125</t>
  </si>
  <si>
    <t>C1:8224:ASFALTO SOLIDO </t>
  </si>
  <si>
    <t>C1:5693:ASFALTO LÍQUIDO MC-30 </t>
  </si>
  <si>
    <t>C1:5693:IFO - 180 </t>
  </si>
  <si>
    <t>C1:1120:Diesel B5 S-50 </t>
  </si>
  <si>
    <t>EDMUNDO ANTONIO MOROCHO ROMÁN</t>
  </si>
  <si>
    <t>0003-CDFJ-02-2007</t>
  </si>
  <si>
    <t>CONSORCIO PESQUERO EL FERROL S.A.C.</t>
  </si>
  <si>
    <t>AV. ENRIQUE MEIGGS NO. 900</t>
  </si>
  <si>
    <t>C1:18220:PETRÓLEOS INDUSTRIALES </t>
  </si>
  <si>
    <t>C1:11650:DIESEL 2 </t>
  </si>
  <si>
    <t>AGUIRRE ALTAMIRANO, HUMBERTO HERMES</t>
  </si>
  <si>
    <t>UNIVERSIDAD DE LIMA</t>
  </si>
  <si>
    <t>AV. JAVIER PRADO ESTE CUADRA 46 S/N</t>
  </si>
  <si>
    <t>C1:3300:DIESEL 2 </t>
  </si>
  <si>
    <t>WISOTZKI LOLI, ILSE CLAIRE</t>
  </si>
  <si>
    <t>96120-051-090412</t>
  </si>
  <si>
    <t xml:space="preserve">EMPRESA DE TRANSPORTES Y SERVICIOS EL ALAMO DE SANTA ROSA S.A. </t>
  </si>
  <si>
    <t xml:space="preserve">CALLE LAS BEGONIAS MZ. I LOTE 11 URB. LA QUILLA </t>
  </si>
  <si>
    <t>DECILA MATIENZO AGUILAR</t>
  </si>
  <si>
    <t>87679-975-060313</t>
  </si>
  <si>
    <t>DIRECCION DE SALUD DE LA POLICIA NACIONAL DEL PERU UNIDAD EJECUTORA 020</t>
  </si>
  <si>
    <t>AV BRASIL CRA 26 - HOSPITAL "LUIS N. SAENZ"</t>
  </si>
  <si>
    <t>URIBE ALTAMIRANO JAVIER LUIS</t>
  </si>
  <si>
    <t>1272-051-080720</t>
  </si>
  <si>
    <t>JORGE CHAVEZ N° 418 (B/F “ANA MARIA”)</t>
  </si>
  <si>
    <t>C1:42581:Diesel B5 S-50 </t>
  </si>
  <si>
    <t>PINTOS GRIVOT LAURENT</t>
  </si>
  <si>
    <t>45739-051-011013</t>
  </si>
  <si>
    <t>EMPRESA DE TRANSPORTES Y SERVICIOS 18 DE ENERO S.A.</t>
  </si>
  <si>
    <t>AV. PAUL POBLET LIND, AMPLIACIÓN ZONA A, C.P.R. PUENTE MANCHAY, TAMBO INGA, PAMPA FLORES MZ. B - LOTE 01</t>
  </si>
  <si>
    <t>MARINA ENCISO CUSI</t>
  </si>
  <si>
    <t>120924-051-040317</t>
  </si>
  <si>
    <t xml:space="preserve">SODIMAC PERU S.A. </t>
  </si>
  <si>
    <t xml:space="preserve">PARCELA A LOTE 1 GRANJA AVICOLA EL LUCUMO </t>
  </si>
  <si>
    <t>FRANCA PAOLA SILES DELTA</t>
  </si>
  <si>
    <t>1017-051-310714</t>
  </si>
  <si>
    <t>PETRONILA EMMA VEGA YZAGUIRRE</t>
  </si>
  <si>
    <t>MALECON GRAU S/N. CALETA DEL PUERTO DE CHIMBOTE</t>
  </si>
  <si>
    <t>PETRONILA ENMA VEGA YZAGUIRRE</t>
  </si>
  <si>
    <t>0005-CDFJ-16-2003</t>
  </si>
  <si>
    <t>COMPAÑIA DE NAVEGACION CHAVIR S.A.</t>
  </si>
  <si>
    <t>AV. LA MARINA N° 472</t>
  </si>
  <si>
    <t>CARRANZA LLERENA, ALVARO JORGE</t>
  </si>
  <si>
    <t>61964-051-221114</t>
  </si>
  <si>
    <t>CONSERVERA DE LAS AMERICAS S.A.</t>
  </si>
  <si>
    <t>AV. LOS PESCADORES N° 1230 LA PLAYA</t>
  </si>
  <si>
    <t>C1:138562:DIESEL B5 </t>
  </si>
  <si>
    <t>C1:44743:SIN PRODUCTO </t>
  </si>
  <si>
    <t>CARLOS ALFONSO CIPRA VILLARREAL</t>
  </si>
  <si>
    <t>0009-CDFJ-16-2003</t>
  </si>
  <si>
    <t>JUNGLE XPORTS S.A.</t>
  </si>
  <si>
    <t>MARGEN IZQUIERDA RIO NANAY - BELLAVISTA NANAY</t>
  </si>
  <si>
    <t>C1:1000:GASOLINA 84 </t>
  </si>
  <si>
    <t>PAWLIKOWSKI DE ROTONDO, EDUVIGES</t>
  </si>
  <si>
    <t>113841-051-220415</t>
  </si>
  <si>
    <t>AREQUIPA EXPRESO MARVISUR E.I.R.L.</t>
  </si>
  <si>
    <t>JR. HIPOLITO UNANUE 554-572-574</t>
  </si>
  <si>
    <t>VICTOR NEMESIO CONDORI CONDORI</t>
  </si>
  <si>
    <t>88044-051-2010</t>
  </si>
  <si>
    <t>PESQUERA TIERRA COLORADA S.A.C</t>
  </si>
  <si>
    <t>AV. PLAYA SECA S/N INTERIOR ESTACION NAVAL</t>
  </si>
  <si>
    <t>C1:10486:PETRÓLEO INDUSTRIAL Nº 6 </t>
  </si>
  <si>
    <t>JOSE LUIS WONG KOOSAU</t>
  </si>
  <si>
    <t>1166-052-030517</t>
  </si>
  <si>
    <t>PETROLEOS DEL PERU S.A. - DIVISION OLEODUCTO - MORONA</t>
  </si>
  <si>
    <t>ESTACION MORONA</t>
  </si>
  <si>
    <t>BALSAPUERTO</t>
  </si>
  <si>
    <t>C1:211125:DIESEL B5 </t>
  </si>
  <si>
    <t>C1:211155:DIESEL B5 </t>
  </si>
  <si>
    <t>JULIO CARLOS SÁNCHEZ BARANDIARAN</t>
  </si>
  <si>
    <t>0002-CDFJ-04-2002</t>
  </si>
  <si>
    <t>TRANSPORTES ZOILITA S.A.C.</t>
  </si>
  <si>
    <t>PASAJE 1° DE MAYO N° 120 - URB. SANTA ROSA</t>
  </si>
  <si>
    <t>C1:3743:DIESEL 2 </t>
  </si>
  <si>
    <t>PACHECO BERNAOLA, JULIO NEMECIO</t>
  </si>
  <si>
    <t>96636-052-150915</t>
  </si>
  <si>
    <t>MINERA CHINALCO PERU S.A.</t>
  </si>
  <si>
    <t>CARRETERA CENTRAL KM 141 (PLANTA CONCENTRADORA TOROMOCHO) - DENTRO DE LA MINERA CENTROMIN PERU.</t>
  </si>
  <si>
    <t>C1:111480:DIESEL B5 </t>
  </si>
  <si>
    <t>ALFONSO IVAN PASAPERA DIAZ</t>
  </si>
  <si>
    <t>0074-CDFJ-15-2005</t>
  </si>
  <si>
    <t>PRODUCTOS NATURALES DE EXPORTACION S.A.-"PRONEX S.A."</t>
  </si>
  <si>
    <t>CALLE LOS TITANES 236-LA CAMPIÑA</t>
  </si>
  <si>
    <t>SARMIENTO PEZO, RICARDO</t>
  </si>
  <si>
    <t>121231-052-090616</t>
  </si>
  <si>
    <t>SERVICIOS AEREOS DE LOS ANDES S.A.C.</t>
  </si>
  <si>
    <t>NRO S/N COMUNIDAD DE MACAMANGO</t>
  </si>
  <si>
    <t>C1:12000:TURBO A-1 </t>
  </si>
  <si>
    <t>LUIS AURELIO FONTENOY MIRANDA</t>
  </si>
  <si>
    <t>0049-CDFJ-15-2001</t>
  </si>
  <si>
    <t>FABRICA DE TEJIDOS ALGODONERA LIMEÑA S.A.</t>
  </si>
  <si>
    <t>AV. SEPARADORA INDUSTRIAL N° 585 - 591</t>
  </si>
  <si>
    <t>MUSIRIS PINTO, JUAN JOSE</t>
  </si>
  <si>
    <t>96227-051-240412</t>
  </si>
  <si>
    <t>TRANSLIMA S.A.</t>
  </si>
  <si>
    <t>MZ. B1, LOTE 3 - PROGRAMA URB. FILADELFIA III ETAPA</t>
  </si>
  <si>
    <t>C1:3490:Diesel B5 S-50 </t>
  </si>
  <si>
    <t>LUIS NICANOR MARAVI ARIAS</t>
  </si>
  <si>
    <t>AV. VENEZUELA 2850</t>
  </si>
  <si>
    <t>C1:11000:PETRÓLEO INDUSTRIAL Nº 5 </t>
  </si>
  <si>
    <t>C1:11000:PETRÓLEO INDUSTRIAL Nº 500 </t>
  </si>
  <si>
    <t>0009-CDFJ-20-2000</t>
  </si>
  <si>
    <t>COMPAÑIA MINERA MISKY MAYO S.A.C.</t>
  </si>
  <si>
    <t>PUNTA TRIC TRAC BAYOVAR</t>
  </si>
  <si>
    <t>C1:7124:DIESEL 2 </t>
  </si>
  <si>
    <t>RODRIGO PRADO, CARLOS MARTIN</t>
  </si>
  <si>
    <t>47-051-100415</t>
  </si>
  <si>
    <t>TRANSPORTES EL PINO S.A.C.</t>
  </si>
  <si>
    <t>AV. MANUEL ECHEANDIA 303</t>
  </si>
  <si>
    <t>GONZALO JUAN ANTONIO JOSE LUIS BARUA ALZAMORA</t>
  </si>
  <si>
    <t>0030-CDFJ-15-2008</t>
  </si>
  <si>
    <t>AV. LA MARINA N° 370</t>
  </si>
  <si>
    <t>C1:87839:PETRÓLEO INDUSTRIAL Nº 500 </t>
  </si>
  <si>
    <t>C1:21732:DIESEL 2 </t>
  </si>
  <si>
    <t>C1:15270:DIESEL 2 </t>
  </si>
  <si>
    <t>CARRETERA CENTRAL KM. 49,5</t>
  </si>
  <si>
    <t>SANTA CRUZ DE COCACHACRA</t>
  </si>
  <si>
    <t>1168-052-030517</t>
  </si>
  <si>
    <t>PETROLEOS DEL PERU -PETRO PERU S.A. DIVISION OLEODUCTO - ESTACION ANDOAS</t>
  </si>
  <si>
    <t>POBLADO DE ANDOAS</t>
  </si>
  <si>
    <t>C1:226170:DIESEL B5 </t>
  </si>
  <si>
    <t>C1:42252:DIESEL B5 </t>
  </si>
  <si>
    <t>C1:225498:DIESEL B5 </t>
  </si>
  <si>
    <t>C1:41958:DIESEL B5 </t>
  </si>
  <si>
    <t>0005-CDFJ-07-2005</t>
  </si>
  <si>
    <t>FUNDICION CALLAO S.A.</t>
  </si>
  <si>
    <t>AV. ARGENTINA 3719</t>
  </si>
  <si>
    <t>MARSANO VERA, FRANCISCO DANTE</t>
  </si>
  <si>
    <t>139316-051-251018</t>
  </si>
  <si>
    <t>CONTRATISTAS MINERAS SARMATH S.A.C.</t>
  </si>
  <si>
    <t>CONCESION MINERA EMAQUSA 2-A (CODIGO 010290494A)</t>
  </si>
  <si>
    <t>BONI RICHARD CORBACHO PEREYRA</t>
  </si>
  <si>
    <t>0002-CDFJ-11-2009</t>
  </si>
  <si>
    <t>ODEBRECHT PERU INGENIERA Y CONSTRUCCION S.A.C.</t>
  </si>
  <si>
    <t>SAN IGNACIO (CARRETERA SAN CLEMENTE -AYACUCHO KM 29)</t>
  </si>
  <si>
    <t>HUMAY</t>
  </si>
  <si>
    <t>C1:5495.4:DIESEL B2 </t>
  </si>
  <si>
    <t>C1:7926:DIESEL B2 </t>
  </si>
  <si>
    <t>C1:7926:PETRÓLEO INDUSTRIAL Nº 6 </t>
  </si>
  <si>
    <t>MENESES WEYLL, LUIS ALBERTO</t>
  </si>
  <si>
    <t>0041-CDFJ-15-2001</t>
  </si>
  <si>
    <t>EMPRESA HUANDOY S.A.</t>
  </si>
  <si>
    <t>CARRETERA LIMA-CANTA KM. 23.9 - PARCELA 316</t>
  </si>
  <si>
    <t>PACHECO CACERES, SERGIO</t>
  </si>
  <si>
    <t>132081-051-091017</t>
  </si>
  <si>
    <t>EMPRESA DE TRANSPORTES CIUDAD MUNICIPAL AREQUIPA S.A.</t>
  </si>
  <si>
    <t>ASOCIACION DE VIVIENDA CIUDAD MUNICIPAL MZ Q LT 11</t>
  </si>
  <si>
    <t>C1:3951:Diesel B5 S-50 </t>
  </si>
  <si>
    <t xml:space="preserve">DAVID VILLANUEVA VARGAS </t>
  </si>
  <si>
    <t>142952-051-060519</t>
  </si>
  <si>
    <t>INVERSIONES DAJER E.I.R.L.</t>
  </si>
  <si>
    <t>CONCESION MINERA CHAVINSA N° 1 (CODIGO 17000745X01)</t>
  </si>
  <si>
    <t>ABRAHAM GUTIERREZ TINTAYA</t>
  </si>
  <si>
    <t>109260-051-041214</t>
  </si>
  <si>
    <t xml:space="preserve">NICONSTA COMPAÑIA MINERA S.A.C. </t>
  </si>
  <si>
    <t>CONCESION MINERA “CHAVINSA N° 2-H”</t>
  </si>
  <si>
    <t>C1:3770:Diesel B5 S-50 </t>
  </si>
  <si>
    <t>C1:6640:Diesel B5 S-50 </t>
  </si>
  <si>
    <t>C1:3650:Diesel B5 S-50 </t>
  </si>
  <si>
    <t>CONSTANTINA CARITA LOPEZ</t>
  </si>
  <si>
    <t>0011-CDFJ-02-2001</t>
  </si>
  <si>
    <t>VLACAR SAC</t>
  </si>
  <si>
    <t>AV. LOS PESCADORES Nº 1200 ZONA INDUSTRIAL GRAN RAPECIO (27 DE OCTUBRE)</t>
  </si>
  <si>
    <t>C1:62000:IFO - 380 / BUNKER </t>
  </si>
  <si>
    <t>C1:16000:DIESEL 2 </t>
  </si>
  <si>
    <t>LIY PEÑA, VICTOR MANUEL</t>
  </si>
  <si>
    <t>534-051-230913</t>
  </si>
  <si>
    <t>INDUSTRIAL UCAYALI S.A.C.</t>
  </si>
  <si>
    <t>JR. UCAYALI 780 - CALLERIA / CORONEL PORTILLO / UCAYALI</t>
  </si>
  <si>
    <t>DANIEL GONZÁLES VALDEZ</t>
  </si>
  <si>
    <t>140332-051-260119</t>
  </si>
  <si>
    <t>HORTIFRUT-TAL S.A.C.</t>
  </si>
  <si>
    <t>FUNDO LA ESPERANZA ( ALTURA CARRETERA PANAMERICANA NORTE KM. 495)</t>
  </si>
  <si>
    <t xml:space="preserve">MIGUEL SHIRO SHIMA SAITO </t>
  </si>
  <si>
    <t>107950-051-181114</t>
  </si>
  <si>
    <t>INVERSIONES GANDY &amp; MARYLUZ S.A.C.</t>
  </si>
  <si>
    <t>CONCESION MINERA “CHABUCA I”</t>
  </si>
  <si>
    <t>HERMOGENES INFANZON CCAPAYQUE</t>
  </si>
  <si>
    <t>0008-CDFJ-02-2005</t>
  </si>
  <si>
    <t>CORPORACION PESQUERA NEWTON S.A.C.</t>
  </si>
  <si>
    <t>URB. GRAN TRAPECIO MZ B-1, LOTES 5 Y 6, ZONA INDUSTRIAL 2</t>
  </si>
  <si>
    <t>C1:16186:DIESEL 2 </t>
  </si>
  <si>
    <t>C1:2797:PETRÓLEO INDUSTRIAL Nº 500 </t>
  </si>
  <si>
    <t>C1:846:PETRÓLEO INDUSTRIAL Nº 500 </t>
  </si>
  <si>
    <t>C1:818:PETRÓLEO INDUSTRIAL Nº 500 </t>
  </si>
  <si>
    <t>C1:22620:PETRÓLEO INDUSTRIAL Nº 500 </t>
  </si>
  <si>
    <t>C1:1646:DIESEL 2 </t>
  </si>
  <si>
    <t>VILLANTOY PALOMINO, YURI EDMUNDO</t>
  </si>
  <si>
    <t>62378-051-140118</t>
  </si>
  <si>
    <t>MASTER OF THE SKY S.A.C</t>
  </si>
  <si>
    <t>AERODROMO LIB MANDI METROPOLITANO, CARRETERA PANAMERICANA SUR KM. 47.6</t>
  </si>
  <si>
    <t>C1:900:GASOLINA 100 LL </t>
  </si>
  <si>
    <t>C1:1100:GASOLINA 100 LL </t>
  </si>
  <si>
    <t>GNAEGI URRIOLA, ANTONIO</t>
  </si>
  <si>
    <t>88281-975-040619</t>
  </si>
  <si>
    <t>MINISTERIO DE DEFENSA – FUERZA AÉREA DEL PERÚ</t>
  </si>
  <si>
    <t>AV. JORGE CHÁVEZ S/N, BASE AÉREA LAS PALMAS</t>
  </si>
  <si>
    <t>C1:5000:GASOHOL 95 PLUS </t>
  </si>
  <si>
    <t>C1:5800:GASOHOL 90 PLUS </t>
  </si>
  <si>
    <t>C1:5200:GASOHOL 95 PLUS </t>
  </si>
  <si>
    <t>RICARDO DANIEL COLINA ROJAS</t>
  </si>
  <si>
    <t>131033-051-100817</t>
  </si>
  <si>
    <t>INVERSIONES MINERA OROCHE E.I.R.L.</t>
  </si>
  <si>
    <t>CONCESION MINERA " ZAETA DE BASALTO" QUEBRADA SANTA INES S/N</t>
  </si>
  <si>
    <t>LUCIANA OROCHE QUISPE</t>
  </si>
  <si>
    <t>127-051-050913</t>
  </si>
  <si>
    <t>UNION ANDINA DE CEMENTOS S.A.A. - UNACEM S.A.A.</t>
  </si>
  <si>
    <t>AV. ATOCONGO N° 2691</t>
  </si>
  <si>
    <t>C1:82050:Diesel B5 S-50 </t>
  </si>
  <si>
    <t>JORGE ENRIQUE TRELLES SANCHEZ</t>
  </si>
  <si>
    <t>0006-CDFJ-16-2003</t>
  </si>
  <si>
    <t>COMPLEJO MADERERO NANAY S.A. (COMANASA)</t>
  </si>
  <si>
    <t>DESEMBOCADURA MARGEN IZQUIERDA RIO NANAY</t>
  </si>
  <si>
    <t>C1:171:GASOLINA 84 </t>
  </si>
  <si>
    <t>YOSHIDA YOSHIDA, JUAN</t>
  </si>
  <si>
    <t>0017-CDFJ-15-2006</t>
  </si>
  <si>
    <t>EMPRESA DE TRANSPORTES UNIDOS S.A.</t>
  </si>
  <si>
    <t>CALLE LOS CLAVELES S/N PSJE. HUASCAR - CANTO GRANDE</t>
  </si>
  <si>
    <t>ROJAS ASORZA, ROSENDO</t>
  </si>
  <si>
    <t>89995-051-080611</t>
  </si>
  <si>
    <t>PETROLEUM PROYECTS INDUSTRIES CORPORATIONS S.A.C</t>
  </si>
  <si>
    <t>AVENIDA ENRIQUE MEIGGS N° 2605, MANZANA T2, LOTE 8, PUEBLO JOVEN MIRAFLORES ALTO</t>
  </si>
  <si>
    <t>C1:1700:DIESEL B5 </t>
  </si>
  <si>
    <t>NESTOR PORFIRIO GONZALES VEJARANO</t>
  </si>
  <si>
    <t>110804-051-120717</t>
  </si>
  <si>
    <t>CONTRATO DE COLABORACION EMPRESARIAL CCE - SERVOSA (SERVOSA GAS S.A.C. Y SERVOSA CARGO S.A.C.)</t>
  </si>
  <si>
    <t>SUB LOTE 20 Y 25A MZ. A PARCELA RUSTICA Y SEMIRUSTICA LA CAPITANA</t>
  </si>
  <si>
    <t>TRANSPORTES MANRIQUE E.I.R.LTDA.</t>
  </si>
  <si>
    <t>JR. MANUEL ECHEANDIA N° 554, URB. EL PINO</t>
  </si>
  <si>
    <t>C1:5328:DIESEL 2 </t>
  </si>
  <si>
    <t>MANRIQUE MALATESTA, MANUEL HUMBERTO</t>
  </si>
  <si>
    <t>19644-051-2010</t>
  </si>
  <si>
    <t>HOPE OVERSEAS S.A.C.</t>
  </si>
  <si>
    <t>AVENIDA EL PACIFICO N° 272 ZONA INDUSTRIAL BUENOS AIRES</t>
  </si>
  <si>
    <t>C1:6200:DIESEL B2 </t>
  </si>
  <si>
    <t>SILVIA PAOLA NAZARIO ARANCIBIA</t>
  </si>
  <si>
    <t>21429-051-160412</t>
  </si>
  <si>
    <t>PETROLEUM PROYECTS INDUSTRIES CORPORATION S.A.C.</t>
  </si>
  <si>
    <t>AA.HH. SAN FELIPE MZ O LOTE 2</t>
  </si>
  <si>
    <t>C1:4997:Diesel B5 S-50 </t>
  </si>
  <si>
    <t>101172-051-130517</t>
  </si>
  <si>
    <t>PEVEGAL S.A.C.</t>
  </si>
  <si>
    <t>AV. HEROES DEL ALTO CENEPA LOTE 1 DPTO 2B EX FUNDO CHACRA CERRO</t>
  </si>
  <si>
    <t>VANESSA DEL ROSARIO CALDERON ALBIINES</t>
  </si>
  <si>
    <t>0010-CDFJ-07-2006</t>
  </si>
  <si>
    <t>VITALIANO DELGADO CARAZAS S.A.C.</t>
  </si>
  <si>
    <t>AV. ARGENTINA NÂº 1349</t>
  </si>
  <si>
    <t>DELGADO VIVANCO, VITALIANO JUAN</t>
  </si>
  <si>
    <t>0005-CDFJ-02-2000</t>
  </si>
  <si>
    <t>JOSE OLAYA TRANSPORTES Y SERVICIOS S.A.</t>
  </si>
  <si>
    <t>JR. CAJAMARCA S/N - ESQUINA CON AV. BUENOS AIRES - AA.HH. CESAR VALLEJO</t>
  </si>
  <si>
    <t>VINDA DIAZ, DIOSDADO FRANCISCO</t>
  </si>
  <si>
    <t>111711-051-071014</t>
  </si>
  <si>
    <t xml:space="preserve">TRUCKS AND MOTORS DEL PERU S.A. </t>
  </si>
  <si>
    <t>AV. ELMER FAUCETT N° 4800-4805</t>
  </si>
  <si>
    <t>C1:5120:Diesel B5 S-50 </t>
  </si>
  <si>
    <t>VICTOR IVAN ORREGO JESUS</t>
  </si>
  <si>
    <t>128825-051-161018</t>
  </si>
  <si>
    <t>CLAUDIA GUZMAN LOAYZA</t>
  </si>
  <si>
    <t>CONCESION MINERA VALENCIA UNO - SECTOR NUEVA UNION</t>
  </si>
  <si>
    <t>C1:9219:Diesel B5 S-50 </t>
  </si>
  <si>
    <t>0001-CDFJ-22-2000</t>
  </si>
  <si>
    <t>ELECTRO ORIENTE S.A. - TARAPOTO</t>
  </si>
  <si>
    <t>JR. MALECON S/N.</t>
  </si>
  <si>
    <t>LA BANDA DE SHILCAYO</t>
  </si>
  <si>
    <t>C1:21500:DIESEL 2 </t>
  </si>
  <si>
    <t>C1:70000:PETRÓLEOS INDUSTRIALES </t>
  </si>
  <si>
    <t>PINEDO REATEGUI, DANIEL</t>
  </si>
  <si>
    <t>0003-CDFJ-14-2002</t>
  </si>
  <si>
    <t>EMPRESA AGROINDUSTRIAL POMALCA S.A.</t>
  </si>
  <si>
    <t>CARRETERA CHICLAYO CHONGOYAPE KM. 7</t>
  </si>
  <si>
    <t>C1:7900:DIESEL 2 </t>
  </si>
  <si>
    <t>MONTES JULCA, CESAR</t>
  </si>
  <si>
    <t>0005-CDFJ-11-2009</t>
  </si>
  <si>
    <t>AV. JOSE MATIAS MANSILLAS 164 Y CALLE FRAY RAMON ROJAS</t>
  </si>
  <si>
    <t>0002-CDFJ-04-2008</t>
  </si>
  <si>
    <t>TRANSPORTES ELIO S.A.C.</t>
  </si>
  <si>
    <t>VARIANTE DE UCHUMAYO S/N KM. 3.5</t>
  </si>
  <si>
    <t>C1:3800:DIESEL B2 </t>
  </si>
  <si>
    <t>PAJSI COLQUEHUANCA, FREDY ANGEL</t>
  </si>
  <si>
    <t>110-051-250816</t>
  </si>
  <si>
    <t>COMPAÑIA MINERA QUIRUVILCA S.A.</t>
  </si>
  <si>
    <t>UNIDAD MINERA DE QUIRUVILCA</t>
  </si>
  <si>
    <t>C1:3385:DIESEL B5 </t>
  </si>
  <si>
    <t>C1:2099:DIESEL B5 </t>
  </si>
  <si>
    <t>C1:3538:DIESEL B5 </t>
  </si>
  <si>
    <t>JOSE ENRIQUE RAMÍREZ OSTOLAZA</t>
  </si>
  <si>
    <t>126836-112-230517</t>
  </si>
  <si>
    <t>CONCAR S.A.</t>
  </si>
  <si>
    <t>CARRETERA PANAMERICANA SUR KM. 457, LOTE SANTA LUCIA, SECTOR PAMPA DEL INCA PORTACHUELO</t>
  </si>
  <si>
    <t>VISTA ALEGRE</t>
  </si>
  <si>
    <t>C1:5066:Diesel B5 S-50 </t>
  </si>
  <si>
    <t>C1:8000:ASFALTO LÍQUIDO </t>
  </si>
  <si>
    <t>ALEXANDER ALCOCER GAMARRA</t>
  </si>
  <si>
    <t>1433-051-210119</t>
  </si>
  <si>
    <t xml:space="preserve">COMPAÑIA MINERA RAURA S.A. </t>
  </si>
  <si>
    <t>PARAJE RAURA - UNIDAD MINERA RAURA</t>
  </si>
  <si>
    <t>LAURICOCHA</t>
  </si>
  <si>
    <t>SAN MIGUEL DE CAURI</t>
  </si>
  <si>
    <t>C1:10419:Diesel B5 S-50 </t>
  </si>
  <si>
    <t>C1:10512:Diesel B5 S-50 </t>
  </si>
  <si>
    <t>C1:22289:Diesel B5 S-50 </t>
  </si>
  <si>
    <t>RALPH FERNANDO ALOSILLA VELAZCO VERA</t>
  </si>
  <si>
    <t>0003-CDFJ-06-2005</t>
  </si>
  <si>
    <t>EMP REG DE SERV PUB DE ELECT DL NORTE SA - CENTRAL TERMICA CHOTA</t>
  </si>
  <si>
    <t>COORDENADAS UTM 9°274.420N, 760.871E - ZONA 17</t>
  </si>
  <si>
    <t>CHOTA</t>
  </si>
  <si>
    <t>C1:2973:DIESEL 2 </t>
  </si>
  <si>
    <t>C1:3007:DIESEL 2 </t>
  </si>
  <si>
    <t>PRADA MARTINEZ, HERACLIO</t>
  </si>
  <si>
    <t>1177-051-100316</t>
  </si>
  <si>
    <t>MINERA SHUNTUR S.A.C.</t>
  </si>
  <si>
    <t>FUNDO RAHUAR</t>
  </si>
  <si>
    <t>PIRA</t>
  </si>
  <si>
    <t>C1:3073:DIESEL B5 </t>
  </si>
  <si>
    <t>LUIS ALBERTO PEDRO MARSANO BACIGALUPO</t>
  </si>
  <si>
    <t>970-051-310718</t>
  </si>
  <si>
    <t>MINSUR S.A.</t>
  </si>
  <si>
    <t>PANAMERICANA SUR KM. 238.4</t>
  </si>
  <si>
    <t>C1:35667:PETRÓLEO INDUSTRIAL Nº 6 </t>
  </si>
  <si>
    <t>C1:1057:Diesel B5 S-50 </t>
  </si>
  <si>
    <t>BRESCIA MOREYRA, FORTUNATO JUAN JOSE</t>
  </si>
  <si>
    <t>123488-051-141116</t>
  </si>
  <si>
    <t>CONCESIONARIA PUERTO AMAZONAS S.A.</t>
  </si>
  <si>
    <t>RIO HUALLAGA SECTOR CASERIO SANTA ROSA VIA DE EVITAMIENTO KM 0.00</t>
  </si>
  <si>
    <t>C1:6000:DIESEL B5 </t>
  </si>
  <si>
    <t>CARMEN VIRGINIA BENITEZ HERNANDEZ</t>
  </si>
  <si>
    <t>0001-CDFJ-22-2001</t>
  </si>
  <si>
    <t>ALIANZA S.A.</t>
  </si>
  <si>
    <t>CARRET. MARGINAL TARAPOTO - YURIMAGUAS KM. 88 CENTRO POBLADO MENOR ALIANZA</t>
  </si>
  <si>
    <t>C1:1100:DIESEL 2 </t>
  </si>
  <si>
    <t>QUISPE VIGO, GERARDO ANTONIO</t>
  </si>
  <si>
    <t>109070-051-160514</t>
  </si>
  <si>
    <t>SEGURO SOCIAL DE SALUD - ESSALUD</t>
  </si>
  <si>
    <t>CRUCE CALLE 02 CON CALLE 05 PARQUE INDUSTRIAL (CARRETERA PANAMERICANA NORTE - NUEVO HOSPITAL REGIONAL DE ALTA COMPLEJIDAD DE LA LIBERTAD)</t>
  </si>
  <si>
    <t>JAIME EDGARDO MORA FLORES</t>
  </si>
  <si>
    <t>20157-051-031013</t>
  </si>
  <si>
    <t>AV. LA CAPITANA 190, HUACHIPA</t>
  </si>
  <si>
    <t>DANTE AGUILAR ONOFRE</t>
  </si>
  <si>
    <t>50-051-240611</t>
  </si>
  <si>
    <t>COMPAÑÍA MINERA SANTA LUISA S.A. (TANQUE ALMACENAMIENTO)</t>
  </si>
  <si>
    <t>C1:4000:GASOHOL 84 PLUS </t>
  </si>
  <si>
    <t>C1:35000:DIESEL B5 </t>
  </si>
  <si>
    <t>C1:54000:DIESEL B5 </t>
  </si>
  <si>
    <t>C1:5500:DIESEL B5 </t>
  </si>
  <si>
    <t>0004-CDFJ-02-2010</t>
  </si>
  <si>
    <t>C1:21100:SIN PRODUCTO </t>
  </si>
  <si>
    <t>0013-CDFJ-15-2010</t>
  </si>
  <si>
    <t>TELEFONICA DEL PERU S.A.A.</t>
  </si>
  <si>
    <t xml:space="preserve">ESQUINA AV. BENAVIDES CON AV. GRIMALDO DEL SOLAR </t>
  </si>
  <si>
    <t>C1:3060:SIN PRODUCTO </t>
  </si>
  <si>
    <t>0002-CDFJ-09-2000</t>
  </si>
  <si>
    <t>ELECTRO SUR MEDIO S.A. (CENTRAL TERMICA DE SGTO. DE CHOCORVOS)</t>
  </si>
  <si>
    <t>ENTRE PJE. SANTA ROSA Y JR. JOSE OLAYA</t>
  </si>
  <si>
    <t>HUAYTARA</t>
  </si>
  <si>
    <t>SANTIAGO DE CHOCORVOS</t>
  </si>
  <si>
    <t>C1:550:DIESEL 2 </t>
  </si>
  <si>
    <t>ESLAVA ARNAO, JOSE</t>
  </si>
  <si>
    <t>0012-CDFJ-15-2010</t>
  </si>
  <si>
    <t>JR. TARAPACA S/N</t>
  </si>
  <si>
    <t>C1:661:SIN PRODUCTO </t>
  </si>
  <si>
    <t>102678-051-181214</t>
  </si>
  <si>
    <t>RAMCEL E.I.R.L.</t>
  </si>
  <si>
    <t>CALLE PRINCIPAL MZ. 203 LOTE 02,03-PARTE ALTA</t>
  </si>
  <si>
    <t>C1:9307:Diesel B5 S-50 </t>
  </si>
  <si>
    <t>ROBERTO RAMOS CCORI</t>
  </si>
  <si>
    <t>SERVICIOS SELVA S.A.</t>
  </si>
  <si>
    <t>LOCALIDAD DE SARAMIRIZA</t>
  </si>
  <si>
    <t>C1:55000:DIESEL 2 </t>
  </si>
  <si>
    <t>C1:55000:TURBO JP-5 </t>
  </si>
  <si>
    <t>CORAL RENGIFO, ROGER F.</t>
  </si>
  <si>
    <t>0002-CDFJ-05-2000</t>
  </si>
  <si>
    <t>ELECTRO SUR MEDIO S.A. (CENTRAL TERMICA DE TAMBO QUEMADO)</t>
  </si>
  <si>
    <t>CENTRAL TERMICA TAMBO QUEMADO</t>
  </si>
  <si>
    <t>C1:1325:DIESEL 2 </t>
  </si>
  <si>
    <t>0050-CDFJ-15-2001</t>
  </si>
  <si>
    <t>PAPELERA ZARATE S.A.</t>
  </si>
  <si>
    <t>CARRETERA PANAMERICANA NORTE KM. 24,5</t>
  </si>
  <si>
    <t>C1:7700:DIESEL 2 </t>
  </si>
  <si>
    <t>CASTRILLON ROJAS, CESAR EDUARDO</t>
  </si>
  <si>
    <t>0003-CDFJ-10-2000</t>
  </si>
  <si>
    <t>REY TOURS E.I.R.L.</t>
  </si>
  <si>
    <t>URB. SANTA MARIA DEL HUALLAGA MZ B LOTE 1-B CARRETERA HUANUCO TINGO MARIA</t>
  </si>
  <si>
    <t>CHOCANO SANTA MARIA, GREGORIO</t>
  </si>
  <si>
    <t>0011-CDFJ-04-2000</t>
  </si>
  <si>
    <t>MINISTERIO DE TRANSPORTES COMUNICACIONES VIVIENDA Y CONSTRUCCION</t>
  </si>
  <si>
    <t>ZONA LA RINCONADA</t>
  </si>
  <si>
    <t>CHIGUATA</t>
  </si>
  <si>
    <t>C1:3740:DIESEL 2 </t>
  </si>
  <si>
    <t>LUQUE PLATA, MIGUEL</t>
  </si>
  <si>
    <t>123557-051-250117</t>
  </si>
  <si>
    <t>CONSORCIO DE INGENIEROS EJECUTORES MINEROS S.A. CIEMSA</t>
  </si>
  <si>
    <t>UNIDAD MINERA TACAZA - COMUNIDAD DE CHOROMA</t>
  </si>
  <si>
    <t>C1:6529:Diesel B5 S-50 C1:2000:null </t>
  </si>
  <si>
    <t>C1:6529:Diesel B5 S-50 </t>
  </si>
  <si>
    <t>ARMANDO JAVIER CACERES MASIAS</t>
  </si>
  <si>
    <t>0030-CDFJ-15-2007</t>
  </si>
  <si>
    <t>FAMESA EXPLOSIVOS S.A.C</t>
  </si>
  <si>
    <t xml:space="preserve">KM 28 DE LA PANAMERICANA NORTE </t>
  </si>
  <si>
    <t>C1:2800:DIESEL 2 </t>
  </si>
  <si>
    <t>C1:2800:GASOLINA 90 </t>
  </si>
  <si>
    <t>DESEMBARCADERO PESQUERO ARTESANAL PAITA</t>
  </si>
  <si>
    <t>PLAYA SECA PUNTA PUNTILLA S/N, COMPLEJO PESQUERO PAITA</t>
  </si>
  <si>
    <t>PORRAS YAMUNAQUE, JOSE MARIA</t>
  </si>
  <si>
    <t>0007-CDFJ-25-2000</t>
  </si>
  <si>
    <t>NAVIERA ORIENTE S.A. REMOLCADOR RICARDITO, MAT. PA-0478-E/F</t>
  </si>
  <si>
    <t>PUERTO DE LA HOYADA - PUCALLPA</t>
  </si>
  <si>
    <t>C1:8100:DIESEL 2 </t>
  </si>
  <si>
    <t>19646-051-030720</t>
  </si>
  <si>
    <t>INDUSTRIAL PESQUERA SANTA MONICA S.A.</t>
  </si>
  <si>
    <t xml:space="preserve">ZONA INDUSTRIAL III - TIERRA COLORADA </t>
  </si>
  <si>
    <t>PANTELIS PALINGINIS</t>
  </si>
  <si>
    <t>105741-051-220414</t>
  </si>
  <si>
    <t xml:space="preserve">COMPAÑIA AGROINDUSTRIAL SANTA FE DE LANCHAS S.A.C. </t>
  </si>
  <si>
    <t>CARRETERA PANAMERICANA SUR KM. 244</t>
  </si>
  <si>
    <t>C1:4446:DIESEL B5 </t>
  </si>
  <si>
    <t>C1:686:GASOHOL 90 PLUS </t>
  </si>
  <si>
    <t>ISMAEL ALBERTO BENAVIDES FERREYROS</t>
  </si>
  <si>
    <t>93802-112-160216</t>
  </si>
  <si>
    <t>GRIFO 4448 - PREDIO YANACANCHA U.C. 00106, CAMPAMENTO MINERO YANACANCHA ANTAMINA</t>
  </si>
  <si>
    <t>C1:1500:LUBRICANTES </t>
  </si>
  <si>
    <t>137659-051-030818</t>
  </si>
  <si>
    <t>EXPRESO POWER E.I.R.L.</t>
  </si>
  <si>
    <t>JR. SANTA CATALINA MZ. 28 LOTE 5 URB. VILLA PACHACUTEC</t>
  </si>
  <si>
    <t>C1:5926:Diesel B5 S-50 </t>
  </si>
  <si>
    <t>CARLOS JUAN HILASACA VELASQUEZ</t>
  </si>
  <si>
    <t>42864-052-150216</t>
  </si>
  <si>
    <t>EMPLAZAMIENTO MINERO ANTAMINA. PARAJE YANACANCHA DEL CALLEJON DE CONCHUCOS</t>
  </si>
  <si>
    <t>C1:107000:Diesel B5 S-50 </t>
  </si>
  <si>
    <t>C1:6000:GASOHOL 90 PLUS </t>
  </si>
  <si>
    <t>C1:238900:Diesel B5 S-50 </t>
  </si>
  <si>
    <t>AUGUSTO IVAN NAVARRO COQUIS</t>
  </si>
  <si>
    <t>0071-CDFJ-15-2005</t>
  </si>
  <si>
    <t>PAPELERA NACIONAL S.A.</t>
  </si>
  <si>
    <t>AV. CASTAÑEDA S/N. ZONA INDUSTRIAL. CARRETERA PANAMERICANA NORTE KM 200</t>
  </si>
  <si>
    <t>C1:4150:DIESEL B2 </t>
  </si>
  <si>
    <t>C1:50000:PETRÓLEOS INDUSTRIALES </t>
  </si>
  <si>
    <t>C1:1260000:PETRÓLEOS INDUSTRIALES </t>
  </si>
  <si>
    <t>TOSO CHAVEZ, ALFREDO LUIS</t>
  </si>
  <si>
    <t>0015-CDFJ-04-2001</t>
  </si>
  <si>
    <t>SEAL - SOCIEDAD ELECTRICA DEL SUR OESTE S.A.</t>
  </si>
  <si>
    <t>JR. DOS DE MAYO S/N.</t>
  </si>
  <si>
    <t>HINOJOSA RAMOS, JESUS</t>
  </si>
  <si>
    <t>90970-051-060819</t>
  </si>
  <si>
    <t>EMPRESA DE TRANSPORTES FLORES HNOS. S.R.L.</t>
  </si>
  <si>
    <t>AV. 28 DE JULIO NRO. 1248</t>
  </si>
  <si>
    <t>C1:10536:Diesel B5 S-50 </t>
  </si>
  <si>
    <t>PASTOR TIMOTEO FLORES CHAVEZ</t>
  </si>
  <si>
    <t>0013-CDFJ-04-2001</t>
  </si>
  <si>
    <t>SEAL - SOCIEDAD ELECTRICA DEL SUR OESTE S.A., ZONA 2 - CENTRAL TERMICA DE ATICO.</t>
  </si>
  <si>
    <t>BOLOGNESI S/N.</t>
  </si>
  <si>
    <t>RICARDO LOLO VELASQUEZ REY</t>
  </si>
  <si>
    <t>45516-051-160120</t>
  </si>
  <si>
    <t>ALPAYANA S.A.</t>
  </si>
  <si>
    <t>ZONA INDUSTRIAL DE LA UNIDAD ECONÓMICA ADMINISTRATIVA (UEA) AMERICANA. PARAJE EL CARMEN</t>
  </si>
  <si>
    <t>C1:15000:Diesel B5 S-50 </t>
  </si>
  <si>
    <t xml:space="preserve">FERNANDO JESUS ARRIETA JIMENEZ </t>
  </si>
  <si>
    <t>1462-051-250520</t>
  </si>
  <si>
    <t>SEAFROST S.A.C.</t>
  </si>
  <si>
    <t>ZONA INDUSTRIAL II - AV. D MZ. D LOTE 01 - PAITA</t>
  </si>
  <si>
    <t>BOLOGNA ANTONIO</t>
  </si>
  <si>
    <t>0017-CDFJ-04-2001</t>
  </si>
  <si>
    <t>LA RINCONADA DE CHUQUIBAMBA S/N.</t>
  </si>
  <si>
    <t>CHUQUIBAMBA</t>
  </si>
  <si>
    <t>0016-CDFJ-04-2001</t>
  </si>
  <si>
    <t>PROLONGACION PROGRESO S/N</t>
  </si>
  <si>
    <t>URACA</t>
  </si>
  <si>
    <t>C1:5956:DIESEL 2 </t>
  </si>
  <si>
    <t>C1:3717:DIESEL 2 </t>
  </si>
  <si>
    <t>0008-CDFJ-16-2003</t>
  </si>
  <si>
    <t>FORESTAL INDUSTRIAL YAVARI S.A.</t>
  </si>
  <si>
    <t>LOCALIDAD DE ISLANDIA - RIO YAVARI</t>
  </si>
  <si>
    <t>MARISCAL RAMON CASTILLA</t>
  </si>
  <si>
    <t>YAVARI</t>
  </si>
  <si>
    <t>VARGAS COLLAZOS, MARIA GLADYS</t>
  </si>
  <si>
    <t>0030-CDFJ-04-2001</t>
  </si>
  <si>
    <t>PASAJE CLISA S/N</t>
  </si>
  <si>
    <t>JOSE LUIS BUSTAMANTE Y RIVERO</t>
  </si>
  <si>
    <t>C1:4540:PETRÓLEO INDUSTRIAL Nº 500 </t>
  </si>
  <si>
    <t>C1:4930:PETRÓLEO INDUSTRIAL Nº 500 </t>
  </si>
  <si>
    <t>C1:4970:PETRÓLEO INDUSTRIAL Nº 500 </t>
  </si>
  <si>
    <t>C1:1980:DIESEL 2 </t>
  </si>
  <si>
    <t>0067-CDFJ-15-2005</t>
  </si>
  <si>
    <t>EMPRESA DE TRANSPORTES Y SERVICIOS GENERALES ALFA S.A.</t>
  </si>
  <si>
    <t>LOTES 9, 10 Y 11 MZ.I DE LA LOTIZACION LA ENSENADA</t>
  </si>
  <si>
    <t>C1:4735:DIESEL 2 </t>
  </si>
  <si>
    <t>SANCHEZ FARFAN, RICARDO</t>
  </si>
  <si>
    <t>103803-051-270713</t>
  </si>
  <si>
    <t>INVERSIONES GENERALES SANTA TERESITA E.I.R.L.</t>
  </si>
  <si>
    <t>PARAJE PAMPA LARCO-CAMPAMENTO INVERSIONES GENERALES SANTA TERESITA (COMARSA)</t>
  </si>
  <si>
    <t>ANGASMARCA</t>
  </si>
  <si>
    <t>GLADYS DORALIS SANCHEZ VARGAS</t>
  </si>
  <si>
    <t>0002-CDFJ-25-2000</t>
  </si>
  <si>
    <t>NAVIERA ORIENTE SAC. (SAN JUAN II)</t>
  </si>
  <si>
    <t>PUERTO DE LA HOYADA MARG. IZQ. DEL RIO UCAYALI</t>
  </si>
  <si>
    <t>98808-051-291112</t>
  </si>
  <si>
    <t>CASERIO MALLAY S/N</t>
  </si>
  <si>
    <t>OYON</t>
  </si>
  <si>
    <t>0000061-LIB</t>
  </si>
  <si>
    <t>CARRETERA PANAMERICANA NORTE KM. 604</t>
  </si>
  <si>
    <t>CHOCOPE</t>
  </si>
  <si>
    <t>C1:1550:DIESEL 2 </t>
  </si>
  <si>
    <t>SUB REGION DE SALUD HOSPITAL REGIONAL DEL CUZCO</t>
  </si>
  <si>
    <t>AV. DE LA CULTURA S/N</t>
  </si>
  <si>
    <t>C1:4330:DIESEL 2 </t>
  </si>
  <si>
    <t>BEJAR BRAVO, VICTOR AQUILINO</t>
  </si>
  <si>
    <t>149606-051-300520</t>
  </si>
  <si>
    <t>MARIO APARICIO QUISPE</t>
  </si>
  <si>
    <t>CONCESION MINERA MAJU 2006 CODICGO: 040010306</t>
  </si>
  <si>
    <t>100217-115-150413</t>
  </si>
  <si>
    <t>COMPAÑIA MINERA MISKI MAYO S.R.L.</t>
  </si>
  <si>
    <t>PANAMERICANA NORTE KM. 36.5 MINA DE FOSFATO BAYOVAR</t>
  </si>
  <si>
    <t>C1:2640:LUBRICANTES </t>
  </si>
  <si>
    <t>JOSE LUIS VEGA FARFAN</t>
  </si>
  <si>
    <t>83338-051-121018</t>
  </si>
  <si>
    <t>MEDLOG PERU S.A.</t>
  </si>
  <si>
    <t>AV. NESTOR GAMBETA 358</t>
  </si>
  <si>
    <t>CHIRE BANDA, FAUSTO JESUS</t>
  </si>
  <si>
    <t>140222-051-181218</t>
  </si>
  <si>
    <t>CALLE ABANCAY S/N PREDIO RURAL Nº G-6, CENTRO COMERCIAL LAS PALMAS - VALLE LURÍN</t>
  </si>
  <si>
    <t xml:space="preserve">LUIS ANTONIO RETAMOZO MOREANO </t>
  </si>
  <si>
    <t>42052-051-220312</t>
  </si>
  <si>
    <t>EMPRESA DE TRANSPORTES Y SERVICIOS SAGRADO CORAZON DE COLLIQUE S.A.</t>
  </si>
  <si>
    <t>MZ.F, LOTE 05, AA.HH SANTA ROSA DE COLLIQUE-SEXTA ZONA</t>
  </si>
  <si>
    <t>PEDRO VÍCTOR BUSTAMANTE SOTO</t>
  </si>
  <si>
    <t>423-051-031013</t>
  </si>
  <si>
    <t>COMPAÑIA MINERA CORIRE S.A.C.</t>
  </si>
  <si>
    <t>A 5 KM. AL S.E. DE CARAVELI, PLANTA DE BENEFICIO ISHIHUINCA</t>
  </si>
  <si>
    <t>LUIS ENRIQUE SCHIANTARELLI GONZALEZ</t>
  </si>
  <si>
    <t>135656-051-220418</t>
  </si>
  <si>
    <t>JUAN QUIJHUA QUISPE</t>
  </si>
  <si>
    <t>CONCESION MINERA ANTONY BRYYAN CODIGO 070028604</t>
  </si>
  <si>
    <t>C1:7200:Diesel B5 S-50 </t>
  </si>
  <si>
    <t>IPSS-INSTITUTO PERUANO DE SEGURIDAD SOCIAL</t>
  </si>
  <si>
    <t>CALLE PERAL S/N - QUINTA CUADRA</t>
  </si>
  <si>
    <t>0002-CDFJ-18-2008</t>
  </si>
  <si>
    <t>SOUTHERN PERU COPPER CORPORATION</t>
  </si>
  <si>
    <t>UNIDAD DE PRODUCCION DE ILO PAMAPA CALICHE S/N PACOCHA</t>
  </si>
  <si>
    <t>GARCIA MUÑOZ NAJAR, GONZALO</t>
  </si>
  <si>
    <t>88588-051-2011</t>
  </si>
  <si>
    <t>GRAÑA Y MONTERO S.A.A.</t>
  </si>
  <si>
    <t>AV. PASEO DE LA REPUBLICA Nº 4665</t>
  </si>
  <si>
    <t>C1:1200:DIESEL B5 </t>
  </si>
  <si>
    <t>MARIO GERMAN OSCAR ALVARADO PFLUCKER</t>
  </si>
  <si>
    <t>0024-CDFJ-15-2008</t>
  </si>
  <si>
    <t>EMPRESA DE TRANSPORTES TURISTICOS ALARCON VERAMENDI S.A.C</t>
  </si>
  <si>
    <t>CARRETERA CIENEGUILLA S/N KM. 11.5</t>
  </si>
  <si>
    <t>ALARCON VERAMENDI, AUGUSTO</t>
  </si>
  <si>
    <t>LADRILLERA JESUS S.A.</t>
  </si>
  <si>
    <t>AV. LA MOLINA Nº 378</t>
  </si>
  <si>
    <t>C1:8212:PETRÓLEO INDUSTRIAL Nº 6 </t>
  </si>
  <si>
    <t>POMARES POMA, JOSE ANTONIO</t>
  </si>
  <si>
    <t>42197-051-050319</t>
  </si>
  <si>
    <t>EMPRESA DE TRANSPORTES SANTO CRISTO DE PACHACAMILLA S.A.</t>
  </si>
  <si>
    <t>AV SANTA ROSA 827 - 829 - CANTO GRANDE</t>
  </si>
  <si>
    <t>C1:2400:Diesel B5 S-50 </t>
  </si>
  <si>
    <t>CARLOS ALBERTO URBANO MECOLA</t>
  </si>
  <si>
    <t>40719-051-131016</t>
  </si>
  <si>
    <t>AGROINDUSTRIAS AIB S.A.</t>
  </si>
  <si>
    <t>AV. RICARDO BENTÍN MÚJICA N° 901 -903</t>
  </si>
  <si>
    <t>C1:65000:DIESEL B5,Diesel B5 S-50 </t>
  </si>
  <si>
    <t>EDUARDO JAVIER SANTA MARIA RIZO PATRON</t>
  </si>
  <si>
    <t>ZETA GAS ANDINO S.A.</t>
  </si>
  <si>
    <t>EX FUNDO OQUENDO MZ. MI LOTE S/N ALT. KM 7.5 AV. NESTOR GAMBETTA</t>
  </si>
  <si>
    <t>AYALA ALCAZAR, LUIS CARLOS</t>
  </si>
  <si>
    <t>87605-051-2010</t>
  </si>
  <si>
    <t>DP WORLD CALLAO SRL</t>
  </si>
  <si>
    <t>AV. MANCO CAPAC S/N - NUEVO TERMINAL PORTUARIO ZONA SUR</t>
  </si>
  <si>
    <t>C1:24000:DIESEL B2 </t>
  </si>
  <si>
    <t>KWIATKOWSKI WLODZIMIERZ MACIEJ</t>
  </si>
  <si>
    <t>83022-051-260916</t>
  </si>
  <si>
    <t>GRUPO TRANSPESA S.A.C</t>
  </si>
  <si>
    <t>LOTES A Y B UNIDAD 04808, PREDIO LARREA</t>
  </si>
  <si>
    <t>CARLOS ENRIQUE PESANTES CUEVA</t>
  </si>
  <si>
    <t>92936-051-021020</t>
  </si>
  <si>
    <t>EMPRESA DE TRANSPORTES PERU BUS S.A.</t>
  </si>
  <si>
    <t>AV. JOSE MATIAS MANZANILLA Nº 164 Y CALLE FRAY RAMON ROJAS</t>
  </si>
  <si>
    <t>C1:12181:Diesel B5 S-50 </t>
  </si>
  <si>
    <t>LUIS ALBERTO LEVANO ROMERO</t>
  </si>
  <si>
    <t>97538-115-060812</t>
  </si>
  <si>
    <t>PEGSA INDUSTRIAL S.A.C.</t>
  </si>
  <si>
    <t>MZ. P1 LOTE 8, PARQUE INDUSTRIAL</t>
  </si>
  <si>
    <t>C1:440:SOLVENTE 1,TOLUENO </t>
  </si>
  <si>
    <t>VERONICA MARLETTI ANGULO BOCANEGRA</t>
  </si>
  <si>
    <t>55994-051-161216</t>
  </si>
  <si>
    <t>MOVIL BUS S.A.C</t>
  </si>
  <si>
    <t>AV. BOLOGNESI N°195 INTERSECCIÓN CON LA CALLE LUIS GONZALES</t>
  </si>
  <si>
    <t>C1:5130:DIESEL B5 </t>
  </si>
  <si>
    <t>0002-CDFJ-23-2003</t>
  </si>
  <si>
    <t>EXSA S.A.</t>
  </si>
  <si>
    <t>PANAMERICANA SUR KM. 1254.5</t>
  </si>
  <si>
    <t>SAMA</t>
  </si>
  <si>
    <t>FLORES PINTO, MARIO</t>
  </si>
  <si>
    <t>BAHIA TRADING S.A.</t>
  </si>
  <si>
    <t>AV. MARISCAL ORBEGOSO Nº 379</t>
  </si>
  <si>
    <t>RIFAI GIL, NADER</t>
  </si>
  <si>
    <t>119292-115-260116</t>
  </si>
  <si>
    <t>MINERA LAS BAMBAS S.A.</t>
  </si>
  <si>
    <t>PREDIO FUERABAMBA</t>
  </si>
  <si>
    <t>CHALLHUAHUACHO</t>
  </si>
  <si>
    <t>C1:6604:LUBRICANTES </t>
  </si>
  <si>
    <t>C1:10567:LUBRICANTES </t>
  </si>
  <si>
    <t>GONZALO GARCIA MUÑOZ NAJAR</t>
  </si>
  <si>
    <t>117787-051-101215</t>
  </si>
  <si>
    <t>MUNICIPALIDAD DISTRITAL DE ILABAYA</t>
  </si>
  <si>
    <t>EL CAYRO A 7 KM. DE ILABAYA</t>
  </si>
  <si>
    <t>C1:4344:Diesel B5 S-50 </t>
  </si>
  <si>
    <t>C1:3909:Diesel B5 S-50 </t>
  </si>
  <si>
    <t>LUIS NEPTALI CERRATO TAMAYO</t>
  </si>
  <si>
    <t>87078-051-2010</t>
  </si>
  <si>
    <t>PRODUCTORA ANDINA DE CONGELADOS S.R.L.</t>
  </si>
  <si>
    <t>MZ. C LT. 05 PARQUE INDUSTRIAL MUNICIPAL N° 1 SULLANA - KM. 2.1 DE LA CARRETERA A TAMBOGRANDE</t>
  </si>
  <si>
    <t>PAOLO RAFFO CONSIGLI</t>
  </si>
  <si>
    <t>124246-051-040417</t>
  </si>
  <si>
    <t>CALLE 2 S/N ESQUINA AV. ELMER FAUCETT - EX FUNDO BOCANEGRA</t>
  </si>
  <si>
    <t>C1:900:Diesel B5 S-50 </t>
  </si>
  <si>
    <t xml:space="preserve">JAVIER AGUSTIN FRANCISCO VALENCIA DONGO CARDENAS </t>
  </si>
  <si>
    <t>64097-051-211218</t>
  </si>
  <si>
    <t>EMPRESA DE TRANSPORTES MIRAMAR S A</t>
  </si>
  <si>
    <t>AV. SAN JOSE Nº 577 MZ. 03 LT. 02 CENTRO POBLADO MIRAMAR</t>
  </si>
  <si>
    <t xml:space="preserve">GUILLERMO TELLO RAMIREZ </t>
  </si>
  <si>
    <t>HILANDERIA SAN ANTONIO</t>
  </si>
  <si>
    <t>CALLE SAN ANDRES NO. 6165 - URB. MOLITALIA</t>
  </si>
  <si>
    <t>C1:3200:PETRÓLEO INDUSTRIAL Nº 6 </t>
  </si>
  <si>
    <t>ABUSADA MATTAR, JUAN MIGUEL</t>
  </si>
  <si>
    <t>124111-051-261119</t>
  </si>
  <si>
    <t>ZBUSS S.A.C.</t>
  </si>
  <si>
    <t>PROLONGACION AV. SALAVERRY S/N</t>
  </si>
  <si>
    <t>AUGUSTO ZEVALLOS BLAS</t>
  </si>
  <si>
    <t>0035-CDFJ-15-2001</t>
  </si>
  <si>
    <t>ESQ. AV. LAS TORRES CON AV. HUACHIPA MZ. F LT. 6-A URB. LA CAPITANA</t>
  </si>
  <si>
    <t>0003-CDFJ-15-2009</t>
  </si>
  <si>
    <t>INTERPAINTS S.A.C.</t>
  </si>
  <si>
    <t>AV. ENRIQUE MEIGGS N° 2925 Y AV. UNIVERSITARIA</t>
  </si>
  <si>
    <t>C1:110:SOLVENTE 3 </t>
  </si>
  <si>
    <t>C1:1100:TOLUENO </t>
  </si>
  <si>
    <t>C1:880:XILENO </t>
  </si>
  <si>
    <t>SERPA TRANCON, ERNESTO ALFONSO</t>
  </si>
  <si>
    <t>0023-CDFJ-15-2008</t>
  </si>
  <si>
    <t>EMPRESA DE SERVICIOS MULTIPLES LOS LAURELES DE MANCHAY S.A.</t>
  </si>
  <si>
    <t>AV. VICTOR MALASQUEZ ,PARCELA 7 , C.C. COLLANAC</t>
  </si>
  <si>
    <t>CALLATA CHOQUEHUANCA, JULIAN</t>
  </si>
  <si>
    <t>1185-051-170911</t>
  </si>
  <si>
    <t>INDUSTRIAS CACHIMAYO S.A</t>
  </si>
  <si>
    <t>AV. AGUSTIN GAMARRA N° 100</t>
  </si>
  <si>
    <t>CACHIMAYO</t>
  </si>
  <si>
    <t>C1:26417:DIESEL B5 </t>
  </si>
  <si>
    <t>FERNANDO SOLIS GUTIERREZ</t>
  </si>
  <si>
    <t>0010-CDFJ-15-2007</t>
  </si>
  <si>
    <t>EMPRESA DE TRANSPORTES MARISCAL RAMON CASTILLA S.A.</t>
  </si>
  <si>
    <t>AV. CENTRAL S/N PARCELA 24 EX FUNDO NARANJAL</t>
  </si>
  <si>
    <t>BRACAMONTE LA, ROSA JULIO LANDO</t>
  </si>
  <si>
    <t>112860-051-270215</t>
  </si>
  <si>
    <t xml:space="preserve">MULTISERVICIOS Y CONTRATISTAS SAILORS S.A.C. </t>
  </si>
  <si>
    <t xml:space="preserve">AV. LOS CIRUELOS S/N PARCELACIÓN CANTOGRANDE MZ F LT 7 </t>
  </si>
  <si>
    <t>C1:3688:Diesel B5 S-50 </t>
  </si>
  <si>
    <t>JOSE ANTONIO CIEZA AYALA</t>
  </si>
  <si>
    <t>0005-CDFJ-13-2008</t>
  </si>
  <si>
    <t>OPERACIONES COMERCIALES DEL PERU S.A.C</t>
  </si>
  <si>
    <t>ZONA PAMPA LARCO ( COMPAÑIA MINERA AURIFERA SANTA ROSA S.A)</t>
  </si>
  <si>
    <t>C1:4523:DIESEL 2 </t>
  </si>
  <si>
    <t>CASTILLO ZAFRA, CESAR AUGUSTO</t>
  </si>
  <si>
    <t>103402-051-061014</t>
  </si>
  <si>
    <t>PERCOQ INVERSIONES E.I.R.L.</t>
  </si>
  <si>
    <t>CONCESION MINERA FRANMAR-SECTOR BARRACA CAYCHIHUE.</t>
  </si>
  <si>
    <t>PERCY CCOYO QUISPE</t>
  </si>
  <si>
    <t>83472-051-061219</t>
  </si>
  <si>
    <t>MINERA IRL S.A.</t>
  </si>
  <si>
    <t>LADO OESTE DEL PROYECTO MINERO CORIHUARMI - PARAJE YANACANCHA</t>
  </si>
  <si>
    <t>YAUYOS</t>
  </si>
  <si>
    <t>HUANTAN</t>
  </si>
  <si>
    <t>C1:10267:Diesel B5 S-50 </t>
  </si>
  <si>
    <t>DIEGO BENAVIDES NORLANDER</t>
  </si>
  <si>
    <t>122683-051-060916</t>
  </si>
  <si>
    <t>PALMAS DEL SHANUSI S.A.</t>
  </si>
  <si>
    <t>CARRETERA TARAPOTO - YURIMAGUAS S/N, FUNDO PALMAS DEL SHANUSI</t>
  </si>
  <si>
    <t>JOSE FERNANDO MERCADO BARTOLO</t>
  </si>
  <si>
    <t>0004-CDFJ-25-2001</t>
  </si>
  <si>
    <t>COMPLEJO INDUSTRIAL MADERERO PEZO VILLACORTA SAC.</t>
  </si>
  <si>
    <t>"CARRETERA MANATAY KM. 4,500"</t>
  </si>
  <si>
    <t>PEZO VILLACORTA, MIGUEL ANGEL</t>
  </si>
  <si>
    <t>119724-051-190216</t>
  </si>
  <si>
    <t>MINERA WILCAQ EIRL</t>
  </si>
  <si>
    <t>CONCESION MINERA PROYECTO CONDOR PARAJE MOROCOLLO</t>
  </si>
  <si>
    <t xml:space="preserve">WILFREDO CAJCHAYA QUITO </t>
  </si>
  <si>
    <t>0004-CDFJ-04-2003</t>
  </si>
  <si>
    <t>CENTRAL AZUCARERA CHUCARAPI PAMPA BLANCA S.A.</t>
  </si>
  <si>
    <t>ANEXO CHUCARAPI</t>
  </si>
  <si>
    <t>GUILLEN OPORTO, JULIO HELERD</t>
  </si>
  <si>
    <t>99033-051-140313</t>
  </si>
  <si>
    <t xml:space="preserve">EMPRESA DE TRANSPORTES Y SERVICIOS GUADULFO SILVA CARBAJAL S.A. </t>
  </si>
  <si>
    <t>MANZANA A LOTES 1, 2, 3 Y 4, AA.HH. LOS JARDINES DE PUCUSANA</t>
  </si>
  <si>
    <t>PUCUSANA</t>
  </si>
  <si>
    <t>MAXIMO PELAYO BRAVO LAUS</t>
  </si>
  <si>
    <t>64318-051-070714</t>
  </si>
  <si>
    <t>EMPRESA DE TRANSPORTES Y SERVICIOS PREFERENCIAL M 1 S.A.</t>
  </si>
  <si>
    <t>MZ BC LOTE 13-14 SECTOR UNION BELLAVISTA ANEXO 22 CC JICAMARCA</t>
  </si>
  <si>
    <t xml:space="preserve">PAJA JUSTO LIDIA MATILDE </t>
  </si>
  <si>
    <t>115858-051-231019</t>
  </si>
  <si>
    <t>EMPRESA DE TRANSPORTES URBANO WARICAR´S S.R.L.</t>
  </si>
  <si>
    <t>JR. LOS ALGARROBOS S/N, MZ I, LOTES 2 Y 3, BARRIO MIRAFLORES II</t>
  </si>
  <si>
    <t>SAN JUAN BAUTISTA</t>
  </si>
  <si>
    <t>FLAVIO MUÑOZ CASTILLO</t>
  </si>
  <si>
    <t>140061-114-160820</t>
  </si>
  <si>
    <t>MARCOBRE S.A.C.</t>
  </si>
  <si>
    <t>UNIDAD MINERA MINA JUSTA - ASIENTO MINERO MARCOBRE / ALT KM 10 DE LA CARRETERA SAN JUAN DE MARCONA</t>
  </si>
  <si>
    <t>C1:103500:Diesel B5 S-50 </t>
  </si>
  <si>
    <t>C1:4755:LUBRICANTES </t>
  </si>
  <si>
    <t>C1:2377:LUBRICANTES </t>
  </si>
  <si>
    <t>C1:1321:LUBRICANTES </t>
  </si>
  <si>
    <t>RODRIGUEZ CERDEÑA ENRIQUE ROBERTO</t>
  </si>
  <si>
    <t>100368-051-250113</t>
  </si>
  <si>
    <t>MINERA ANTARES PERU S.A.C</t>
  </si>
  <si>
    <t>C1:9500:Diesel B5 S-50 </t>
  </si>
  <si>
    <t>MICHAEL JOHN PARKER</t>
  </si>
  <si>
    <t>0026-CDFJ-15-2003</t>
  </si>
  <si>
    <t>CORPORACION TEXPOP S.A.</t>
  </si>
  <si>
    <t>AV. TOMAS VALLE N° 671</t>
  </si>
  <si>
    <t>LOLAS MIANI, JOSE YUSOF</t>
  </si>
  <si>
    <t>MINERA CENTRO S.A.C.</t>
  </si>
  <si>
    <t>PARAJE LOS PICOS S/N</t>
  </si>
  <si>
    <t>QUICHUAY</t>
  </si>
  <si>
    <t>C1:5500:DIESEL 2 </t>
  </si>
  <si>
    <t>C1:5750:ASFALTOS </t>
  </si>
  <si>
    <t>BAILON ARIZA, DANIEL</t>
  </si>
  <si>
    <t>0044-CDFJ-15-2009</t>
  </si>
  <si>
    <t>PONTIFICIA UNIVERSIDAD CATOLICA DEL PERU</t>
  </si>
  <si>
    <t>DANIEL ALOMIA ROBLES 125 ESQ. CLAUDE DEBUSSY</t>
  </si>
  <si>
    <t>ARGUMEDO BUSTINZA, JOSE JULIO</t>
  </si>
  <si>
    <t>18442-051-230613</t>
  </si>
  <si>
    <t>CALETA CHIGUAS KM. 6.5 CARRETERA MATARANI-MOLLENDO</t>
  </si>
  <si>
    <t>C1:9682:Diesel B5 S-50 </t>
  </si>
  <si>
    <t>C1:12095:Diesel B5 S-50 </t>
  </si>
  <si>
    <t>C1:62839:Diesel B5 S-50 </t>
  </si>
  <si>
    <t>EDGAR JOSE ARONI BOY</t>
  </si>
  <si>
    <t>96592-051-271114</t>
  </si>
  <si>
    <t xml:space="preserve">ELECTRO SUR ESTE S.A.A </t>
  </si>
  <si>
    <t>MANZANA R2 LOTE 1 BARRIO ALTO PERU</t>
  </si>
  <si>
    <t>IBERIA</t>
  </si>
  <si>
    <t>C1:30632:Diesel B5 S-50 </t>
  </si>
  <si>
    <t xml:space="preserve">LUIS RAMIRO CHAVEZ SERRANO </t>
  </si>
  <si>
    <t>0001-CDFJ-15-2005</t>
  </si>
  <si>
    <t>PESQUERA CARAL S.A.</t>
  </si>
  <si>
    <t>AV. LAS CANARIAS S/N.</t>
  </si>
  <si>
    <t>C1:35700:PETRÓLEO INDUSTRIAL Nº 500 </t>
  </si>
  <si>
    <t>FLOREZ MORENO, GENARO</t>
  </si>
  <si>
    <t>0005-CDFJ-04-2001</t>
  </si>
  <si>
    <t>EMPRESA EMPRESA DE TRANSPORTES BUENOS AIRES DE CAYMA S.R.L.</t>
  </si>
  <si>
    <t>ESQ. AV. AREQUIPA CON JR. ZELA - URB. BUENOS AIRES.</t>
  </si>
  <si>
    <t>RAMOS TELLO, JAVIER JAIME</t>
  </si>
  <si>
    <t>124090-051-100117</t>
  </si>
  <si>
    <t xml:space="preserve">SOCIEDAD MINERA AUSTRIA DUVAZ S.A.C. </t>
  </si>
  <si>
    <t>CARRETERA CENTRAL KM. 139.5 SECTOR MOROCOCHA</t>
  </si>
  <si>
    <t>CRISTIAN ATTILIO CADENILLAS RABANAL</t>
  </si>
  <si>
    <t>102164-051-110513</t>
  </si>
  <si>
    <t>TRANSPORTES N 3 VIRGEN DE LA PUERTA S.A.C.</t>
  </si>
  <si>
    <t>AV. ALFONSO UGARTE MZ C LOTE 03 - TAMBO REAL VIEJO</t>
  </si>
  <si>
    <t>C1:1745:DIESEL B5 </t>
  </si>
  <si>
    <t>ALBINO SEGOVIA ALDABA</t>
  </si>
  <si>
    <t>0000016-LIM</t>
  </si>
  <si>
    <t>TEXTIL POLITEX S.A.C.</t>
  </si>
  <si>
    <t>AV. D MZ. F LOTE 5 URB. SANTA RAQUEL</t>
  </si>
  <si>
    <t>C1:5700:PETRÓLEO INDUSTRIAL Nº 6 </t>
  </si>
  <si>
    <t>SCHIMITSCHEK LINK, PETER ALBERT</t>
  </si>
  <si>
    <t>122685-051-060916</t>
  </si>
  <si>
    <t>INDUSTRIAS DEL SHANUSI S.A.</t>
  </si>
  <si>
    <t>140785-051-170119</t>
  </si>
  <si>
    <t>EMPRESA DE TRANSPORTES TURISMO REAL DORADO S.R.L.</t>
  </si>
  <si>
    <t>SECTOR EL TRIUNFO, CARRETERA INTEROCEANICA KM. 1.5</t>
  </si>
  <si>
    <t>LAS PIEDRAS</t>
  </si>
  <si>
    <t>ORESTES CCALLI TICONA</t>
  </si>
  <si>
    <t>84573-051-290520</t>
  </si>
  <si>
    <t>CARRETERA PAITA SULLANA KM. 5 MZ. I ZONA INDUSTRIAL</t>
  </si>
  <si>
    <t>C1:650:Diesel B5 S-50 </t>
  </si>
  <si>
    <t>GARCIA ESPINOZA, SALUSTIO FELIPE</t>
  </si>
  <si>
    <t>0007-CDFJ-15-2002</t>
  </si>
  <si>
    <t>CLUB DE REGATAS LIMA</t>
  </si>
  <si>
    <t>AV. CHACHI DIBOS N° 1201</t>
  </si>
  <si>
    <t>PLACIDO VILCACHAEDA, ALEX FERNANDO</t>
  </si>
  <si>
    <t>0054-CDFJ-15-2001</t>
  </si>
  <si>
    <t>EMPRESA DE TRANSPORTES 104 S.A.</t>
  </si>
  <si>
    <t>AV. LOS REGADORES MZ. B LOTE 12, URB HORIZONTE DE ZARATE</t>
  </si>
  <si>
    <t>JARA ALCALA, CARLOS ALBERTO</t>
  </si>
  <si>
    <t>0006-CDFJ-11-2005</t>
  </si>
  <si>
    <t>IQF DEL PERU S.A.</t>
  </si>
  <si>
    <t>CARRETERA PANAMERICANA SUR KM.313.8</t>
  </si>
  <si>
    <t>C1:4870:PETRÓLEO INDUSTRIAL Nº 6 </t>
  </si>
  <si>
    <t>FERNANDINI VALLE, RIESTRA EULOGIO GONZALO</t>
  </si>
  <si>
    <t>0032-CDFJ-15-2009</t>
  </si>
  <si>
    <t>SOCIEDAD QUIMICO INDUSTRIAL PARACAS S.A.</t>
  </si>
  <si>
    <t>AV. ARGENTINA 2976</t>
  </si>
  <si>
    <t>C1:2000:SOLVENTE 3 </t>
  </si>
  <si>
    <t>C1:2800:SOLVENTE 3 </t>
  </si>
  <si>
    <t>C1:2500:INSUMOS QUÍMICOS </t>
  </si>
  <si>
    <t>C1:5000:TOLUENO </t>
  </si>
  <si>
    <t>DONAYRE CAHUA, FELIX WALTER</t>
  </si>
  <si>
    <t>0044-CDFJ-15-2008</t>
  </si>
  <si>
    <t>EMPRESA DE TRANSPORTES Y SERVICIOS MULTIPLES SAN GENARO S.A.</t>
  </si>
  <si>
    <t>AV. SANTA ANITA 548 URB. VILLA MARINA MZ. B-1 LT 08.</t>
  </si>
  <si>
    <t>0006-CDFJ-13-2000</t>
  </si>
  <si>
    <t>AGROINDUSTRIAS JOSYMAR S.A.</t>
  </si>
  <si>
    <t>AV. TUPAC AMARU Nº 1428</t>
  </si>
  <si>
    <t>ZAVALETA OBESO, TEOFILO EDUARDO</t>
  </si>
  <si>
    <t>0001-CDFJ-12-2002</t>
  </si>
  <si>
    <t>COOPERATIVA INDUSTRIAL MANUFACTURAS DEL CENTRO LTDA.</t>
  </si>
  <si>
    <t>SAN CARLOS 136</t>
  </si>
  <si>
    <t>C1:17000:DIESEL 2 </t>
  </si>
  <si>
    <t>C1:13000:PETRÓLEOS INDUSTRIALES </t>
  </si>
  <si>
    <t>HERRERA GONZALES, JUAN ANTONIO</t>
  </si>
  <si>
    <t>44497-051-210120</t>
  </si>
  <si>
    <t>CONSORCIO NUEVA ALTERNATIVA S.A.</t>
  </si>
  <si>
    <t>CALLE MANCO CAPAC MZ. F LT. 05 Y 06 SAN ANTONIO DE CHACLLA</t>
  </si>
  <si>
    <t>C1:5047:Diesel B5 S-50 </t>
  </si>
  <si>
    <t>ALBERT HUE RAINER</t>
  </si>
  <si>
    <t>490-112-230712</t>
  </si>
  <si>
    <t>PISOPAK PERU S.A.C.</t>
  </si>
  <si>
    <t>AV. NICOLAS AYLLON N° 3898</t>
  </si>
  <si>
    <t>C1:3000:SOLVENTE 1 </t>
  </si>
  <si>
    <t>OSCAR BEDOYA CAMERE</t>
  </si>
  <si>
    <t>1087291-PIU</t>
  </si>
  <si>
    <t>KM 18, CARRETERA SECHURA - BAYOBAR</t>
  </si>
  <si>
    <t>C1:103095:DIESEL 2 </t>
  </si>
  <si>
    <t>C1:103095:PETRÓLEO INDUSTRIAL Nº 500 </t>
  </si>
  <si>
    <t>0021-CDFJ-04-2004</t>
  </si>
  <si>
    <t>VARIANTE DE UCHUMAYO N° 1801</t>
  </si>
  <si>
    <t>SACHACA</t>
  </si>
  <si>
    <t>C1:70000:PETRÓLEO INDUSTRIAL Nº 500 </t>
  </si>
  <si>
    <t>C1:11000:DIESEL 2 </t>
  </si>
  <si>
    <t>C1:5076:DIESEL 2 </t>
  </si>
  <si>
    <t>PONCE DE LEON GUTIERREZ, RONALD</t>
  </si>
  <si>
    <t>96675-051-230512</t>
  </si>
  <si>
    <t xml:space="preserve">EMPRESA DE TRANSPORTES Y SERVICIOS 45 S.A. </t>
  </si>
  <si>
    <t>CALLE YURUMAYO S/N, SUB LOTE Nº 2 - MZ. J, LOS HUERTOS DEL NARANJAL</t>
  </si>
  <si>
    <t>GUSTAVO ARTURO JANCACHAGUA TEMBLADERA</t>
  </si>
  <si>
    <t>39726-051-180920</t>
  </si>
  <si>
    <t>AV. MEXICO Y CALLE LOS BRILLANTES N° 120, 124, 144 Y 150</t>
  </si>
  <si>
    <t>C1:12160:Diesel B5 S-50 </t>
  </si>
  <si>
    <t>121586-051-180519</t>
  </si>
  <si>
    <t>EMPRESA DE TRANSPORTE DE PASAJEROS Y CARGA CAVASSA S.A.C.</t>
  </si>
  <si>
    <t>CALLE PROLONGACIÓN DE MARISCAL NIETO N° 275-279, URB. INDUSTRIAL RESIDENCIAL LOS SAUCES</t>
  </si>
  <si>
    <t>RODOLFO CESAREO MINAYA YABAR</t>
  </si>
  <si>
    <t>INDUSTRIAS SAN MIGUEL S.A.</t>
  </si>
  <si>
    <t>ZONA INDUSTRIAL II MZ. A LT. 6</t>
  </si>
  <si>
    <t>C1:3875:DIESEL 2 </t>
  </si>
  <si>
    <t>LOVEDAY GOMEZ, HENRY ISAAC</t>
  </si>
  <si>
    <t>0002-CDFJ-10-2000</t>
  </si>
  <si>
    <t>MAPLE GAS CORPORATION DEL PERU S.R.L.</t>
  </si>
  <si>
    <t>CAMPO AGUA CALIENTE (LOTE 31 - D)</t>
  </si>
  <si>
    <t>HONORIA</t>
  </si>
  <si>
    <t>C1:20061.32:DIESEL 2 </t>
  </si>
  <si>
    <t>C1:4740.78:DIESEL 2 </t>
  </si>
  <si>
    <t>C1:2285.42:GASOLINA 84 </t>
  </si>
  <si>
    <t>C1:1183.7:DIESEL 2 </t>
  </si>
  <si>
    <t>FERREYROS CANNOCK, RAFAEL GUILLERMO</t>
  </si>
  <si>
    <t>0026-CDFJ-04-2001</t>
  </si>
  <si>
    <t>CORPORACION TRANSPORTE TERRESTRE S.A.C.</t>
  </si>
  <si>
    <t>AV. TUPAC AMARU MZ.B, LOTE 14.</t>
  </si>
  <si>
    <t>CONDOR CARHUAS, WALTER</t>
  </si>
  <si>
    <t>95045-051-070918</t>
  </si>
  <si>
    <t>SERVIPACANGA S.A.C.</t>
  </si>
  <si>
    <t>CARRETERA PANAMERICANA NORTE KM. 719.5 CENTRO POBLADO MENOR DE PACANGUILLA PREDIO EL PROGRESO</t>
  </si>
  <si>
    <t>C1:2137:Diesel B5 S-50 </t>
  </si>
  <si>
    <t>C1:1064:GASOHOL 84 PLUS </t>
  </si>
  <si>
    <t>C1:1064:GASOHOL 90 PLUS </t>
  </si>
  <si>
    <t xml:space="preserve">HELBERT DAMIAN MARTINEZ SUAREZ </t>
  </si>
  <si>
    <t>125922-112-170417</t>
  </si>
  <si>
    <t>CORPORACION INDUSTRIAL LOSARO S.A.C</t>
  </si>
  <si>
    <t>CALLE SANTA ANA N° 130, EX FUNDO CHACRA CERRO</t>
  </si>
  <si>
    <t>C1:3000:Diesel B5 S-50 C1:4950:HAS MAPLE,SOLVENTE 1,SOLVENTE 3 </t>
  </si>
  <si>
    <t>JAVIER WILLIAM SAENZ ROSALES</t>
  </si>
  <si>
    <t>SAN MIGUEL INDUSTRIAL S.A.</t>
  </si>
  <si>
    <t>AV. INDUSTRIAL NO 491</t>
  </si>
  <si>
    <t>C1:6200:DIESEL 2 </t>
  </si>
  <si>
    <t>C1:15520:PETRÓLEO INDUSTRIAL Nº 6 </t>
  </si>
  <si>
    <t>FERNANDEZ BUTRICA, CARLOS NICOLAS</t>
  </si>
  <si>
    <t>145787-051-110819</t>
  </si>
  <si>
    <t>EMPRESA DE GENERACION ELECTRICA MACHUPICCHU S.A.</t>
  </si>
  <si>
    <t>CENTRAL HIDROELECTRICA MACHUPICCHU KM 122, LINEA FERREA CUSCO MACHUPICCHU</t>
  </si>
  <si>
    <t>CARLOS ANTONIO MENENDEZ DEZA</t>
  </si>
  <si>
    <t>129308-051-160617</t>
  </si>
  <si>
    <t>CERAMICA LIMA S.A</t>
  </si>
  <si>
    <t>PANAMERICANA SUR 1601</t>
  </si>
  <si>
    <t>21183-051-100614</t>
  </si>
  <si>
    <t>AV. LOS PESCADORES 596. ZONA INDUSTRIAL 27 DE OCTUBRE</t>
  </si>
  <si>
    <t>C1:11600:DIESEL B5 </t>
  </si>
  <si>
    <t>C1:13280:DIESEL B5 </t>
  </si>
  <si>
    <t>C1:8600:DIESEL B5 </t>
  </si>
  <si>
    <t>C1:80000:PETRÓLEO INDUSTRIAL Nº 6 </t>
  </si>
  <si>
    <t>C1:10644:DIESEL B5 </t>
  </si>
  <si>
    <t>133207-051-120320</t>
  </si>
  <si>
    <t>EMPRESA DE TRANSPORTES Y SERVICIOS MULTIPLES INTEGRACION HUANCA S.A.C.</t>
  </si>
  <si>
    <t>JR. JORGE CHAVEZ N° 515 ANEXO DE SAÑOS GRANDE</t>
  </si>
  <si>
    <t>BORJA FRAGA ERNESTO</t>
  </si>
  <si>
    <t>0001-CDFJ-06-2000</t>
  </si>
  <si>
    <t>PROYECTO ESPECIAL JEQUETEPEQUE-ZAÑA</t>
  </si>
  <si>
    <t>KM. 34 CARRETERA A CAJAMARCA (GALLITO CIEGO)</t>
  </si>
  <si>
    <t>ANTERO DELGADO, MERINO</t>
  </si>
  <si>
    <t>149304-051-250220</t>
  </si>
  <si>
    <t>L&amp;B MINERA SOCIEDAD COMERCIAL DE RESPONSABILIDAD LIMITADA - L&amp;B MINERA S.R.L.</t>
  </si>
  <si>
    <t xml:space="preserve">CONCESION MINERA "SOLITARIO 2002" </t>
  </si>
  <si>
    <t>C1:5300:Diesel B5 S-50 </t>
  </si>
  <si>
    <t>BRENDA CUSICUNA TIPO</t>
  </si>
  <si>
    <t>EMPRESA DE TRANSPORTES CORDOVA HERMANOS S.C.R.L.</t>
  </si>
  <si>
    <t>JR. RAMON CASTILLA S/N.</t>
  </si>
  <si>
    <t>CORDOVA ARZAPALO, JUAN CRISTOBAL</t>
  </si>
  <si>
    <t>0006-CDFJ-15-2002</t>
  </si>
  <si>
    <t>TRANSPORTES ZETRAMSA S.A.C</t>
  </si>
  <si>
    <t>CASCANUECES MZ. L. LT. 6</t>
  </si>
  <si>
    <t>TICLAVILCA CORREA, ZACARIAS LOLO</t>
  </si>
  <si>
    <t>0043-CDFJ-15-2007</t>
  </si>
  <si>
    <t xml:space="preserve">EMPRESA DE TRANSPORTES EL METRO </t>
  </si>
  <si>
    <t xml:space="preserve">AV. PACASMAYO S/N, PRADERAS DEL SOL, IV ETAPA </t>
  </si>
  <si>
    <t>CUEVA FLORES, EDMUNDO</t>
  </si>
  <si>
    <t>0021-CDFJ-15-2006</t>
  </si>
  <si>
    <t>ASOCIACION PERUANA DE LA IGLESIA DE JESUCRISTO DE LOS SANTOS DE LOS ULTIMOS DIAS</t>
  </si>
  <si>
    <t>AV. REPUBLICA DE VENEZUELA N°3160-3164</t>
  </si>
  <si>
    <t>C1:2083:DIESEL 2 </t>
  </si>
  <si>
    <t>PESANTES SILVA, HERNAN</t>
  </si>
  <si>
    <t>1020-051-170112</t>
  </si>
  <si>
    <t>EMPRESA DE TRANSPORTES Y SERVICIOS LIMA CHOSICA S.A.</t>
  </si>
  <si>
    <t>CARRETERA CENTRAL KM. 39</t>
  </si>
  <si>
    <t>JULIO ORESTE SOLIS TAMARA</t>
  </si>
  <si>
    <t>0005-CDFJ-04-2000</t>
  </si>
  <si>
    <t>TRANSPORTES ANGEL IBARCENA REYNOSO R. S.R.LTDA.</t>
  </si>
  <si>
    <t>VARIANTE DE UCHUMAYO KM. 1.5</t>
  </si>
  <si>
    <t>SILVA SANTISTEBAN, CARLOS REVOREDO</t>
  </si>
  <si>
    <t>96091-051-130620</t>
  </si>
  <si>
    <t>OLYMPIC PERU INC. SUCURSAL DEL PERU</t>
  </si>
  <si>
    <t>TABLAZO COLAN LOTE XIII A "YACIMIENTO LA ISLA"</t>
  </si>
  <si>
    <t>COLAN</t>
  </si>
  <si>
    <t>JULIO CESAR FRANCISCO BERNINZON PONCE</t>
  </si>
  <si>
    <t>0034-CDFJ-15-2005</t>
  </si>
  <si>
    <t>LAIVE S.A.</t>
  </si>
  <si>
    <t>AV. NICOLAS DE PIEROLA 601</t>
  </si>
  <si>
    <t>MONTOYA MANRIQUE, ALFREDO AUGUSTO</t>
  </si>
  <si>
    <t>0014-CDFJ-07-2009</t>
  </si>
  <si>
    <t xml:space="preserve">AV. OQUENDO CON AV. B. EX FUNDO OQUENDO </t>
  </si>
  <si>
    <t>C1:10000:DIESEL B2 </t>
  </si>
  <si>
    <t>0051-CDFJ-15-2005</t>
  </si>
  <si>
    <t>MOTORES DIESEL ANDINOS S.A. (MODASA)</t>
  </si>
  <si>
    <t>AV. LOS FRUTALES N° 202</t>
  </si>
  <si>
    <t>GARCIA BEJAR, HECTOR RAUL</t>
  </si>
  <si>
    <t xml:space="preserve">COMPANIA MINERA SAN IGNACIO DE MOROCOCHA S.A </t>
  </si>
  <si>
    <t>MINA SAN VICENTE A 17 KM. AL SUR DE SAN RAMON</t>
  </si>
  <si>
    <t>VITOC</t>
  </si>
  <si>
    <t>C1:2597:DIESEL B2 </t>
  </si>
  <si>
    <t>C1:5828:DIESEL B2 </t>
  </si>
  <si>
    <t>C1:21997:DIESEL B2 </t>
  </si>
  <si>
    <t>C1:30997:DIESEL B2 </t>
  </si>
  <si>
    <t>C1:26602:DIESEL B2 </t>
  </si>
  <si>
    <t>C1:5933:DIESEL B2 </t>
  </si>
  <si>
    <t>MARQUEZ ZAPATA, JAVIER</t>
  </si>
  <si>
    <t>89079-051-140613</t>
  </si>
  <si>
    <t>LADRILLERA INCA PERU S.A.C.</t>
  </si>
  <si>
    <t>AV. LOS CEDROS, MZ. D, LOTE 12, URB. LA CAPITANA, C.P. SANTA MARIA DE HUACHIPA</t>
  </si>
  <si>
    <t>ABEL ROMAN PAREJA</t>
  </si>
  <si>
    <t>TURISMO EXPRESO PULLMAN S.A.</t>
  </si>
  <si>
    <t>ESQ. AV. BOLOGNESI CON AV. LORETO S/N.</t>
  </si>
  <si>
    <t>C1:5280:DIESEL 2 </t>
  </si>
  <si>
    <t>CICCIA CICCIA, MIGUEL</t>
  </si>
  <si>
    <t>0006-CDFJ-13-2006</t>
  </si>
  <si>
    <t>MZ. V LTS 6, 7, 8, 16, 17, 18. URB. SEMI RUSTICA EL BOSQUE KM. 3.5. CARRETERA INDUSTRIAL A LAREDO, VALLE SANTA CATALINA</t>
  </si>
  <si>
    <t>C1:1600:PETRÓLEO INDUSTRIAL Nº 6 </t>
  </si>
  <si>
    <t>GANOZA ANAYA, JOSE ANTONIO</t>
  </si>
  <si>
    <t>0028-CDFJ-15-2005</t>
  </si>
  <si>
    <t>PESQUERA CENTINELA S.A.C</t>
  </si>
  <si>
    <t>ANTIGUA P. NORTE KM. 62.50</t>
  </si>
  <si>
    <t>C1:60000:RESIDUAL 500 (USO PROPIO) </t>
  </si>
  <si>
    <t>CACERES LOAYZA, JAVIER FERNANDO</t>
  </si>
  <si>
    <t>ASOCIACION PERUANA DE LA IGLESIA DE JESUCRISTO DE LOS SANTOS DE LOS ULTIMOS DIAS - ASPERSUD</t>
  </si>
  <si>
    <t>AV. MELGAREJO N° 165</t>
  </si>
  <si>
    <t>0018-CDFJ-15-2009</t>
  </si>
  <si>
    <t>OWENS-ILLINOIS PERU S.A.</t>
  </si>
  <si>
    <t>PAMPAS DE MAMAY LT. A-2-3 URB. PRADERAS DE LURIN</t>
  </si>
  <si>
    <t>C1:30700:DIESEL B2 </t>
  </si>
  <si>
    <t>0045-CDFJ-15-2006</t>
  </si>
  <si>
    <t>EMPRESA DE TRANSPORTES ESPECIAL SOLIDARIDAD S.A.</t>
  </si>
  <si>
    <t xml:space="preserve">CC. JICAMARCA ANEXO 22 PAMPAS DE CANTO GRANDE MZ.D LT.1 Y 2 </t>
  </si>
  <si>
    <t>C1:4994:DIESEL 2 </t>
  </si>
  <si>
    <t>MATOS CAMAC, FELIX</t>
  </si>
  <si>
    <t>0007-CDFJ-11-2003</t>
  </si>
  <si>
    <t>EMPRESA DE TRANSPORTES SAN ISIDRO S.A.</t>
  </si>
  <si>
    <t>A.H. LA BEATA MELCHORITA MZ. E LOTE 13</t>
  </si>
  <si>
    <t>PUEBLO NUEVO</t>
  </si>
  <si>
    <t>CALDERON MATAMOROS, ANGEL</t>
  </si>
  <si>
    <t>149158-051-120220</t>
  </si>
  <si>
    <t>ORGANISMO PUBLICO INFRAESTRUCTURA PARA LA PRODUCTIVIDAD OPIPP</t>
  </si>
  <si>
    <t>CASA DE FUERZA LOCALIDAD DE SAN ANTONIO DE CACAO, AGUAS ABAJO RIO CACAO A UNA HORA DE CABALLOCOCHA</t>
  </si>
  <si>
    <t>RAMON CASTILLA</t>
  </si>
  <si>
    <t>SEGUNDO VICTOR SOTO VASQUEZ</t>
  </si>
  <si>
    <t>127178-051-190517</t>
  </si>
  <si>
    <t>TRANSPORTES PAKATNAMU S.A.C</t>
  </si>
  <si>
    <t>CARRETERA A LAMBAYEQUE MZ A LOET 6 ( CARRETERA A LAMBAYEQUE KM 4.5)</t>
  </si>
  <si>
    <t>MARIO SOTO ASCARZA</t>
  </si>
  <si>
    <t>132168-051-251018</t>
  </si>
  <si>
    <t xml:space="preserve">REAL GAS SERVICES S.A.C. </t>
  </si>
  <si>
    <t xml:space="preserve">CARRETERA DE INGRESO A PUCUSANA, LOTE 23 ZONA C, ASOCIACION DE PROPIETARIOS Y POSEEDORES DE TERRENO CERRO COLORADO </t>
  </si>
  <si>
    <t>JAIME GUSTAVO PARDO PACHECO</t>
  </si>
  <si>
    <t>0001-CDFJ-09-2000</t>
  </si>
  <si>
    <t>ELECTRO SUR MEDIO S.A. (CENTRAL TERMICA CORDOVA)</t>
  </si>
  <si>
    <t>CENTRAL TERMICA CORDOVA</t>
  </si>
  <si>
    <t>CORDOVA</t>
  </si>
  <si>
    <t>C1:825:DIESEL 2 </t>
  </si>
  <si>
    <t>0016-CDFJ-15-2002</t>
  </si>
  <si>
    <t>EMPRESA DE TRANSPORTES DE SERVICIOS MULTIPLES A.J.T.V. Y E.S.A.</t>
  </si>
  <si>
    <t>IV ETAPA BARRIO II DE PACHACAMAC, MZ. H, LOTE 21</t>
  </si>
  <si>
    <t>GALDOS JARA, VICTOR</t>
  </si>
  <si>
    <t>0003-CDFJ-09-2000</t>
  </si>
  <si>
    <t>ELECTRO SUR MEDIO S.A. (CENTRAL TERMICA DE HUACHOS)</t>
  </si>
  <si>
    <t>AV. ADYACENTE A QUEBRADA POR EL DESCURRE RIO HUACHOS</t>
  </si>
  <si>
    <t>HUACHOS</t>
  </si>
  <si>
    <t>C1:3060:DIESEL 2 </t>
  </si>
  <si>
    <t>149159-051-110220</t>
  </si>
  <si>
    <t>CASA DE FUERZA LOCALIDAD SAN PEDRO DE CACAO, AGUAS ABAJO RIO CACAO A UNA HORA DE CABALLOCOCHA</t>
  </si>
  <si>
    <t>0045-CDFJ-15-2005</t>
  </si>
  <si>
    <t>COMPAÑIA CERVECERA AMBEV PERU S.A.C.</t>
  </si>
  <si>
    <t>AV. LOS LAURELES ESQUINA CALLE TOKIO, LOTIZACION SANTA MARIA DE HUACHIPA</t>
  </si>
  <si>
    <t>BEDOYA DENEGRI, MÓNICA</t>
  </si>
  <si>
    <t>REPRESENTACIONES JOGLA E.I.R.L.</t>
  </si>
  <si>
    <t>AV. ALAMEDA DEL REMERO MZ.X, LT. 7, - URB. LOS HUERTOS DE VILLA</t>
  </si>
  <si>
    <t>SOBRINO CHUNGA, JOSE FERMIN</t>
  </si>
  <si>
    <t>135230-051-300819</t>
  </si>
  <si>
    <t>MC TRANSPORTES S.R.L.</t>
  </si>
  <si>
    <t>TERRENO RUSTICO S/N, SECTOR LATERAL I, VALLE CHILI U.C. CABAÑA EL CARMEN, ALTURA DEL KM. 2.4 DE LA VIA EVITAMIENTO PASANDO EL CAMAL DON GOYO</t>
  </si>
  <si>
    <t>C1:5334:Diesel B5 S-50 </t>
  </si>
  <si>
    <t>BRENER MARTIN CORRALES JARA</t>
  </si>
  <si>
    <t>CONSTRUCTORA JULIO MUÑOZ ZEGARRA E HIJO S.R.L.</t>
  </si>
  <si>
    <t>ANEXO ALTO BUENA VISTA S/N.</t>
  </si>
  <si>
    <t>SOCABAYA</t>
  </si>
  <si>
    <t>C1:28000:ASFALTO LÍQUIDO RC-250 </t>
  </si>
  <si>
    <t>C1:16000:ASFALTO LÍQUIDO RC-250 </t>
  </si>
  <si>
    <t>MUÑOZ OYOLA, HECTOR</t>
  </si>
  <si>
    <t>136496-051-050618</t>
  </si>
  <si>
    <t>KALLPA GENERACION S.A.</t>
  </si>
  <si>
    <t>BASE DE OPERACION C5 (FRENTE PRESA)</t>
  </si>
  <si>
    <t>ANDAYMARCA</t>
  </si>
  <si>
    <t>ARTURO ALONSO SILVA SANTISTEBAN PORTELLA</t>
  </si>
  <si>
    <t>COMPAÑIA MINERA SAN NICOLAS S.A.</t>
  </si>
  <si>
    <t>PARAJE EL TINGO</t>
  </si>
  <si>
    <t>C1:25000:DIESEL 2 </t>
  </si>
  <si>
    <t>SANTOLALLA VILLANUEVA MEYER, FRANCISCO JOSE</t>
  </si>
  <si>
    <t>97715-051-100812</t>
  </si>
  <si>
    <t>SEBASTIAN VELASQUEZ ESTRADA</t>
  </si>
  <si>
    <t>CONCESION MINERA METALICA EL DEY IV</t>
  </si>
  <si>
    <t>18342-051-171213</t>
  </si>
  <si>
    <t>CALLE ALCATRAZ N° 177</t>
  </si>
  <si>
    <t>C1:80000:PETRÓLEO INDUSTRIAL Nº 500 </t>
  </si>
  <si>
    <t>C1:80000:Diesel B5 S-50 </t>
  </si>
  <si>
    <t>GLADYS SOPHIA DEL PILAR ROJAS SOLIS</t>
  </si>
  <si>
    <t>16544-051-170315</t>
  </si>
  <si>
    <t>PRODUCTOS TISSUE DEL PERU S.A.</t>
  </si>
  <si>
    <t>AV. SANTA ROSA N° 550</t>
  </si>
  <si>
    <t>C1:15000:PETROLEO INDUSTRIAL No. 6 - EXPORTACION </t>
  </si>
  <si>
    <t>WALTER RAFAEL FLORES ESPINOZA</t>
  </si>
  <si>
    <t>140852-051-300119</t>
  </si>
  <si>
    <t>DISTRIBUCIÓN Y TRANSPORTE DE COMBUSTIBLES DEL PERÚ S.A.C.</t>
  </si>
  <si>
    <t>CALLE 11, SECTOR C, MZ. C-02 LOTES 06-07, PARQUE INDUSTRIAL.</t>
  </si>
  <si>
    <t>1524-051-190919</t>
  </si>
  <si>
    <t>AV. PLACIDO JIMENEZ 1051</t>
  </si>
  <si>
    <t>C1:50000:Diesel B5 S-50 </t>
  </si>
  <si>
    <t>RAFAEL ALEJANDRO RAVETTINO CABIESES</t>
  </si>
  <si>
    <t>113223-051-010415</t>
  </si>
  <si>
    <t>MINERA PARAISO S.A.C</t>
  </si>
  <si>
    <t>PANAMERICANA SUR. KM 616 PJ. IMPERIAL LA AGUADITA</t>
  </si>
  <si>
    <t>MELCHOR BUENAVENTURA TENORIO MATOS</t>
  </si>
  <si>
    <t>0002-CDFJ-13-2001</t>
  </si>
  <si>
    <t>COPEINCA S.A.C.</t>
  </si>
  <si>
    <t>MZ H, LOTE 4, ZONA IND. PLAYA NORTE - PUERTO MALABRIGO</t>
  </si>
  <si>
    <t>C1:87000:PETRÓLEOS INDUSTRIALES </t>
  </si>
  <si>
    <t>C1:58000:PETRÓLEOS INDUSTRIALES </t>
  </si>
  <si>
    <t>BUSTAMANTE ZAPATA, HENRY DAVID</t>
  </si>
  <si>
    <t>0004-CDFJ-05-2000</t>
  </si>
  <si>
    <t>ELECTRO SUR MEDIO S.A. (CEMTRAL ERMICA DE PAUZA)</t>
  </si>
  <si>
    <t>SECTOR ACOLA BAJA</t>
  </si>
  <si>
    <t>PAUSA</t>
  </si>
  <si>
    <t>C1:1320:DIESEL 2 </t>
  </si>
  <si>
    <t>0017-CDFJ-15-2001</t>
  </si>
  <si>
    <t>INCA FISH S.A.</t>
  </si>
  <si>
    <t>PANAMERICANA NORTE Nº 794 PUERTO SUPE</t>
  </si>
  <si>
    <t>C1:3100:PETRÓLEO INDUSTRIAL Nº 500 </t>
  </si>
  <si>
    <t>SIFUENTES TORRES, ALBERTO FERMIN</t>
  </si>
  <si>
    <t>0001-CDFJ-13-2003</t>
  </si>
  <si>
    <t>EMPRESA DE TRANSPORTES SR. DE LA MISERICORDIA S.A.</t>
  </si>
  <si>
    <t>ESQ. AV. JULIAN ARCE LARRETA Y AV. CARLOS COX</t>
  </si>
  <si>
    <t>C1:2250:GASOLINA 84 </t>
  </si>
  <si>
    <t>MENDEZ SANCHEZ, JAVIER ANGEL</t>
  </si>
  <si>
    <t>136497-051-290518</t>
  </si>
  <si>
    <t>BASE DE OPERACION C5 (FRENTE CASA DE MAQUINA)</t>
  </si>
  <si>
    <t>SURCUBAMBA</t>
  </si>
  <si>
    <t>149155-051-110220</t>
  </si>
  <si>
    <t>LOCALIDAD DE SABTA LUCIA DE PREFECTO, RIO AMAZONAS FRENTE A LA LOCALIDAD DE NUEO PEBAS</t>
  </si>
  <si>
    <t>PEBAS</t>
  </si>
  <si>
    <t>0035-CDFJ-15-2009</t>
  </si>
  <si>
    <t>EMPRESA DE TRANSPORTES Y SERVICIO NUEVA JERUSALEM DE LA RINCONADA S.A</t>
  </si>
  <si>
    <t>MZ PL LOTE 1 ENTRE JR. LAS TUNAS Y EDILBERTO RAMOS JAVIER AAHH.PAMPLONA ALTA SECTOR LA RINCONADA</t>
  </si>
  <si>
    <t>VASQUEZ VILLARREAL, HERNAN SANTIAGO</t>
  </si>
  <si>
    <t>116586-051-050815</t>
  </si>
  <si>
    <t xml:space="preserve">URB. TAPARACHI MZ. A LT. 19 </t>
  </si>
  <si>
    <t>C1:9220:Diesel B5 S-50 </t>
  </si>
  <si>
    <t>JAIME EDUARDO SANCHEZ BERNAL</t>
  </si>
  <si>
    <t>149157-051-110220</t>
  </si>
  <si>
    <t>ESQUINA VICTOR RODRIGUEZ ERAZO CON CALLE IQUITOS</t>
  </si>
  <si>
    <t>C1:3800:DIESEL B5 </t>
  </si>
  <si>
    <t>0001-CDFJ-07-2008</t>
  </si>
  <si>
    <t>EMPRESA DE TRANSPORTES COLONIAL S.A</t>
  </si>
  <si>
    <t>AV. COSTANERA 1401. ESQUINA JR. ESPAÑA</t>
  </si>
  <si>
    <t>SAUÑE QUISPE, WILSON ENRIQUE</t>
  </si>
  <si>
    <t>18667-051-100620</t>
  </si>
  <si>
    <t>CORPORACIÓN PESQUERA INCA S.A.C.</t>
  </si>
  <si>
    <t>CARRETERA SECHURA - BAYOVAR KM. 57+800</t>
  </si>
  <si>
    <t>C1:30000:PETRÓLEO INDUSTRIAL Nº 6 </t>
  </si>
  <si>
    <t>C1:13500:Diesel B5 S-50 </t>
  </si>
  <si>
    <t>CLEMENCIA BARRETO GONZALEZ DEL RIEGO</t>
  </si>
  <si>
    <t>142508-051-240419</t>
  </si>
  <si>
    <t>INSTITUTO NACIONAL DE REHABILITACION DRA. ADRIANA REBAZA FLORES AMISTAD PERU - JAPON</t>
  </si>
  <si>
    <t xml:space="preserve">AV. DEFENSORES DEL MORRO S/N </t>
  </si>
  <si>
    <t>C1:1060:Diesel B5 S-50 </t>
  </si>
  <si>
    <t>LILY PINGUZ VERGARA</t>
  </si>
  <si>
    <t>39370-114-120515</t>
  </si>
  <si>
    <t>CENTRO POBLADO MENOR DE PARAGSHA</t>
  </si>
  <si>
    <t>C1:18051:DIESEL B5 </t>
  </si>
  <si>
    <t>C1:30298:DIESEL B5 </t>
  </si>
  <si>
    <t>C1:139076:DIESEL B5 </t>
  </si>
  <si>
    <t>C1:12597:LUBRICANTES </t>
  </si>
  <si>
    <t>C1:15000:DIESEL B5 </t>
  </si>
  <si>
    <t>PEDRO SIMON NAVARRO NEYRA</t>
  </si>
  <si>
    <t>AV. OSCAR R. BENAVIDES 3866</t>
  </si>
  <si>
    <t>C1:1300:DIESEL 2 </t>
  </si>
  <si>
    <t>C1:11800:PETRÓLEO INDUSTRIAL Nº 6 </t>
  </si>
  <si>
    <t>C1:45000:DIESEL 2 </t>
  </si>
  <si>
    <t>0011-CDFJ-15-2000</t>
  </si>
  <si>
    <t>SAN JORGE INDUSTRIAL S.A.</t>
  </si>
  <si>
    <t>PROL. LORETO NO. 1608</t>
  </si>
  <si>
    <t>BREÑA</t>
  </si>
  <si>
    <t>C1:7370:PETRÓLEO INDUSTRIAL Nº 500 </t>
  </si>
  <si>
    <t>COSTA GAMARRA, MILCIADES</t>
  </si>
  <si>
    <t>122885-051-050916</t>
  </si>
  <si>
    <t>PERU CERAMICO S.A.C</t>
  </si>
  <si>
    <t>C.F.B KM.20.500</t>
  </si>
  <si>
    <t>CAMPOVERDE</t>
  </si>
  <si>
    <t>C1:2303:DIESEL B5 </t>
  </si>
  <si>
    <t>C1:743:DIESEL B5,GASOLINA 90 </t>
  </si>
  <si>
    <t>GUZMAN TEJADA ERITZA</t>
  </si>
  <si>
    <t>0007-CDFJ-15-2000</t>
  </si>
  <si>
    <t>JR. SAN ANDRES Nº 6134</t>
  </si>
  <si>
    <t>C1:9200:DIESEL 2 </t>
  </si>
  <si>
    <t>PRODUCTOS RAZZETO &amp; NESTOROVIC S.A.C.</t>
  </si>
  <si>
    <t>AV. TUPAC AMARU Nº 1168</t>
  </si>
  <si>
    <t>C1:19000:PETRÓLEO INDUSTRIAL Nº 6 </t>
  </si>
  <si>
    <t>NESTOROVIC RAZZETO, DRAGUI</t>
  </si>
  <si>
    <t>142738-051-220419</t>
  </si>
  <si>
    <t>BRAULIO QUISPE HUAYLLANI</t>
  </si>
  <si>
    <t>CONCESION MINERA METALICA "SOL NACIENTE V"</t>
  </si>
  <si>
    <t>C1:11870:Diesel B5 S-50 </t>
  </si>
  <si>
    <t>BRULIO QUISPE HUAYLLANI</t>
  </si>
  <si>
    <t>0015-CDFJ-15-2001</t>
  </si>
  <si>
    <t>NOREN PLAST PERUANA S.A.</t>
  </si>
  <si>
    <t>CALLE EL DORADO N° 218</t>
  </si>
  <si>
    <t>SORIANO ALVARADO, MONICA MATILDE</t>
  </si>
  <si>
    <t>108006-051-180614</t>
  </si>
  <si>
    <t>MINERA HAMPTON PERU S.A.C</t>
  </si>
  <si>
    <t>PIE DE CERRO LOS CALATOS</t>
  </si>
  <si>
    <t>MICHEL ROBERT MOISY</t>
  </si>
  <si>
    <t>83597-051-130116</t>
  </si>
  <si>
    <t>REPSOL GAS DEL PERU S.A.</t>
  </si>
  <si>
    <t>AUTOPISTA A VENTANILLA (AV. NESTOR GAMBETTA) KM 24</t>
  </si>
  <si>
    <t>LORENZO FEDERICO PALAZZETTI GRECH</t>
  </si>
  <si>
    <t>0003-CDFJ-15-2005</t>
  </si>
  <si>
    <t xml:space="preserve">ASOCIACION CIVIL NUESTRA SEÑORA DEL SAGRADO CORAZON </t>
  </si>
  <si>
    <t>AV. PASO DE LOS ANDES 923</t>
  </si>
  <si>
    <t>ARANDA PRETELL, LEILA RAIMUNDA</t>
  </si>
  <si>
    <t>21495-051-120515</t>
  </si>
  <si>
    <t>VOLCAN COMPAÑIA MINERA S.A.A.</t>
  </si>
  <si>
    <t>HUARIPAMPA - SAN CRISTOBAL</t>
  </si>
  <si>
    <t>C1:14307:DIESEL B5 </t>
  </si>
  <si>
    <t>128816-051-200717</t>
  </si>
  <si>
    <t xml:space="preserve">EMPRESA DE TRANSPORTES TURISMO ESCOBAR S.A.C. </t>
  </si>
  <si>
    <t xml:space="preserve">AV. SIMON BOLIVAR ESQ. CON CALLE LOS PROCERES MZ B LOTE 5 SAN PEDRO DE MAMA </t>
  </si>
  <si>
    <t>FELIX ESCOBAR MARTINEZ</t>
  </si>
  <si>
    <t>FASO GLASS S.C.R.LTDA.</t>
  </si>
  <si>
    <t>CALLE LAS PRENSAS 186. URB. INDUSTRIAL NARANJAL</t>
  </si>
  <si>
    <t>C1:4800:PETRÓLEO INDUSTRIAL Nº 500 </t>
  </si>
  <si>
    <t>AMBIA BERROCAL, DAVID WILDER</t>
  </si>
  <si>
    <t>83790-051-040614</t>
  </si>
  <si>
    <t>EMPRESA DE TRANSPORTES DE PASAJEROS Y CARGA CAVASSA S.A.C</t>
  </si>
  <si>
    <t>MZ B LOTE 11 ESQUINA DE AV. PASEO DE LA REPUBLICA CON ANTONIO RAYMONDI</t>
  </si>
  <si>
    <t>MINAYA YABAR, RODOLFO CESAREO</t>
  </si>
  <si>
    <t>0002-CDFJ-07-2007</t>
  </si>
  <si>
    <t>AV. ARGENTINA Nª5921</t>
  </si>
  <si>
    <t>C1:912:ASFALTOS </t>
  </si>
  <si>
    <t>92608-051-140611</t>
  </si>
  <si>
    <t>TRANSPORTES Y NEGOCIACIONES PRADA S.A.C.</t>
  </si>
  <si>
    <t>MZ C, LOTE 02, ASOCIACION DE VIVIENDA EL UNIVERSO</t>
  </si>
  <si>
    <t>C1:1425:Diesel B5 S-50 </t>
  </si>
  <si>
    <t>ROXANA PRADA PALOMINO</t>
  </si>
  <si>
    <t>42842-051-080517</t>
  </si>
  <si>
    <t>INVERSIONES NUEVO AMANECER CUSCO SERVICIOS MULTIPLES SOCIEDAD ANONIMA</t>
  </si>
  <si>
    <t xml:space="preserve">AV. LUIS VALLEJOS SANTONI S/N-WIMPILLAY </t>
  </si>
  <si>
    <t>ALEJANDRO FRISANCHO BACA</t>
  </si>
  <si>
    <t>0013-CDFJ-04-2004</t>
  </si>
  <si>
    <t>ALIMENTOS PROCESADOS S.A.</t>
  </si>
  <si>
    <t>ESQ. VARIANTE UCHUMAYO - AV. PÉREZ ARANÍVAR.</t>
  </si>
  <si>
    <t>TAPIA CORRALES NIEVES, JAVIER ALBERTO GONZALO</t>
  </si>
  <si>
    <t>82458-051-190216</t>
  </si>
  <si>
    <t>ASOCIACION DE VIVIENDA MARQUEZ DE CORPA. PARCELA 2. LOTE A2-2</t>
  </si>
  <si>
    <t>0052-CDFJ-15-2001</t>
  </si>
  <si>
    <t>EMP.DE TRANSPORTES Y SERVICIOS MULTIPLES MI TERRUO S.A.C.</t>
  </si>
  <si>
    <t>AV. PACASMAYO MZ. M LOTE 16 AL 20 URB.MI TERRUÑO S.M.P.</t>
  </si>
  <si>
    <t>EMPRESA DE TRANSPORTES Y SERVICIOS VIRGEN DE GUADALUPE S.A.</t>
  </si>
  <si>
    <t>AV. AUTOPISTA TRAPICHE LT-27, URB. CHACRA CERRO</t>
  </si>
  <si>
    <t>QUISPE MARROQUIN, MATEO BRUNO</t>
  </si>
  <si>
    <t>0019-CDFJ-15-2002</t>
  </si>
  <si>
    <t>HILADOS Y TEÑIDOS S.A.</t>
  </si>
  <si>
    <t>AV. ARGENTINA N°1610</t>
  </si>
  <si>
    <t>C1:5000:PETRÓLEOS INDUSTRIALES </t>
  </si>
  <si>
    <t>ZORRILLA LEON, GERARDO LUIS</t>
  </si>
  <si>
    <t>0002-CDFJ-02-2005</t>
  </si>
  <si>
    <t>EMPRESA SIDERURGICA DEL PERU S.A.A.</t>
  </si>
  <si>
    <t>AV. SANTIAGO ANTUNEZ DE MAYOLO S/N</t>
  </si>
  <si>
    <t>C1:186642:DIESEL 2 </t>
  </si>
  <si>
    <t>C1:190000:IFO - 380 / BUNKER </t>
  </si>
  <si>
    <t>C1:440700:PETRÓLEO INDUSTRIAL Nº 500 </t>
  </si>
  <si>
    <t>C1:12000:GASOLINA 84 </t>
  </si>
  <si>
    <t>MONTOYA ALVAREZ, RAFAEL</t>
  </si>
  <si>
    <t>110649-051-111114</t>
  </si>
  <si>
    <t>ESSALUD - RED ASISTENCIAL APURIMAC</t>
  </si>
  <si>
    <t>LOTE 61-61A QUINTA CAYETANA SECTOR PATIBAMBA</t>
  </si>
  <si>
    <t>CAMPANA MIRANDA RAMIRO</t>
  </si>
  <si>
    <t>37501-052-271217</t>
  </si>
  <si>
    <t>PETROLEOS DEL PERU S.A. - DIVISION OLEODUCTO ESTACION 8</t>
  </si>
  <si>
    <t xml:space="preserve">CARRRETERA DE OLMOS - CORRAL QUEMADO KM 131 </t>
  </si>
  <si>
    <t>PUCARA</t>
  </si>
  <si>
    <t>C1:537228:Diesel B5 S-50 </t>
  </si>
  <si>
    <t>FELIX SALAS ATAPAUCAR</t>
  </si>
  <si>
    <t>0003-CDFJ-04-2005</t>
  </si>
  <si>
    <t>EMPRESA DE TRANSPORTES MONTERREY VALLECITO S.A.</t>
  </si>
  <si>
    <t>URB. LA CALERITA MZ. A LT. 15 AMPLIACION PAUCARPATA</t>
  </si>
  <si>
    <t>VIZCARRA BANDA, ANDRES FERNANDO</t>
  </si>
  <si>
    <t>127885-051-140617</t>
  </si>
  <si>
    <t>SERVICIOS LOGISTICOS AUTOMOTRICES S.A.</t>
  </si>
  <si>
    <t>PAMPAS DE LURIN S/N, SUB LOTE 1-A, PAMPAS DE MAMAY S/N, SUBLOTE 1-B, PAMPAS DE LURIN S/N LOTE 1-A, ZONA A</t>
  </si>
  <si>
    <t>C1:5500:Diesel B5 S-50,GASOHOL 95 PLUS </t>
  </si>
  <si>
    <t>FRANCISCO JOSE CONTRERAS KRUMBACH</t>
  </si>
  <si>
    <t>0029-CDFJ-15-2007</t>
  </si>
  <si>
    <t>ARCOR DEL PERU S.A</t>
  </si>
  <si>
    <t>PANAMERICANA NORTE KM. 84</t>
  </si>
  <si>
    <t>C1:15000:PETRÓLEOS INDUSTRIALES </t>
  </si>
  <si>
    <t>TORRES LA TORRE, CARLOS ALBERTO</t>
  </si>
  <si>
    <t>131720-114-150917</t>
  </si>
  <si>
    <t>GENRENT DEL PERU S.A.C.</t>
  </si>
  <si>
    <t>PREDIO RUSTICO S/N MARGEN IZQUIERDA RIO AMAZONAS</t>
  </si>
  <si>
    <t>C1:40946:DIESEL B5 </t>
  </si>
  <si>
    <t>C1:327838:RESIDUALES </t>
  </si>
  <si>
    <t>C1:13737:LUBRICANTES </t>
  </si>
  <si>
    <t>JUAN CARLOS WON SIU</t>
  </si>
  <si>
    <t>0003-CDFJ-04-2001</t>
  </si>
  <si>
    <t>MANUFACTURAS DEL SUR S.A. (EMBARGO DE INSCRIPCION RES 0230073764297)</t>
  </si>
  <si>
    <t>CALLE JACINTO IBÁÑEZ N° 315.</t>
  </si>
  <si>
    <t>C1:9500:PETRÓLEO INDUSTRIAL Nº 500 </t>
  </si>
  <si>
    <t>C1:4769:DIESEL 2 </t>
  </si>
  <si>
    <t>DAL ZOTTO VIALLON, ALAIN MARIE JEAN</t>
  </si>
  <si>
    <t>0008-CDFJ-04-2003</t>
  </si>
  <si>
    <t>CORPORACION ACEROS AREQUIPA S.A.</t>
  </si>
  <si>
    <t>CALLE JACINTO IBAÑEZ Nº 111 - PARQUE INDUSTRIAL DE AREQUIPA</t>
  </si>
  <si>
    <t>CILLONIZ CHAMPIN, RICARDO</t>
  </si>
  <si>
    <t>0042-CDFJ-15-2005</t>
  </si>
  <si>
    <t>BRAEDT S.A.</t>
  </si>
  <si>
    <t>ESQUINA DE LA AV. MICHAEL FARADAY 111 Y AV. SANTA ROSA, MZ J LOTES 1 Y 2, URB. SANTA ROSA</t>
  </si>
  <si>
    <t>C1:2500:PETRÓLEOS INDUSTRIALES </t>
  </si>
  <si>
    <t>BRAEDT KOSTEL, WALTER</t>
  </si>
  <si>
    <t>115594-051-070720</t>
  </si>
  <si>
    <t>CASERIO VIVIATE SECTOR NOMARA KM. 26</t>
  </si>
  <si>
    <t>LA HUACA</t>
  </si>
  <si>
    <t>18253-051-050617</t>
  </si>
  <si>
    <t>PLAYA LADO NORTE S/N PUERTO MALABRIGO</t>
  </si>
  <si>
    <t>C1:69000:DIESEL B5,Diesel B5 S-50 </t>
  </si>
  <si>
    <t>192-051-260916</t>
  </si>
  <si>
    <t>AV. RICARDO BENTÍN MUJICA 1101</t>
  </si>
  <si>
    <t>C1:41000:DIESEL B5,Diesel B5 S-50 </t>
  </si>
  <si>
    <t>C1:41000:DIESEL B5 </t>
  </si>
  <si>
    <t>C1:41000:PETRÓLEO INDUSTRIAL Nº 500 </t>
  </si>
  <si>
    <t>CARLOS ALFONSO ÑATO PINO</t>
  </si>
  <si>
    <t>1579-051-200518</t>
  </si>
  <si>
    <t>PANAMERICANA SUR KM. 204.8</t>
  </si>
  <si>
    <t>C1:6086:PETRÓLEO INDUSTRIAL Nº 6 </t>
  </si>
  <si>
    <t>0001-CDFJ-04-2001</t>
  </si>
  <si>
    <t>ESTACION AREQUIPA</t>
  </si>
  <si>
    <t>C1:189034:DIESEL 2 </t>
  </si>
  <si>
    <t>GRAÑA F., GONZALO E.</t>
  </si>
  <si>
    <t>113051-051-200215</t>
  </si>
  <si>
    <t>MADERERA CANALES TAHUAMANU S.A.C.</t>
  </si>
  <si>
    <t>JR. BERNARDO CARDOZO S/N IÑAPARI</t>
  </si>
  <si>
    <t>CARLOS VINICIO RIGO NICO</t>
  </si>
  <si>
    <t>101296-051-171017</t>
  </si>
  <si>
    <t>EMPRESA DE TRANSPORTES NOR LIMA S.A.</t>
  </si>
  <si>
    <t>URB. LAS GARDENIAS DE OQUENDO II ETAPA MZ. C LOTES 09-16</t>
  </si>
  <si>
    <t>JULIAN RUIZ INGOL</t>
  </si>
  <si>
    <t>18486-051-100218</t>
  </si>
  <si>
    <t>AV. LIMA S/N, ATOCONGO</t>
  </si>
  <si>
    <t>92692-051-100611</t>
  </si>
  <si>
    <t>EMPRESA DE TRANSPORTES PUENTE PIEDRA S.A.</t>
  </si>
  <si>
    <t>MZ. C-2, LTS.12, 13, 14, 15, 26, 27, 28, 29 - AA.HH. AUTOGESTIONARIA SAN BENITO 7º ETAPA</t>
  </si>
  <si>
    <t>MARIANO LUIS BARRENA POLANCO</t>
  </si>
  <si>
    <t>42334-051-031018</t>
  </si>
  <si>
    <t>TERPEL AVIACION DEL PERU S.R.L.</t>
  </si>
  <si>
    <t>C1:5260:Diesel B5 S-50 </t>
  </si>
  <si>
    <t>MARIO GONZALES GALGANI</t>
  </si>
  <si>
    <t>0007-CDFJ-13-2008</t>
  </si>
  <si>
    <t>SEGURO SOCIAL DE LA SALUD (ESSALUD)</t>
  </si>
  <si>
    <t>PROLONGACIÓN UNIÓN N° 1350</t>
  </si>
  <si>
    <t>ARROYO SISNIEGAS, ABEL</t>
  </si>
  <si>
    <t>0001-CDFJ-18-2003</t>
  </si>
  <si>
    <t>MINA SANTA ROSA</t>
  </si>
  <si>
    <t>CARRANZA TOLEDO, NICOLAS</t>
  </si>
  <si>
    <t>87929-051-2010</t>
  </si>
  <si>
    <t>EMPRESA DE TRANSPORTES VIRGEN DE LA ASUNCIÓN S.A.</t>
  </si>
  <si>
    <t>CALLE YURUMAYO LOTE 6, MZ. D - URB. HUERTOS DEL NARANJAL</t>
  </si>
  <si>
    <t>C1:5312:Diesel B2 S-50 </t>
  </si>
  <si>
    <t>EMILIO BENJAMÍN CASTAÑEDA GARCIA</t>
  </si>
  <si>
    <t>31999-051-2010</t>
  </si>
  <si>
    <t>CONSTRUCTORA KAPALA S.A.</t>
  </si>
  <si>
    <t>CARRETERA CENTRAL KM. 14.8 - CANTERA LA GLORIA</t>
  </si>
  <si>
    <t>C1:5245:Diesel B2 S-50 </t>
  </si>
  <si>
    <t>C1:863:Diesel B2 S-50 </t>
  </si>
  <si>
    <t>C1:7072:PETRÓLEO INDUSTRIAL Nº 6 </t>
  </si>
  <si>
    <t>JUAN ANTONIO FRANCO REJAS</t>
  </si>
  <si>
    <t>135533-051-150418</t>
  </si>
  <si>
    <t>JR. RICARDO PALMA CUADRA 05</t>
  </si>
  <si>
    <t>142880-051-300719</t>
  </si>
  <si>
    <t>LEONARDO CCAMERCCOA VALDEZ</t>
  </si>
  <si>
    <t>CONCESION MINERA ERICK DEYVIS COD. 070017805</t>
  </si>
  <si>
    <t>0007-CDFJ-15-2003</t>
  </si>
  <si>
    <t>MZ. F LT. 3A COOPERATIVA LAS VERTIENTES</t>
  </si>
  <si>
    <t>STURLA VENTURO, JUAN ANTONIO</t>
  </si>
  <si>
    <t>127976-051-240517</t>
  </si>
  <si>
    <t>SERVICIOS GENERALES SATURNO S.A</t>
  </si>
  <si>
    <t>CARRETERA PANAMERICANA SUR KM 57</t>
  </si>
  <si>
    <t>LUIS EDGARDO LLOSA BARRIOS</t>
  </si>
  <si>
    <t>45102-051-160516</t>
  </si>
  <si>
    <t>CONCREMAX S.A.</t>
  </si>
  <si>
    <t>ANTIGUA CARRETERA PANAMERICANA SUR KM. 40</t>
  </si>
  <si>
    <t>LUIS FERNANDO GOÑI LA PUENTE</t>
  </si>
  <si>
    <t>91156-051-2011</t>
  </si>
  <si>
    <t>CONCESION DE BENEFICIO MISQUICHILCA - MINA PIERINA CERRO ANCOSHPUNTA, COSTADO DE LA CARRETERA A LA PLANTA DE PROCESOS.</t>
  </si>
  <si>
    <t>JANGAS</t>
  </si>
  <si>
    <t>C1:6000:DIESEL B5,GASOHOL 90 PLUS </t>
  </si>
  <si>
    <t>RICHARD EDDY BARNETT IVAZETA / GUILLERMO SALVADOR DIEZ CANSECO TIRADO</t>
  </si>
  <si>
    <t>0002-CDFJ-13-2002</t>
  </si>
  <si>
    <t>EMPRESA DE TRANSPORTES Y SERVICIOS SEÑOR DE LOS MILAGROS S.A.</t>
  </si>
  <si>
    <t>JR. LIMA N° 527 - SECTOR BUENOS AIRES SUR</t>
  </si>
  <si>
    <t>VICTOR LARCO HERRERA</t>
  </si>
  <si>
    <t>C1:6600:DIESEL 2 </t>
  </si>
  <si>
    <t>SALGADO VASQUEZ, JUAN JULIO</t>
  </si>
  <si>
    <t>252-051-101016</t>
  </si>
  <si>
    <t>TRANSPORTES RODRIGO CARRANZA S.A.C.</t>
  </si>
  <si>
    <t>CARRANZA TORRES, ANSELMO JAVIER</t>
  </si>
  <si>
    <t>0003-CDFJ-25-2001</t>
  </si>
  <si>
    <t>PANIFICADORA Y PASTELERIA LA MODERNA S.R.L.</t>
  </si>
  <si>
    <t>JR. GUILLERMO SISLEY N°410 - PUCALLPA</t>
  </si>
  <si>
    <t>RIOS MARINA, SEGUNDO LADISLAO</t>
  </si>
  <si>
    <t>114948-051-200515</t>
  </si>
  <si>
    <t>MOVIMIENTO SIERVOS DE LOS POBRES DEL TERCER MUNDO</t>
  </si>
  <si>
    <t>CARRETERA A COMUNIDAD DE SECSENCALLA, SAN TARCISIO S/N CIUDAD DE LOS MUCHACHOS</t>
  </si>
  <si>
    <t>ANDAHUAYLILLAS</t>
  </si>
  <si>
    <t>PHILIPPE LOUIS MARIE BOURDEAU</t>
  </si>
  <si>
    <t>91647-115-160818</t>
  </si>
  <si>
    <t>KURESA S.A.</t>
  </si>
  <si>
    <t>AV. LAS AGUILAS Nº 160, C.P. SANTA MARIA HUACHIPA</t>
  </si>
  <si>
    <t>C1:0:CGN SOLVENTE,HEXANO,SOLVENTE 1 </t>
  </si>
  <si>
    <t>C1:6040:CGN SOLVENTE,HEXANO,SOLVENTE 1 </t>
  </si>
  <si>
    <t>CARLOS MIGUEL BLANCO OROPEZA</t>
  </si>
  <si>
    <t>143018-051-100519</t>
  </si>
  <si>
    <t>SANGAMA SALAS SUSI</t>
  </si>
  <si>
    <t>CONCESION MINERA GOYMAR</t>
  </si>
  <si>
    <t>SUSI SANGAMA SALAS</t>
  </si>
  <si>
    <t>136166-051-220518</t>
  </si>
  <si>
    <t>TRANSPORTES NACIONALES S.A.</t>
  </si>
  <si>
    <t>AV. LA PAZ N° 333 (MZ. A LT. 10, PARCELA A)</t>
  </si>
  <si>
    <t>ROBERTO PAULINO PARRAGA CORREA</t>
  </si>
  <si>
    <t>FORESTAMAZON S.A.</t>
  </si>
  <si>
    <t>CALLE 15 DE AGOSTO FUNDO LA ESPERANZA S/N</t>
  </si>
  <si>
    <t>C1:10853:DIESEL 2 </t>
  </si>
  <si>
    <t>TINTORER FONT, PEDRO</t>
  </si>
  <si>
    <t>35972-051-250419</t>
  </si>
  <si>
    <t>PARCELA N° 317 CAUTIVILLA HUACOY Y PUNCHAUCA</t>
  </si>
  <si>
    <t>102137-051-201114</t>
  </si>
  <si>
    <t>INVERSIONES EDDY S.R.L.</t>
  </si>
  <si>
    <t>CONCESION MINERA CABECERA CAYCHIVE 2000-B</t>
  </si>
  <si>
    <t>DAVID LAROTA CLEMENTE</t>
  </si>
  <si>
    <t>0002-CDFJ-12-2005</t>
  </si>
  <si>
    <t>MADERAS DE EXPORTACION S.A. - MADEXSA</t>
  </si>
  <si>
    <t>AV. PERU 111</t>
  </si>
  <si>
    <t>VELASQUEZ RODRIGUEZ, JAIME</t>
  </si>
  <si>
    <t>38268-051-130417</t>
  </si>
  <si>
    <t>APM TERMINALS CALLAO S.A</t>
  </si>
  <si>
    <t>AV. CONTRALMIRANTE RAYGADA N°111</t>
  </si>
  <si>
    <t>C1:3293:GASOHOL 90 PLUS </t>
  </si>
  <si>
    <t>C1:3293:GASOHOL 95 PLUS </t>
  </si>
  <si>
    <t>C1:5834:Diesel B5 S-50 </t>
  </si>
  <si>
    <t>C1:1102:Diesel B5 S-50 </t>
  </si>
  <si>
    <t>C1:2500:GASOHOL 90 PLUS </t>
  </si>
  <si>
    <t>C1:2500:GASOHOL 95 PLUS </t>
  </si>
  <si>
    <t>ANTONIO LUIS DA FRANCA PINTO</t>
  </si>
  <si>
    <t>ROGGERO TOURS S.A.</t>
  </si>
  <si>
    <t>AV. NUEVA TOMAS MARSANO N| 810</t>
  </si>
  <si>
    <t>ROGGERO SANDRO, MONTORI</t>
  </si>
  <si>
    <t>CONSTRUCTORA TP S.A.C.</t>
  </si>
  <si>
    <t>CAMPTO C. TIZON KM. 21 CARRET. PUQUIO-CHALHUANCA -TRAMO 1 PUQUIO DESVIO PAMPACHIRI - COMUNIDAD DE CH</t>
  </si>
  <si>
    <t>PUQUIO</t>
  </si>
  <si>
    <t>C1:2760:DIESEL 2 </t>
  </si>
  <si>
    <t>MAXI VILLAR, CESAR VICTOR</t>
  </si>
  <si>
    <t>0004-CDFJ-13-2007</t>
  </si>
  <si>
    <t>PARCELA 724 - PREDIO FUNDO LA PAMPA, SECTOR EL PALOMAR PUERTO MALABRIGO</t>
  </si>
  <si>
    <t>C1:2000:PETRÓLEOS INDUSTRIALES </t>
  </si>
  <si>
    <t>C1:87160:PETRÓLEOS INDUSTRIALES </t>
  </si>
  <si>
    <t>C1:87160:DIESEL 2 </t>
  </si>
  <si>
    <t>MIREZ CORNEJO, GERARDO</t>
  </si>
  <si>
    <t>114708-051-160516</t>
  </si>
  <si>
    <t xml:space="preserve">MZ. F. LOTE 3A. COOPERATIVA LAS VERTIENTES </t>
  </si>
  <si>
    <t xml:space="preserve">LUIS FERNANDO GOÑI LA PUENTE </t>
  </si>
  <si>
    <t>19428-112-030820</t>
  </si>
  <si>
    <t>DSM MARINE LIPIDS PERU S.A.C.</t>
  </si>
  <si>
    <t>AV. PRINCIPAL S/N CASERIO LA LEGUA</t>
  </si>
  <si>
    <t>CATACAOS</t>
  </si>
  <si>
    <t>C1:9600:HEXANO </t>
  </si>
  <si>
    <t>C1:53000:PETRÓLEO INDUSTRIAL Nº 6 </t>
  </si>
  <si>
    <t>JORGE GERARDO CARRASCO ELESPURU</t>
  </si>
  <si>
    <t>0023-CDFJ-15-2007</t>
  </si>
  <si>
    <t>TECNOLOGIA DE MATERIALES S.A.</t>
  </si>
  <si>
    <t xml:space="preserve">AV. PROLONGACION PACHACUTEC No 6321 LOTE 16 A, TABLADA DE LURIN </t>
  </si>
  <si>
    <t>C1:10000:CEMENTO ASFÁLTICO </t>
  </si>
  <si>
    <t>C1:5000:RESIDUAL 500 (USO PROPIO) </t>
  </si>
  <si>
    <t>VEGA BUSTIOS, GUILLERMO</t>
  </si>
  <si>
    <t>1509-051-290618</t>
  </si>
  <si>
    <t>UNIÓN DE CERVECERÍAS PERUANAS BACKUS Y JOHNSTON SOCIEDAD ANÓNIMA ABIERTA</t>
  </si>
  <si>
    <t>AV. DE LA CULTURA N° 725</t>
  </si>
  <si>
    <t>C1:13500:PETRÓLEO INDUSTRIAL Nº 6 </t>
  </si>
  <si>
    <t>LUIS FERNANDO MENESES CORNEJO</t>
  </si>
  <si>
    <t>AV. 28 DE JULIO N° 1562</t>
  </si>
  <si>
    <t>C1:4900:DIESEL 2 </t>
  </si>
  <si>
    <t>ACOSTA Y RODRIGUEZ, CLAVER FLORENCIO</t>
  </si>
  <si>
    <t>18740-051-170518</t>
  </si>
  <si>
    <t xml:space="preserve">AV. MACCHUPICHU S/N, CENTRAL TERMICA DOLORESPATA </t>
  </si>
  <si>
    <t>C1:36000:Diesel B5 S-50 </t>
  </si>
  <si>
    <t xml:space="preserve">EDGAR JULIAN VENERO PACHECO </t>
  </si>
  <si>
    <t xml:space="preserve">RED STAR DEL PERU S.A. </t>
  </si>
  <si>
    <t>CARRETERA CENTRAL N° 221, KM 1 (ANTES KM 4,5)</t>
  </si>
  <si>
    <t>KANEMOTO KOJIRA, TOMAS JORGE</t>
  </si>
  <si>
    <t>149294-051-270220</t>
  </si>
  <si>
    <t>SECTOR CHAUCHILLA S/N ALTURA DE LA PANAMERICA SUR KM. 465</t>
  </si>
  <si>
    <t>C1:300:GASOHOL 95 PLUS </t>
  </si>
  <si>
    <t>96578-051-291217</t>
  </si>
  <si>
    <t>SINDICATO DE PESCADORES ARTESANALES Y EXTRACTORES DE MARISCOS DE ISLAY-MATARANI (SPAEMIN)</t>
  </si>
  <si>
    <t>DESEMBARCADERO PESQUERO ARTESANAL EL FARO-MATARANI</t>
  </si>
  <si>
    <t>C1:5650:Diesel B5 S-50 </t>
  </si>
  <si>
    <t>C1:5650:GASOHOL 90 PLUS </t>
  </si>
  <si>
    <t xml:space="preserve">CESAR RAUL BENAVIDES PEREZ </t>
  </si>
  <si>
    <t>146617-051-230919</t>
  </si>
  <si>
    <t>HUAQUISTO CARITA CINTHYA ROSA</t>
  </si>
  <si>
    <t xml:space="preserve">CONCESION MINERA MERCURIO V CODIGO 010335997 </t>
  </si>
  <si>
    <t>112119-051-221214</t>
  </si>
  <si>
    <t>ROMY JOIV S.A.</t>
  </si>
  <si>
    <t>AV. ANDRES A. CACERES MZ. E. LOTES 12, 13 Y 14 COOPERATIVA DE VIVIENDA MARISCAL ANDRES A. CACERES.</t>
  </si>
  <si>
    <t>C1:3250:Diesel B5 S-50 </t>
  </si>
  <si>
    <t>RUPERTO PUMA VARGAS</t>
  </si>
  <si>
    <t>118355-975-161115</t>
  </si>
  <si>
    <t>AV. ELMER FAUCETT N° 3900</t>
  </si>
  <si>
    <t>C1:2200:GASOLINA 100 LL,TURBO A-1 </t>
  </si>
  <si>
    <t>141486-051-070319</t>
  </si>
  <si>
    <t>EMPRESA DE TRANSPORTES SAYCAMSAN S.A.C.</t>
  </si>
  <si>
    <t>PREDIO SOCORRO UC N° 06017, SECTOR LA VENTUROSA</t>
  </si>
  <si>
    <t xml:space="preserve">BERNARDO SANTOS COPAJA </t>
  </si>
  <si>
    <t>144606-051-130619</t>
  </si>
  <si>
    <t>INVERSIONES MAYLI YAMILA EMPRESA INDIVIDUAL DE RESPONSABILIDAD LIMITADA</t>
  </si>
  <si>
    <t>ASOCIACION DE MECANICOS DE HUEPETUHE - ZONA INDUSTRIAL</t>
  </si>
  <si>
    <t>ROSENDO FIGUEROA HUAYLLANI</t>
  </si>
  <si>
    <t>301-052-050418</t>
  </si>
  <si>
    <t>CALETA VEGUETA S/N</t>
  </si>
  <si>
    <t>VEGUETA</t>
  </si>
  <si>
    <t>C1:29525:PETRÓLEO INDUSTRIAL Nº 500,PETRÓLEO INDUSTRIAL Nº 6 </t>
  </si>
  <si>
    <t>C1:54233:PETRÓLEO INDUSTRIAL Nº 500,PETRÓLEO INDUSTRIAL Nº 6 </t>
  </si>
  <si>
    <t>C1:37925:Diesel B5 S-50 </t>
  </si>
  <si>
    <t>731-051-090114</t>
  </si>
  <si>
    <t>TEXTILE SOURCING COMPANY SAC</t>
  </si>
  <si>
    <t>AV. MANUEL F. VEGA 251</t>
  </si>
  <si>
    <t>0021-CDFJ-15-2003</t>
  </si>
  <si>
    <t>SERVICIO NACIONAL DE SANIDAD AGRARIA - SENASA</t>
  </si>
  <si>
    <t>AV. LA UNIVERSIDAD S/N, FRENTE A LA UNIVERSIDAD NACIONAL AGRARIA (2DA. PUERTA)</t>
  </si>
  <si>
    <t>HELFER INFANTES, DE PASTOR RUTH ELENA</t>
  </si>
  <si>
    <t>93506-051-230811</t>
  </si>
  <si>
    <t>EMPRESA DE TRANSPORTES Y SERVICIOS VIRGEN DE LA PUERTA S.A.</t>
  </si>
  <si>
    <t>CALLE C, MZ. K-2, LOTE 01 - PARQUE INDUSTRIAL ACOMPIA DE ANCON</t>
  </si>
  <si>
    <t>MIGUEL ANGEL POZO GARCÍA</t>
  </si>
  <si>
    <t>0005-CDFJ-02-2009</t>
  </si>
  <si>
    <t>EMPRESA DE TRANSPORTES TURISMO TRES ESTRELLAS S.A.C.</t>
  </si>
  <si>
    <t>AA.HH. U.P.I.S. VILLA SAN LUIS PARCELA 8-9. MZ.B. LT.1</t>
  </si>
  <si>
    <t>C1:5390:DIESEL B2 </t>
  </si>
  <si>
    <t>RODRIGUEZ CHICOMA, SEGUNDO</t>
  </si>
  <si>
    <t>ASIENTO MINERO ARES</t>
  </si>
  <si>
    <t>44139-051-191012</t>
  </si>
  <si>
    <t>CARRETERA PANAMERICANA SUR 24.577</t>
  </si>
  <si>
    <t>C1:1350:Diesel B5 S-50 </t>
  </si>
  <si>
    <t>C1:550:Diesel B5 S-50 </t>
  </si>
  <si>
    <t>0015-CDFJ-15-2004</t>
  </si>
  <si>
    <t>JR. ELOY ESPINOZA N° 680- 684 MZ. A-1 LT. 1 Y 2 IV ETAPA - URB. PALAO</t>
  </si>
  <si>
    <t>C1:2080:DIESEL 2 </t>
  </si>
  <si>
    <t>0020-CDFJ-15-2003</t>
  </si>
  <si>
    <t>LOS DIAMANTES S/N, URB. LOS TOPACIOS</t>
  </si>
  <si>
    <t>URB. IND. BOCANEGRA II ETAPA MZ. D SUB. LOTE 1-E</t>
  </si>
  <si>
    <t>105453-051-171115</t>
  </si>
  <si>
    <t>CONSORCIO MINERO HORIZONTE S.A.</t>
  </si>
  <si>
    <t>UNIDAD PARCOY CHILCAPAMPA</t>
  </si>
  <si>
    <t>ERNESTO BENDEZU FLORES</t>
  </si>
  <si>
    <t>63909-112-050719</t>
  </si>
  <si>
    <t>HEAVEN PETROLEUM OPERATORS S.A.</t>
  </si>
  <si>
    <t>PARCELA C-27 EX PREDIO LAS SALINAS ALT. DE LA CARRETERA PANAMERICANA SUR KM. 33.50 SUB LOTE 01</t>
  </si>
  <si>
    <t>C1:700:CGN SOLVENTE </t>
  </si>
  <si>
    <t>ADIB ABUDAYEH SANSUR</t>
  </si>
  <si>
    <t>0003-CDFJ-05-2000</t>
  </si>
  <si>
    <t>ELECTRO SUR MEDIO S.A. (CENTRAL TERMICA CORA CORA)</t>
  </si>
  <si>
    <t>SECTOR CHACCYAPAMPA</t>
  </si>
  <si>
    <t>CORACORA</t>
  </si>
  <si>
    <t>40865-052-260218</t>
  </si>
  <si>
    <t>CALLE LIBERTAD S/N SUB LOTE 3A-1B ZONA INDUSTRIAL PUERTO MALABRIGO</t>
  </si>
  <si>
    <t>C1:198127:DIESEL B5,Diesel B5 S-50 </t>
  </si>
  <si>
    <t>C1:198127:PETRÓLEO INDUSTRIAL Nº 6,RESIDUAL 500 (USO PROPIO) </t>
  </si>
  <si>
    <t>VICTOR EDUARDO TASSO ZAMUDIO</t>
  </si>
  <si>
    <t>44621-053-210119</t>
  </si>
  <si>
    <t>BAHÍA TABLONES KM. 17, CARRETERA COSTANERA ILO – PUNTA DE BOMBOM (FUNDICIÓN SOUTHERN PERÚ)</t>
  </si>
  <si>
    <t>C1:2480:GASOHOL 84 PLUS </t>
  </si>
  <si>
    <t>C1:2480:Diesel B5 S-50 </t>
  </si>
  <si>
    <t>0000007-MOQ</t>
  </si>
  <si>
    <t>ESSALUD ILO - HOSPITAL II DE ILO</t>
  </si>
  <si>
    <t>AV. MIRAMAR S/N (HOSPITAL II DE ILO)</t>
  </si>
  <si>
    <t>113336-051-010817</t>
  </si>
  <si>
    <t>TURISMO DIAS S.A.</t>
  </si>
  <si>
    <t>AV. LORETO N° 1485</t>
  </si>
  <si>
    <t>0008-CDFJ-23-2000</t>
  </si>
  <si>
    <t>LADRILLERA J. MARTORELL S.A.</t>
  </si>
  <si>
    <t>PQUE.INDUSTRIAL MZ.M, LT.3</t>
  </si>
  <si>
    <t>C1:4088:PETRÓLEO INDUSTRIAL Nº 6 </t>
  </si>
  <si>
    <t>MARTORELL SOBERO, FERNANDO PABLO</t>
  </si>
  <si>
    <t>113110-053-201116</t>
  </si>
  <si>
    <t>PLANTA DE RESERVA FRIA DE GENERACIÓN DE ETEN S.A.</t>
  </si>
  <si>
    <t>PARCELA RURAL-SUBLOTE 01, SECTOR 03</t>
  </si>
  <si>
    <t>REQUE</t>
  </si>
  <si>
    <t>C1:2258653:DIESEL B5 </t>
  </si>
  <si>
    <t>MARIA SANCHEZ MAYENDIA PEREZ SERRANO</t>
  </si>
  <si>
    <t>41949-051-010312</t>
  </si>
  <si>
    <t>MUNICIPALIDAD PROVINCIAL DE CORONEL PORTILLO</t>
  </si>
  <si>
    <t>JR. DOS DE MAYO 480 - PUCALLPA</t>
  </si>
  <si>
    <t>C1:3900:DIESEL B5 </t>
  </si>
  <si>
    <t>C1:1000:GASOLINA 90 </t>
  </si>
  <si>
    <t>VICTOR DAVID YAMASHIRO SHIMABUKURO</t>
  </si>
  <si>
    <t>40687-051-250319</t>
  </si>
  <si>
    <t>JULIO ORLANDO LINARES VARGAS</t>
  </si>
  <si>
    <t>AV. LOS PESCADORES MZ E, LOTE 2 - ZONA INDUSTRIAL 27 DE OCTUBRE</t>
  </si>
  <si>
    <t>C1:10830:PETRÓLEOS INDUSTRIALES </t>
  </si>
  <si>
    <t>C1:11380:PETRÓLEOS INDUSTRIALES </t>
  </si>
  <si>
    <t>C1:30000:PETRÓLEOS INDUSTRIALES </t>
  </si>
  <si>
    <t>0006-CDFJ-04-2004</t>
  </si>
  <si>
    <t>ABRASIVOS INDUSTRIALES S.A.</t>
  </si>
  <si>
    <t>AV. MIGUEL FORGA Nº 224 PARQUE INDUSTRIAL AREQUIPA</t>
  </si>
  <si>
    <t>TANG WONG, PEDRO JOSE</t>
  </si>
  <si>
    <t>0022-CDFJ-15-2006</t>
  </si>
  <si>
    <t>EMPRESA EDITORA EL COMERCIO S.A.</t>
  </si>
  <si>
    <t>CALLE PARACAS N° 530</t>
  </si>
  <si>
    <t>C1:4170:DIESEL B2 </t>
  </si>
  <si>
    <t>PARDO FIGUEROA TURNER, CESAR AUGUSTO</t>
  </si>
  <si>
    <t>0036-CDFJ-15-2005</t>
  </si>
  <si>
    <t>CALETA DE VIGUETA S/N ALTURA DE KM 163,5 PANAMERICANA NORTE</t>
  </si>
  <si>
    <t>C1:52711:DIESEL 2 </t>
  </si>
  <si>
    <t>C1:208475:PETRÓLEO INDUSTRIAL Nº 500 </t>
  </si>
  <si>
    <t>0004-CDFJ-15-2010</t>
  </si>
  <si>
    <t>INTI GAS S.A.C. (EMBARGO DE INSCRIPCION RES 0230072965162)</t>
  </si>
  <si>
    <t>AV. LOS FAISANES MZ. A-1 LOTE 18-A URB. LA CAMPIÑA</t>
  </si>
  <si>
    <t>C1:275:SOLVENTE 1 </t>
  </si>
  <si>
    <t>NEYRA HUAMANI, ROFILIO TEOFILO</t>
  </si>
  <si>
    <t>104408-051-180116</t>
  </si>
  <si>
    <t>EMICONS WILLIAMS S.A.C</t>
  </si>
  <si>
    <t>CONCESION MINERA BELLA ESPERANZA</t>
  </si>
  <si>
    <t>C1:3500:null </t>
  </si>
  <si>
    <t>LUCIO NINA HUANCA</t>
  </si>
  <si>
    <t>1288-051-310115</t>
  </si>
  <si>
    <t>HOSPITAL REGIONAL DOCENTE DE TRUJILLO</t>
  </si>
  <si>
    <t>AV. MANSICHE N° 795 URB. SANCHEZ CARRION</t>
  </si>
  <si>
    <t>C1:2416:DIESEL B5 </t>
  </si>
  <si>
    <t>OSCAR JAVIER SALIRROSAS GONZALES</t>
  </si>
  <si>
    <t>0034-CDFJ-15-2007</t>
  </si>
  <si>
    <t>MALECON DE LA RESERVA Nª615</t>
  </si>
  <si>
    <t>C1:2225:DIESEL 2 </t>
  </si>
  <si>
    <t>SAGAZ ZINCEL, SANTIAGO</t>
  </si>
  <si>
    <t>CIA. MINERA E INDUSTRIAL SAGITARIO S.A.</t>
  </si>
  <si>
    <t>AV. 1 LOTE 28 HUACHIPA NORTE</t>
  </si>
  <si>
    <t>C1:11000:PETRÓLEO INDUSTRIAL Nº 6 </t>
  </si>
  <si>
    <t>BATTILANA CANTAGALLO, LINO</t>
  </si>
  <si>
    <t>98322-112-301012</t>
  </si>
  <si>
    <t xml:space="preserve">BLENDING S.A.C. </t>
  </si>
  <si>
    <t>CALLE CARLOS CONCHA N 313</t>
  </si>
  <si>
    <t>C1:3487:Diesel B5 S-50 </t>
  </si>
  <si>
    <t>C1:3487:SOLVENTE 3 </t>
  </si>
  <si>
    <t>ESTELA MAS MARIÑO DE RACAY</t>
  </si>
  <si>
    <t>100396-051-250213</t>
  </si>
  <si>
    <t>CLINICA SAN FELIPE S.A.</t>
  </si>
  <si>
    <t>CALLE COSTA RICA N° 275 - 279</t>
  </si>
  <si>
    <t>RINA MILAGROS DURAND PALOMINO</t>
  </si>
  <si>
    <t>132450-051-111217</t>
  </si>
  <si>
    <t>CARRETERA PANAMERICANA NORTE KM. 495 LOTE 2 1D</t>
  </si>
  <si>
    <t>87998-051-2010</t>
  </si>
  <si>
    <t>V &amp; F S.A.C.</t>
  </si>
  <si>
    <t>MONTES DE LA VIRGEN - ALTURA DE LA CARRETERA PANAMERICANA NORTE KM 776</t>
  </si>
  <si>
    <t>C1:5000:PETRÓLEO INDUSTRIAL Nº 500 </t>
  </si>
  <si>
    <t>MOISES CARABALLO ORENGO</t>
  </si>
  <si>
    <t>112438-051-100116</t>
  </si>
  <si>
    <t>EMPRESA DE TRANSPORTES DE LUXE S.A.C.</t>
  </si>
  <si>
    <t>ESQUINA DE LA AV. LOS ALISOS CON AV. VICTOR RAUL HAYA DE LA TORRE (EX 200 MILLAS)</t>
  </si>
  <si>
    <t>ZENON REVILLA ZAMORA</t>
  </si>
  <si>
    <t>126343-051-290317</t>
  </si>
  <si>
    <t>TRANSPORTES MANRIQUE E.I.R.L</t>
  </si>
  <si>
    <t>CARRETERA PANAMERICANA NORTE KM 85.15 NUMERO DE CATASTRO RURAL 10957</t>
  </si>
  <si>
    <t>HÉCTOR ALEJANDRO MANRIQUE LOPEZ</t>
  </si>
  <si>
    <t>0015-CDFJ-15-2007</t>
  </si>
  <si>
    <t>METALES ANDINOS S.A.</t>
  </si>
  <si>
    <t>AV. LOS FAISANES NÂº 133</t>
  </si>
  <si>
    <t>C1:3650:DIESEL 2 </t>
  </si>
  <si>
    <t>BOTTO URTEAGA, LUIS ALEJANDRO</t>
  </si>
  <si>
    <t>142208-051-280319</t>
  </si>
  <si>
    <t>CORPORACION PACHAKORI E.I.R.L.</t>
  </si>
  <si>
    <t>PREDIO RUSTICO 6-A DEL SECTOR DE SARAYACU</t>
  </si>
  <si>
    <t>ADRIAN VILCA CALLATA</t>
  </si>
  <si>
    <t>147320-051-251019</t>
  </si>
  <si>
    <t>CHEMTRADE S.A.C.</t>
  </si>
  <si>
    <t>PANAMERICANA NORTE KM 177 SECTOR LOS VIÑOS CENTRO POBLADO MEDIO MUNDO</t>
  </si>
  <si>
    <t>C1:6208:Diesel B5 S-50 </t>
  </si>
  <si>
    <t>DIEGO MARTIN CALMET MUJICA</t>
  </si>
  <si>
    <t>0041-CDFJ-15-2007</t>
  </si>
  <si>
    <t>EMPRESA DE SERVICIOS DE TRANSPORTE SANTA CATALINA SA</t>
  </si>
  <si>
    <t xml:space="preserve">MZ A-H LT. 9 Y 10 DEL SECTOR CERCADO (LAS LOMAS) COMUNIDAD CAMPESINA JICAMARCA ANEXO 22 </t>
  </si>
  <si>
    <t>PASTOR ZEVALLOS, ESIAS HERNAN</t>
  </si>
  <si>
    <t>33972-051-170712</t>
  </si>
  <si>
    <t>ORGANIZACION NACIONAL AVICOLA SOCIEDAD ACEIJAS S.R.L.</t>
  </si>
  <si>
    <t>AV. LA ESPERANZA N° 680, URB. SAN GREGORIO</t>
  </si>
  <si>
    <t>C1:4800:Diesel B5 S-50 </t>
  </si>
  <si>
    <t>WALTER ACEIJAS BRINGAS</t>
  </si>
  <si>
    <t>0009-CDFJ-04-2001</t>
  </si>
  <si>
    <t>TRANSPORTES IBEROAMERICANO S.R.L.</t>
  </si>
  <si>
    <t>AV. JOSE SANTOS ATAHUALPA Nº 503</t>
  </si>
  <si>
    <t>PUMA ACHIRE, CLARA</t>
  </si>
  <si>
    <t>0005-CDFJ-04-2005</t>
  </si>
  <si>
    <t>INTIGOLD MINING S.A. (EMBARGO DE INSCRIPCION RES 0230072793026)</t>
  </si>
  <si>
    <t>CENTRO MINERO CALPA</t>
  </si>
  <si>
    <t>C1:49300:DIESEL B2 </t>
  </si>
  <si>
    <t>MENENDEZ LOYOLA, JUANA ISABEL</t>
  </si>
  <si>
    <t>95623-051-140313</t>
  </si>
  <si>
    <t>MADERERA SAN JORGE E.I.R.L.</t>
  </si>
  <si>
    <t>CARRETERA FEDERICO BASADRE KM 10+300</t>
  </si>
  <si>
    <t>MANANTAY</t>
  </si>
  <si>
    <t>C1:2250:DIESEL B5 </t>
  </si>
  <si>
    <t>C1:500:GASOLINA 90 </t>
  </si>
  <si>
    <t>JORGE VIENA DIAZ</t>
  </si>
  <si>
    <t>39201-051-040820</t>
  </si>
  <si>
    <t>ELECTRICIDAD DEL PERU ELECTROPERU S.A.</t>
  </si>
  <si>
    <t>LOCALIDAD DE NUEVA ESPERANZA (CARRETERA- PANAMERICANA NORTE KM. 1249)</t>
  </si>
  <si>
    <t>ZORRITOS</t>
  </si>
  <si>
    <t>C1:219640:Diesel B5 S-50 </t>
  </si>
  <si>
    <t>C1:59660:Diesel B5 S-50 </t>
  </si>
  <si>
    <t>19788-051-291019</t>
  </si>
  <si>
    <t>AGROPUCALA S.A.A.</t>
  </si>
  <si>
    <t>AV. PIONEROS DE ROSCHDALE S/N</t>
  </si>
  <si>
    <t>PUCALA</t>
  </si>
  <si>
    <t>C1:100000:PETRÓLEO INDUSTRIAL Nº 4,PETRÓLEO INDUSTRIAL Nº 5,PETRÓLEO INDUSTRIAL Nº 500,PETRÓLEO INDUSTRIAL Nº 6 </t>
  </si>
  <si>
    <t>C1:7200:DIESEL B5,Diesel B5 S-50 </t>
  </si>
  <si>
    <t>ATOCHE PACHERRES JORGE HERNAN</t>
  </si>
  <si>
    <t>AGRO PAITA S.A.</t>
  </si>
  <si>
    <t>CARRETERA PIURA - SULLANA KM 1017</t>
  </si>
  <si>
    <t>C1:4610:PETRÓLEOS INDUSTRIALES </t>
  </si>
  <si>
    <t>FERREYROS CABIESES, PABLO</t>
  </si>
  <si>
    <t>92244-051-160520</t>
  </si>
  <si>
    <t>CARRETERA IGNACIO ESCUDERO TAMARINDO KM. 6</t>
  </si>
  <si>
    <t>C1:1050:GASOHOL 90 PLUS </t>
  </si>
  <si>
    <t>0011-CDFJ-16-2000</t>
  </si>
  <si>
    <t>TANSPORTES FLUVIALES FLOR DE MARIA FLORES DE COLOME</t>
  </si>
  <si>
    <t>CALLE 19 DE JUNIO MZ. B - LOTE 6 - SAN JUAN</t>
  </si>
  <si>
    <t>C1:1727:DIESEL 2 </t>
  </si>
  <si>
    <t>FLORES DE COLOME, FLOR DE MARIA</t>
  </si>
  <si>
    <t>0012-CDFJ-15-2007</t>
  </si>
  <si>
    <t>AV. LA CAPITANA N°190, HUACHIPA</t>
  </si>
  <si>
    <t>DELGADO NUÑEZ, NORVIL RUPERTO</t>
  </si>
  <si>
    <t>FABRICA DE CONSERVAS NADIA DENISSE S.A.</t>
  </si>
  <si>
    <t>ZONA INDUSTRIAL, PREDIO C, SECTOR LA HUACA</t>
  </si>
  <si>
    <t>REYES DE LA TORRE, JOSE ENRIQUE</t>
  </si>
  <si>
    <t>103458-051-160920</t>
  </si>
  <si>
    <t>AGROINDUSTRIA LAS PIRÁMIDES E.I.R.L.</t>
  </si>
  <si>
    <t>SECTOR 03, AMPLIACION LAS DELICIAS – PREDIO RUSTICO</t>
  </si>
  <si>
    <t>C1:2000:GASOHOL 84 PLUS,GASOHOL 90 PLUS </t>
  </si>
  <si>
    <t>CINDY YOLANDA SANTAMARIA SANCHEZ</t>
  </si>
  <si>
    <t>0052-CDFJ-15-2005</t>
  </si>
  <si>
    <t>EMPRESA DE TRANSPORTES Y SERVICIOS SAN AGUSTIN S.R.L.</t>
  </si>
  <si>
    <t>MZ. S LT. 29 URB. SAN JAVIER</t>
  </si>
  <si>
    <t>0039-CDFJ-15-2005</t>
  </si>
  <si>
    <t>JR. PLACIDO JIMÉNEZ Nº 790</t>
  </si>
  <si>
    <t>ROMERO UMLAUFF, ALFREDO</t>
  </si>
  <si>
    <t>0038-CDFJ-15-2005</t>
  </si>
  <si>
    <t>"AV. TINGO MARÍA Nº 472, SUB LOTE B."</t>
  </si>
  <si>
    <t>148387-051-261219</t>
  </si>
  <si>
    <t>EMPRESA DE TRANSPORTES CHABAQUITO S.A.C.</t>
  </si>
  <si>
    <t>AV. SANTUARIO N° 1457 (MZ. Q LOTE 5) URB. ZARATE INDUSTRIAL</t>
  </si>
  <si>
    <t>JUSTO WILSON ALARCON MEDINA</t>
  </si>
  <si>
    <t>91887-051-041118</t>
  </si>
  <si>
    <t>PREDIO ERIAZO UBICADO ENTRE LOS SECTORES LA CANO Y SAN JOSE, ALTURA DE LA CARRETERA PANAMERICANA SUR KM. 981.7 PLANTA DE SUPERFAM Y PLANTA DE EMULSION</t>
  </si>
  <si>
    <t>VICTOR ALONSO SOLIS BENITES</t>
  </si>
  <si>
    <t>116899-051-080915</t>
  </si>
  <si>
    <t>REPSOL EXPLORACION PERU S.A. SUCURSAL DEL PERU</t>
  </si>
  <si>
    <t>CAMPAMENTO BASE NUEVO MUNDO - LOTE 57</t>
  </si>
  <si>
    <t>C1:756000:TURBO A-1 </t>
  </si>
  <si>
    <t>C1:756000:Diesel B5 S-50 </t>
  </si>
  <si>
    <t>C1:20000:GASOHOL 90 PLUS </t>
  </si>
  <si>
    <t>ALEJANDRO JOSE PONCE BUENO</t>
  </si>
  <si>
    <t>122974-052-100916</t>
  </si>
  <si>
    <t>INFRAESTRUCTURAS Y ENERGIAS DEL PERU SAC</t>
  </si>
  <si>
    <t>CARRETERA FEDERICO BASADRE KM 10, FUNDO CORALI II-B</t>
  </si>
  <si>
    <t>C1:175000:DIESEL B5 </t>
  </si>
  <si>
    <t>SANDOVAL CALLE PEDRO</t>
  </si>
  <si>
    <t>0060-CDFJ-15-2005</t>
  </si>
  <si>
    <t>HOSPITAL SANTA ROSA</t>
  </si>
  <si>
    <t>AV. BOLIVAR CDRA. 8</t>
  </si>
  <si>
    <t>VASQUEZ RODRIGUEZ, RUBEN</t>
  </si>
  <si>
    <t>EMPRESA DE TRANSPORTES SANTA LUZMILA S.A.</t>
  </si>
  <si>
    <t>PARCELACION RESIDENCIAL LA ENSENADA MZ.-L, LT.-01</t>
  </si>
  <si>
    <t>PAJITA MIRANDA, SANTOS</t>
  </si>
  <si>
    <t>148798-051-280120</t>
  </si>
  <si>
    <t>PROYECTO ESPECIAL HUALLAGA CENTRAL Y BAJO MAYO</t>
  </si>
  <si>
    <t>JR. APURIMAC S/N, SECTOR 3ER PISO</t>
  </si>
  <si>
    <t>PASCO MERINO JORGE LUIS</t>
  </si>
  <si>
    <t>143060-051-021219</t>
  </si>
  <si>
    <t>TERMINAL PORTUARIO PARACAS S.A.</t>
  </si>
  <si>
    <t xml:space="preserve">CARRETERA PUNTA PEJERREY KM 39 PARACAS </t>
  </si>
  <si>
    <t>FELIX GUILLERMO SILVA CARRANZA</t>
  </si>
  <si>
    <t>0001-CDFJ-24-2006</t>
  </si>
  <si>
    <t>CORPORACION REFRIGERADOS INY S.A.</t>
  </si>
  <si>
    <t>PANAMERICANA NORTE KM. 1252</t>
  </si>
  <si>
    <t>LA CRUZ</t>
  </si>
  <si>
    <t>GONZALES SULLON, RAMON</t>
  </si>
  <si>
    <t>0002-CDFJ-24-2006</t>
  </si>
  <si>
    <t xml:space="preserve">CORPORACION REFRIGERADOS INYSA </t>
  </si>
  <si>
    <t>PANAMERICANA NORTE KM 1260</t>
  </si>
  <si>
    <t>CORRALES</t>
  </si>
  <si>
    <t>BARSIMANTOV DIEZ, DAVID YVES</t>
  </si>
  <si>
    <t>0002-CDFJ-22-2005</t>
  </si>
  <si>
    <t>J.F. INVERSIONES Y SERVICIOS Y SERVICIOS S.A.C.</t>
  </si>
  <si>
    <t>CARRETERA MARGINAL KM.55</t>
  </si>
  <si>
    <t>PICOTA</t>
  </si>
  <si>
    <t>C1:2850:DIESEL 2 </t>
  </si>
  <si>
    <t>RAMIREZ DAVILA, MARGARITA</t>
  </si>
  <si>
    <t>18534-051-071113</t>
  </si>
  <si>
    <t>AV. PROLONGACION CENTENARIO N° 1956 - LOS FERROLES</t>
  </si>
  <si>
    <t>C1:27635:RESIDUAL 500 (USO PROPIO) </t>
  </si>
  <si>
    <t>MANUEL SANTIAGO COFRE PAREDES</t>
  </si>
  <si>
    <t>0005-CDFJ-15-2009</t>
  </si>
  <si>
    <t>Z ADITIVOS S.A</t>
  </si>
  <si>
    <t>AV. LOS FAISANES N° 675 URB. LA CAMPIÑA</t>
  </si>
  <si>
    <t>C1:495:ASFALTOS </t>
  </si>
  <si>
    <t>C1:165:SOLVENTE 1 </t>
  </si>
  <si>
    <t>C1:275:SOLVENTE 3 </t>
  </si>
  <si>
    <t>ZERGA NAVARRO, LUIS ALBERTO</t>
  </si>
  <si>
    <t>95777-051-120312</t>
  </si>
  <si>
    <t>ANALYTICA MINERAL SERVICES S.A.C.</t>
  </si>
  <si>
    <t>PLANTA DE PROCESOS ORION-SECTOR QUEBRADA HONDA-PREDIO CLOTILDE</t>
  </si>
  <si>
    <t>BERNARDO ABEL ALVAREZ CALDERÓN CARRIQUIRY</t>
  </si>
  <si>
    <t>0038-CDFJ-15-2006</t>
  </si>
  <si>
    <t>JR. IGNACIO COSSIO 1420</t>
  </si>
  <si>
    <t>0040-CDFJ-15-2005</t>
  </si>
  <si>
    <t>MANUFACTURA DE PAPELES Y CARTONES DEL PERU S.A.</t>
  </si>
  <si>
    <t>JORGE CHAVEZ N° 1218</t>
  </si>
  <si>
    <t>C1:24000:PETRÓLEO INDUSTRIAL Nº 5 </t>
  </si>
  <si>
    <t>61940-051-040115</t>
  </si>
  <si>
    <t>COMPANIA MINERA SAN SIMON S.A.</t>
  </si>
  <si>
    <t xml:space="preserve">CENTRO MINERO LA VIRGEN </t>
  </si>
  <si>
    <t>CACHICADAN</t>
  </si>
  <si>
    <t>SANCHEZ PAREDES, SEGUNDO MANUEL</t>
  </si>
  <si>
    <t>18697-052-121016</t>
  </si>
  <si>
    <t>PUERTO MALABRIGO SUB LT. C - ZI RAZURI</t>
  </si>
  <si>
    <t>C1:198150:Diesel B5 S-50,PETRÓLEO INDUSTRIAL Nº 6 </t>
  </si>
  <si>
    <t>C1:5000:Diesel B5 S-50,PETRÓLEO INDUSTRIAL Nº 6 </t>
  </si>
  <si>
    <t>C1:198150:DIESEL B5 </t>
  </si>
  <si>
    <t>116482-051-240416</t>
  </si>
  <si>
    <t>DAJAC INVERSIONES SAC</t>
  </si>
  <si>
    <t>CONCESION MINERA CHABUCA I</t>
  </si>
  <si>
    <t>JULIA INFANZON CCAPAIQUE</t>
  </si>
  <si>
    <t>149156-051-120220</t>
  </si>
  <si>
    <t>C.T. LOCALIDAD SANTA ELENA RIO AMAZONAS A UNA HORA DE CABALLOCOCHA</t>
  </si>
  <si>
    <t>SEGUNDO VÍCTOR SOTO VASQUEZ</t>
  </si>
  <si>
    <t>120187-115-170616</t>
  </si>
  <si>
    <t>GLUCOM S.A.C.</t>
  </si>
  <si>
    <t>AV. MANUEL VALLE MZ. Z LT. 9, URB. HUERTOS DE LURIN</t>
  </si>
  <si>
    <t>C1:5810:XILENO </t>
  </si>
  <si>
    <t>C1:8450:SOLVENTE 3 </t>
  </si>
  <si>
    <t>GUIDO ORACIO CARABELLI PACE</t>
  </si>
  <si>
    <t>136225-051-230518</t>
  </si>
  <si>
    <t>JAYAVI GOLDEN CENTER I S.A.C.</t>
  </si>
  <si>
    <t>CONCESION MINERA GOLDEN CENTER I-B</t>
  </si>
  <si>
    <t>JUSTO QUISPE QUISPE</t>
  </si>
  <si>
    <t>94637-051-040620</t>
  </si>
  <si>
    <t>SECHURA A 110 KM. AL SUR DE PIURA - AREA DE PLANTA CONCENTRADORA, OFICINAS Y COMPLEMENTARIOS DE LA MINA</t>
  </si>
  <si>
    <t>C1:8500:Diesel B5 S-50 </t>
  </si>
  <si>
    <t>JALMIRO LAZARINI JUNIOR</t>
  </si>
  <si>
    <t>97523-051-030620</t>
  </si>
  <si>
    <t>SECHURA A 110 KM. AL SUR DE PIURA- AREA DE MINA - ALIMENTADOR Y SISTEMA DE TRANSPORTES</t>
  </si>
  <si>
    <t>EDUARDO MANUEL SANCHEZ CARO</t>
  </si>
  <si>
    <t>125106-051-160518</t>
  </si>
  <si>
    <t>MADERERA RIO YAVERIJA S.A.C.</t>
  </si>
  <si>
    <t>KM 5, DE LA CARRETERA INTEROCEANICA IÑAPARI - IBERIA MARGEN IZQUIERDA</t>
  </si>
  <si>
    <t>C1:2124:Diesel B5 S-50 </t>
  </si>
  <si>
    <t>C1:5263:Diesel B5 S-50 </t>
  </si>
  <si>
    <t>JI WU XIAODONG</t>
  </si>
  <si>
    <t>0015-CDFJ-15-2003</t>
  </si>
  <si>
    <t>ANTIGUA CARRETERA PANAMERICANA SUR KM 38,5</t>
  </si>
  <si>
    <t>C1:4400:GASOLINA 90 </t>
  </si>
  <si>
    <t>EMPRESA NACIONAL DE PUERTOS S.A. - TERMINAL SALAVERRY</t>
  </si>
  <si>
    <t>TERMINAL MARITIMO DE SALAVERRY</t>
  </si>
  <si>
    <t>HOTELERA COSTA DEL PACIFICO S.A.</t>
  </si>
  <si>
    <t>AV. SANTO TORIBIO N° 173</t>
  </si>
  <si>
    <t>MORALES DASSO, JOSE MIGUEL</t>
  </si>
  <si>
    <t>100369-051-041014</t>
  </si>
  <si>
    <t>EMLUCA S.R.L.</t>
  </si>
  <si>
    <t>CONCESION MINERA GLASA III</t>
  </si>
  <si>
    <t>C1:1740:Diesel B5 S-50 </t>
  </si>
  <si>
    <t>C1:2310:Diesel B5 S-50 </t>
  </si>
  <si>
    <t>C1:5640:Diesel B5 S-50 </t>
  </si>
  <si>
    <t>SIMON TADEO THUPA CURASI</t>
  </si>
  <si>
    <t>0001-CDFJ-18-2008</t>
  </si>
  <si>
    <t>PATIO PUERTO UNIDAD DE PRODUCICON DE ILO</t>
  </si>
  <si>
    <t>C1:3400:DIESEL B2 </t>
  </si>
  <si>
    <t>C1:1300:GASOLINA 84 </t>
  </si>
  <si>
    <t>C1:7000:DIESEL B2 </t>
  </si>
  <si>
    <t>97420-051-181114</t>
  </si>
  <si>
    <t>CONSTRUCTORA ADONAI S.A.C.</t>
  </si>
  <si>
    <t>QUEBRADA PADILLA S/N-CONCESIÓN MINERA 9 DE SETIEMBRE</t>
  </si>
  <si>
    <t>NILDA FRANCISCA PAJA LARICO</t>
  </si>
  <si>
    <t>0006-CDFJ-02-2006</t>
  </si>
  <si>
    <t>CORPORACION INDUSTRIAL MILAGROS DEL MAR S.A.</t>
  </si>
  <si>
    <t>AV. BREA Y PARIÑAS LTS. 1 - 2 - 9 - 10 - 11</t>
  </si>
  <si>
    <t>C1:937:PETRÓLEO INDUSTRIAL Nº 500 </t>
  </si>
  <si>
    <t>C1:1311:PETRÓLEO INDUSTRIAL Nº 500 </t>
  </si>
  <si>
    <t>QUISPE SANCHEZ, CARLOS ENRIQUE</t>
  </si>
  <si>
    <t>132819-051-070918</t>
  </si>
  <si>
    <t>MINERMIN GOLD E.I.R.L.</t>
  </si>
  <si>
    <t xml:space="preserve">CONCESION MINERA "SEÑOR CAUTIVO" CODIGO 040000602 </t>
  </si>
  <si>
    <t>C1:9300:Diesel B5 S-50 </t>
  </si>
  <si>
    <t>WALTER QUIÑONES HANCCOCCALLO</t>
  </si>
  <si>
    <t>0011-CDFJ-07-2005</t>
  </si>
  <si>
    <t>LIMA AIRPORT PARTNERS S.R.L.</t>
  </si>
  <si>
    <t>AEROPUERTO INTERNACIONAL JORGE CHAVEZ</t>
  </si>
  <si>
    <t>MONTES MOROTE, MILAGROS LIZET</t>
  </si>
  <si>
    <t>97068-051-210612</t>
  </si>
  <si>
    <t>CONSORCIO MADERERO SAC</t>
  </si>
  <si>
    <t>CARRETERA MANANTAY KM 5.800</t>
  </si>
  <si>
    <t>C1:500:DIESEL B5,GASOLINA 90 </t>
  </si>
  <si>
    <t>LEOVIGILDO GUZMAN CHAVEZ</t>
  </si>
  <si>
    <t>0037-CDFJ-15-2007</t>
  </si>
  <si>
    <t>F &amp; KME S.A.</t>
  </si>
  <si>
    <t>CALLE 31 # 195, URB. CORPAC</t>
  </si>
  <si>
    <t>FUKASAWA , MUNEAKI</t>
  </si>
  <si>
    <t>41672-051-170816</t>
  </si>
  <si>
    <t>AV. NESTOR GAMBETTA KM. 14.5 (CARRETERA A VENTANILLA)</t>
  </si>
  <si>
    <t>GILBERTO YAMAZAKI</t>
  </si>
  <si>
    <t>0008-CDFJ-11-2005</t>
  </si>
  <si>
    <t xml:space="preserve">PAMERICANA SUR KM. 327 </t>
  </si>
  <si>
    <t>LEVY CORDOVA, LUCIANA BETZABEL</t>
  </si>
  <si>
    <t>0044-CDFJ-15-2007</t>
  </si>
  <si>
    <t>SERVICENTRO 45 S.A.</t>
  </si>
  <si>
    <t>AV. SEPARADORA INDUSTRIAL MZ. G LOTES 5 6 1314.</t>
  </si>
  <si>
    <t>CHACON ANGULO, NICOLAS AQUILES</t>
  </si>
  <si>
    <t>0006-CDFJ-11-2007</t>
  </si>
  <si>
    <t>CARRETERA PISCO-PARACAS KM. 22,</t>
  </si>
  <si>
    <t>C1:11991:DIESEL 2 </t>
  </si>
  <si>
    <t>C1:13271:PETRÓLEO INDUSTRIAL Nº 500 </t>
  </si>
  <si>
    <t>ESCOBAR ESPINO, ROBERTO DIEGO</t>
  </si>
  <si>
    <t>CARRETERA MARGINAL A PUCALLPA KM. 1</t>
  </si>
  <si>
    <t>0047-CDFJ-15-2009</t>
  </si>
  <si>
    <t>EMPRESA DE TRANSPORTES 36 SAN MARTIN DE PORRES S.A</t>
  </si>
  <si>
    <t>MZ B LOTES 1 AL 28 URB. LA FLORIDA</t>
  </si>
  <si>
    <t>FIGUEROA BARRENO, ERNESTO</t>
  </si>
  <si>
    <t>ELECTROCENTRO S.A. CENTRAL TERMICA AUCAYACU</t>
  </si>
  <si>
    <t>JR. ICA S/N CUADRA 2</t>
  </si>
  <si>
    <t>JOSE CRESPO Y CASTILLO</t>
  </si>
  <si>
    <t>C1:10800:DIESEL 2 </t>
  </si>
  <si>
    <t>C1:8400:DIESEL 2 </t>
  </si>
  <si>
    <t>AGRUPACION DE TRANSPORTISTA EN CAMIONETAS S.S. (ATCR-SA)</t>
  </si>
  <si>
    <t>AV. ANTUNEZ DE MAYOLO MZ. B, LTE. 7</t>
  </si>
  <si>
    <t>NORIEGA VIZCARRA, ANTONIO</t>
  </si>
  <si>
    <t>95936-051-030512</t>
  </si>
  <si>
    <t>MULTISERVICIOS E INVERSIONES VIRGEN DE COPACABANA S.A.C.</t>
  </si>
  <si>
    <t>AV. HUASCAR S/N MZ. AZ LOTES 5 Y 6 PUEBLO JOVEN SECTOR LAS LOMAS - JICAMARCA</t>
  </si>
  <si>
    <t>CRESENCIA ROMULA MENDEZ VEGA</t>
  </si>
  <si>
    <t>INCALPACA TEXTILES PERUANOS DE EXPORTACION S.A.</t>
  </si>
  <si>
    <t>CALLE CONDOR NO. 100</t>
  </si>
  <si>
    <t>C1:13500:PETRÓLEO INDUSTRIAL Nº 500 </t>
  </si>
  <si>
    <t>VALLADARES GUERRERO, JOSE</t>
  </si>
  <si>
    <t>0050-CDFJ-15-2006</t>
  </si>
  <si>
    <t>HERMES TRANSPORTES BLINDADOS SA.</t>
  </si>
  <si>
    <t>AV. PRODUCCION NACIONAL LTE 13 URB. LA VILLA</t>
  </si>
  <si>
    <t>FREUNDT THURNE, JAIME ALEJANDRO</t>
  </si>
  <si>
    <t>0058-CDFJ-15-2005</t>
  </si>
  <si>
    <t>EMPRESA DE TRANSPORTES Y SERVICIOS COMERCIALIZADORA IMPORTADORA Y EXPORTADORA MACHU PICHU S.A</t>
  </si>
  <si>
    <t>CALLE MACHU PICHU LT 73-74 H URB TUNGASUCA</t>
  </si>
  <si>
    <t>C1:4990:DIESEL 2 </t>
  </si>
  <si>
    <t>SIGUAS SALDAÑA, SEGUNDO ENRIQUE</t>
  </si>
  <si>
    <t>90524-051-2011</t>
  </si>
  <si>
    <t>EMPRESA DE TRANSPORTES MULTIPLES SAN PABLO S.A.C.</t>
  </si>
  <si>
    <t>AV. UNION JICAMARCA MZ. X2, LOTE 8 (A-1), JICAMARCA ANEXO 8</t>
  </si>
  <si>
    <t>EDITH MARIA RIMAC CHAMORRO DE ARZAPALO</t>
  </si>
  <si>
    <t>1424-051-260412</t>
  </si>
  <si>
    <t>AV. LA MARINA N°400 - SUPE PUERTO</t>
  </si>
  <si>
    <t>C1:20350:DIESEL B5 </t>
  </si>
  <si>
    <t>C1:53000:PETRÓLEO INDUSTRIAL Nº 500 </t>
  </si>
  <si>
    <t>C1:43000:PETRÓLEO INDUSTRIAL Nº 500 </t>
  </si>
  <si>
    <t>WENCESLAO HERIBERTO FRANCO AZAN</t>
  </si>
  <si>
    <t>0007-CDFJ-02-2000</t>
  </si>
  <si>
    <t>COMPAÑIA PERUANA DEL AZUCAR S.A.C.</t>
  </si>
  <si>
    <t>CALLE SOLIDEZ ALTO S/N – SAN JACINTO</t>
  </si>
  <si>
    <t>C1:22250:PETRÓLEO INDUSTRIAL Nº 6 </t>
  </si>
  <si>
    <t>C1:216000:PETRÓLEO INDUSTRIAL Nº 6 </t>
  </si>
  <si>
    <t>CALISAYA MEDINA, JUAN MANUEL</t>
  </si>
  <si>
    <t>0022-CDFJ-15-2009</t>
  </si>
  <si>
    <t>UNION DE CONCRETERAS S.A</t>
  </si>
  <si>
    <t>CARRETERA PANAMERICANA SUR ENTRE LOS KM 24,303 Y 24,374</t>
  </si>
  <si>
    <t>84466-051-221217</t>
  </si>
  <si>
    <t>VIRU S.A.</t>
  </si>
  <si>
    <t>CARRETERA PANAMERICANA NORTE ALTURA KM. 521 ASENTAMIENTO HUMANO VICTOR RAUL HAYA DE LA TORRE</t>
  </si>
  <si>
    <t>C1:4333:DIESEL B5 </t>
  </si>
  <si>
    <t>CINTHIA ZULEICA ESLAVA ARMAS</t>
  </si>
  <si>
    <t>1312-051-221217</t>
  </si>
  <si>
    <t>PREDIO RURAL SECTOR VII BLOCK C VALLE VIRU ( A 1150 M DE LA MARGEN DERECHA DE LA CARRETERA PANAMERICANA NORTE ALTURA KM. 523 )</t>
  </si>
  <si>
    <t>C1:6368:PETRÓLEO INDUSTRIAL Nº 6 </t>
  </si>
  <si>
    <t>C1:10140:PETRÓLEO INDUSTRIAL Nº 6 </t>
  </si>
  <si>
    <t>134564-051-041119</t>
  </si>
  <si>
    <t>REFINERIA LA PAMPILLA S.A.A.</t>
  </si>
  <si>
    <t>AV. VICTOR ANDRES BELAUNDE 147, VIA PRINCIPAL 110</t>
  </si>
  <si>
    <t>C1:350:Diesel B5 S-50 </t>
  </si>
  <si>
    <t>JAIME FERNANDEZ CUESTA LUCA DE TENA</t>
  </si>
  <si>
    <t>131410-051-250817</t>
  </si>
  <si>
    <t>CONSTRUCTORA LAS PAMPAS DE SIGUAS S.A.</t>
  </si>
  <si>
    <t>CAMPAMENTO PROVISIONAL DE PUSA PUSA ANEXO PUSA PUSA, MARGEN DERECHA DE LA CARRETERA SIBAYO-CAYLLOMA, DESVIO CARRETERA ANGOSTURA KM 11</t>
  </si>
  <si>
    <t>C1:5932:Diesel B5 S-50 </t>
  </si>
  <si>
    <t>PEDRO VÍCTOR LEÓN CAUCOTO</t>
  </si>
  <si>
    <t>131843-051-220917</t>
  </si>
  <si>
    <t>CONSORCIO MENDOZA S.A.C</t>
  </si>
  <si>
    <t>AV. UNIVERSITARIA MZ. B LT. 1-2 URB. INDUSTRIAL INFANTAS</t>
  </si>
  <si>
    <t>SANTOS GONZALO MENDOZA VARAS</t>
  </si>
  <si>
    <t>TRANSLEI S.R.L.</t>
  </si>
  <si>
    <t>CAMPAMENTO MINERO DE YANACOCHA</t>
  </si>
  <si>
    <t>LEI SINCHO, JUAN</t>
  </si>
  <si>
    <t>AV. GENERAL FELIPE SANTIAGO SALAVERRY N° 140 URB. EL PINO</t>
  </si>
  <si>
    <t>C1:4750:DIESEL 2 </t>
  </si>
  <si>
    <t>1471-051-300816</t>
  </si>
  <si>
    <t>CATALINA HUANCA SOCIEDAD MINERA S.A.C.</t>
  </si>
  <si>
    <t>ZONA BOCAMINA BOLIVAR - NV. 189</t>
  </si>
  <si>
    <t>VICTOR FAJARDO</t>
  </si>
  <si>
    <t>CANARIA</t>
  </si>
  <si>
    <t>C1:5500:DIESEL B5,Diesel B5 S-50 </t>
  </si>
  <si>
    <t>JAIMA PALOMINO OCHOA</t>
  </si>
  <si>
    <t>114260-115-160415</t>
  </si>
  <si>
    <t>HAC COMERCIO Y MANUFACTURA S.A.</t>
  </si>
  <si>
    <t>AV. CHACRA CERRO MZ. B, LOTE 41 - URB. TRAPICHE</t>
  </si>
  <si>
    <t>C1:55:HEXANO,HIDROCARBURO ACÍCLICO SATURADO - HAS,SOLVENTE 1,TOLUENO </t>
  </si>
  <si>
    <t>JACQUELIN MARGOT CORDOVA HUAMAN</t>
  </si>
  <si>
    <t>0006-CDFJ-02-2004</t>
  </si>
  <si>
    <t>AV. STA.MARINA S/N CALETA COISHCO KM. 426 PN.</t>
  </si>
  <si>
    <t>C1:2339:DIESEL 2 </t>
  </si>
  <si>
    <t>C1:149000:PETRÓLEO INDUSTRIAL Nº 6 </t>
  </si>
  <si>
    <t>C1:85661:DIESEL 2 </t>
  </si>
  <si>
    <t>16184-052-220617</t>
  </si>
  <si>
    <t xml:space="preserve">DOE RUN PERU S.R.L. </t>
  </si>
  <si>
    <t>FUNDICION Y REFINERIA - LA OROYA</t>
  </si>
  <si>
    <t>LA OROYA</t>
  </si>
  <si>
    <t>C1:10063:Diesel B5 S-50 </t>
  </si>
  <si>
    <t>C1:32587:PETRÓLEOS INDUSTRIALES </t>
  </si>
  <si>
    <t>C1:15529:GASOHOL 84 PLUS </t>
  </si>
  <si>
    <t>C1:15593:GASOHOL 90 PLUS </t>
  </si>
  <si>
    <t>C1:41602:Diesel B5 S-50 </t>
  </si>
  <si>
    <t>C1:10047:Diesel B5 S-50 </t>
  </si>
  <si>
    <t>C1:15540:Diesel B5 S-50 </t>
  </si>
  <si>
    <t>C1:15542:Diesel B5 S-50 </t>
  </si>
  <si>
    <t>C1:13590:Diesel B5 S-50 </t>
  </si>
  <si>
    <t>C1:397014:PETRÓLEOS INDUSTRIALES </t>
  </si>
  <si>
    <t>434-052-281218</t>
  </si>
  <si>
    <t>ASIENTO MINERO SAN RAFAEL CARRETERA DESVÍO C. JULIACA - MACUSANI KM. 102, REFERENCIA KM 102.6</t>
  </si>
  <si>
    <t>ANTAUTA</t>
  </si>
  <si>
    <t>C1:20000:GASOHOL 84 PLUS </t>
  </si>
  <si>
    <t>0009-CDFJ-13-2000</t>
  </si>
  <si>
    <t>EMBOTELLADORA RIVERA S.A.</t>
  </si>
  <si>
    <t>AV. MANSICHE Nº 1733</t>
  </si>
  <si>
    <t>C1:5900:DIESEL 2 </t>
  </si>
  <si>
    <t>BULNES CAVERO, WILSON</t>
  </si>
  <si>
    <t>0001-CDFJ-20-2001</t>
  </si>
  <si>
    <t xml:space="preserve">EMPRESA PESQUERA PUERTO RICO S.A.C. </t>
  </si>
  <si>
    <t>PLAYA SECA S/N INTERIOR DE ESTACION NAVAL PAITA</t>
  </si>
  <si>
    <t>C1:20000:PETRÓLEO INDUSTRIAL Nº 6 </t>
  </si>
  <si>
    <t>FLORES GALINDO, WALTER DANIEL</t>
  </si>
  <si>
    <t>119476-051-280116</t>
  </si>
  <si>
    <t>GOLD FIELDS LA CIMA S.A.</t>
  </si>
  <si>
    <t>UNIDAD MINERA CERRO CORONA, C.C. EL TINGO ALTURA DEL KM. 80 DE LA CARRETERA CAJAMARCA BAMBAMARCA</t>
  </si>
  <si>
    <t>C1:20000:DIESEL B5 </t>
  </si>
  <si>
    <t>C1:4500:GASOHOL 90 PLUS </t>
  </si>
  <si>
    <t xml:space="preserve">INES PATRICIA NUÑOVERO ROJAS </t>
  </si>
  <si>
    <t>0012-CDFJ-13-2000</t>
  </si>
  <si>
    <t>CURTIEMBRE CHIMU MURGIA HNOS. S.A.C.</t>
  </si>
  <si>
    <t>AV. PABLO CASAL N° 714 URB. LOS CEDROS</t>
  </si>
  <si>
    <t>ESPINOZA CERVERA, CESAR RUFINO</t>
  </si>
  <si>
    <t>0002-CDFJ-02-2006</t>
  </si>
  <si>
    <t>PESQUERA BYS S.A.C.</t>
  </si>
  <si>
    <t>AV. VILLA DEL MAR Nº 760</t>
  </si>
  <si>
    <t>C1:12000:PETRÓLEO INDUSTRIAL Nº 500 </t>
  </si>
  <si>
    <t>BAZAN SAN, MARTIN SANDRO RONY</t>
  </si>
  <si>
    <t>0005-CDFJ-13-2002</t>
  </si>
  <si>
    <t>AV. NICOLAS DE PIEROLA Nº 1249 URB. SANTA INES</t>
  </si>
  <si>
    <t>95125-051-270112</t>
  </si>
  <si>
    <t>RANSA COMERCIAL S.A</t>
  </si>
  <si>
    <t>AV. NESTOR GAMBETTA N° 3235</t>
  </si>
  <si>
    <t>LUIS HERNAN DE LOS RIOS SOUZA PEIXOTO</t>
  </si>
  <si>
    <t>178-051-2010</t>
  </si>
  <si>
    <t>PAPELERA PANAMERICANA S.A.</t>
  </si>
  <si>
    <t>PARQUE INDUSTRIAL LT. 4 MZ. R UBICADA EN LA URBANIZACION PARQUE INDUSTRIAL TERCERA ETAPA</t>
  </si>
  <si>
    <t>CERCADO</t>
  </si>
  <si>
    <t>JUAN SALOMON LAZA MANRIQUE</t>
  </si>
  <si>
    <t>124516-051-190117</t>
  </si>
  <si>
    <t>EMPRESA DE TRANSPORTES JOSE LEAL COCHARCAS S.A.</t>
  </si>
  <si>
    <t>MZ M-1 LOTES 25,26 Y 27 URB. LOS JARDINES DE SHANGRI-LA</t>
  </si>
  <si>
    <t>C1:4030:Diesel B5 S-50 </t>
  </si>
  <si>
    <t>OSCAR FRANCISCO JAUREGUI OROSCO</t>
  </si>
  <si>
    <t>115654-051-200715</t>
  </si>
  <si>
    <t xml:space="preserve">SAN MIGUEL INDUSTRIAS PET S.A. </t>
  </si>
  <si>
    <t>AV. MATERIALES N° 2354</t>
  </si>
  <si>
    <t>C1:360:Diesel B5 S-50 </t>
  </si>
  <si>
    <t>HÉCTOR ANTONIO PÁRRAGA RODRIGUEZ</t>
  </si>
  <si>
    <t>CHORRILLOS COLOR S.A</t>
  </si>
  <si>
    <t>AV. ALAMEDA LOS PINOS 517 URB. VILLA MARINA</t>
  </si>
  <si>
    <t>C1:300:PETRÓLEO INDUSTRIAL Nº 6 </t>
  </si>
  <si>
    <t>SUMAR BAGLIS, FAISAL</t>
  </si>
  <si>
    <t>133008-051-221117</t>
  </si>
  <si>
    <t>EMPRESA DE TRANSPORTES APOCALIPSIS S.A.</t>
  </si>
  <si>
    <t>AV. TUPAC AMARU N° 7612 A. H. AÑO NUEVO ZONA C</t>
  </si>
  <si>
    <t>JEREMIAS DAVID TEJEDA LEON</t>
  </si>
  <si>
    <t>138097-051-250818</t>
  </si>
  <si>
    <t>HOSPITAL REGIONAL DE MOQUEGUA</t>
  </si>
  <si>
    <t>AV. SIMON BOLIVAR Nº 505</t>
  </si>
  <si>
    <t>JOSE MARIA DALMECIO RIVERA CHUMBES</t>
  </si>
  <si>
    <t>38531-051-260814</t>
  </si>
  <si>
    <t>AMERICATEL PERU S.A</t>
  </si>
  <si>
    <t>CALLE CENTAURO N° 115 – URB. LOS GRANADOS</t>
  </si>
  <si>
    <t>C1:1600:Diesel B5 S-50 </t>
  </si>
  <si>
    <t>EDUARDO BOBENRIETH GIGLIO</t>
  </si>
  <si>
    <t>131236-051-240817</t>
  </si>
  <si>
    <t xml:space="preserve">COMPAÑIA MINERA CHUNGAR S.A.C. </t>
  </si>
  <si>
    <t>CENTRAL HIDROELECTRICA BAÑOS V KM. 5 CARRETERA CENTRAL HIDROELECTRICA TINGO SAN JOSE DE BAÑOS</t>
  </si>
  <si>
    <t>ATAVILLOS ALTO</t>
  </si>
  <si>
    <t>TEJADA GURMENDI JAIME TROY</t>
  </si>
  <si>
    <t>148432-051-261219</t>
  </si>
  <si>
    <t>EMPRESA DE TRANSPORTES NUEVO HORIZONTE SOCIEDAD ANONIMA</t>
  </si>
  <si>
    <t>LOTIZACION SANTA MARTA MZ. B LOTE 15</t>
  </si>
  <si>
    <t>JAVIER HUGO JORGE HUINCHO</t>
  </si>
  <si>
    <t>34717-051-310517</t>
  </si>
  <si>
    <t>GRAU LOGISTICA EXPRESS S.A.C.</t>
  </si>
  <si>
    <t>CALLE 1 N° 253 URB. FUNDO BOCANEGRA ALTO</t>
  </si>
  <si>
    <t>ALIPIO EDUARDO ALVAREZ ANGULO</t>
  </si>
  <si>
    <t>0005-CDFJ-15-2000</t>
  </si>
  <si>
    <t>TEJIDOS SAN JACINTO S.A</t>
  </si>
  <si>
    <t>AV. COLECTORA INDUSTRIAL 162-172</t>
  </si>
  <si>
    <t>C1:630:DIESEL 2 </t>
  </si>
  <si>
    <t>C1:450:PETRÓLEO INDUSTRIAL Nº 500 </t>
  </si>
  <si>
    <t>RAZURI RAMIREZ, RAMON RICARDO</t>
  </si>
  <si>
    <t>15671-051-220416</t>
  </si>
  <si>
    <t>EMPRESA DE TRANSPORTES MANUEL JESUS CAMPOS CALLUPE S.R.L.</t>
  </si>
  <si>
    <t>CALLE MINERIA N° 320, URBANIZACION LOS FICUS</t>
  </si>
  <si>
    <t>CAMPOS ARIAS, JESUS</t>
  </si>
  <si>
    <t>0005-CDFJ-07-2009</t>
  </si>
  <si>
    <t>EMPRESA DE TRANSPORTES Y SERVICIOS MULTIPLES CHALACOS UNIDOS S.A.C</t>
  </si>
  <si>
    <t>AV. REVOLUCION N° 870,ZONA INDUSTRIAL CALLA - VENTANILLA</t>
  </si>
  <si>
    <t>IBARGUEN CUADROS DE AVALOS, NANCY ROSA</t>
  </si>
  <si>
    <t>122354-051-140816</t>
  </si>
  <si>
    <t>REPRESENTACIONES R-28 S.A.</t>
  </si>
  <si>
    <t>MZ. CZ LOTES 07, 08, 09 Y 10 SECTOR EL VALLE PAMPA CANTO GRANDE</t>
  </si>
  <si>
    <t>JULIO HUERTA RAMIREZ</t>
  </si>
  <si>
    <t>61030-051-201212</t>
  </si>
  <si>
    <t>EMPRESA DE TRANSPORTES FLORES HERMANOS S.R.L.</t>
  </si>
  <si>
    <t>AV. MIGUEL FORJA CON AV. LOS INCAS SUB-LOTE B MZ. N LT. 02</t>
  </si>
  <si>
    <t>140144-051-031218</t>
  </si>
  <si>
    <t>EMIGDIO OSWALDO SUCARI SUCARI</t>
  </si>
  <si>
    <t xml:space="preserve">CONSECION MINERA EDILUQUE, SECTOR SETAPO - HUEPETUHE </t>
  </si>
  <si>
    <t>EMIGDIO OSWALDO SUCARL SUCARI</t>
  </si>
  <si>
    <t>0024-CDFJ-07-2005</t>
  </si>
  <si>
    <t>TRANSPESA S.A.C.</t>
  </si>
  <si>
    <t>CALLE B, MZ C, LOTE 7D, URB FUNDO BOCANEGRA</t>
  </si>
  <si>
    <t>C1:4350:DIESEL 2 </t>
  </si>
  <si>
    <t>PESANTES NOVOA, MARCOS ANTONIO</t>
  </si>
  <si>
    <t>42375-051-081113</t>
  </si>
  <si>
    <t>CORPORACION GACELA S.A.C.</t>
  </si>
  <si>
    <t>MZ. M LOTE 1 URB. EL OLIVAR</t>
  </si>
  <si>
    <t>FELIPE YUCA CHOQUE</t>
  </si>
  <si>
    <t>130584-051-200717</t>
  </si>
  <si>
    <t>MINERA AURÍFERA CUATRO DE ENERO S.A.</t>
  </si>
  <si>
    <t>UNIDAD MINERA “CUATRO HORAS”</t>
  </si>
  <si>
    <t>CHAPARRA</t>
  </si>
  <si>
    <t>JOSE GUILLERMO AGAPITO ARANGO</t>
  </si>
  <si>
    <t>492-051-031016</t>
  </si>
  <si>
    <t>TABLEROS PERUANOS S.A.</t>
  </si>
  <si>
    <t>CAMPO PRIMAVERA S/N</t>
  </si>
  <si>
    <t>C1:3750:DIESEL B5 </t>
  </si>
  <si>
    <t>C1:20000:Diesel B5 S-50,PETRÓLEO INDUSTRIAL Nº 6 </t>
  </si>
  <si>
    <t>MARIO FRANCISCO LLIROD TABERNA</t>
  </si>
  <si>
    <t>0001-CDFJ-23-2009</t>
  </si>
  <si>
    <t>MUNICIPALIDAD DISTRITAL DE ITE</t>
  </si>
  <si>
    <t>AA.HH EL MIRADOR DE ITE PAMPA ALTA</t>
  </si>
  <si>
    <t>ITE</t>
  </si>
  <si>
    <t>C1:4300:GASOLINA 84 </t>
  </si>
  <si>
    <t>C1:4300:DIESEL B2 </t>
  </si>
  <si>
    <t>RIVERA CHAVEZ, PABLO YSAUL</t>
  </si>
  <si>
    <t>0003-CDFJ-07-2007</t>
  </si>
  <si>
    <t>AV. MANCO CAPAC 498</t>
  </si>
  <si>
    <t>C1:6300:DIESEL 2 </t>
  </si>
  <si>
    <t>VARGAS LORET DE MOLA, CARLOS RODOLFO JUAN</t>
  </si>
  <si>
    <t>116812-051-211017</t>
  </si>
  <si>
    <t>EMC GREEN GROUP S.A.</t>
  </si>
  <si>
    <t>PROYECTO YACARÍ</t>
  </si>
  <si>
    <t>ACARI</t>
  </si>
  <si>
    <t>JOEL OMAR QUINTANILLA MORALES</t>
  </si>
  <si>
    <t>0003-CDFJ-07-2008</t>
  </si>
  <si>
    <t>REFRACTARIOS PERUANOS SA.</t>
  </si>
  <si>
    <t>AV. MATERIALES Nº 2858</t>
  </si>
  <si>
    <t>MORALES SALMON, LORGE LUIS</t>
  </si>
  <si>
    <t>0050-CDFJ-15-2005</t>
  </si>
  <si>
    <t>FILASUR S.A.</t>
  </si>
  <si>
    <t>AV. EL SANTUARIO N° 1189 - URB.ZARATE</t>
  </si>
  <si>
    <t>C1:14100:DIESEL 2 </t>
  </si>
  <si>
    <t>ABUSADA SALAH, NAGIB</t>
  </si>
  <si>
    <t>117477-051-030518</t>
  </si>
  <si>
    <t>APROFERROL S.A.</t>
  </si>
  <si>
    <t>CALLE MZ. B LT. SUB-1 ZONA INDUSTRIAL - GRAN TRAPECIO</t>
  </si>
  <si>
    <t>EDWARD GUERSON VERA PAZ</t>
  </si>
  <si>
    <t>0006-CDFJ-07-2004</t>
  </si>
  <si>
    <t>UNIMAR S.A.</t>
  </si>
  <si>
    <t>NÉSTOR GAMBETA N° 5349</t>
  </si>
  <si>
    <t>C1:2020:DIESEL 2 </t>
  </si>
  <si>
    <t>BURGER BOPST, UWE FRED HERBERT</t>
  </si>
  <si>
    <t>103214-051-210713</t>
  </si>
  <si>
    <t>APUMAYO S.A.C.</t>
  </si>
  <si>
    <t>CAMPAMENTO MINERO APUMAYO</t>
  </si>
  <si>
    <t>CHAVIÑA</t>
  </si>
  <si>
    <t>106053-051-261113</t>
  </si>
  <si>
    <t xml:space="preserve">TECHINT S.A.C. </t>
  </si>
  <si>
    <t>AV. EL EJERCITO S/N CUADRA 11 CUARTEL LOS CABITOS</t>
  </si>
  <si>
    <t>AGOSTINO GINO MATRANGA GORRITI</t>
  </si>
  <si>
    <t>0009-CDFJ-11-2000</t>
  </si>
  <si>
    <t>CARRETERA A PARACAS KM 2115</t>
  </si>
  <si>
    <t>C1:21239:DIESEL 2 </t>
  </si>
  <si>
    <t xml:space="preserve">FABRICA PERUANA ETERNIT S.A. </t>
  </si>
  <si>
    <t xml:space="preserve">JIRON REPUBLICA DEL ECUADOR N° 448 </t>
  </si>
  <si>
    <t>DANCUART TRAVERSO, JAVIER ALBERTO</t>
  </si>
  <si>
    <t>130343-051-270717</t>
  </si>
  <si>
    <t>AURIFERA OLFEWIM S.A.C.</t>
  </si>
  <si>
    <t>CONCESION MINERA " LOS TRES HERRANTES"</t>
  </si>
  <si>
    <t>OLSEN VALOIS CONDORI CONDORI</t>
  </si>
  <si>
    <t>INDUSTRIAL TEAL S.A.</t>
  </si>
  <si>
    <t>JR. JUNIN N° 1520</t>
  </si>
  <si>
    <t>C1:17100:PETRÓLEO INDUSTRIAL Nº 5 </t>
  </si>
  <si>
    <t>C1:8550:DIESEL 2 </t>
  </si>
  <si>
    <t>LUGON BADARACCO, JUAN</t>
  </si>
  <si>
    <t>87946-051-2010</t>
  </si>
  <si>
    <t>JR. CORONEL CIPRIANO ZEGARRA S/N, CUADRA 4</t>
  </si>
  <si>
    <t>JAIME JOSE CASIMIRO ULLOA SCHIANTARELLI</t>
  </si>
  <si>
    <t>113327-051-090415</t>
  </si>
  <si>
    <t xml:space="preserve">TRANSEL S.A.C. </t>
  </si>
  <si>
    <t>AV. B S/N URB EX FUNDO OQUENDO</t>
  </si>
  <si>
    <t>LUIS ANTICONA FLORES</t>
  </si>
  <si>
    <t>63958-051-060313</t>
  </si>
  <si>
    <t>MONSANTO PERU S.A.</t>
  </si>
  <si>
    <t>PANAMERICANA SUR KM. 281, VILLACURI</t>
  </si>
  <si>
    <t>JOSE DE LA ROSA ZETA CHULLE</t>
  </si>
  <si>
    <t>130535-051-180717</t>
  </si>
  <si>
    <t>ANEXO PUNA CHICA, UTM (19L186991.34 828744.49)</t>
  </si>
  <si>
    <t>TAPAY</t>
  </si>
  <si>
    <t>CARLOS ENRIQUE RODRIGUEZ VIGO</t>
  </si>
  <si>
    <t>41962-051-270919</t>
  </si>
  <si>
    <t>NEXA RESOURCES ATACOCHA S.A.A.</t>
  </si>
  <si>
    <t>CARRETERA CENTRAL KM 150 - CAMPAMENTOS CHICRÍN Y ATACOCHA</t>
  </si>
  <si>
    <t>YANACANCHA</t>
  </si>
  <si>
    <t>C1:3500:GASOHOL 90 PLUS </t>
  </si>
  <si>
    <t>150898-051-030920</t>
  </si>
  <si>
    <t>TECSI HUAMAN GERONIMO</t>
  </si>
  <si>
    <t>CONCESIÓN MINERA EMAQUSA A CÓDIGO 010285294E</t>
  </si>
  <si>
    <t>93547-051-230911</t>
  </si>
  <si>
    <t>SAN MARTIN CONTRATISTAS GENERALES S.A.</t>
  </si>
  <si>
    <t>CENTRO POBLADO MENOR CONDORCOCHA</t>
  </si>
  <si>
    <t>LUIS ALBERTO LI WONG</t>
  </si>
  <si>
    <t>0075-CDFJ-15-2005</t>
  </si>
  <si>
    <t>EMPRESA DE TRANSPORTES DIECISIETE DE JUNIO S.A.</t>
  </si>
  <si>
    <t>MZ.N LOTE 07 SUB LOTE B1 DEL EX FUNDO EX-CHUQUITANTA SAN DIEGO</t>
  </si>
  <si>
    <t>PORRAS PIZARRO, ALEJANDRO</t>
  </si>
  <si>
    <t>HILANDERIA DE ALGODON PERUANO S.A. (HIALPESA)</t>
  </si>
  <si>
    <t>AV. EL SANTUARIO 1291</t>
  </si>
  <si>
    <t>ABUSADA SALAH, JAIME</t>
  </si>
  <si>
    <t>18232-051-270915</t>
  </si>
  <si>
    <t>CORPORACION ETUNIJESA EXPRESS S.A.C.</t>
  </si>
  <si>
    <t>MZA. A, LOTE 12, URB. LOS HUERTOS DE NARANJAL</t>
  </si>
  <si>
    <t>TAKEO MATAYOSHI YAMANIHA</t>
  </si>
  <si>
    <t>PACIFIC NATURAL FOODS S.A.</t>
  </si>
  <si>
    <t>PASAJE VIRGEN DE GUADALUPE S/N, PREDIO SAN BARTOLOME</t>
  </si>
  <si>
    <t>C1:2200:PETRÓLEOS INDUSTRIALES </t>
  </si>
  <si>
    <t>SINOBAD ZRINSCAK, DJORDJE</t>
  </si>
  <si>
    <t>115879-051-120815</t>
  </si>
  <si>
    <t>FUNDO NIEVERIA LT. 4, UNIDAD INMOBILIARIA 1, LOTIZACIÓN CHAMALA</t>
  </si>
  <si>
    <t>74-051-291116</t>
  </si>
  <si>
    <t>JOCKEY CLUB DEL PERU</t>
  </si>
  <si>
    <t>AV. EL DERVY S/N, PUERTA N°3, URB. MONTERRICO</t>
  </si>
  <si>
    <t>C1:2500:Diesel B5 S-50,GASOHOL 90 PLUS </t>
  </si>
  <si>
    <t>CARLOS PATRON AMPUERO</t>
  </si>
  <si>
    <t>16522-051-271119</t>
  </si>
  <si>
    <t>AV. BREA Y PARIÑAS MZ. C LOTE 1-2-3-4, ZONA INDUSTRIAL GRAN TRAPECIO</t>
  </si>
  <si>
    <t>C1:49089:Diesel B5 S-50 </t>
  </si>
  <si>
    <t>C1:53605:Diesel B5 S-50 </t>
  </si>
  <si>
    <t>RAÚL JORGE CARLOS BRICEÑO VALDIVIA</t>
  </si>
  <si>
    <t>15376-051-310818</t>
  </si>
  <si>
    <t>AV. VILLA DEL MAR S/N - PANAMERICANA NORTE KM. 426</t>
  </si>
  <si>
    <t>C1:26000:PETRÓLEO INDUSTRIAL Nº 500 </t>
  </si>
  <si>
    <t>C1:12300:PETRÓLEO INDUSTRIAL Nº 500 </t>
  </si>
  <si>
    <t>C1:91500:Diesel B5 S-50 </t>
  </si>
  <si>
    <t>JOSE RUBEN BULLON BELTRAN</t>
  </si>
  <si>
    <t>134307-051-050318</t>
  </si>
  <si>
    <t>ELECTRO UCAYALI S.A.</t>
  </si>
  <si>
    <t>ESQUINA JR. DORIAN CAMPOS CON NICOLAS VELA S/N</t>
  </si>
  <si>
    <t>ATALAYA</t>
  </si>
  <si>
    <t>RAYMONDI</t>
  </si>
  <si>
    <t xml:space="preserve">JOSE JULIO RIBEYRO DELLEPIANE. </t>
  </si>
  <si>
    <t>105489-051-020516</t>
  </si>
  <si>
    <t>COMPAÑIA MINERA CHUNGAR SAC</t>
  </si>
  <si>
    <t>CC SAN JOSE DE BAÑOS - UNIDAD MINERA ALPAMARCA</t>
  </si>
  <si>
    <t>SANTA BARBARA DE CARHUACAYA</t>
  </si>
  <si>
    <t>JAIME TROY TEJEDA GURMENDI</t>
  </si>
  <si>
    <t>PANAMERICANA NORTE KM. 83</t>
  </si>
  <si>
    <t>CORONADO ATOCHE, AGUSTIN ALFREDO</t>
  </si>
  <si>
    <t>145076-051-100719</t>
  </si>
  <si>
    <t>PRODUCTOS TISSUE DEL PERU S.A.C.</t>
  </si>
  <si>
    <t>CALLE B, ESQUINA CALLE 1, MZ. E, LOTE 4, SUBLOTE 5 – URB. HABILITACIÓN INDUSTRIAL</t>
  </si>
  <si>
    <t>C1:260:Diesel B5 S-50 </t>
  </si>
  <si>
    <t>111103-051-290916</t>
  </si>
  <si>
    <t>LACTEA S.A.</t>
  </si>
  <si>
    <t>CARRETERA PANAMERICANA NORTE KM 531 - SECTOR 4 LOTE VD-14</t>
  </si>
  <si>
    <t>C1:3900:DIESEL B5,Diesel B5 S-50 </t>
  </si>
  <si>
    <t>IVAN ROBERTO MESIA LIZARASO</t>
  </si>
  <si>
    <t>DISTRIBUIDORA NORDISA S.A.</t>
  </si>
  <si>
    <t>CARRETERA LA TINA KM 01</t>
  </si>
  <si>
    <t>CUMPA ANGELES, VICTOR</t>
  </si>
  <si>
    <t>0003-CDFJ-02-2008</t>
  </si>
  <si>
    <t>INVERSIONES GENERALES DEL MAR S.A.C.</t>
  </si>
  <si>
    <t>AV. MEIGGS Nº 468 MIRAMAR BAJO</t>
  </si>
  <si>
    <t>ULLOA CERNA, SEGUNDO</t>
  </si>
  <si>
    <t>83645-051-021014</t>
  </si>
  <si>
    <t xml:space="preserve">COMPAÑIA MINERA ARES S.A.C. </t>
  </si>
  <si>
    <t>ZONA YURACC YACU PAMPA</t>
  </si>
  <si>
    <t>CORONEL CASTAÑEDA</t>
  </si>
  <si>
    <t>MARIA CRISTINA ALVA NORIEGA</t>
  </si>
  <si>
    <t>1420-052-020611</t>
  </si>
  <si>
    <t>CORPORACION PESQUERA INCA S.A.C.-COPEINCA</t>
  </si>
  <si>
    <t>PASAJE SANTA MARTHA Y AVENIDA LOS PESCADORES N° 704, SECTOR 27 DE OCTUBRE</t>
  </si>
  <si>
    <t>C1:347396:PETRÓLEO INDUSTRIAL Nº 500 </t>
  </si>
  <si>
    <t>C1:164260:DIESEL B5 </t>
  </si>
  <si>
    <t>C1:11426:PETRÓLEO INDUSTRIAL Nº 500 </t>
  </si>
  <si>
    <t>CLEMENCIA BARRETO GONZLES DE RIEGO</t>
  </si>
  <si>
    <t>125137-051-180417</t>
  </si>
  <si>
    <t>EMPRESA DE TRANSPORTE Y SERVICIOS SAN CRISTOBAL PALCAMAYO S.A.</t>
  </si>
  <si>
    <t xml:space="preserve">COMUNIDAD CAMPESINA LAS VIÑAS DE MEDIA LUNA MZ A Y LOTE 2 CALLE LAS QUENA CHOSICA </t>
  </si>
  <si>
    <t>LUIS ASTUHUAMAN LEYVA</t>
  </si>
  <si>
    <t>16168-052-160412</t>
  </si>
  <si>
    <t>C.D.E. EGASA</t>
  </si>
  <si>
    <t>PAMPAS DE PUCARA, CARRETERA MOLLENDO-MEJIA KM 2,7</t>
  </si>
  <si>
    <t>C1:44800:DIESEL B5 </t>
  </si>
  <si>
    <t>C1:374410:PETRÓLEO INDUSTRIAL Nº 500 </t>
  </si>
  <si>
    <t>JOSE ANTONIO ESTELA RAMIREZ</t>
  </si>
  <si>
    <t>116070-051-140915</t>
  </si>
  <si>
    <t xml:space="preserve">HOTELERA COSTA DEL PACIFICO S.A. </t>
  </si>
  <si>
    <t xml:space="preserve">AV. VIA CENTRAL 150 </t>
  </si>
  <si>
    <t>FRANK HEINRICH SPIELVOGEL</t>
  </si>
  <si>
    <t>365-051-190617</t>
  </si>
  <si>
    <t>TEXTIL DEL VALLE S.A.</t>
  </si>
  <si>
    <t>CARRETERA PANAMERICA SUR KM. 200 (ANTES CARRETERA PANAMERICANA SUR KM. 202)</t>
  </si>
  <si>
    <t>C1:1860:DIESEL B5 </t>
  </si>
  <si>
    <t>C1:6500:PETRÓLEO INDUSTRIAL Nº 500 </t>
  </si>
  <si>
    <t>GARIBALDI SANCHEZ MORENO, FERNANDO</t>
  </si>
  <si>
    <t>119518-051-290316</t>
  </si>
  <si>
    <t>TREVALI PERU SAC</t>
  </si>
  <si>
    <t xml:space="preserve">CAMPAMENTO MINERO SANTANDER </t>
  </si>
  <si>
    <t>SANTA CRUZ DE ANDAMARCA</t>
  </si>
  <si>
    <t>JOSE GUILLERMO SCHWARTZMANN LARCO</t>
  </si>
  <si>
    <t>NEGOCIACION LANERA DEL PERU S.A.</t>
  </si>
  <si>
    <t>AV.COLONIAL N|5082</t>
  </si>
  <si>
    <t>UCCELLI RODRIGUEZ, MIGUEL</t>
  </si>
  <si>
    <t>136400-051-170618</t>
  </si>
  <si>
    <t>MARINA DE GUERRA DEL PERU</t>
  </si>
  <si>
    <t>CALLE FRAY ANGELICO N° 420</t>
  </si>
  <si>
    <t>JAVIER GUMERSINDO REYES DIAZ</t>
  </si>
  <si>
    <t>136919-051-020320</t>
  </si>
  <si>
    <t>COMPAÑIA OPERADORA DE GAS S.A.C.</t>
  </si>
  <si>
    <t>AERÓDROMO DE KITENI</t>
  </si>
  <si>
    <t>C1:15000:TURBO A-1 </t>
  </si>
  <si>
    <t xml:space="preserve">LUIS MARTIN MEDINA CHIRINOS </t>
  </si>
  <si>
    <t>0004-CDFJ-04-2006</t>
  </si>
  <si>
    <t>PAMPAS NUEVAS DE CONGATA S/N</t>
  </si>
  <si>
    <t>C1:7980:ASFALTOS </t>
  </si>
  <si>
    <t>VIDAL SANCHEZ, ELMER ALBERTO</t>
  </si>
  <si>
    <t>151793-051-191020</t>
  </si>
  <si>
    <t>CLAUDIA LAYME QUISPE</t>
  </si>
  <si>
    <t>CONCESION MINERA URIEL UNO</t>
  </si>
  <si>
    <t>38741-114-040116</t>
  </si>
  <si>
    <t>ANYPSA CORPORATION S.A.</t>
  </si>
  <si>
    <t>AUTOPISTA CHILLON TRAPICHE, LOTES 69-A, 73-1, 73-2 Y 72-A, LOS HUERTOS DE TUNGASUCA</t>
  </si>
  <si>
    <t>C1:61190:CGN SOLVENTE </t>
  </si>
  <si>
    <t>C1:61190:SOLVENTE 3 </t>
  </si>
  <si>
    <t>C1:61190:XILENO </t>
  </si>
  <si>
    <t>C1:61190:SOLVENTE 1 </t>
  </si>
  <si>
    <t>C1:2504:PETRÓLEO INDUSTRIAL Nº 6 </t>
  </si>
  <si>
    <t>C1:2750:ASFALTO LÍQUIDO RC-250,HEXANO </t>
  </si>
  <si>
    <t>ALEJANDRO TORVISCO PALOMINO</t>
  </si>
  <si>
    <t>0000007-PIU</t>
  </si>
  <si>
    <t>CENTRAL TERMICA HUAPALAS - CHULUCANAS</t>
  </si>
  <si>
    <t>KM. 4 CARRETERA DE CHULUCANAS DESDE ANTIGUA CARRETERA PANAMERIC</t>
  </si>
  <si>
    <t>C1:420:DIESEL 2 </t>
  </si>
  <si>
    <t>BUTRON FERNANDEZ, CESAR</t>
  </si>
  <si>
    <t>0010-CDFJ-04-2002</t>
  </si>
  <si>
    <t>ORICA MINING SERVICES PERU S.A</t>
  </si>
  <si>
    <t>0004-CDFJ-11-2008</t>
  </si>
  <si>
    <t>SEA FOOD TRADING S.A.</t>
  </si>
  <si>
    <t>CARRETERA PISCO PARACAS KM. 16.8</t>
  </si>
  <si>
    <t>C1:8404:RESIDUAL 500 (USO PROPIO) </t>
  </si>
  <si>
    <t>C1:700:RESIDUAL 500 (USO PROPIO) </t>
  </si>
  <si>
    <t>WONG KONG, JAIME</t>
  </si>
  <si>
    <t>0001-CDFJ-02-2005</t>
  </si>
  <si>
    <t>PESQUERA EXALMAR S.A.</t>
  </si>
  <si>
    <t>AV. JULIO BELTRAN N° 01 - PUERTO CASMA</t>
  </si>
  <si>
    <t>CASMA</t>
  </si>
  <si>
    <t>COMANDANTE NOEL</t>
  </si>
  <si>
    <t>C1:52800:PETRÓLEOS INDUSTRIALES </t>
  </si>
  <si>
    <t>C1:62760:DIESEL 2 </t>
  </si>
  <si>
    <t>ORTIZ RODRIGUEZ, ROSSANA</t>
  </si>
  <si>
    <t>CORPORACION CERAMICA S.A.(PLANTA -CALLAO)</t>
  </si>
  <si>
    <t>AV.ARGENTINA NO. 3855</t>
  </si>
  <si>
    <t>C1:9300:PETRÓLEOS INDUSTRIALES </t>
  </si>
  <si>
    <t>GUILLERMO JUAREZ, JOSE MIGUEL</t>
  </si>
  <si>
    <t>124899-051-101216</t>
  </si>
  <si>
    <t>FORESTAL OTORONGO S.A.C.</t>
  </si>
  <si>
    <t>KM. 560 + 600 CARRETERA INTEROCEANICA - MARANGUAPE II SAN LORENZO.</t>
  </si>
  <si>
    <t>C1:5267:Diesel B5 S-50 </t>
  </si>
  <si>
    <t>VITTORIO DE DEA PEÑA</t>
  </si>
  <si>
    <t>105278-051-210114</t>
  </si>
  <si>
    <t>EMPRESA COMERCIALIZADORA DE PETROLEO S.A.C</t>
  </si>
  <si>
    <t>JR. EDWIN WITHE 127-133. URB LA CHALACA</t>
  </si>
  <si>
    <t>C1:3910:Diesel B5 S-50 </t>
  </si>
  <si>
    <t>ELEODORO ELERA CASTRO</t>
  </si>
  <si>
    <t>149188-051-220220</t>
  </si>
  <si>
    <t>OFICINA DE GESTIÓN DE SERVICIOS DE SALUD ALTO MAYO</t>
  </si>
  <si>
    <t>ESQUINA JR. VENECIA CON JR. AMAZONAS</t>
  </si>
  <si>
    <t>GABRIELA ROJAS VASQUEZ</t>
  </si>
  <si>
    <t>138665-051-230918</t>
  </si>
  <si>
    <t>TRANSALTISA S.A.</t>
  </si>
  <si>
    <t>CARRETRA IMATA OSCOLLO NEGRO-S/N-KM 180+500 LADO DERECHO</t>
  </si>
  <si>
    <t>SAN ANTONIO DE CHUCA</t>
  </si>
  <si>
    <t>ALFONSO CORZO DE LA COLINA</t>
  </si>
  <si>
    <t>SAVOY BRANDS PERU S.A.</t>
  </si>
  <si>
    <t>AV. SAN PABLO N° 841</t>
  </si>
  <si>
    <t>BACA LLAMOSAS, JOSE FERNANDEZ</t>
  </si>
  <si>
    <t>43337-051-221219</t>
  </si>
  <si>
    <t>INDUSTRIAS TEAL S.A.</t>
  </si>
  <si>
    <t>JR. SICAYA NRO. 110</t>
  </si>
  <si>
    <t>JESSICA YVETTE OBLITAS CALDERON</t>
  </si>
  <si>
    <t>0004-CDFJ-02-2003</t>
  </si>
  <si>
    <t>AV. SALAVRRY S/N - PUERTO CASMA</t>
  </si>
  <si>
    <t>C1:40887:DIESEL 2 </t>
  </si>
  <si>
    <t>C1:72669:PETRÓLEO INDUSTRIAL Nº 6 </t>
  </si>
  <si>
    <t>C1:72659:PETRÓLEO INDUSTRIAL Nº 500 </t>
  </si>
  <si>
    <t>132741-051-101117</t>
  </si>
  <si>
    <t>MINERA K-1 E.I.R.L.</t>
  </si>
  <si>
    <t xml:space="preserve">CONSESION MINERA K-1 </t>
  </si>
  <si>
    <t>ALFREDO RAMIREZ REYES</t>
  </si>
  <si>
    <t>96758-051-240812</t>
  </si>
  <si>
    <t xml:space="preserve">MULTISERVICIOS E INVERSIONES MI DIVINO SAN SALVADOR S.A.C. </t>
  </si>
  <si>
    <t>AV. 150 MZ. K3, LOTE 11, SECTOR B, PROYECTO PACHACUTEC</t>
  </si>
  <si>
    <t>C1:2812:Diesel B5 S-50 </t>
  </si>
  <si>
    <t>ABEL EDGAR CARAZAS PEDREROS</t>
  </si>
  <si>
    <t>0026-CDFJ-15-2007</t>
  </si>
  <si>
    <t>EMPRESA DE TRANSPORTE CORAZON VALIENTE S.A.</t>
  </si>
  <si>
    <t>PASAJE TUPAC AMARU S/N LOTES 4 Y MZ. B. ASOCIACION CERRO VERDE, SAN GABRIEL ALTO</t>
  </si>
  <si>
    <t>C1:2770:DIESEL 2 </t>
  </si>
  <si>
    <t>PALOMINO CHUCHON, FELIX</t>
  </si>
  <si>
    <t>156-051-060916</t>
  </si>
  <si>
    <t xml:space="preserve">EXSA S.A </t>
  </si>
  <si>
    <t>CARRETERA PANAMERICANA NORTE NORTE KM. 545.6 - ALTO SALAVERRY</t>
  </si>
  <si>
    <t>C1:2800:DIESEL B5,Diesel B5 S-50 </t>
  </si>
  <si>
    <t>ALEX FRY ALVAREZ</t>
  </si>
  <si>
    <t>1289-051-030720</t>
  </si>
  <si>
    <t>COMPAÑIA MINERA PODEROSA S.A.</t>
  </si>
  <si>
    <t>CAMPAMENTO EMPRESA DE VIJUZ / PATAZ</t>
  </si>
  <si>
    <t>C1:10000:GASOHOL 84 PLUS </t>
  </si>
  <si>
    <t>C1:114500:Diesel B5 S-50 </t>
  </si>
  <si>
    <t>C1:3870:Diesel B5 S-50 </t>
  </si>
  <si>
    <t>C1:36500:Diesel B5 S-50 </t>
  </si>
  <si>
    <t>HELENA ZUAZO ARNAO</t>
  </si>
  <si>
    <t>0005-CDFJ-15-2008</t>
  </si>
  <si>
    <t>SERVINORTE SRL</t>
  </si>
  <si>
    <t>CALLE LEONARDO ARRIETA 819</t>
  </si>
  <si>
    <t>RUIZ BAZALAR, ENRIQUE</t>
  </si>
  <si>
    <t>AGROINDUSTRIAS CHIMU S.A. ACHISA</t>
  </si>
  <si>
    <t>CALLE 1 MZ. A2 LTE. 17 PARQUE INDUSTRIAL</t>
  </si>
  <si>
    <t>TORREJON MESIA, CESAR AUGUSTO</t>
  </si>
  <si>
    <t>852-051-260515</t>
  </si>
  <si>
    <t>MUNICIPALIDAD PROVINCIAL DE CHICLAYO</t>
  </si>
  <si>
    <t>AV. SAENZ PEÑA Nª 1812 - 1824</t>
  </si>
  <si>
    <t>C1:1600:GASOHOL 84 PLUS </t>
  </si>
  <si>
    <t>DAVID CORNEJO CHINGUEL</t>
  </si>
  <si>
    <t>19634-051-2010</t>
  </si>
  <si>
    <t xml:space="preserve">EMPRESA DE TRANSPORTES EL CARMEN S.A. </t>
  </si>
  <si>
    <t xml:space="preserve">AV. EL SOL N° 461 </t>
  </si>
  <si>
    <t>REYNALDO LORENZO SOTO DEL CARPIO</t>
  </si>
  <si>
    <t>ASOCIACION CLINICA ITALIANA DE ASISTENCIA</t>
  </si>
  <si>
    <t>ESQUINA TOMAS EDISON Y BURGOS S/N</t>
  </si>
  <si>
    <t>DEFENDI BATTISTINI, GIOVANNI</t>
  </si>
  <si>
    <t>1099-051-010611</t>
  </si>
  <si>
    <t xml:space="preserve">CORPORACION PESQUERA INCA S.A.C. </t>
  </si>
  <si>
    <t>MZ. E SUB LOTE E - LOTIZACION INDUSTRIAL 27 DE OCTUBRE</t>
  </si>
  <si>
    <t>C1:30000:DIESEL B5 </t>
  </si>
  <si>
    <t>0004-CDFJ-15-2000</t>
  </si>
  <si>
    <t>AGRICOLA SAN JOSE DE BARRANCA S.A.</t>
  </si>
  <si>
    <t>PANAMERICANA NORTE KM 196, FUNDO SAN JOSE</t>
  </si>
  <si>
    <t>POBLETE VIDAL, ALFONSO</t>
  </si>
  <si>
    <t>0001-CDFJ-07-2007</t>
  </si>
  <si>
    <t>COMFER S.A.</t>
  </si>
  <si>
    <t>AV. ARGENTINA N° 1123 - 1135</t>
  </si>
  <si>
    <t>C1:3100:PETRÓLEO INDUSTRIAL Nº 4 </t>
  </si>
  <si>
    <t>ARANA OCAÑA, ELKY ROBERTO</t>
  </si>
  <si>
    <t>136477-051-050618</t>
  </si>
  <si>
    <t>SECTOR CASA DE MAQUINAS</t>
  </si>
  <si>
    <t>C1:5283:Diesel B5 S-50 </t>
  </si>
  <si>
    <t>92929-051-031016</t>
  </si>
  <si>
    <t>COMPAÑIA DE EXPORTACION Y NEGOCIOS GENERALES S.A.</t>
  </si>
  <si>
    <t>ALTURA DE LA CARRETERA PANAMERICANA SUR KM. 311 - EL ROSARIO B NORTE</t>
  </si>
  <si>
    <t>PACHACUTEC</t>
  </si>
  <si>
    <t>C1:3752:Diesel B5 S-50 </t>
  </si>
  <si>
    <t>FERNANDO JOSE MARIA BUSTAMANTE LETTS</t>
  </si>
  <si>
    <t>61933-051-200217</t>
  </si>
  <si>
    <t>TRANSPORTES Y SERVICIOS PLUS TIGRILLO S.A.C.</t>
  </si>
  <si>
    <t>JR. LOS SAUCES S/N, MZ. O, LT. 1, AA.HH. LA PAZ</t>
  </si>
  <si>
    <t>C1:2050:Diesel B5 S-50 </t>
  </si>
  <si>
    <t>LIDIA URSULA GUEVARA REYES</t>
  </si>
  <si>
    <t>96324-051-100412</t>
  </si>
  <si>
    <t>SURSA GAS E.I.R.L.</t>
  </si>
  <si>
    <t>CARRETERA PANAMERICANA SUR KM. 59</t>
  </si>
  <si>
    <t>LUIS PASCUAL CHAUCA NAVARRO</t>
  </si>
  <si>
    <t>16173-051-280916</t>
  </si>
  <si>
    <t>C1:24700:Diesel B5 S-50 </t>
  </si>
  <si>
    <t>C1:24700:PETRÓLEOS INDUSTRIALES </t>
  </si>
  <si>
    <t>C1:24700:DIESEL B5 </t>
  </si>
  <si>
    <t>C1:28000:Diesel B5 S-50 </t>
  </si>
  <si>
    <t>EFRAIN NOFRE AVILA ROJAS</t>
  </si>
  <si>
    <t>43318-051-250417</t>
  </si>
  <si>
    <t>EMPRESA DE TRANSPORTES AVE FENIX S.A.C</t>
  </si>
  <si>
    <t>AV.TUPAC AMARU 165 URB.HUERTA GRANDE</t>
  </si>
  <si>
    <t>C1:3730:DIESEL B5,Diesel B5 S-50 </t>
  </si>
  <si>
    <t>C1:1259:DIESEL B5,Diesel B5 S-50 </t>
  </si>
  <si>
    <t>C1:10000:DIESEL B5,Diesel B2 S-50 </t>
  </si>
  <si>
    <t>GARCIA DE LA CRUZ, JUAN HELMER</t>
  </si>
  <si>
    <t>ASERRADERO SAN MARCOS S.R.LTDA.</t>
  </si>
  <si>
    <t>CALLE SANTA ROSA S/N. PP.JJ. BAGAZAN</t>
  </si>
  <si>
    <t>OCMIN TANG, ROLDAN</t>
  </si>
  <si>
    <t>143049-051-140519</t>
  </si>
  <si>
    <t>EXPLORACIONES PORVENIR S.A.C.</t>
  </si>
  <si>
    <t>CONCESIÓN MINERA HUINLLO CARRIZAL</t>
  </si>
  <si>
    <t>QUICACHA</t>
  </si>
  <si>
    <t>MANUEL RAMIREZ RIOS</t>
  </si>
  <si>
    <t>1053-051-011215</t>
  </si>
  <si>
    <t>TRANSPORTES CRUZ DEL SUR S.A.C.</t>
  </si>
  <si>
    <t>VARIANTE DE UCHUMAYO KM 1.5</t>
  </si>
  <si>
    <t>JOSE NAVARRETE TAPIA</t>
  </si>
  <si>
    <t>136478-051-050618</t>
  </si>
  <si>
    <t>REPRESA</t>
  </si>
  <si>
    <t>C1:1321:Diesel B5 S-50 </t>
  </si>
  <si>
    <t>101444-051-060613</t>
  </si>
  <si>
    <t>QUICORNAC S.A.C.</t>
  </si>
  <si>
    <t>AV. CARRETERA PANAMERICANA NORTE KM. 2.5</t>
  </si>
  <si>
    <t>C1:21765:PETROLEO INDUSTRIAL No. 6 - EXPORTACION </t>
  </si>
  <si>
    <t>ELKIN DARIO VANEGAS MURILLO</t>
  </si>
  <si>
    <t>108410-051-100414</t>
  </si>
  <si>
    <t>TRANSPORTE AEREO DEN S.A.C.</t>
  </si>
  <si>
    <t>CALLE REQUENA Nº 349</t>
  </si>
  <si>
    <t>C1:1550:GASOLINA 100 LL </t>
  </si>
  <si>
    <t>JHONNY NESTARES ZUÑIGA</t>
  </si>
  <si>
    <t>85240-115-241115</t>
  </si>
  <si>
    <t>INDUSTRIAS SUAREZ S.A.</t>
  </si>
  <si>
    <t>AV. TAMBO RIO MZ.”E” LOTE. 28, CHACRA CERRO</t>
  </si>
  <si>
    <t>C1:55:CGN SOLVENTE,SOLVENTE 1,SOLVENTE 3,TOLUENO,XILENO </t>
  </si>
  <si>
    <t>ALCIDES SUAREZ VILLANUEVA</t>
  </si>
  <si>
    <t>85446-051-2010</t>
  </si>
  <si>
    <t>CONSORCIO MATRIX TECHNOLOGY S.A.C.</t>
  </si>
  <si>
    <t>AV. REVOLUCIÓN Nº 356, ZONA INDUSTRIAL</t>
  </si>
  <si>
    <t>C1:2660:PETRÓLEO INDUSTRIAL Nº 6 </t>
  </si>
  <si>
    <t>ABEL ANGEL VELA LOPEZ</t>
  </si>
  <si>
    <t>87019-051-131117</t>
  </si>
  <si>
    <t>AV. LOS PESCADORES S/N ZONA INDUSTRIAL 27 DE OCTUBRE</t>
  </si>
  <si>
    <t>C1:91867:DIESEL B5,Diesel B5 S-50 </t>
  </si>
  <si>
    <t>C1:91867:PETRÓLEO INDUSTRIAL Nº 500,PETRÓLEO INDUSTRIAL Nº 6 </t>
  </si>
  <si>
    <t>MARCO ANTONIO FERNANDEZ RELAYZA</t>
  </si>
  <si>
    <t>142343-051-020419</t>
  </si>
  <si>
    <t xml:space="preserve">DANIEL CIRO RENGIFO MORI </t>
  </si>
  <si>
    <t xml:space="preserve">CONCESION MINERA LUISA 3 </t>
  </si>
  <si>
    <t>DANIEL CIRO RENGIFO MORI</t>
  </si>
  <si>
    <t>UNIVERSIDAD NACIONAL DE LA LIBERTAD</t>
  </si>
  <si>
    <t>CALLE INDEPENDENCIA Nº 164</t>
  </si>
  <si>
    <t>REYES -, IVAN</t>
  </si>
  <si>
    <t>0002-CDFJ-20-2001</t>
  </si>
  <si>
    <t>SAVIA PERU S.A.</t>
  </si>
  <si>
    <t>MUELLE TORTUGA BAHIA TALARA-PORTON 15</t>
  </si>
  <si>
    <t>C1:6207:LUBRICANTES </t>
  </si>
  <si>
    <t>C1:9268:LUBRICANTES </t>
  </si>
  <si>
    <t>C1:22500:DIESEL B2 </t>
  </si>
  <si>
    <t>C1:63150:DIESEL B2 </t>
  </si>
  <si>
    <t>SALAZAR R., JOSE LUIS</t>
  </si>
  <si>
    <t>305-051-241117</t>
  </si>
  <si>
    <t>CALLE PASCUAL CORCINO CUETO NO. 126</t>
  </si>
  <si>
    <t>SAMANCO</t>
  </si>
  <si>
    <t>C1:38906:PETRÓLEO INDUSTRIAL Nº 500,PETRÓLEO INDUSTRIAL Nº 6 </t>
  </si>
  <si>
    <t>C1:38906:Diesel B5 S-50 </t>
  </si>
  <si>
    <t>MARCO ANTONIO FERNANDEZ RELAYSA</t>
  </si>
  <si>
    <t>FORU PLASTIK S.A.</t>
  </si>
  <si>
    <t>AV. A CALLE 6 URB. VULCANO</t>
  </si>
  <si>
    <t>FORT DEL SOLAR, MICHEL LUIS FELIPE</t>
  </si>
  <si>
    <t>20161-051-060819</t>
  </si>
  <si>
    <t>EMPRESA TRANSP. SALAMANCA PARRAL S.A.</t>
  </si>
  <si>
    <t>URB. SANTO DOMINGO 6TA. ETAPA MZ. L.2. LTS. 13-19 Y 31-37</t>
  </si>
  <si>
    <t>LYNDON ALEX VILLANUEVA HUERTA</t>
  </si>
  <si>
    <t>55985-051-250118</t>
  </si>
  <si>
    <t>EMBAJADA DE LOS ESTADOS UNIDOS AMERICA (CENTRO DE INVESTIGACION DE ENFERMEDADES TROPICALES DE LA MARINA DE LOS EE.UU.)</t>
  </si>
  <si>
    <t>AV. VENEZUELA CDRA. 36 S/N – CENTRO MEDICO NAVAL “CIRUJANO MAYOR SANTIAGO TAVARA”</t>
  </si>
  <si>
    <t>DAVID BRYAN SERVICE</t>
  </si>
  <si>
    <t>149223-051-190220</t>
  </si>
  <si>
    <t>SOCIEDAD EXPORTADORA VERFRUT S.A.C.</t>
  </si>
  <si>
    <t>FUNDO SANTA ROSA S/N SECTOR EL PAPAYO</t>
  </si>
  <si>
    <t xml:space="preserve">DANIEL JOSE EYHERALDE MUNITA </t>
  </si>
  <si>
    <t>109392-051-260918</t>
  </si>
  <si>
    <t>BUS SERVICE AUTOMOTRIZ S.A.C.</t>
  </si>
  <si>
    <t>PROLONGACION AV. LUIS MASSARO N° 859</t>
  </si>
  <si>
    <t>SUNAMPE</t>
  </si>
  <si>
    <t>VALDEZ PACHAS JUANZHIÑO JUNIOR</t>
  </si>
  <si>
    <t>0000023-LAM</t>
  </si>
  <si>
    <t>PROYECTO ESPECIAL OLMOS TINAJONES</t>
  </si>
  <si>
    <t xml:space="preserve">CAMPAMENTO LA VI?A, PANAMERICANA NORTE KM. 827 </t>
  </si>
  <si>
    <t>JAYANCA</t>
  </si>
  <si>
    <t>SALAZAR TORRES, PABLO ENRIQUE</t>
  </si>
  <si>
    <t>121088-051-121016</t>
  </si>
  <si>
    <t>CONSORCIO DANIEL ALCIDES II</t>
  </si>
  <si>
    <t>AV. DANIEL ALCIDES CARRION N° 1552, 1554 Y 1556</t>
  </si>
  <si>
    <t>ERNESTO TIRSO MALAGA TORRES</t>
  </si>
  <si>
    <t>18675-051-011013</t>
  </si>
  <si>
    <t>CORPORACION ALELUYA S.A.C.</t>
  </si>
  <si>
    <t>CRUCE DE AVENIDA A CON AVENIDA B</t>
  </si>
  <si>
    <t>C1:4940:Diesel B5 S-50 </t>
  </si>
  <si>
    <t xml:space="preserve">FERNANDO EMANUEL REYES BRINGAS </t>
  </si>
  <si>
    <t>0033-CDFJ-15-2009</t>
  </si>
  <si>
    <t xml:space="preserve">REPRESENTACIONES R-28 S.A. </t>
  </si>
  <si>
    <t>MZ. A. LOTES 13.14.15 Y 16 AA.HH. SAÚL CANTORAL HUAMANÍ</t>
  </si>
  <si>
    <t>C1:5020:DIESEL B2 </t>
  </si>
  <si>
    <t>143050-051-100519</t>
  </si>
  <si>
    <t>FLORES LLOCLLE MARCOS EVANGELINO</t>
  </si>
  <si>
    <t>CONCESION MINERA CLAVELITO</t>
  </si>
  <si>
    <t>MARCOS EVANGELINO FLORES LLOCLLE</t>
  </si>
  <si>
    <t>CONGREGACION SALESIANA</t>
  </si>
  <si>
    <t>CASA RURAL DE CALCA S/N.</t>
  </si>
  <si>
    <t>C1:3135:DIESEL 2 </t>
  </si>
  <si>
    <t>SANTOS -, ALFONSO</t>
  </si>
  <si>
    <t>107804-051-130814</t>
  </si>
  <si>
    <t>SEGURO SOCIAL DE SALUD - HOSPITAL RED ASISTENCIAL DE MOYOBAMBA</t>
  </si>
  <si>
    <t>JR. 20 DE ABRIL N° 347 - BARRIO DE ZARAGOZA</t>
  </si>
  <si>
    <t>MOYOBAMBA</t>
  </si>
  <si>
    <t>EDILBERTO YURI VILCA ROJAS</t>
  </si>
  <si>
    <t>18216-051-2010</t>
  </si>
  <si>
    <t>TRANSPORTES INTERVEGA S.A.C.</t>
  </si>
  <si>
    <t>MANZANA I, LOTE 22, CON FRENTE A LA CALLE CIEGA - CALLE LOS DURAZNOS N° 348, URB. CANTO GRANDE</t>
  </si>
  <si>
    <t>ANTONIO MICHEL VEGA PAREDES</t>
  </si>
  <si>
    <t>88048-051-2010</t>
  </si>
  <si>
    <t>AGROINDUSTRIAL DEL PERU S.A.C.</t>
  </si>
  <si>
    <t>FUNDO LARREA LOTE C, SECTOR LA CAMPIÑA DE MOCHE, ZONA INDUSTRIAL N° 1</t>
  </si>
  <si>
    <t>C1:39000:PETRÓLEO INDUSTRIAL Nº 6 </t>
  </si>
  <si>
    <t>NORVIL RUPERTO DELGADO NUÑEZ</t>
  </si>
  <si>
    <t>88475-051-260813</t>
  </si>
  <si>
    <t>EMPRESA DE SERVICIOS EXPRESO SANTIAGO S.A</t>
  </si>
  <si>
    <t>HUMAHUASI UBICADO EN LA PARCIALIDAD DE ANDAMACHAY</t>
  </si>
  <si>
    <t>SAN JERONIMO</t>
  </si>
  <si>
    <t>C1:1700:Diesel B5 S-50 </t>
  </si>
  <si>
    <t>LUCIO HORACIO CANAHUIRE RODRIGUEZ</t>
  </si>
  <si>
    <t>0020-CDFJ-15-2006</t>
  </si>
  <si>
    <t>TEXTIL MUNDIAL S.A.</t>
  </si>
  <si>
    <t>AV NICOLAS ARRIOLA 2269</t>
  </si>
  <si>
    <t>C1:4700:PETRÓLEO INDUSTRIAL Nº 6 </t>
  </si>
  <si>
    <t>99870-051-070613</t>
  </si>
  <si>
    <t>TRANSPORTES VIA S.A.C</t>
  </si>
  <si>
    <t>AV.MEXICO 1348-1356 LOTES 7, 8 Y 9</t>
  </si>
  <si>
    <t>C1:3292:Diesel B5 S-50 </t>
  </si>
  <si>
    <t>EDINSON RAMIREZ SILVA</t>
  </si>
  <si>
    <t>FABRICA NACIONAL DE ACUMULADORES ETNA S. A.</t>
  </si>
  <si>
    <t>AV.PACIFICO 501-561, URB.INDUSTRIAL PANAMERICANA NORTE</t>
  </si>
  <si>
    <t>C1:6881:DIESEL 2 </t>
  </si>
  <si>
    <t>C1:3800:DIESEL 2 </t>
  </si>
  <si>
    <t>SACO GOYZUETA, RAFAEL ENRIQUE</t>
  </si>
  <si>
    <t>0015-CDFJ-15-2008</t>
  </si>
  <si>
    <t>EMPRESA DE TRANSPORTES SANTA ROSA DE LIMA S.A.</t>
  </si>
  <si>
    <t xml:space="preserve">AV. SANTA MARIA S/N PARCELA 30 MZ. C LTS. 1 AL 7 ES FUNDO CHUQUITANTA </t>
  </si>
  <si>
    <t>C1:2725:DIESEL 2 </t>
  </si>
  <si>
    <t>CHAVEZ GUZMAN, RUFINO SABINO</t>
  </si>
  <si>
    <t>111362-051-150914</t>
  </si>
  <si>
    <t>MZ. LL LOTE 1 ZONA INDUSTRIAL N° 5</t>
  </si>
  <si>
    <t>ALDO EDGARD ANGOBALDO COMPANY</t>
  </si>
  <si>
    <t>0036-CDFJ-15-2007</t>
  </si>
  <si>
    <t>EMPRESA DE TRANSPORTES Y SERVICIOS SALVADOR S.A.C.</t>
  </si>
  <si>
    <t xml:space="preserve">INTERSECCION AV. SEPARADORA INDUSTRIAL Y AV. MARIA REICHE </t>
  </si>
  <si>
    <t>SANTOS INOCENTE, JULIO TEOFILO</t>
  </si>
  <si>
    <t>AV. CHAN CHAN N° 174</t>
  </si>
  <si>
    <t>MORAN CATALAN, ABEL FERMIN</t>
  </si>
  <si>
    <t>0011-CDFJ-15-2001</t>
  </si>
  <si>
    <t>TEJIDOS SAN JACINTO S.A.</t>
  </si>
  <si>
    <t>AV. COLECTORA INDUSTRIAL 162/172</t>
  </si>
  <si>
    <t>C1:7000:PETRÓLEO INDUSTRIAL Nº 500 </t>
  </si>
  <si>
    <t>67-051-250620</t>
  </si>
  <si>
    <t>ZONA INDUSTRIAL III, TIERRA COLORADA S/N</t>
  </si>
  <si>
    <t>C1:34000:Diesel B5 S-50 </t>
  </si>
  <si>
    <t>VIOLETA HERMELINDA TONGOMBOL CRUZ</t>
  </si>
  <si>
    <t>COTTON DESIGNS S.A.</t>
  </si>
  <si>
    <t>AV. HUAYLAS NO 1184</t>
  </si>
  <si>
    <t>C1:9000:PETRÓLEOS INDUSTRIALES </t>
  </si>
  <si>
    <t>CAMBANA CORREA, ALBERTO OSCAR EDUARDO</t>
  </si>
  <si>
    <t>16189-051-290916</t>
  </si>
  <si>
    <t>EL ROCIO S.A.</t>
  </si>
  <si>
    <t>CARRETERA INDUSTRIAL A LAREDO KM. 1,5 FUNDO EL PALMO</t>
  </si>
  <si>
    <t>C1:2500:DIESEL B5,GASOHOL 84 PLUS,PETRÓLEO INDUSTRIAL Nº 6 </t>
  </si>
  <si>
    <t xml:space="preserve">SHIMA SAITO, MIGUEL SHIRO </t>
  </si>
  <si>
    <t>102647-051-260218</t>
  </si>
  <si>
    <t>JP LOGISTICA S.A.C.</t>
  </si>
  <si>
    <t>CALLE TOKIO S/N UNIDAD CATASTRAL N° 10571, SUB LOTES B Y C</t>
  </si>
  <si>
    <t>C1:9965:Diesel B5 S-50 </t>
  </si>
  <si>
    <t>JUAN ABELARDO PEREZ MATIAS</t>
  </si>
  <si>
    <t>146533-051-100320</t>
  </si>
  <si>
    <t>MULTISERVICIOS J.K.F. SOCIEDAD ANONIMA CERRADA-MULTISERVICIOS J.K.F. S.A.C.</t>
  </si>
  <si>
    <t>CARR. PUNKIRI CHICO-BOCA COLORADO KM 36500</t>
  </si>
  <si>
    <t>FLORENTINO ROSA GUZMAN</t>
  </si>
  <si>
    <t>150772-051-300820</t>
  </si>
  <si>
    <t>DIRECCION SUB REGIONAL DE SALUD ALTO MAYO</t>
  </si>
  <si>
    <t>AV. ALMIRANTE GRAU, JR. 20 DE ABRIL, CALLE SANTA MONICA Y JR. SANCHEZ CARRION</t>
  </si>
  <si>
    <t>MAGNA GERTRUDIS CASTILLO JAVE</t>
  </si>
  <si>
    <t>16061-051-060514</t>
  </si>
  <si>
    <t xml:space="preserve">PALMAS DEL ESPINO S.A. </t>
  </si>
  <si>
    <t xml:space="preserve">PALMAWASI S/N </t>
  </si>
  <si>
    <t>C1:2700:GASOLINA 100 LL </t>
  </si>
  <si>
    <t>EZETA SUEYRAS, CESAR AUGUSTO</t>
  </si>
  <si>
    <t>129039-051-091117</t>
  </si>
  <si>
    <t>MINERA NUEVA FE S.A.C.</t>
  </si>
  <si>
    <t>CONCESION MINERA "SEÑOR CAUTIVO II"</t>
  </si>
  <si>
    <t>C1:7300:Diesel B5 S-50 </t>
  </si>
  <si>
    <t>BENEDICTA HANCCOCCALLO VDA. DE QUIÑONES</t>
  </si>
  <si>
    <t>96029-051-040412</t>
  </si>
  <si>
    <t>ALAS DEL ORIENTE S.A.C.</t>
  </si>
  <si>
    <t>PADRE ISLA, MARGEN DERECHA RIO ITAYA</t>
  </si>
  <si>
    <t>C1:560:GASOLINA 100 LL </t>
  </si>
  <si>
    <t>107895-051-050514</t>
  </si>
  <si>
    <t>INDUSTRIAS DEL ESPINO S.A.</t>
  </si>
  <si>
    <t>PALMAWASI S/N (UNIDAD INDUSTRIAL)</t>
  </si>
  <si>
    <t>CESAR AUGUSTO EZETA SUEYRAS</t>
  </si>
  <si>
    <t>144235-051-270519</t>
  </si>
  <si>
    <t>MINERA ZEUUS SOCIEDAD ANONIMA CERRADA - MINERA ZEUUS S.A.C.</t>
  </si>
  <si>
    <t>CONCESION MINERA LA ESPERANZA - B CODIGO 1700442BX01</t>
  </si>
  <si>
    <t>ANDRES WILFREDO BACA CONDORI</t>
  </si>
  <si>
    <t>0003-CDFJ-15-2004</t>
  </si>
  <si>
    <t>COMPAÑIA CERVECERA AMBEV PERU SAC.</t>
  </si>
  <si>
    <t>AV. 09 DE DICIEMBRE N° 113</t>
  </si>
  <si>
    <t>C1:4520:DIESEL 2 </t>
  </si>
  <si>
    <t>123092-051-170816</t>
  </si>
  <si>
    <t>FRANCISCO QUINTANO MENDEZ</t>
  </si>
  <si>
    <t>CONCESION MINERA JEANNE LINDA XI</t>
  </si>
  <si>
    <t>61934-052-180515</t>
  </si>
  <si>
    <t>C1:5153:Diesel B5 S-50 </t>
  </si>
  <si>
    <t>C1:5140:Diesel B5 S-50 </t>
  </si>
  <si>
    <t>C1:5109:Diesel B5 S-50 </t>
  </si>
  <si>
    <t>C1:5112:Diesel B5 S-50 </t>
  </si>
  <si>
    <t>C1:700000:Diesel B5 S-50 </t>
  </si>
  <si>
    <t>CLAUDIO CÁCERES FRANCO</t>
  </si>
  <si>
    <t>14766-051-031019</t>
  </si>
  <si>
    <t>CAMPAMENTO YANAYACU, BATERIA N° 3, LOTE 8</t>
  </si>
  <si>
    <t>C1:84000:DIESEL B5 </t>
  </si>
  <si>
    <t>ADRIAN OSVALDO VILA</t>
  </si>
  <si>
    <t>111131-051-091014</t>
  </si>
  <si>
    <t xml:space="preserve">HERMOGENES HILARIO NINA MARIN </t>
  </si>
  <si>
    <t>CONCESION MINERA TRES BOCAS MALINOWSKI-A (MARGEN DERECHA)</t>
  </si>
  <si>
    <t>39366-051-071116</t>
  </si>
  <si>
    <t>SERVICIOS DE TRANSPORTES EL RAYO E.I.R.L.</t>
  </si>
  <si>
    <t>AV. CARLOS PESCHIERA N° 420 LA MERCED</t>
  </si>
  <si>
    <t>C1:1500:GASOHOL 90 PLUS </t>
  </si>
  <si>
    <t>LEON BRIONES WILMAR HUMBERTO</t>
  </si>
  <si>
    <t>91800-051-200611</t>
  </si>
  <si>
    <t>EMPRESA DE TRANSPORTES TURISMO HUANUCO S.R.L.</t>
  </si>
  <si>
    <t xml:space="preserve">AV. LAS LOMAS MZ. X-6, LT. 19 Y 27, 5TA ETAPA - AAHH JOSE C. MARIATEGUI </t>
  </si>
  <si>
    <t>DAVID DAMIAN REYES</t>
  </si>
  <si>
    <t>0010-CDFJ-15-2009</t>
  </si>
  <si>
    <t>UNIQUE S.A</t>
  </si>
  <si>
    <t>JR. SAN ANDRES SUBLOTE ACUMULADO A (LOTE 6). MANZANA A. URB. LOTIZACION INDUSTRIAL MOLITALIA</t>
  </si>
  <si>
    <t>FERNANDEZ MIRO QUESADA, MARIA DEL CARMEN PATRICIA</t>
  </si>
  <si>
    <t>87744-051-2010</t>
  </si>
  <si>
    <t>EMPRESA DE SERVICIO ESPECIAL DE TRANSPORTE SAN JUDAS TADEO S.A.</t>
  </si>
  <si>
    <t>JR. LAS PALMERAS PREDIO PO3163602 VALLE LURIN</t>
  </si>
  <si>
    <t>HERVIN OMAR CAMPOS SANCHEZ</t>
  </si>
  <si>
    <t>111984-051-050419</t>
  </si>
  <si>
    <t>GARMAY S.A.C.</t>
  </si>
  <si>
    <t>CONCESION MINERA CHILLIMAYO DOS MIL</t>
  </si>
  <si>
    <t>C1:5250:Diesel B5 S-50 </t>
  </si>
  <si>
    <t xml:space="preserve">YUL CARLO VALERY SANTOS ARANYA </t>
  </si>
  <si>
    <t>0001-CDFJ-11-2004</t>
  </si>
  <si>
    <t>MEDITERRANEO FISH S.A.C. (CUENTA CON RES COACTIVA 0230073078178)</t>
  </si>
  <si>
    <t>AV. INDUSTRIAL S/N - FUNDO CANCHAMANA - UNIDAD OPERATIVA Nº 4107</t>
  </si>
  <si>
    <t>C1:42000:PETRÓLEO INDUSTRIAL Nº 6 </t>
  </si>
  <si>
    <t>C1:47000:PETRÓLEO INDUSTRIAL Nº 6 </t>
  </si>
  <si>
    <t>C1:47000:DIESEL 2 </t>
  </si>
  <si>
    <t>TADEO DIAZ, GUSTAVO IVAN</t>
  </si>
  <si>
    <t>111418-051-100215</t>
  </si>
  <si>
    <t>COMPAÑIA INDUSTRIAL LIMA S.A. CILSA</t>
  </si>
  <si>
    <t>AV. PRIMAVERA CUADRA 7 S/N ZONA TARAPACA, URB. LOS GRAMADALES</t>
  </si>
  <si>
    <t>CESAR AUGUSTO LARI DUNCKER</t>
  </si>
  <si>
    <t>43749-114-171115</t>
  </si>
  <si>
    <t>CORPORACION PERUANA DE PRODUCTOS QUIMICOS S.A.</t>
  </si>
  <si>
    <t>AV. UNION N° 107</t>
  </si>
  <si>
    <t>C1:4024:XILENO </t>
  </si>
  <si>
    <t>C1:2786:XILENO </t>
  </si>
  <si>
    <t>C1:1200:HEXANO,TOLUENO </t>
  </si>
  <si>
    <t>C1:6824:Diesel B5 S-50 </t>
  </si>
  <si>
    <t>C1:9073:SOLVENTE 3 </t>
  </si>
  <si>
    <t>C1:4570:Diesel B5 S-50 </t>
  </si>
  <si>
    <t>C1:18492:SOLVENTE 1 </t>
  </si>
  <si>
    <t>C1:22551:HEXANO </t>
  </si>
  <si>
    <t>C1:31360:TOLUENO </t>
  </si>
  <si>
    <t>BRUNO RAFAEL SCHENONE HUAMAN</t>
  </si>
  <si>
    <t>0003-CDFJ-15-2001</t>
  </si>
  <si>
    <t>AV. UNION JICAMARCA, ANEXO 8, MZ. 17</t>
  </si>
  <si>
    <t>GUEVARA MERCADO, JUSTINO</t>
  </si>
  <si>
    <t>0013-CDFJ-07-2009</t>
  </si>
  <si>
    <t>FRENO S.A</t>
  </si>
  <si>
    <t>AV. BOCANEGRA N° 149 URB. INDUSTRIAL BOCANEGRA</t>
  </si>
  <si>
    <t>C1:275:TOLUENO </t>
  </si>
  <si>
    <t>GONZALES ROMERO, JULIO ORESTES</t>
  </si>
  <si>
    <t>102937-051-281014</t>
  </si>
  <si>
    <t>M P INVERSIONES E.I.R.L.</t>
  </si>
  <si>
    <t>MZ M LT 07 DE LA ASOCIACIÓN PRIMERO DE MAYO CALLE ANCÓN</t>
  </si>
  <si>
    <t>MARTHA AMELIA GARCIA ROMERO</t>
  </si>
  <si>
    <t>137541-051-220818</t>
  </si>
  <si>
    <t xml:space="preserve">INVERSIONES Y REPRESENTACIONES POLO S.A.C. </t>
  </si>
  <si>
    <t xml:space="preserve">AV. PEDRO RUIZ GALLO N° 2251 </t>
  </si>
  <si>
    <t xml:space="preserve">POLO JUVENAL PEREZ ORIHUELA </t>
  </si>
  <si>
    <t>0002-CDFJ-14-2003</t>
  </si>
  <si>
    <t>AGRO SERVICIOS INSCULAS S.C.R.L.</t>
  </si>
  <si>
    <t>LAS PAMPAS KM. 885 ANTIGUA PANAMERICANA NORTE OLMOS</t>
  </si>
  <si>
    <t>ORTIZ RIVOIN, SOLON VICENTE</t>
  </si>
  <si>
    <t>0017-CDFJ-15-2007</t>
  </si>
  <si>
    <t>MULTISERVICIOS E INVERSIONES CHIM PUM CALLAO S.A.</t>
  </si>
  <si>
    <t xml:space="preserve">ASOCIACION DE VIVIENDA 200 MILLAS MZ. C LTS.9-18 ESQ.CALLE 1 Y 6 </t>
  </si>
  <si>
    <t>CENTENO MANRIQUE, ANA MARIA</t>
  </si>
  <si>
    <t>0001-CDFJ-10-2000</t>
  </si>
  <si>
    <t>EMPRESA DE TRANSPORTES TURISMO CHOCANO S.A.C.</t>
  </si>
  <si>
    <t>URB. SANTA MARIA DEL HUALLAGA MZ B LOTE 1.A CARRETERA HUANUCO-TINGO MARIA</t>
  </si>
  <si>
    <t>CHOCANO MURRIETA, MILAGRITOS DEL PILAR</t>
  </si>
  <si>
    <t>104331-051-160915</t>
  </si>
  <si>
    <t>CARRETERA LA CACHUELA KM. 1.8</t>
  </si>
  <si>
    <t>1421-051-290611</t>
  </si>
  <si>
    <t>IMPALA PERÚ S.A.C.</t>
  </si>
  <si>
    <t xml:space="preserve">AV. CONTRALMIRANTE MORA Nº 472 </t>
  </si>
  <si>
    <t>MIGUEL ANGEL BALTAZAR MARTINEZ ESPINOZA</t>
  </si>
  <si>
    <t>120189-051-080316</t>
  </si>
  <si>
    <t xml:space="preserve">INSTITUTO NACIONAL DE CIENCIAS NEUROLOGICAS </t>
  </si>
  <si>
    <t xml:space="preserve">JR. ANCASH N° 1271 </t>
  </si>
  <si>
    <t>C1:4100:Diesel B5 S-50 </t>
  </si>
  <si>
    <t>PILAR ELENA MAZZETTI SOLER</t>
  </si>
  <si>
    <t>0043-CDFJ-15-2006</t>
  </si>
  <si>
    <t>EMPRESA DE TRANSPORTES Y SERVICIOS LOS ALIZOS S.A.</t>
  </si>
  <si>
    <t>AV CANTA CALLAO MZ D, SUB LOTE 11-B LOS HUERTOS DE NARANJAL</t>
  </si>
  <si>
    <t>CHOQUE RODRIGUEZ, JESUS</t>
  </si>
  <si>
    <t>0002-CDFJ-15-2005</t>
  </si>
  <si>
    <t>INDUSTRIAL CROMOTEX S.A.</t>
  </si>
  <si>
    <t>AV. VICTOR RAUL HAYA DE LA TORRE N° 520</t>
  </si>
  <si>
    <t>EMPRESA AZUCARERA EL INGENIO S.A.</t>
  </si>
  <si>
    <t>CARRETERA HUAURA SAYAN KM 0.5</t>
  </si>
  <si>
    <t>C1:26000:PETRÓLEOS INDUSTRIALES </t>
  </si>
  <si>
    <t>FLORES MARQUEZ, JULIO A.</t>
  </si>
  <si>
    <t>0005-CDFJ-04-2002</t>
  </si>
  <si>
    <t>TRANSPORTEG S.R.L.</t>
  </si>
  <si>
    <t>AV. ITALIA MZ.H LT.24 APTASA LA ALBORADA PARQUE INDUSTRIAL DE RIO SECO</t>
  </si>
  <si>
    <t>ORTEGA COAQUIRA, PEDRO E.</t>
  </si>
  <si>
    <t>102284-051-061214</t>
  </si>
  <si>
    <t>E.C. IMPORT TRUCKS S.R.L.</t>
  </si>
  <si>
    <t>CONCESION MINERA COCHAPUNCO</t>
  </si>
  <si>
    <t>C1:3800:Diesel B5 S-50 </t>
  </si>
  <si>
    <t>ESTHER CAMPOS ZUÑIGA</t>
  </si>
  <si>
    <t>142185-051-250319</t>
  </si>
  <si>
    <t>EMPRESA DE TRANSPORTES EL ICARO INVERSIONISTAS S.A.</t>
  </si>
  <si>
    <t>ASENTAMIENTO HUMANO VIRGEN DEL SOCORRO, CARRETERA PANAMERICANA S/N</t>
  </si>
  <si>
    <t>FLAVIO RODRIGUEZ SANCHEZ</t>
  </si>
  <si>
    <t>0032-CDFJ-15-2008</t>
  </si>
  <si>
    <t>EMPRESA DE TRANSPORTES Y SERVICIOS MULTIPLES SANTISIMO SALVADOR S.A.</t>
  </si>
  <si>
    <t>COMUNIDAD CAMPESINA CUCUYA S/N AV. MANZANO S/N</t>
  </si>
  <si>
    <t>C1:2060:DIESEL B2 </t>
  </si>
  <si>
    <t>MENDOZA BLAS, FRANK WILLY</t>
  </si>
  <si>
    <t>135189-051-240318</t>
  </si>
  <si>
    <t>MAN CARGO ASOCIADOS S.A.C.</t>
  </si>
  <si>
    <t>AV. LOS EUCALIPTOS MZ. "E" LOTE 4, URB. PREDIO SANTA GENOVEVA</t>
  </si>
  <si>
    <t>1437-052-060918</t>
  </si>
  <si>
    <t xml:space="preserve">PESQUERA DON AMERICO S.A.C. </t>
  </si>
  <si>
    <t>AV. SAN MARTIN N° 680</t>
  </si>
  <si>
    <t>C1:60761:Diesel B5 S-50 </t>
  </si>
  <si>
    <t>C1:250971:PETRÓLEO INDUSTRIAL Nº 500 </t>
  </si>
  <si>
    <t>JORGE GARCIA SILVA</t>
  </si>
  <si>
    <t>82184-051-101215</t>
  </si>
  <si>
    <t>SOCIEDAD AGRICOLA DROKASA S.A.</t>
  </si>
  <si>
    <t>FUNDO BASE VIRGEN DE LAS MERCEDES (PEDREGAL) S/N VINTO ALTO</t>
  </si>
  <si>
    <t>MONTERO FLORES, RANDOLPH ADOLFO</t>
  </si>
  <si>
    <t>0040-CDFJ-15-2008</t>
  </si>
  <si>
    <t>LIMA GOLF CLUB</t>
  </si>
  <si>
    <t>AV. CAMINO REAL N° 770</t>
  </si>
  <si>
    <t>MASIAS LLORENS, ALVARO GONZALO</t>
  </si>
  <si>
    <t>89895-051-040718</t>
  </si>
  <si>
    <t>COPEP DEL PERU S.A.C.</t>
  </si>
  <si>
    <t>SECCION 1-6 FUNDO MAMACONA KM.29 ANTIGUA PANAMERICANA SUR</t>
  </si>
  <si>
    <t>C1:13660:PETRÓLEO INDUSTRIAL Nº 500 </t>
  </si>
  <si>
    <t>LUIS ALBERTO ALVAREZ RENDON</t>
  </si>
  <si>
    <t>145193-051-180719</t>
  </si>
  <si>
    <t>EMPRESA DE SERVICIO DE TRANSPORTES SAN GERMAN S.A.</t>
  </si>
  <si>
    <t>AV. PACHACUTEC MZ. Y, LOTES 11 Y 12 - ANEXO 22 JICAMARCA, ASOCIACIÓN DE POBLADORES EL CERCADO</t>
  </si>
  <si>
    <t>C1:5460:Diesel B5 S-50 </t>
  </si>
  <si>
    <t>VICTOR LUIS PALOMARES JUSTINIANO</t>
  </si>
  <si>
    <t>0016-CDFJ-15-2001</t>
  </si>
  <si>
    <t>TRANSERVIS ZEVALLOS S.R.L.</t>
  </si>
  <si>
    <t>MZ. H LOTE 10 PARCELACION SEMIRUSTICA EL DESCANSO</t>
  </si>
  <si>
    <t>ZEVALLOS ARZAPALO, RICHARD EULALIO</t>
  </si>
  <si>
    <t>127325-051-021017</t>
  </si>
  <si>
    <t xml:space="preserve">EMPRESA DE TRANPORTE TURISTICO OLANO S.A </t>
  </si>
  <si>
    <t>JR MANUEL CISNEROS N°492</t>
  </si>
  <si>
    <t>FRANCISCO RICARDO OBANDO HERRERA</t>
  </si>
  <si>
    <t>144449-051-040619</t>
  </si>
  <si>
    <t>INVERSIONES PACIFICO HUAYCAN E.I.R.L. - INVERSIONES PACIFICO</t>
  </si>
  <si>
    <t>AV. ANDRES AVELINO CACERES S/N, LOTE 6,7, MZ H, HUAYCAN</t>
  </si>
  <si>
    <t>INES TEODORA PACCO DE LA TORRE</t>
  </si>
  <si>
    <t>97555-115-180912</t>
  </si>
  <si>
    <t>FIBRAS INDUSTRIALES S.A.</t>
  </si>
  <si>
    <t>AV. MATERIALES N° 2475</t>
  </si>
  <si>
    <t>C1:5800:SOLVENTE 3 </t>
  </si>
  <si>
    <t>C1:4700:SOLVENTE 3 </t>
  </si>
  <si>
    <t>ENRIQUE GUILLERMO VILLAFUERTE ALVARADO</t>
  </si>
  <si>
    <t>CLARIANT</t>
  </si>
  <si>
    <t>AV. VICTOR R. HAYA DE LA TORRE S/N (KM. 3.7 CARRETERA CENTRAL)</t>
  </si>
  <si>
    <t>FOURNIER KOHLER, ALBERT PAUL</t>
  </si>
  <si>
    <t>95586-115-160612</t>
  </si>
  <si>
    <t>AV. VICTOR RAUL HAYA DE LA TORRE MZ. 5B LOTE, 07, AAHH SAN JUAN</t>
  </si>
  <si>
    <t>C1:525:LUBRICANTES </t>
  </si>
  <si>
    <t>JULIO CESAR SANCHEZ NUÑEZ</t>
  </si>
  <si>
    <t>127534-051-110517</t>
  </si>
  <si>
    <t>GOYA E.I.R.LTDA.</t>
  </si>
  <si>
    <t>QUEBRADA 9 SETIEMBRE, CONCESION MINERA ALUVIAL 93-B CODIGO 040005793</t>
  </si>
  <si>
    <t>GREGORIA CASAS HUAMANHUILLCA</t>
  </si>
  <si>
    <t>42-051-2010</t>
  </si>
  <si>
    <t>AV.ARGENTINA N° 4695</t>
  </si>
  <si>
    <t>C1:20480:DIESEL B2 </t>
  </si>
  <si>
    <t>0009-CDFJ-15-2000</t>
  </si>
  <si>
    <t>A.T. S..A.C.</t>
  </si>
  <si>
    <t>PASAJE DE LIMA 167</t>
  </si>
  <si>
    <t>C1:2600:DIESEL 2 </t>
  </si>
  <si>
    <t>BENAVIDES MATARAZZO, AUGUSTO F</t>
  </si>
  <si>
    <t>543-051-191114</t>
  </si>
  <si>
    <t>CAL &amp; CEMENTO SUR SOCIEDAD ANONIMA</t>
  </si>
  <si>
    <t>CARRETERA JULIACA-PUNO KM. 11</t>
  </si>
  <si>
    <t>CARACOTO</t>
  </si>
  <si>
    <t>C1:210000:PETRÓLEO INDUSTRIAL Nº 5 </t>
  </si>
  <si>
    <t>C1:300:GASOHOL 84 PLUS </t>
  </si>
  <si>
    <t>ZENON ALFREDO COASACA HUACASI</t>
  </si>
  <si>
    <t>134766-051-280218</t>
  </si>
  <si>
    <t>CHANALTIN S.A.C</t>
  </si>
  <si>
    <t>CARRETERA PANAMERICANA NORTE KM 154 INT.A</t>
  </si>
  <si>
    <t>JORGE HANS AÑAÑOS ALCAZAR</t>
  </si>
  <si>
    <t>MINERA PERLA S.A.</t>
  </si>
  <si>
    <t>PARAJE CERRO LAS MINAS</t>
  </si>
  <si>
    <t>CANCHAQUE</t>
  </si>
  <si>
    <t>C1:11672:DIESEL 2 </t>
  </si>
  <si>
    <t>C1:6280:DIESEL 2 </t>
  </si>
  <si>
    <t>ALVARADO PEREZ, PEDRO</t>
  </si>
  <si>
    <t>0007-CDFJ-04-2005</t>
  </si>
  <si>
    <t>EMPRESA DE TRANSPORTES COTASPA S.A.</t>
  </si>
  <si>
    <t>CALLE ARIAS ARAGUEZ S/N BELLAPAMPA</t>
  </si>
  <si>
    <t>C1:2320:DIESEL 2 </t>
  </si>
  <si>
    <t>DIAZ MONTUFAR, PERCY LUIS</t>
  </si>
  <si>
    <t>0004-CDFJ-18-2000</t>
  </si>
  <si>
    <t xml:space="preserve">PESQUERA HAYDUK S.A. </t>
  </si>
  <si>
    <t>CALETA CATA CATA S/N</t>
  </si>
  <si>
    <t>C1:71981:DIESEL B2 </t>
  </si>
  <si>
    <t>C1:62997:PETRÓLEOS INDUSTRIALES </t>
  </si>
  <si>
    <t>CORNEJO CARBAJAL, HIPOLITO VICTORIO</t>
  </si>
  <si>
    <t>146637-051-220919</t>
  </si>
  <si>
    <t>BEJAR LARICO WILLIAM</t>
  </si>
  <si>
    <t>CONCESION MINERA EMAQUSA-2</t>
  </si>
  <si>
    <t>JR CASTILLA N° 581</t>
  </si>
  <si>
    <t>1594-051-041114</t>
  </si>
  <si>
    <t>UNIVERSIDAD NACIONAL AGRARIA LA MOLINA</t>
  </si>
  <si>
    <t>AV. LA MOLINA S/N</t>
  </si>
  <si>
    <t>JESUS ABEL MEJIA MARCACUZCO</t>
  </si>
  <si>
    <t>99954-051-051016</t>
  </si>
  <si>
    <t>MINERIA Y EXPORTACIONES S.A.C.</t>
  </si>
  <si>
    <t>PANAMERICANA SUR KM 448.70 URB. PAMPA LA CALERA</t>
  </si>
  <si>
    <t>JUAN CARLOS ARIAS ROBLES</t>
  </si>
  <si>
    <t>116591-051-150915</t>
  </si>
  <si>
    <t xml:space="preserve">BANCO DE LA NACION </t>
  </si>
  <si>
    <t>AV. JAVIER PRADO ESTE N° 2479 ESQUINA CON ARQUEOLOGIA</t>
  </si>
  <si>
    <t>OSCAR ALFREDO PAJUELO GONZALES</t>
  </si>
  <si>
    <t>0003-CDFJ-07-2009</t>
  </si>
  <si>
    <t>TRANSEL S.A.C.</t>
  </si>
  <si>
    <t>CALLE B SUB LOTES 7B Y 7C, SEGUNDA ETAPA DE HABILITACION INDSUTRIAL , ZONA SEXTA , FUNDO BOCANEGRA ALTO</t>
  </si>
  <si>
    <t>ANTICONA FLORES, LUIS FERNANDO</t>
  </si>
  <si>
    <t>0021-CDFJ-04-2001</t>
  </si>
  <si>
    <t>INKABOR S.A.C</t>
  </si>
  <si>
    <t>SAN JUAN DE TARUCANI(SALINAS)</t>
  </si>
  <si>
    <t>SAN JUAN DE TARUCANI</t>
  </si>
  <si>
    <t>C1:26378:DIESEL 2 </t>
  </si>
  <si>
    <t>C1:26378:PETRÓLEO INDUSTRIAL Nº 500 </t>
  </si>
  <si>
    <t>C1:2800:GASOLINA 84 </t>
  </si>
  <si>
    <t>C1:26377:PETRÓLEO INDUSTRIAL Nº 500 </t>
  </si>
  <si>
    <t>GONZALES CARDENAS, JOSE</t>
  </si>
  <si>
    <t>0054-CDFJ-15-2008</t>
  </si>
  <si>
    <t>EMPRESA DE TRANSPORTES PROCERES S.A.</t>
  </si>
  <si>
    <t>COMUNIDAD CAMPESINA JICAMARCA ANEXO 22 AVN. INCA WIRACOCHA MZ.A-F LT. 5</t>
  </si>
  <si>
    <t>SALAS HINOJOSA, VICTOR</t>
  </si>
  <si>
    <t>95984-051-270520</t>
  </si>
  <si>
    <t>EMPRESA DE TRANSPORTES ROMERO S.R.L.</t>
  </si>
  <si>
    <t>ZONA INDUSTRIAL MZ B - LOTE 19</t>
  </si>
  <si>
    <t>JULIO ROMERO CRUZ</t>
  </si>
  <si>
    <t>101678-051-170313</t>
  </si>
  <si>
    <t>TITAN CONTRATISTAS GENERALES SOCIEDAD ANONIMA CERRADA</t>
  </si>
  <si>
    <t>PARAJE COMUNI, CERCA A LA POBLACION LA RINCONADA</t>
  </si>
  <si>
    <t>C1:5361:Diesel B5 S-50 </t>
  </si>
  <si>
    <t>JOSE HUMBERTO HUALPA SALAS</t>
  </si>
  <si>
    <t>42982-051-141011</t>
  </si>
  <si>
    <t>CORPORACION LINDLEY .S.A.</t>
  </si>
  <si>
    <t>JR. CAJAMARQUILLA Nº 1241 URB. ZARATE</t>
  </si>
  <si>
    <t>142703-051-240419</t>
  </si>
  <si>
    <t xml:space="preserve">CENTRO VACACIONAL DE HUAMPANI </t>
  </si>
  <si>
    <t>CARRETERA CENTRAL KM. 24.5 - CHOSICA</t>
  </si>
  <si>
    <t>ANA MARIA SERRUDO ECHAIZ</t>
  </si>
  <si>
    <t>TRIPLAY IQUITOS S.A.</t>
  </si>
  <si>
    <t>AV. LA MARINA KM. 4.5</t>
  </si>
  <si>
    <t>C1:1000:PETRÓLEO INDUSTRIAL Nº 6 </t>
  </si>
  <si>
    <t>C1:39000:DIESEL 2 </t>
  </si>
  <si>
    <t>BAÑOS RIVEIRO, ALBERTO</t>
  </si>
  <si>
    <t>33336-052-070916</t>
  </si>
  <si>
    <t>CARRETERA CAJAMARCA - BAMBAMARCA KM 36, (PARAJE LA QUINUA)</t>
  </si>
  <si>
    <t>C1:217295:DIESEL B5,Diesel B5 S-50 </t>
  </si>
  <si>
    <t>C1:216846:DIESEL B5,Diesel B5 S-50 </t>
  </si>
  <si>
    <t>CIA MINERA BULDIBUYO S.A.</t>
  </si>
  <si>
    <t>PARAJE LA PACCHA</t>
  </si>
  <si>
    <t>BULDIBUYO</t>
  </si>
  <si>
    <t>C1:1470:DIESEL 2 </t>
  </si>
  <si>
    <t>C1:1870:DIESEL 2 </t>
  </si>
  <si>
    <t>MUNCHER PUPPO, CARLO</t>
  </si>
  <si>
    <t>1510-051-200218</t>
  </si>
  <si>
    <t>CALETA CHIGUAS KM. 8.5 CARRETERA MATARANI</t>
  </si>
  <si>
    <t>C1:10532:Diesel B5 S-50 </t>
  </si>
  <si>
    <t>C1:10532:PETRÓLEO INDUSTRIAL Nº 500,PETRÓLEO INDUSTRIAL Nº 6 </t>
  </si>
  <si>
    <t>LUIS ISMAEL QUISPE CALDERON</t>
  </si>
  <si>
    <t>20-051-080219</t>
  </si>
  <si>
    <t>CARRETERA PANAMERICANA SUR KM 241</t>
  </si>
  <si>
    <t>FERNANDO BUSTAMANTE CILLONIZ</t>
  </si>
  <si>
    <t>TRANSPORTES SOYUZ S.A.</t>
  </si>
  <si>
    <t>SANDIA NO. 183</t>
  </si>
  <si>
    <t>SOSA MANRIQUE, LUIS</t>
  </si>
  <si>
    <t>95088-051-160112</t>
  </si>
  <si>
    <t>A. BERIO Y COMPAÑIA S.A.C</t>
  </si>
  <si>
    <t>ASOCIACION AGROPECUARIA JOSE GALVEZ UC 12159</t>
  </si>
  <si>
    <t>AQUILINO HUANCAHUARI CABRERA</t>
  </si>
  <si>
    <t>0003-CDFJ-15-2008</t>
  </si>
  <si>
    <t>UNIQUE S.A.</t>
  </si>
  <si>
    <t>KM. 3.8 DE LA PANAMERICANA SUR EX-FUNDO SAN VICENTE PARCELA B-57 Y B-59</t>
  </si>
  <si>
    <t>C1:75:DIESEL 2 </t>
  </si>
  <si>
    <t>C1:10026:DIESEL 2 </t>
  </si>
  <si>
    <t>C1:276:DIESEL 2 </t>
  </si>
  <si>
    <t>653-114-110920</t>
  </si>
  <si>
    <t>YURA S.A.</t>
  </si>
  <si>
    <t>ESTACION YURA S/N</t>
  </si>
  <si>
    <t>YURA</t>
  </si>
  <si>
    <t>C1:252898:PETRÓLEO INDUSTRIAL Nº 500 </t>
  </si>
  <si>
    <t>C1:36750:PETRÓLEO INDUSTRIAL Nº 500 </t>
  </si>
  <si>
    <t>C1:120:Diesel B5 S-50 </t>
  </si>
  <si>
    <t>C1:280:Diesel B5 S-50 </t>
  </si>
  <si>
    <t>C1:180:Diesel B5 S-50 </t>
  </si>
  <si>
    <t>122-051-250419</t>
  </si>
  <si>
    <t>UNIDAD MINERA UCHUCHAGUA</t>
  </si>
  <si>
    <t>C1:15274:Diesel B5 S-50 </t>
  </si>
  <si>
    <t>C1:13844:Diesel B5 S-50 </t>
  </si>
  <si>
    <t>DANIEL DOMINGUEZ VERA</t>
  </si>
  <si>
    <t>114494-051-090515</t>
  </si>
  <si>
    <t>ESTACION FERROVIARIA PACHAR - CENTRO POBLADO PACHAR</t>
  </si>
  <si>
    <t>TAPIA OVIEDO GENARO</t>
  </si>
  <si>
    <t>137901-051-140918</t>
  </si>
  <si>
    <t>HORTIFRUT - PERÚ S.A.C.</t>
  </si>
  <si>
    <t>FUNDO ARMONIA (ACCESO CON FRENTE A LA CARRETERA PANAMERICANA NORTE)</t>
  </si>
  <si>
    <t>149901-051-100720</t>
  </si>
  <si>
    <t>CAMPAMENTO NV 2080 – C.I.A. MINERA PODEROSA S.A.</t>
  </si>
  <si>
    <t>148947-051-270120</t>
  </si>
  <si>
    <t>AGRICOLA ANDREA S.A.C.</t>
  </si>
  <si>
    <t>CAR. VILLA LIBERTADOREES KM. 22 FUNCO CALIFORNIA</t>
  </si>
  <si>
    <t>EDUARDO MAZZINI RODRIGUEZ LARRAIN</t>
  </si>
  <si>
    <t>113664-051-040216</t>
  </si>
  <si>
    <t>AV. NESTOR GAMBETTA KM 14.50</t>
  </si>
  <si>
    <t>C1:3145:Diesel B5 S-50 </t>
  </si>
  <si>
    <t>BEATRIZ AMELIA GALVEZ FIGUEROA</t>
  </si>
  <si>
    <t>IBM DEL PERU S.A.</t>
  </si>
  <si>
    <t>AV. JAVIER PRADO N° 6230, URB. LA RIVIERA DE MONTERRICO</t>
  </si>
  <si>
    <t>BERMUDEZ ORTEGA, JOSÃ¿</t>
  </si>
  <si>
    <t>21430-051-311014</t>
  </si>
  <si>
    <t>TERMINALES DEL PERÚ</t>
  </si>
  <si>
    <t>AV. BREA Y PARIÑAS S/N</t>
  </si>
  <si>
    <t>C1:1150:PETRÓLEO INDUSTRIAL Nº 500 </t>
  </si>
  <si>
    <t>C1:280:DIESEL B5 </t>
  </si>
  <si>
    <t>C1:580:DIESEL B5 </t>
  </si>
  <si>
    <t>FRANKLIN ROLDAN MUÑOZ JUNCO</t>
  </si>
  <si>
    <t>0044-CDFJ-15-2001</t>
  </si>
  <si>
    <t>TRUPAL S.A</t>
  </si>
  <si>
    <t>AV. LA CAPITANIA N° 190 (LOTES 1. 2 Y 3) - HUACHIPA</t>
  </si>
  <si>
    <t>AGUILAR ONOFRE, DANTE</t>
  </si>
  <si>
    <t>EMPRESA PESQUERA GAMMA S.A.</t>
  </si>
  <si>
    <t>PJ. SANTA ROSA MZ. 70 LT. 1. PP.J.J. MIRAFLORES ALTO</t>
  </si>
  <si>
    <t>C1:33000:PETRÓLEO INDUSTRIAL Nº 500 </t>
  </si>
  <si>
    <t>BLACIDO ALVA, APOLINARIO</t>
  </si>
  <si>
    <t>89549-051-2010</t>
  </si>
  <si>
    <t>EMPRESA DE TRANSPORTE UNION SAN JUANITO S.A</t>
  </si>
  <si>
    <t xml:space="preserve">MZ B, LOTE 3 PREDIO RUSTICO CERRO VERDE </t>
  </si>
  <si>
    <t>C1:5000:Diesel B2 S-50 </t>
  </si>
  <si>
    <t>NICOLAZA GONZALES DUEÑAS</t>
  </si>
  <si>
    <t>0002-CDFJ-15-2006</t>
  </si>
  <si>
    <t>TRANSVISA E.I.R.L.</t>
  </si>
  <si>
    <t xml:space="preserve">PANAMERICANA NORTE KM. 85.15 </t>
  </si>
  <si>
    <t>MANRIQUE MALATESTA, GUILLERMO FELICIANO</t>
  </si>
  <si>
    <t>14611-051-140818</t>
  </si>
  <si>
    <t>TERPEL COMERCIAL DEL PERU S.R.L.</t>
  </si>
  <si>
    <t>AV. IGNACIO MARIATEGUI Nº 703</t>
  </si>
  <si>
    <t>C1:11700:PETRÓLEOS INDUSTRIALES </t>
  </si>
  <si>
    <t>JUAN CARLOS COPELLO SUAREZ</t>
  </si>
  <si>
    <t>44853-051-150920</t>
  </si>
  <si>
    <t>PETREX S.A.</t>
  </si>
  <si>
    <t>ZONA INDUSTRIAL S/N TALARA</t>
  </si>
  <si>
    <t>PAOLO SCOTTI</t>
  </si>
  <si>
    <t>139681-051-110919</t>
  </si>
  <si>
    <t>ALLIN GROUP - JAVIER PRADO S.A.</t>
  </si>
  <si>
    <t>AV. HÚSARES DE JUNÍN, MZ. F, LT. 5, URB. BARBADILLO</t>
  </si>
  <si>
    <t>JOSE JONATHAN LONDOÑO MORALES</t>
  </si>
  <si>
    <t>94461-051-281011</t>
  </si>
  <si>
    <t>AERODROMO DE KITENI</t>
  </si>
  <si>
    <t>JOSE ANTONIO REYES ZAVALETA</t>
  </si>
  <si>
    <t>147988-051-031219</t>
  </si>
  <si>
    <t>INTERNACIONAL DE TRANSPORTE TURISTICO Y SERVICIOS SRL</t>
  </si>
  <si>
    <t>AV. TUPAC AMARU N° 1198 - URB. STA. LEONOR</t>
  </si>
  <si>
    <t>YONEL CARRANZA CASANA</t>
  </si>
  <si>
    <t>HOGAR CLINICA SAN JUAN DE DIOS</t>
  </si>
  <si>
    <t>AV. NICOLAS ARRIOLA 3250</t>
  </si>
  <si>
    <t>C1:2040:DIESEL 2 </t>
  </si>
  <si>
    <t>C1:1880:DIESEL 2 </t>
  </si>
  <si>
    <t>C1:600:DIESEL 2 </t>
  </si>
  <si>
    <t>GARCIA ROJAS, HNO. VICTOR ANDRES</t>
  </si>
  <si>
    <t>CONFECCIONES TEXTIMAX S.A.</t>
  </si>
  <si>
    <t>CALLE ESTRADA MARTHNEY N? 191</t>
  </si>
  <si>
    <t>CHAVEZ PARRA, ANA MARIA</t>
  </si>
  <si>
    <t>DUOTEX S.A.</t>
  </si>
  <si>
    <t>AV. LOS MATERIALES 2375</t>
  </si>
  <si>
    <t>C1:3480:PETRÓLEO INDUSTRIAL Nº 500 </t>
  </si>
  <si>
    <t>C1:5500:PETRÓLEO INDUSTRIAL Nº 500 </t>
  </si>
  <si>
    <t>AMSEL LLANOS, JAIME JOSE</t>
  </si>
  <si>
    <t>98738-051-191213</t>
  </si>
  <si>
    <t>FERREYROS S.A.</t>
  </si>
  <si>
    <t>AV. INDUSTRIAL 675</t>
  </si>
  <si>
    <t>135319-051-160120</t>
  </si>
  <si>
    <t>LA GRANJA DE MI ABUELA LOTE 1-A SUBLOTE 1-A1 - SECTOR REPARTICION (CARRETERA PANAMERICANA SUR KM 973 – 974)</t>
  </si>
  <si>
    <t xml:space="preserve">GILBERT DANNY ORBEGOSO BALLON </t>
  </si>
  <si>
    <t>39604-052-050219</t>
  </si>
  <si>
    <t>PANAMERICANA SUR KM. 754 - LA PLANCHADA</t>
  </si>
  <si>
    <t>C1:216316:Diesel B5 S-50 </t>
  </si>
  <si>
    <t>C1:212270:PETROLEO INDUSTRIAL No. 6 - EXPORTACION </t>
  </si>
  <si>
    <t>113684-051-290720</t>
  </si>
  <si>
    <t>AV. PANAMERICANA NORTE ZONA INDUSTRIAL MZ° 243</t>
  </si>
  <si>
    <t>AURELIO BAYONA RUIZ</t>
  </si>
  <si>
    <t>0009-CDFJ-04-2002</t>
  </si>
  <si>
    <t>EMPRESA DE TRANSPORTES Y TURISMO LAS BEGONIAS 1 S.A.</t>
  </si>
  <si>
    <t>AV. ANDRES AVELINO CACERES S/N</t>
  </si>
  <si>
    <t>FLORES CENTENO, EDUARDO</t>
  </si>
  <si>
    <t>95714-051-260212</t>
  </si>
  <si>
    <t>SAN SIMON EQUIPOS S.A.</t>
  </si>
  <si>
    <t>PARAJE PAMPA LARCO CAMPAMENTO DE SAN SIMON EQU IPOS INTERIOR DE LA MINA DE LA COMPAÑIA MINERA AURIFERA SANTA ROSA S.A.</t>
  </si>
  <si>
    <t>C1:6045:DIESEL B5 </t>
  </si>
  <si>
    <t>C1:5461:DIESEL B5 </t>
  </si>
  <si>
    <t>C1:6015:DIESEL B5 </t>
  </si>
  <si>
    <t>C1:5466:DIESEL B5 </t>
  </si>
  <si>
    <t>FIDEL ERNESTO SANCHEZ ALAYO</t>
  </si>
  <si>
    <t>0003-CDFJ-19-2004</t>
  </si>
  <si>
    <t>CONSORCIO PASCO</t>
  </si>
  <si>
    <t>ASENTAMIENTO MINERO COLQUIJIRCA - MINA EL BROCAL</t>
  </si>
  <si>
    <t>C1:25000:DIESEL B2 </t>
  </si>
  <si>
    <t>TIMOTI GUYE, WILLIAMS</t>
  </si>
  <si>
    <t>114493-051-140515</t>
  </si>
  <si>
    <t>CALLE CASCAPARO S/N ESTACION FERROVIARIA SAN PEDRO</t>
  </si>
  <si>
    <t>POSEIDON S.A.</t>
  </si>
  <si>
    <t>CALETA LOBO VARADO</t>
  </si>
  <si>
    <t>C1:5890:DIESEL 2 </t>
  </si>
  <si>
    <t>C1:10032:DIESEL 2 </t>
  </si>
  <si>
    <t>C1:11617:DIESEL 2 </t>
  </si>
  <si>
    <t>C1:36900:PETRÓLEO INDUSTRIAL Nº 6 </t>
  </si>
  <si>
    <t>BARRIGA BEDOYA, AQUILINO VIRGILIO</t>
  </si>
  <si>
    <t>131309-051-160520</t>
  </si>
  <si>
    <t>CRUZCO ORGANICS S.A.C.</t>
  </si>
  <si>
    <t>AV. JESUS MARIA MZ. "X" S/N - CENTRO POBLADO CRUCETA</t>
  </si>
  <si>
    <t xml:space="preserve">FARFAN CHAVEZ MILAGROS JANET </t>
  </si>
  <si>
    <t>0009-CDFJ-07-2006</t>
  </si>
  <si>
    <t>EMPRESA DE TRANSPORTE VICTOR RAUL HAYA DE LA TORRE S.A.</t>
  </si>
  <si>
    <t>CALLE 3 S/N MZ G LOTE 10, URB. LA QUILLA</t>
  </si>
  <si>
    <t>C1:3670:DIESEL 2 </t>
  </si>
  <si>
    <t>HUAMANI CARHUAPOMA, ANGEL DOROTEO</t>
  </si>
  <si>
    <t>94449-115-211111</t>
  </si>
  <si>
    <t>LIDERTEC.S.A.C</t>
  </si>
  <si>
    <t>CALLE LA MILLA N° 216 - 218. URB. INDUSTRIAL LA MILLA</t>
  </si>
  <si>
    <t>C1:1100:null </t>
  </si>
  <si>
    <t>EMPRESA DE TRANSPORTES Y SERVICIOS OCHO S.A.</t>
  </si>
  <si>
    <t>CALLE 19, MZ I, LTES 7, 8 Y 9 CAMPOY</t>
  </si>
  <si>
    <t>SEGURA RAMIREZ, HERNAN</t>
  </si>
  <si>
    <t>115935-053-170615</t>
  </si>
  <si>
    <t>SOCIEDAD MINERA CERRO VERDE S.A.A</t>
  </si>
  <si>
    <t>CENTRAL TERMICA RECKA PAMPAS DE REQUE DEL SECTOR LA CLAKE</t>
  </si>
  <si>
    <t>C1:1651075:DIESEL B5 </t>
  </si>
  <si>
    <t xml:space="preserve">MILUSKA MARIANELA CERVANTES CORNEJO </t>
  </si>
  <si>
    <t>0001-CDFJ-11-2002</t>
  </si>
  <si>
    <t>AV. LAS AMERICAS S/N.</t>
  </si>
  <si>
    <t>122154-052-130619</t>
  </si>
  <si>
    <t>CAL &amp; CEMENTO SUR S.A.</t>
  </si>
  <si>
    <t>CARRETERA JULIACA-PUNO KM-11, HACIENDA YUNGURA</t>
  </si>
  <si>
    <t>C1:7400:PETRÓLEO INDUSTRIAL Nº 5 </t>
  </si>
  <si>
    <t>21068-052-240816</t>
  </si>
  <si>
    <t>PARAJE NUEVA PLANTA - KM 36 CARRETERA CAJAMARCA / BAMBAMARCA</t>
  </si>
  <si>
    <t>C1:120000:DIESEL 2 </t>
  </si>
  <si>
    <t>C1:9000:GASOLINA 84 </t>
  </si>
  <si>
    <t>C1:100000:DIESEL 2 </t>
  </si>
  <si>
    <t>124829-051-220217</t>
  </si>
  <si>
    <t>EMPRESA MINERA FORTUNATO MATILDE ASOCIADOS S.R.L.</t>
  </si>
  <si>
    <t>CONCESION MINERA GALLO DE ORO 2002</t>
  </si>
  <si>
    <t>C1:3674:Diesel B5 S-50 </t>
  </si>
  <si>
    <t>C1:3706:Diesel B5 S-50 </t>
  </si>
  <si>
    <t>0008-CDFJ-13-2003</t>
  </si>
  <si>
    <t>VIA DE EVITAMIENTO S/N</t>
  </si>
  <si>
    <t>FERRER ESPINOZA, ALBERTO</t>
  </si>
  <si>
    <t>20137-051-080912</t>
  </si>
  <si>
    <t>VELEBIT GROUP S.A.C</t>
  </si>
  <si>
    <t>LA PRIMAVERA S/N, SECTOR LA HUACA</t>
  </si>
  <si>
    <t>FELIX ELARD TIPIANI PRADO</t>
  </si>
  <si>
    <t>133265-051-041217</t>
  </si>
  <si>
    <t xml:space="preserve">JHOEL IVAN S.C.R.L. </t>
  </si>
  <si>
    <t xml:space="preserve">CONCESION MINERA CHAVINSA N° 2-A </t>
  </si>
  <si>
    <t>JOEL RODRIGO SUMERINDE CALSINA</t>
  </si>
  <si>
    <t>135337-051-080418</t>
  </si>
  <si>
    <t>MINERA COLIBRI S.A.C.</t>
  </si>
  <si>
    <t>CALLE EL PARAJE, EL CONVENTO Nº S/N</t>
  </si>
  <si>
    <t>C1:2762:Diesel B5 S-50 </t>
  </si>
  <si>
    <t>C1:1859:Diesel B5 S-50 </t>
  </si>
  <si>
    <t>ULISES RAUL SOLIS LLAPA</t>
  </si>
  <si>
    <t>EMPRESA DE TRANSPORTES SOL Y MAR</t>
  </si>
  <si>
    <t>JR. MIGUEL BAQUERO N° 200</t>
  </si>
  <si>
    <t>0017-CDFJ-07-2005</t>
  </si>
  <si>
    <t>ANDINA DE DESARROLLO ANDESA S.A.C.</t>
  </si>
  <si>
    <t>PASAJE DON OSCAR N° 150 ACAPULCO</t>
  </si>
  <si>
    <t>MELGAR INURRIATEGUI, FRANCISCO JAVIER</t>
  </si>
  <si>
    <t>PAVIMENTOS PERUANOS S.A. (EMBARGO DE INSCRIPCION RES. N° 0230074857883)</t>
  </si>
  <si>
    <t>AV. SEPARADORA INDUSTRIAL Nº 653-2</t>
  </si>
  <si>
    <t>C1:6000:ASFALTO LÍQUIDO RC-250 </t>
  </si>
  <si>
    <t>C1:16000:ASFALTO SOLIDO </t>
  </si>
  <si>
    <t>PALACIOS VIZA, TOMAS JOSE</t>
  </si>
  <si>
    <t>VULCO PERU S.A.</t>
  </si>
  <si>
    <t>AV. ARGENTINA N° 1969</t>
  </si>
  <si>
    <t>BAUER BUNNEY, OSCAR</t>
  </si>
  <si>
    <t>111225-051-180914</t>
  </si>
  <si>
    <t>EMPRESA DE TRANSPORTES TURISMO FERNANDEZ HNOS. S.R.L.</t>
  </si>
  <si>
    <t xml:space="preserve">SECTOR ZANJA HONDA - LT. N° 5 </t>
  </si>
  <si>
    <t>SEGUNDO SANTOS FERNANDEZ GOICOCHEA</t>
  </si>
  <si>
    <t>122802-051-300816</t>
  </si>
  <si>
    <t>SERVICIOS GENERALES VIVIANA E.I.R.L.</t>
  </si>
  <si>
    <t>LA CAPILLA MARGEN DERECHA DE LA CARRETERA SULLANA PIURA</t>
  </si>
  <si>
    <t>C1:4400:DIESEL B5 </t>
  </si>
  <si>
    <t>CARLOS ALBERTO FRANCO MOGOLLON</t>
  </si>
  <si>
    <t>104353-051-300720</t>
  </si>
  <si>
    <t>TERMINALES PORTUARIOS EUROANDINOS PAITA S.A.</t>
  </si>
  <si>
    <t>JR. FERROCARRIL N° 127</t>
  </si>
  <si>
    <t>CARLOS ENRIQUE MERINO GONZALES</t>
  </si>
  <si>
    <t>149799-051-280620</t>
  </si>
  <si>
    <t>COMPAÑÍA MINERA PODEROSA S.A.</t>
  </si>
  <si>
    <t>CAMPAMENTO CEDRO - C.I.A. MINERA PODEROSA S.A.</t>
  </si>
  <si>
    <t>C1:10115:Diesel B5 S-50 </t>
  </si>
  <si>
    <t>ALGODONERA PERUANA S.A.</t>
  </si>
  <si>
    <t>NICOLAS AYLLON NO 3252</t>
  </si>
  <si>
    <t>THORNBERRY SCHIANTARELLI, EDDIE ALDO ANGEL</t>
  </si>
  <si>
    <t>97955-051-021012</t>
  </si>
  <si>
    <t xml:space="preserve">CANTERAS DEL HALLAZGO S.A.C. </t>
  </si>
  <si>
    <t>CARRETERA TITERE - ICHUÑA, KM 12, COMUNIDAD CAMPESINA DE CORIRE</t>
  </si>
  <si>
    <t>ICHUÑA</t>
  </si>
  <si>
    <t>PATRICIA KOSA MUÑOZ</t>
  </si>
  <si>
    <t>COORD. 14°54'00" - 71°19'30" CARR. AREQUIPA-CUSCO KM.260</t>
  </si>
  <si>
    <t>ALTO PICHIGUA</t>
  </si>
  <si>
    <t>C1:680000:DIESEL 2 </t>
  </si>
  <si>
    <t>148920-112-170220</t>
  </si>
  <si>
    <t>PAVIMENTACIONES S.A.C.</t>
  </si>
  <si>
    <t>PARTE DEL LOTE 125 PAMPA DE CAJAMARQUILLA</t>
  </si>
  <si>
    <t>C1:7852:CEMENTO ASFÁLTICO 60-70 </t>
  </si>
  <si>
    <t>C1:3040:CEMENTO ASFÁLTICO 60-70 </t>
  </si>
  <si>
    <t>C1:1500:PETRÓLEO INDUSTRIAL Nº 4 </t>
  </si>
  <si>
    <t>ALEJANDRO DE JESUS CORCUERA ACEVEDO</t>
  </si>
  <si>
    <t>128444-051-040717</t>
  </si>
  <si>
    <t>GO´VIL S.A.C.</t>
  </si>
  <si>
    <t>CAMINO DE HERRADURA S/N BARRIO HUANDO</t>
  </si>
  <si>
    <t>SAN JERONIMO DE TUNAN</t>
  </si>
  <si>
    <t>JANET ROSALIA VILCHEZ CACERES</t>
  </si>
  <si>
    <t>SAGA FALABELLA S.A.</t>
  </si>
  <si>
    <t>ZONA AGROPECUARIA DE VILLA RICA LOTES 5, 5A, 6</t>
  </si>
  <si>
    <t>VEGA -, JOSE</t>
  </si>
  <si>
    <t>136096-051-140518</t>
  </si>
  <si>
    <t>CASAMAR S.A.C.</t>
  </si>
  <si>
    <t>COMPLEJO PESQUERO SAMANCO S/N PUERTO - SAMANCO</t>
  </si>
  <si>
    <t>C1:2755:Diesel B5 S-50 </t>
  </si>
  <si>
    <t>C1:30670:PETRÓLEO INDUSTRIAL Nº 500 </t>
  </si>
  <si>
    <t>JOSE ARTURO BOLUARTE GYLLING</t>
  </si>
  <si>
    <t>95375-051-251112</t>
  </si>
  <si>
    <t>EMPRESA DE TRANSPORTES ESPERANZA EXPRESS S.A.</t>
  </si>
  <si>
    <t>MZ. 12 LOTE 04 SECTOR X-1RO. DE MAYO AA.HH. EL MILAGRO</t>
  </si>
  <si>
    <t>JORGE SILVERIO VASQUEZ GOYCOCHEA</t>
  </si>
  <si>
    <t>136830-051-280618</t>
  </si>
  <si>
    <t>GREGORIO LOAYZA AVILES</t>
  </si>
  <si>
    <t>CONCESION MINERA LUHESA I</t>
  </si>
  <si>
    <t>C1:5200:Diesel B5 S-50 C2:5200:Diesel B5 S-50 </t>
  </si>
  <si>
    <t>145313-051-310719</t>
  </si>
  <si>
    <t>PROYECTO ESPECIAL PARA LA PREPARACION Y DESARROLLO DE LOS XVIII JUEGOS PANAMERICANOS DEL 2019</t>
  </si>
  <si>
    <t>AV. DEL AIRE CDRA. 8, PUERTA 1 - LA VIDENA</t>
  </si>
  <si>
    <t>WILHELM EDUARDO JOSE FUNCKE FIGUEROA</t>
  </si>
  <si>
    <t>CALERA CONCEPCION ( EX - CALERA SANTA ROSA E.I.R.L )</t>
  </si>
  <si>
    <t>PROLONGACIÓN MARISCAL CÁCERES Nº 1397 PASAJE LA MOSQUETA</t>
  </si>
  <si>
    <t>QUISPE MERINO, EDUARDO FRANCISCO</t>
  </si>
  <si>
    <t>89014-051-2010</t>
  </si>
  <si>
    <t>YURA SA</t>
  </si>
  <si>
    <t>CANTERAS LUDMIRCA / OJULE</t>
  </si>
  <si>
    <t>C1:6180:DIESEL B2 </t>
  </si>
  <si>
    <t>C1:1124:DIESEL B2 </t>
  </si>
  <si>
    <t>140145-051-031218</t>
  </si>
  <si>
    <t>CONSECION MINERA GAVILAN DE ORO N°2</t>
  </si>
  <si>
    <t>99946-051-220419</t>
  </si>
  <si>
    <t>CONSETTUR MACHUPICCHU S.A.C</t>
  </si>
  <si>
    <t>PROLONGACION AV. HERMANOS AYAR S/N</t>
  </si>
  <si>
    <t>OSCAR CARLOS VELASQUEZ IWAKI</t>
  </si>
  <si>
    <t>510-051-180515</t>
  </si>
  <si>
    <t>EMPRESA DE TRANSPORTES FLORES HERMANOS. S.R.L.</t>
  </si>
  <si>
    <t>CALLE SAUCINI LOTE 6-7</t>
  </si>
  <si>
    <t>C1:6640:DIESEL B5 </t>
  </si>
  <si>
    <t>0003-CDFJ-13-2005</t>
  </si>
  <si>
    <t>SECTOR VALDIVIA ALTA, COMPRENSIÓN DEL TRÓPICO</t>
  </si>
  <si>
    <t>123721-051-150916</t>
  </si>
  <si>
    <t>UNIDAD EJECUTORA HOSPITAL II-2 TARAPOTO</t>
  </si>
  <si>
    <t>JR. ANGEL DELGADO MOREY N° 735 CON AV. EL EJERCITO CUADRA 01 Y EL JR. LOS ALPES CUADRAS 1 Y 2, BARRIO SACHAPUQUIO</t>
  </si>
  <si>
    <t>TARAPOTO</t>
  </si>
  <si>
    <t>ERNESTO TOMAS REAÑO VARGAS</t>
  </si>
  <si>
    <t>0054-CDFJ-15-2005</t>
  </si>
  <si>
    <t xml:space="preserve">CAJA DE PENSIONES MILITAR POLICIAL </t>
  </si>
  <si>
    <t>AV. BENAVIDES NO 415</t>
  </si>
  <si>
    <t>BAELLA SOLARI, CARLOS ANIBAL</t>
  </si>
  <si>
    <t>62833-051-080118</t>
  </si>
  <si>
    <t>FUNDO SUB PREDIO DON VICTOR DEL FUNDO AAYPATA-PEPITO-PAGO</t>
  </si>
  <si>
    <t>C1:5108:Diesel B5 S-50 </t>
  </si>
  <si>
    <t>0009-CDFJ-04-2000</t>
  </si>
  <si>
    <t>ALICORP S.A</t>
  </si>
  <si>
    <t xml:space="preserve">AV. PARRA N° 400 </t>
  </si>
  <si>
    <t>C1:600:DIESEL B2 </t>
  </si>
  <si>
    <t>C1:1850:DIESEL B2 </t>
  </si>
  <si>
    <t>C1:300:DIESEL B2 </t>
  </si>
  <si>
    <t>C1:300:PETRÓLEO INDUSTRIAL Nº 500 </t>
  </si>
  <si>
    <t>CARBAJAL VIZCARRA, CARLOS EDGARD</t>
  </si>
  <si>
    <t xml:space="preserve">EMPRESA DE TRANSPORTES CORDOVA S.A. </t>
  </si>
  <si>
    <t>CALLE LADISLAO ESPINAR Nº 103</t>
  </si>
  <si>
    <t>CORDOVA CARHUARICRA, F. JULIO</t>
  </si>
  <si>
    <t>0004-CDFJ-13-2005</t>
  </si>
  <si>
    <t>PASAJE S/NKM 3.5CARRETERA TRUJILLO-HUANCHACOURB. SEMI-RÚSTICA STO. TOMAS CONJ. MENOR V. DEL MAR</t>
  </si>
  <si>
    <t>33499-051-260617</t>
  </si>
  <si>
    <t>SIERRA ANTAPITE S.A.C.</t>
  </si>
  <si>
    <t>U.E.A. ANTAPITE ANEXO DE CHOCLOCOCHA</t>
  </si>
  <si>
    <t>C1:5000:GASOHOL 84 PLUS </t>
  </si>
  <si>
    <t>EMPRESA DE TRANSPORTES PROGRESO S.A.</t>
  </si>
  <si>
    <t>AV. BERTELLO MZ.A, LT. 6,URB. LA QUILLA</t>
  </si>
  <si>
    <t>RAMIREZ BONIFACIO, JORGE</t>
  </si>
  <si>
    <t>141008-051-280119</t>
  </si>
  <si>
    <t>PLACIDO HUAMAN LIPE</t>
  </si>
  <si>
    <t>CONCESION MINERAEMAQUSA B, CENTRO POBLADO CHOQUE</t>
  </si>
  <si>
    <t>C1:7800:Diesel B5 S-50 </t>
  </si>
  <si>
    <t>740-051-220316</t>
  </si>
  <si>
    <t>CENTRO DE ABASTECIMIENTO AGUA BAYOVAR - GOBIERNO REGIONAL PIURA</t>
  </si>
  <si>
    <t>CAMPAMENTO ILLESCAS BAYOVAR</t>
  </si>
  <si>
    <t>FRANCISCO WILFREDO LAU DEZA</t>
  </si>
  <si>
    <t>WARNER LAMBERT PERU S.A.</t>
  </si>
  <si>
    <t>AV. VICTOR RAUL HAYA DE LA TORRE Nª 1779</t>
  </si>
  <si>
    <t>BERROCAL SOTO, JULIO</t>
  </si>
  <si>
    <t>18250-051-140616</t>
  </si>
  <si>
    <t>PUERTO HUARMEY</t>
  </si>
  <si>
    <t>VITRO CERAMICA S.A.</t>
  </si>
  <si>
    <t>ALFONSO DE MOLINA MZ.114,LT.7-8</t>
  </si>
  <si>
    <t>HARTLEY MORAN, JHON EDGARDO</t>
  </si>
  <si>
    <t>0005-CDFJ-20-2009</t>
  </si>
  <si>
    <t>CARRETERA PAITA - SULLANA KM 3.5</t>
  </si>
  <si>
    <t>ZAVALETA REYES, HENRY GILMER</t>
  </si>
  <si>
    <t>678-052-151117</t>
  </si>
  <si>
    <t>EMPRESA DE GENERACION ELECTRICA DE AREQUIPA S.A.</t>
  </si>
  <si>
    <t>PASAJE RIPACHA Nº 101, CHILINA</t>
  </si>
  <si>
    <t>C1:144140:Diesel B5 S-50 </t>
  </si>
  <si>
    <t>C1:94720:PETRÓLEO INDUSTRIAL Nº 500 </t>
  </si>
  <si>
    <t>CARLOS HERNAN VELA LIENDO</t>
  </si>
  <si>
    <t>91386-051-250511</t>
  </si>
  <si>
    <t>FERROCARRIL TRANSANDINO SA</t>
  </si>
  <si>
    <t>JIRON MARIANO NUÑEZ 126</t>
  </si>
  <si>
    <t>C1:12500:DIESEL B5 </t>
  </si>
  <si>
    <t xml:space="preserve">RAUL ARMANDO MARTINEZ MARTIN </t>
  </si>
  <si>
    <t>87898-051-2010</t>
  </si>
  <si>
    <t>PERU LNG S.R.L.</t>
  </si>
  <si>
    <t>PLANTA PAMPA MELCHORITA ENTRE LOS KILOMETROS 167 Y 170 CARRETERA PANAMERICAN SUR</t>
  </si>
  <si>
    <t>C1:5759:GASOLINA 95 </t>
  </si>
  <si>
    <t>C1:10937:Diesel B2 S-50 </t>
  </si>
  <si>
    <t>BARBARA CECILIA BRUCE VETURA</t>
  </si>
  <si>
    <t>0001-CDFJ-25-2001</t>
  </si>
  <si>
    <t>GALVANIZADORA PERUANA S.A.</t>
  </si>
  <si>
    <t>"CARRETERA FEDERICO BASADRE KM. 5,500"</t>
  </si>
  <si>
    <t>C1:6500:PETRÓLEO INDUSTRIAL Nº 6 </t>
  </si>
  <si>
    <t>DYER PICON, HECTOR</t>
  </si>
  <si>
    <t>130526-051-170717</t>
  </si>
  <si>
    <t>JR. NEREO CABELLO Y JR. GREIS-PAJATEN</t>
  </si>
  <si>
    <t>EL DORADO</t>
  </si>
  <si>
    <t>SAN JOSE DE SISA</t>
  </si>
  <si>
    <t>C1:1800:DIESEL B5,Diesel B5 S-50 </t>
  </si>
  <si>
    <t>DANIEL DEL AGUILA VELA</t>
  </si>
  <si>
    <t>21434-051-110711</t>
  </si>
  <si>
    <t>INDUSTRIAS VEPINSA DEL PERU S.A.C.</t>
  </si>
  <si>
    <t>SECTOR CALUNGA U.C. 5191 - PARCELA EL CHOLOQUE</t>
  </si>
  <si>
    <t>C1:5200:PETRÓLEO INDUSTRIAL Nº 6 </t>
  </si>
  <si>
    <t>STEFAN WENDEL VALLE</t>
  </si>
  <si>
    <t>0000009-PIU</t>
  </si>
  <si>
    <t xml:space="preserve">TUME CONTRATISTAS GENERALES S.R. </t>
  </si>
  <si>
    <t xml:space="preserve">AV. GRAU N° 1145 </t>
  </si>
  <si>
    <t>TUME SOLANO, ENRIQUE</t>
  </si>
  <si>
    <t>63849-051-051214</t>
  </si>
  <si>
    <t>MADERERA G Y G ALCAZAR E.I.R.L.</t>
  </si>
  <si>
    <t>AV. MARGINAL A MAZAMARI N° 450 (URB. SATIPO, PARCELA Nº 32517 KM. 02)</t>
  </si>
  <si>
    <t>C1:6168:DIESEL B5 </t>
  </si>
  <si>
    <t>GUSTAVO GOTARDO ALCAZAR SERNA</t>
  </si>
  <si>
    <t>1162-051-241114</t>
  </si>
  <si>
    <t>ELECTRO SUR ESTE S.A.A.</t>
  </si>
  <si>
    <t>ERNESTO RIVERO CUADRA 13 S/N</t>
  </si>
  <si>
    <t>C1:198482:Diesel B5 S-50 </t>
  </si>
  <si>
    <t>JUAN JOSE GIBAJA MENDIZABAL</t>
  </si>
  <si>
    <t>122206-051-080816</t>
  </si>
  <si>
    <t>UNIVERSIDAD NACIONAL DE SAN ANTONIO ABAD DEL CUSCO</t>
  </si>
  <si>
    <t>AV. DE LA CULTURA N° 733 - COMEDOR UNIVERSITARIO</t>
  </si>
  <si>
    <t xml:space="preserve">BALTAZAR NICOLAS CACERES HUAMBO </t>
  </si>
  <si>
    <t>0041-CDFJ-15-2005</t>
  </si>
  <si>
    <t>EMPRESA DE TRANSPORTES 1° DE DICIEMBRE S.A.</t>
  </si>
  <si>
    <t>AV. INCA PACHACUTEC MZ.B-1, LOTE 15 JICAMARCA ANEXO 22</t>
  </si>
  <si>
    <t>ALANIA CANCHIHUAMAN, TELESFORO ESTELO</t>
  </si>
  <si>
    <t>53-051-050516</t>
  </si>
  <si>
    <t>COMPAÑIA MINERA CHUNGAR S.A.C.</t>
  </si>
  <si>
    <t>ASIENTO MINERO ANIMON</t>
  </si>
  <si>
    <t>108774-051-090414</t>
  </si>
  <si>
    <t xml:space="preserve">SERVICIOS AEREOS RUIZ EIRL. </t>
  </si>
  <si>
    <t xml:space="preserve">AEROPUERTO MOISES BENZAQUEN RENGIFO </t>
  </si>
  <si>
    <t>ORLANDO RUIZ RUIZ</t>
  </si>
  <si>
    <t>39382-051-140616</t>
  </si>
  <si>
    <t>CAMP. YANACANCHA PLANTA CONCENTRADORA</t>
  </si>
  <si>
    <t>45037-051-300417</t>
  </si>
  <si>
    <t xml:space="preserve">AV. PABLO CASALS N° 110 - 170 URB. SAN FERNANDO </t>
  </si>
  <si>
    <t>C1:2450:DIESEL B5,Diesel B5 S-50 </t>
  </si>
  <si>
    <t>42037-051-220512</t>
  </si>
  <si>
    <t>AV. PROLONGACION CENTENARIO 2576</t>
  </si>
  <si>
    <t>C1:37094:DIESEL B5 PD </t>
  </si>
  <si>
    <t>C1:2500:DIESEL B5 PD </t>
  </si>
  <si>
    <t>C1:2500:PETRÓLEO INDUSTRIAL Nº 500 </t>
  </si>
  <si>
    <t>C1:55641:PETRÓLEO INDUSTRIAL Nº 500 </t>
  </si>
  <si>
    <t xml:space="preserve">JORGE CARLOS BRICEÑO VALDIVIA </t>
  </si>
  <si>
    <t>113762-051-200515</t>
  </si>
  <si>
    <t>MINERA SANTA LUCIA G S.A.C</t>
  </si>
  <si>
    <t xml:space="preserve">QUEBRADA LA HONDA S/N </t>
  </si>
  <si>
    <t>CARHUAZ</t>
  </si>
  <si>
    <t>MARCARA</t>
  </si>
  <si>
    <t>C1:5250:DIESEL B5 </t>
  </si>
  <si>
    <t>C1:4950:Diesel B5 S-50 </t>
  </si>
  <si>
    <t>JUAN MANUEL LLANOS RODRIGUEZ</t>
  </si>
  <si>
    <t>142316-051-290319</t>
  </si>
  <si>
    <t>EMPRESA DE TRANSPORTES C.4.M. S.A.</t>
  </si>
  <si>
    <t>AV. ALMUDENA S/N</t>
  </si>
  <si>
    <t xml:space="preserve">YAMERI NANCY PERALTA GOMEZ </t>
  </si>
  <si>
    <t>108766-051-140217</t>
  </si>
  <si>
    <t>TOURS ANGEL DIVINO SAC</t>
  </si>
  <si>
    <t>AV. JORGE CHAVEZ N° 1365 - URB CAMPODONICO</t>
  </si>
  <si>
    <t>SEGUNDO CARLOS BARBOZA GALVEZ</t>
  </si>
  <si>
    <t>FRANCO SILVA JUAN FELIX</t>
  </si>
  <si>
    <t>ANTIGUA PANAMERICANA NORTE KM. 900 FUNDO SAN JUAN DE MOCAPE</t>
  </si>
  <si>
    <t>FRANCO SILVA, JUAN FELIX</t>
  </si>
  <si>
    <t>SAN PEDRO CONTRATISTAS GENERALES S.R.LTDA.</t>
  </si>
  <si>
    <t>JR. LADISLAO ESPINAR S/N.</t>
  </si>
  <si>
    <t>CORDOVA CARHUARICRA, VICTOR VENANCIO</t>
  </si>
  <si>
    <t>MANUFACTURAS COLOR S.A.C.</t>
  </si>
  <si>
    <t>A. LOS CALDEROS N° 168 - URB. INDUSTRIAL VULCANO</t>
  </si>
  <si>
    <t>SUMAR KATTAN, FUAD CARLOS</t>
  </si>
  <si>
    <t>0048-CDFJ-15-2005</t>
  </si>
  <si>
    <t>PROCESADORA DE PRODUCTOS MARINOS S.A.</t>
  </si>
  <si>
    <t>AV. LUNA ARRIETA 577 PUERTO DE HUACHO</t>
  </si>
  <si>
    <t>C1:60000:PETRÓLEO INDUSTRIAL Nº 500 </t>
  </si>
  <si>
    <t>1492-051-121216</t>
  </si>
  <si>
    <t>ENEL GENERACION PERU S.A.A.</t>
  </si>
  <si>
    <t>AV. DEL BIERZO S/N ALTURA 14.5 AV. NESTOR GAMBETA</t>
  </si>
  <si>
    <t>C1:28304:Diesel B5 S-50 </t>
  </si>
  <si>
    <t>SYLVIA LILIANA CRUDO VERA</t>
  </si>
  <si>
    <t>98199-051-250213</t>
  </si>
  <si>
    <t xml:space="preserve">MINSUR S. A. </t>
  </si>
  <si>
    <t>CAMPAMENTO EN LAS PROXIMIDADES DEL CERRO CHECOCOLLO (PUCAMARCA)</t>
  </si>
  <si>
    <t>PALCA</t>
  </si>
  <si>
    <t>C1:76618:DIESEL B5 </t>
  </si>
  <si>
    <t xml:space="preserve">EMILIO EDUARDO ALFAGEME RODRIGUEZ LARRAIN </t>
  </si>
  <si>
    <t>0020-CDFJ-15-2009</t>
  </si>
  <si>
    <t>INDUSTRIAL HILANDERA S.A.C</t>
  </si>
  <si>
    <t>LOS HORNOS Nº 174 URB. VULCANO</t>
  </si>
  <si>
    <t>PRELATURA HUARI - PIAZZON FLORENZO</t>
  </si>
  <si>
    <t>PARROQUIA DE JANGAS</t>
  </si>
  <si>
    <t>GABURRI IVO, BALDI</t>
  </si>
  <si>
    <t>146-052-151216</t>
  </si>
  <si>
    <t xml:space="preserve">CALLE JOSE DE RIVERA Y DAVALOS LOTE 2 (ALT. CUADRA 15 JR. ANCASH) </t>
  </si>
  <si>
    <t>C1:396270:Diesel B5 S-50 </t>
  </si>
  <si>
    <t>RICADO IBARRA CARPIO</t>
  </si>
  <si>
    <t>43037-051-230620</t>
  </si>
  <si>
    <t>CARRETERA PAITA-SULLANA KM 4.5 MZ. L LOTE 3 ZONA INDUSTRIAL II</t>
  </si>
  <si>
    <t>0012-CDFJ-15-2006</t>
  </si>
  <si>
    <t>PRODUCTOS AVON S.A.</t>
  </si>
  <si>
    <t>CARRETERA CENTRAL KM. 4.7</t>
  </si>
  <si>
    <t>MUÑOZ BUSTAMANTE, GUILLERMO HECTOR GABRIEL</t>
  </si>
  <si>
    <t>149619-051-080620</t>
  </si>
  <si>
    <t>INVERSIONES JM EMPRESA INDIVIDUAL DE RESPONSABILIDAD LIMITADA</t>
  </si>
  <si>
    <t>CONCESION MINERA YARISA (CODIGO 1700745BX01)</t>
  </si>
  <si>
    <t>UBALDO PABLO CALCINA ZAMATA</t>
  </si>
  <si>
    <t>20138-051-140616</t>
  </si>
  <si>
    <t>CAMPAMENTO YANACANCHA SEGUNDO</t>
  </si>
  <si>
    <t>133782-051-081119</t>
  </si>
  <si>
    <t>DISTRIBUIDORA CUMMINS PERU S.A.C</t>
  </si>
  <si>
    <t>AV ARGENTINA N° 4453</t>
  </si>
  <si>
    <t>JULIO ARMANDO MOLINA SALGADO</t>
  </si>
  <si>
    <t>0006-CDFJ-07-2008</t>
  </si>
  <si>
    <t>CLOROX PERU S.A.</t>
  </si>
  <si>
    <t>JR. LAS MAQUINARIAS N° 282 URB. INDUSTRIAL BOCANEGRA</t>
  </si>
  <si>
    <t>C1:40000:SOLVENTE 3 </t>
  </si>
  <si>
    <t>GALVEZ RIOS, ENRIQUE MARTIN</t>
  </si>
  <si>
    <t>0007-CDFJ-15-2006</t>
  </si>
  <si>
    <t>EMPRESA DE TRANSPORTES Y SERVICIOS SANTA ROSA DE LIMA S.A.</t>
  </si>
  <si>
    <t xml:space="preserve">CALLE LOS CIPRESES LOTES 3, 4, 5 UC 11562, EL ARENAL VALLE </t>
  </si>
  <si>
    <t>ALIAGA SANTIAGO, GREGORIO FAUSTINO</t>
  </si>
  <si>
    <t>21176-051-140616</t>
  </si>
  <si>
    <t>INSTALACIONES PORTUARIAS HUARMEY</t>
  </si>
  <si>
    <t>97673-115-200912</t>
  </si>
  <si>
    <t>TERMOSELVA S.R.L.</t>
  </si>
  <si>
    <t>CARRETERA FEDERICO BASADRE KM. 160</t>
  </si>
  <si>
    <t>PADRE ABAD</t>
  </si>
  <si>
    <t>C1:275:LUBRICANTES </t>
  </si>
  <si>
    <t>MARCO ANTONIO VILLASANTE SANCHEZ</t>
  </si>
  <si>
    <t>131863-051-251017</t>
  </si>
  <si>
    <t>CASERIO MOYON ALTO</t>
  </si>
  <si>
    <t>MARI ALEJANDRA OZAKI DASTE</t>
  </si>
  <si>
    <t>93317-051-310712</t>
  </si>
  <si>
    <t xml:space="preserve">CONSORCIO 4S </t>
  </si>
  <si>
    <t>CALLE TACNA Nº 999, INTERSECCION CON AV. COSTANERA S/N</t>
  </si>
  <si>
    <t>C1:3424:Diesel B5 S-50 </t>
  </si>
  <si>
    <t>JUSHA ROXANA TORRES NINACONDOR</t>
  </si>
  <si>
    <t>113721-051-130715</t>
  </si>
  <si>
    <t>MEDIC SER S.A.C.</t>
  </si>
  <si>
    <t>CALLE TARAPACA N° 368</t>
  </si>
  <si>
    <t xml:space="preserve">PLANAS CONDE JAIME ENRIQUE </t>
  </si>
  <si>
    <t>0027-CDFJ-15-2002</t>
  </si>
  <si>
    <t>COPERTEX S.A.</t>
  </si>
  <si>
    <t>AV. LA MOLINA NO 315</t>
  </si>
  <si>
    <t>VALDEZ CASTAÑEDA, EMILIO LEOPOLDO</t>
  </si>
  <si>
    <t>102349-051-181114</t>
  </si>
  <si>
    <t>AURIFERA DAVID RUBY S.R.L.</t>
  </si>
  <si>
    <t>JESUS VILCA SAYCO</t>
  </si>
  <si>
    <t>34840-051-030518</t>
  </si>
  <si>
    <t>CALLE HUAROCHIRI S/N, ZONA INDUSTRIAL VISTA ALEGRE</t>
  </si>
  <si>
    <t>0037-CDFJ-15-2006</t>
  </si>
  <si>
    <t>PESQUERA 2020 S.A.C</t>
  </si>
  <si>
    <t xml:space="preserve">AV. LA MARINA S/N ZONA INDUSTRIAL </t>
  </si>
  <si>
    <t>C1:20944:DIESEL 2 </t>
  </si>
  <si>
    <t>C1:1878:DIESEL 2 </t>
  </si>
  <si>
    <t>C1:904:PETRÓLEO INDUSTRIAL Nº 500 </t>
  </si>
  <si>
    <t>C1:1885:PETRÓLEO INDUSTRIAL Nº 500 </t>
  </si>
  <si>
    <t>C1:47350:PETRÓLEO INDUSTRIAL Nº 500 </t>
  </si>
  <si>
    <t>ZARATE RIVAS, DANIEL ALFONSO</t>
  </si>
  <si>
    <t>0005-CDFJ-14-2005</t>
  </si>
  <si>
    <t>EMPRESA AGROINDUSTRIAL TUMAN S.A.A.</t>
  </si>
  <si>
    <t>AV. EL TRABAJO CASA COOP. S/N TUMAN</t>
  </si>
  <si>
    <t>PICSI</t>
  </si>
  <si>
    <t>C1:5395:DIESEL 2 </t>
  </si>
  <si>
    <t>C1:3920:GASOLINA 84 </t>
  </si>
  <si>
    <t>SALAZAR ROJAS, SILVIA DEL CARMEN</t>
  </si>
  <si>
    <t>87504-051-2010</t>
  </si>
  <si>
    <t>HOSPITAL DE ALTA COMPLEJIDAD DE ICA - ESSALUD</t>
  </si>
  <si>
    <t>AV. JOSE MATIAS MANZANILLA S/N</t>
  </si>
  <si>
    <t>JOSE LUIS ARBULU GAVILANO</t>
  </si>
  <si>
    <t>SOCIEDAD OBRERA DE TRANSPORTE PRIMERO DE MAYO S.A.</t>
  </si>
  <si>
    <t>CRUCE DE AV. SANTA ROSA Y CALLE LOS SAUCES</t>
  </si>
  <si>
    <t>RAMIREZ ROSALES, ANDRES</t>
  </si>
  <si>
    <t>0016-CDFJ-04-2004</t>
  </si>
  <si>
    <t>KERO PRODUCTOS PERUANOS DE EXPORTACIÓN S.A.</t>
  </si>
  <si>
    <t>CALLE CAYETANO ARENAS N° 143 - PARQUE INDUSTRIAL</t>
  </si>
  <si>
    <t>C1:1240:DIESEL 2 </t>
  </si>
  <si>
    <t>C1:2212:DIESEL 2 </t>
  </si>
  <si>
    <t>CUTIPA -, HERBERT</t>
  </si>
  <si>
    <t>0006-CDFJ-04-2005</t>
  </si>
  <si>
    <t>ASOCIACION DE TRANSPORTISTAS PAMPAS NUEVAS</t>
  </si>
  <si>
    <t>VICTOR ANDRES BELAUNDE S/N</t>
  </si>
  <si>
    <t>EMP.TRA.SERV. GRALES.Y CON.V. DEL SUR S.A.</t>
  </si>
  <si>
    <t>ANTIGUA PANAMERICANA SUR KM. 18 MZ. D LT. 8 URB. LA CONCORDIA</t>
  </si>
  <si>
    <t>VARGAS VILLACORTA, HIPOLITO</t>
  </si>
  <si>
    <t>45572-051-111016</t>
  </si>
  <si>
    <t>INVERSIONES ESTRELLA DE DAVID S.A.C</t>
  </si>
  <si>
    <t>MZ.I LOTE 2-7 ZONA INDUSTRIAL VILLA MARIA</t>
  </si>
  <si>
    <t>C1:5375:PETRÓLEOS INDUSTRIALES </t>
  </si>
  <si>
    <t>INFANTES GONZALES, MARIANO ROGER</t>
  </si>
  <si>
    <t>0023-CDFJ-15-2001</t>
  </si>
  <si>
    <t>LAS PRADERAS DE LURIN MZ. I, LTS. 1, 2, 3, 4, 14, 15, 16</t>
  </si>
  <si>
    <t>MITMA OLIVOS, PEDRO RAYMUNDO FELIPE</t>
  </si>
  <si>
    <t>0024-CDFJ-15-2001</t>
  </si>
  <si>
    <t>EX FUNDO LA HUACA LOTE 39</t>
  </si>
  <si>
    <t>C1:4600:PETRÓLEO INDUSTRIAL Nº 5 </t>
  </si>
  <si>
    <t>144309-051-040619</t>
  </si>
  <si>
    <t>CANTERA YERBABUENA S/N</t>
  </si>
  <si>
    <t>0003-CDFJ-02-2000</t>
  </si>
  <si>
    <t>RECURSOS DEL MAR S.A.C.</t>
  </si>
  <si>
    <t>HUAMANCHACATE S/N.</t>
  </si>
  <si>
    <t>C1:590:DIESEL 2 </t>
  </si>
  <si>
    <t>COSTAS MOYA, LUIS GUILLERMO</t>
  </si>
  <si>
    <t>123044-051-070518</t>
  </si>
  <si>
    <t>EMPRESA DE GENERACION HUALLAGA SOCIEDAD ANONIMA</t>
  </si>
  <si>
    <t>CAMINO DE ACCESO A CH. CHAGLLA A LA ALT. DE LA SUBESTACION DE LA CASA DE MAQUINAS</t>
  </si>
  <si>
    <t>SAN PABLO DE PILLAO</t>
  </si>
  <si>
    <t>ERLON ARFELLI</t>
  </si>
  <si>
    <t>91232-051-091018</t>
  </si>
  <si>
    <t>MINERA LA ZANJA S.R.L.</t>
  </si>
  <si>
    <t>UNIDAD MINERA LA ZANJA - CASERIO LA ZANJA</t>
  </si>
  <si>
    <t>SANTA CRUZ</t>
  </si>
  <si>
    <t>PULAN</t>
  </si>
  <si>
    <t xml:space="preserve">DANIEL DOMINGUEZ VERA </t>
  </si>
  <si>
    <t>62260-051-141118</t>
  </si>
  <si>
    <t>CORPORACION PERUANA DE COMERCIO Y SERVICIOS S.A.C</t>
  </si>
  <si>
    <t>AV. ALFONSO UGARTE S/N MZ. J LOTE 1 SANTA CLARA</t>
  </si>
  <si>
    <t>0010-CDFJ-15-2006</t>
  </si>
  <si>
    <t>TEXTILES SAN SEBASTIAN S.A.C.</t>
  </si>
  <si>
    <t>AV MANUEL VALLE MZ A, LT 4</t>
  </si>
  <si>
    <t>C1:150:PETRÓLEO INDUSTRIAL Nº 6 </t>
  </si>
  <si>
    <t>TANG CHEA, LUIS JAVIER</t>
  </si>
  <si>
    <t>115162-051-310116</t>
  </si>
  <si>
    <t>TECNOLÓGICA DE ALIMENTOS S.A.</t>
  </si>
  <si>
    <t>CARRETERA PANAMERICANA SUR KM. 61</t>
  </si>
  <si>
    <t>HORTENCIA REBECA ROZAS OLIVERA</t>
  </si>
  <si>
    <t>0044-CDFJ-15-2005</t>
  </si>
  <si>
    <t>HOTELES SHERATON DEL PERU S.A.</t>
  </si>
  <si>
    <t>AV. PASEO DE LA REPUBLICA Nº 170</t>
  </si>
  <si>
    <t>E. GOMEZ, LUIS</t>
  </si>
  <si>
    <t>0008-CDFJ-02-2007</t>
  </si>
  <si>
    <t xml:space="preserve">PESQUERA NATALIA SAC </t>
  </si>
  <si>
    <t xml:space="preserve">ALT. KM. 441 PANAMERICA NA NORTE </t>
  </si>
  <si>
    <t>C1:2650:PETRÓLEO INDUSTRIAL Nº 500 </t>
  </si>
  <si>
    <t>C1:29600:DIESEL 2 </t>
  </si>
  <si>
    <t>C1:3650:PETRÓLEO INDUSTRIAL Nº 500 </t>
  </si>
  <si>
    <t>C1:18500:DIESEL 2 </t>
  </si>
  <si>
    <t>C1:98000:PETRÓLEO INDUSTRIAL Nº 500 </t>
  </si>
  <si>
    <t>LARA SALAZAR, IGNACIO ELOY</t>
  </si>
  <si>
    <t>62784-051-061017</t>
  </si>
  <si>
    <t>NEGOCIACION MADERERA TRAVI SATIPO S.R.L.</t>
  </si>
  <si>
    <t>CARRETERA MARGINAL A MAZAMARI N° 398</t>
  </si>
  <si>
    <t>C1:4962:Diesel B5 S-50 </t>
  </si>
  <si>
    <t>C1:4958:Diesel B5 S-50 </t>
  </si>
  <si>
    <t>C1:6242:Diesel B5 S-50 </t>
  </si>
  <si>
    <t>FERNANDO AUGUSTO TRAVI FRECH</t>
  </si>
  <si>
    <t>0053-CDFJ-15-2005</t>
  </si>
  <si>
    <t>INSTITUTO PERUANO DE ENERGIA NUCLEAR (IPEN)</t>
  </si>
  <si>
    <t>CARRETERA PANAMERICANA NORTE KM 31, AV. JOSE SACO KM13, HUARANGAL</t>
  </si>
  <si>
    <t>C1:6000:GASOLINA 90 </t>
  </si>
  <si>
    <t>LOPEZ AURELIO, ARBILDO</t>
  </si>
  <si>
    <t>0057-CDFJ-15-2001</t>
  </si>
  <si>
    <t>EMPRESA VIRGEN DE FATIMA S.A.</t>
  </si>
  <si>
    <t>AV. LAS TORRES S/N., EXFUNDO CHUQUITANTA, PARCELA 26</t>
  </si>
  <si>
    <t>HIGIDIO JACAY, NEVA</t>
  </si>
  <si>
    <t>0002-CDFJ-02-2008</t>
  </si>
  <si>
    <t>CONSORCIOS ESPECIALES S.A.C.</t>
  </si>
  <si>
    <t>ZONA INDUSTRIAL LOS PINOS ZONA I MZ. A LT. 10-11</t>
  </si>
  <si>
    <t>BEJARANO BURGOS, FRANCISCO</t>
  </si>
  <si>
    <t>0005-CDFJ-15-2003</t>
  </si>
  <si>
    <t>EMPRESA DE TRANSPORTES Y SERVICIOS MULTIPLES SATELITE S.A.</t>
  </si>
  <si>
    <t>JR. MANOA 391 BREÑA</t>
  </si>
  <si>
    <t>RAMIREZ GARCIA, LUIS EDGARDO LEONARDO</t>
  </si>
  <si>
    <t>94099-051-150719</t>
  </si>
  <si>
    <t>EMPRESA DE TRANSPORTES GOCARIVE19 S.A.</t>
  </si>
  <si>
    <t>MZ. C LOTE 9 URB. LA RONCADORA SANTA CLARA</t>
  </si>
  <si>
    <t>C1:3660:Diesel B5 S-50 </t>
  </si>
  <si>
    <t>FABIAN VERDE ESPINOZA</t>
  </si>
  <si>
    <t>0029-CDFJ-15-2002</t>
  </si>
  <si>
    <t>AV. INDUSTRIAL N° 690 - BAHIA CARQUIN</t>
  </si>
  <si>
    <t>C1:38000:DIESEL 2 </t>
  </si>
  <si>
    <t>C1:18812:DIESEL 2 </t>
  </si>
  <si>
    <t>C1:9709:PETRÓLEO INDUSTRIAL Nº 500 </t>
  </si>
  <si>
    <t>C1:10099:PETRÓLEO INDUSTRIAL Nº 500 </t>
  </si>
  <si>
    <t>C1:15320:PETRÓLEO INDUSTRIAL Nº 500 </t>
  </si>
  <si>
    <t>C1:79139:PETRÓLEO INDUSTRIAL Nº 500 </t>
  </si>
  <si>
    <t>C1:14812:PETRÓLEO INDUSTRIAL Nº 500 </t>
  </si>
  <si>
    <t>C1:15511:DIESEL 2 </t>
  </si>
  <si>
    <t>92483-051-040518</t>
  </si>
  <si>
    <t>INVERSIONES FREDY E.I.R.L</t>
  </si>
  <si>
    <t>CABECERA CAYCHIVE 2000-A S/N COMUNIDAD SANTA INES CODIGO: 010060293A</t>
  </si>
  <si>
    <t>C1:4350:Diesel B5 S-50 </t>
  </si>
  <si>
    <t xml:space="preserve">JESUS MANUEL YANARICO OROCHE </t>
  </si>
  <si>
    <t>0027-CDFJ-15-2006</t>
  </si>
  <si>
    <t>PROGRESO PERU S.A.C.</t>
  </si>
  <si>
    <t>AV. COLECTORA INDUSTRIAL N° 138</t>
  </si>
  <si>
    <t>C1:32154:PETRÓLEO INDUSTRIAL Nº 6 </t>
  </si>
  <si>
    <t>PERAMAS DIAZ, ENRIQUE ARMANDO</t>
  </si>
  <si>
    <t>0030-CDFJ-15-2006</t>
  </si>
  <si>
    <t>INVERSIONES PURITA CALIDAD S.R.L.</t>
  </si>
  <si>
    <t xml:space="preserve">AV. 15 DE JULIO LT.36 ZN. J HUAYCAN </t>
  </si>
  <si>
    <t>PURIS HUARANGA, NIERE ALFREDO</t>
  </si>
  <si>
    <t>45511-051-2010</t>
  </si>
  <si>
    <t>ENRIQUE CASSINELLI E HIJOS S.A.C.</t>
  </si>
  <si>
    <t>CARRETERA PANAMERICANA NORTE KM. 557 + 260 - FUNDO LARREA</t>
  </si>
  <si>
    <t>C1:270:DIESEL B2 </t>
  </si>
  <si>
    <t>FERNANDO HERNAN RAMIREZ LUJAN</t>
  </si>
  <si>
    <t>135794-051-260418</t>
  </si>
  <si>
    <t>CONSTRUCCIÓN Y ADMINISTRACIÓN S.A.</t>
  </si>
  <si>
    <t>PARAJE “LA QUEBRADA” - UCHUMAYO - PANAMERICANA SUR S/N, (UTM 19 K 2128338178445)</t>
  </si>
  <si>
    <t>MIGUEL ANGEL BAZAN MELGAREJO</t>
  </si>
  <si>
    <t>0001-CDFJ-18-2010</t>
  </si>
  <si>
    <t>PATIO SIMON UNIDAD DE PRODUCCION DE ILO</t>
  </si>
  <si>
    <t>C1:59800:DIESEL B2 </t>
  </si>
  <si>
    <t>167-051-150714</t>
  </si>
  <si>
    <t xml:space="preserve">VITAPRO S.A. </t>
  </si>
  <si>
    <t>AV. PROLONG. GONZALES PRADA N° 200, SECTOR EX-FUNDO LARREA</t>
  </si>
  <si>
    <t>C1:6900:PETRÓLEO INDUSTRIAL Nº 6 </t>
  </si>
  <si>
    <t>MARTIN ROLANDO CARRION LAVALLE</t>
  </si>
  <si>
    <t>82303-051-111012</t>
  </si>
  <si>
    <t>EMPRESA DE TRANSPORTES Y SERVICIOS MULTIPLES CABALLITO DE TOTORA S.A</t>
  </si>
  <si>
    <t>PREDIO BAKIA MZ. F LOTES 11 AL 22 URB. VILLA DE CONTADORES</t>
  </si>
  <si>
    <t>JULIO ANTONIO ROJAS RAMIREZ</t>
  </si>
  <si>
    <t>0002-CDFJ-18-2010</t>
  </si>
  <si>
    <t xml:space="preserve">SOUTHERN PERU COPPER CORPORATION </t>
  </si>
  <si>
    <t>CASA DE BOMBAS - LADO CUAJONE, LAGUNA DE SUCHES</t>
  </si>
  <si>
    <t>0003-CDFJ-13-2000</t>
  </si>
  <si>
    <t>SOCIEDAD CONSERVERA DEL NORTE S.A.</t>
  </si>
  <si>
    <t>AV. TUPAC AMARU Nº 802</t>
  </si>
  <si>
    <t>C1:3870:PETRÓLEO INDUSTRIAL Nº 6 </t>
  </si>
  <si>
    <t>C1:1530:PETRÓLEO INDUSTRIAL Nº 6 </t>
  </si>
  <si>
    <t>GONZALES ORBEGOSO MARTINTO, MANUEL</t>
  </si>
  <si>
    <t>0014-CDFJ-15-2009</t>
  </si>
  <si>
    <t>EMPRESA DE TRANSPORTES MIRAFLORES MONTERRICO S.A.</t>
  </si>
  <si>
    <t>CALLE 2. MZ C. LOTES 4.5.6.7.12.13.14 Y 15. ASOCIACION DE VIVIENDA VIRGEN DE CHAUTE</t>
  </si>
  <si>
    <t>VILLAVICENCIO SARMIENTO, MIGUEL ANGEL</t>
  </si>
  <si>
    <t>16495-051-021113</t>
  </si>
  <si>
    <t>COMPAÑIA DE EMPRENDIMIENTOS INKA S.A.C.</t>
  </si>
  <si>
    <t>CALLE RUINA Nº 493</t>
  </si>
  <si>
    <t>DARIO TRISTAN ELORRIETA</t>
  </si>
  <si>
    <t>0008-CDFJ-15-2003</t>
  </si>
  <si>
    <t>TINTESA S.A.</t>
  </si>
  <si>
    <t>AV. MAQUINARIAS N° 2185, LIMA</t>
  </si>
  <si>
    <t>GONZALES HENRIQUEZ, CARLOS ALEJANDRO</t>
  </si>
  <si>
    <t>38009-052-040417</t>
  </si>
  <si>
    <t>AV. PLAYA LADO NORTE S/N, SUB LOTE B, ZONA INDUSTRIAL C.P. PUERTO MALABRIGO</t>
  </si>
  <si>
    <t>C1:177907:DIESEL B5,Diesel B5 S-50 </t>
  </si>
  <si>
    <t>C1:177907:PETRÓLEO INDUSTRIAL Nº 6 </t>
  </si>
  <si>
    <t>C1:3078:PETRÓLEO INDUSTRIAL Nº 6 </t>
  </si>
  <si>
    <t>C1:3078:DIESEL B5,Diesel B5 S-50 </t>
  </si>
  <si>
    <t>149535-051-190320</t>
  </si>
  <si>
    <t>HOSPITAL DE EMERGENCIAS VILLA EL SALVADOR</t>
  </si>
  <si>
    <t>CRUCE DE AVENIDAS MARIANO PASTOR SEVILLA Y 200 MILLAS</t>
  </si>
  <si>
    <t>CARLOS IVAN LEON GOMEZ</t>
  </si>
  <si>
    <t>43206-051-300313</t>
  </si>
  <si>
    <t>EMPRESA DE TRANSPORTES Y SERVICIOS EL RAPIDO S.A.</t>
  </si>
  <si>
    <t>CALLE CHUQUITANTA – LOTES 24 ACCION A (U.C. 10385) Y LOTE 25 (U.C. 10384) DEL LOTE A-01</t>
  </si>
  <si>
    <t>HECTOR JESUS LOPEZ PACHECO</t>
  </si>
  <si>
    <t>88364-051-2010</t>
  </si>
  <si>
    <t>EMPRESA DE TRANSPORTE TURISMO E INVERSIONES SEÑOR DE LA SOLEDAD S.A.</t>
  </si>
  <si>
    <t>ASOCIACION DE PRODUCTORES INDUSTRIALES PECUARIOS DE ANCON, MZ. V, LOTES 2 - 3</t>
  </si>
  <si>
    <t>C1:6500:Diesel B2 S-50 </t>
  </si>
  <si>
    <t>GREGORIO EDGAR ALVARADO OYOLA</t>
  </si>
  <si>
    <t>0001-CDFJ-08-2005</t>
  </si>
  <si>
    <t xml:space="preserve">SEGURIDAD SOCIAL DE SALUD ESSALUD </t>
  </si>
  <si>
    <t xml:space="preserve">AV. ANSELMO ALVAREZ S/N </t>
  </si>
  <si>
    <t>364-112-221013</t>
  </si>
  <si>
    <t>REACTIVOS NACIONALES S.A.</t>
  </si>
  <si>
    <t>AV. NESTOR GAMBETTA N° 6448</t>
  </si>
  <si>
    <t>C1:1034:Diesel B5 S-50 </t>
  </si>
  <si>
    <t>C1:15000:SOLVENTE 1 </t>
  </si>
  <si>
    <t>BRAVO MONZON, LUIS ENRIQUE</t>
  </si>
  <si>
    <t>18759-051-2010</t>
  </si>
  <si>
    <t>JR. CAJAMARCA N° 371</t>
  </si>
  <si>
    <t>C1:55:null </t>
  </si>
  <si>
    <t>LUCIO AGUSTIN COLLAZOS OLAZO</t>
  </si>
  <si>
    <t>1171-051-160720</t>
  </si>
  <si>
    <t>CBC PERUANA S.A.C.</t>
  </si>
  <si>
    <t>KM. 6.8 CIENEGUILLO CARRETERA SULLANA - TAMBOGRANDE</t>
  </si>
  <si>
    <t>MIREYA GUADALUPE GALARZA PORRAS</t>
  </si>
  <si>
    <t>PRODUCTOS QUIMICOS INDUSTRIALES S.A. PROQUINSA</t>
  </si>
  <si>
    <t>AV. EL SANTUARIO NO 1239 ZARATE</t>
  </si>
  <si>
    <t>ALECCHI CIAMARRA, SANTIAGO BRUNO</t>
  </si>
  <si>
    <t>148837-051-240120</t>
  </si>
  <si>
    <t>EMPRESA DE TRANSPORTES FLORES HNOS S.R.L.</t>
  </si>
  <si>
    <t>AV. SAUCINI MZA. A LOTE N° 02-03, CERCADO</t>
  </si>
  <si>
    <t>RAFAEL RAUL FLORES CHAVEZ</t>
  </si>
  <si>
    <t>141740-051-050319</t>
  </si>
  <si>
    <t>RACIONALIZACION EMPRESARIAL SA</t>
  </si>
  <si>
    <t>CARRETERA JULIACA - PUNO KM. 11, HACIENDA YUNGURA</t>
  </si>
  <si>
    <t xml:space="preserve">GERDER ERNESTO ANDRES RODRIGUEZ RODRIGUEZ </t>
  </si>
  <si>
    <t>0003-CDFJ-11-2003</t>
  </si>
  <si>
    <t>FABRICA DE TEJIDOS PISCO S.A.C.</t>
  </si>
  <si>
    <t>PROLONGACION AV. LAS AMERICAS S/N</t>
  </si>
  <si>
    <t>C1:22000:PETRÓLEO INDUSTRIAL Nº 500 </t>
  </si>
  <si>
    <t>PEÑA CALLIRGOS, WILDE</t>
  </si>
  <si>
    <t>AJINOMOTO DEL PERU SA.</t>
  </si>
  <si>
    <t>AV. NESTOR GAMBETA Nº 7003 KM. 8</t>
  </si>
  <si>
    <t>SHIBUYA MIYONO, JORGE</t>
  </si>
  <si>
    <t>1218-051-051112</t>
  </si>
  <si>
    <t>AUTOPISTA A SALAVERRY KM. 2.5</t>
  </si>
  <si>
    <t>C1:12000:PETRÓLEO INDUSTRIAL Nº 6 </t>
  </si>
  <si>
    <t>138492-051-080918</t>
  </si>
  <si>
    <t>REINALDO CCAHUANA QUISPE</t>
  </si>
  <si>
    <t>CONCESION MINERA UNOS DEL MILENIO CODIGO 070004507</t>
  </si>
  <si>
    <t>C1:9329:Diesel B5 S-50 </t>
  </si>
  <si>
    <t>0063-CDFJ-15-2005</t>
  </si>
  <si>
    <t>MONTANA S.A.</t>
  </si>
  <si>
    <t>GRAL. MIRILLO NO 276 URB. LA CAMPIÑA</t>
  </si>
  <si>
    <t>PACHECO ZERGA, GASTON GILBERTO FELIX</t>
  </si>
  <si>
    <t>AUTORIDAD AUTONOMA DEL PROYECTO ESPECIAL SIST. ELECT. DE TRANS. MASIVO</t>
  </si>
  <si>
    <t>PATIO TALLER DEL TREN ELICTRICO S/N. ZONA IND. V. EL SALVADOR</t>
  </si>
  <si>
    <t>PACAHUALA VELASQUEZ, VICTOR DARIO</t>
  </si>
  <si>
    <t>PERU PIMA S.A.</t>
  </si>
  <si>
    <t>AV. ARGENTINA N° 2747</t>
  </si>
  <si>
    <t>VARON KAPPARI, DANIEL FELIX</t>
  </si>
  <si>
    <t>41531-051-011112</t>
  </si>
  <si>
    <t>EMPRESA DE TRANSPORTES URBANO LINEA 4 S.A.</t>
  </si>
  <si>
    <t>MZ. F, LOTES 3 Y 4 SECTOR CERCADO ANX. 22, PAMPA DE CANTO GRANDE-JICAMARCA</t>
  </si>
  <si>
    <t>C1:4990:Diesel B5 S-50 </t>
  </si>
  <si>
    <t>WILFREDO CRUZ PANEZ</t>
  </si>
  <si>
    <t>0012-CDFJ-13-2005</t>
  </si>
  <si>
    <t>EMPRESA DE TRANSPORTES CESAR VALLEJO S.A.</t>
  </si>
  <si>
    <t>AV. PESQUEDA S/N, MZ O, LOTE 19, URB. POPULAR SANTA SOFÍA</t>
  </si>
  <si>
    <t>VILLANUEVA SALVATIERRA, ANTERO ORLANDO</t>
  </si>
  <si>
    <t>110896-051-030715</t>
  </si>
  <si>
    <t>YESO CERAMICO S.A.</t>
  </si>
  <si>
    <t>JR. SANTA ANGELICA Nª 269 URB. SANTA LUISA</t>
  </si>
  <si>
    <t>C1:1286:PETRÓLEO INDUSTRIAL Nº 500 </t>
  </si>
  <si>
    <t>PEDRO ERNESTO LA ROSA AMBROSSIANI</t>
  </si>
  <si>
    <t>146638-051-240919</t>
  </si>
  <si>
    <t>ASOCIACION DEPORTIVA DE ESQUI ACUATICO LACUS</t>
  </si>
  <si>
    <t>PREDIO RUSTICO SALITRE Y BUJAMA, UNIDADES CATASTRALES NRO. 12184, 12185 Y 12186, CON FRENTE AL LADO ESTE DE LA AUTOPISTA CARRETERA LIMA - CAÑETE KM. 8</t>
  </si>
  <si>
    <t>C1:1626:GASOHOL 90 PLUS </t>
  </si>
  <si>
    <t>JUAN FRANCISCO HELGUERO VINGERHOETS</t>
  </si>
  <si>
    <t>CUSTER'S SPORT WEAR S.A</t>
  </si>
  <si>
    <t>CALLE AA MZ. Ñ LT. 2 URB. CAMPOY</t>
  </si>
  <si>
    <t>RABANAL TORRES, MAURICIO</t>
  </si>
  <si>
    <t>136466-051-040618</t>
  </si>
  <si>
    <t xml:space="preserve">EMPRESA DE GENERACION HUANZA S.A. </t>
  </si>
  <si>
    <t>CENTRAL HIDROELECTRICA HUANZA</t>
  </si>
  <si>
    <t>HUANZA</t>
  </si>
  <si>
    <t>C1:1850:Diesel B5 S-50 </t>
  </si>
  <si>
    <t>REYNEL ASPILCUETA</t>
  </si>
  <si>
    <t>120971-051-090320</t>
  </si>
  <si>
    <t>ALLINBUS S.A.C.</t>
  </si>
  <si>
    <t>JR. LOS GERANIOS N° 184, URB. VALDIVIEZO</t>
  </si>
  <si>
    <t>DAVID ISRAEL GARRO ROMERO</t>
  </si>
  <si>
    <t>87-051-010917</t>
  </si>
  <si>
    <t>SOCIEDAD MINERA CORONA S.A.</t>
  </si>
  <si>
    <t>CARRETERA CHUMPE S/N CENTRO MINERO DE YAURICOCHA</t>
  </si>
  <si>
    <t>ALIS</t>
  </si>
  <si>
    <t>C1:3384:Diesel B5 S-50 </t>
  </si>
  <si>
    <t>C1:1127:Diesel B5 S-50 </t>
  </si>
  <si>
    <t>C1:2230:Diesel B5 S-50 </t>
  </si>
  <si>
    <t>C1:3064:Diesel B5 S-50 </t>
  </si>
  <si>
    <t>C1:4354:Diesel B5 S-50 </t>
  </si>
  <si>
    <t>C1:1643:Diesel B5 S-50 </t>
  </si>
  <si>
    <t>C1:1457:Diesel B5 S-50 </t>
  </si>
  <si>
    <t>C1:2042:Diesel B5 S-50 </t>
  </si>
  <si>
    <t>DANIEL CARLOS VILLANUEVA ORTIZ</t>
  </si>
  <si>
    <t>142781-051-300419</t>
  </si>
  <si>
    <t>INVERSIONES Y REPRESENTACIONES CAROLINA SOCIEDAD ANONIMA CERRADA</t>
  </si>
  <si>
    <t xml:space="preserve">VIA PROYECTO PUNCHAUCA TUPAC AMARU KM. 24.5 PARCELA 149 VALLE CHILLON U.C. 10412 </t>
  </si>
  <si>
    <t>FELIPE TEODORO ESPINOZA CARHUALLANQUI</t>
  </si>
  <si>
    <t>94786-051-021211</t>
  </si>
  <si>
    <t xml:space="preserve">CALLE TACNA N° 560 MZ. 4C, LOTES 01 Y 02 PUEBLO JOVEN SAN FRANCISCO </t>
  </si>
  <si>
    <t>C1:2880:Diesel B5 S-50 </t>
  </si>
  <si>
    <t>LUIS ANTONIO RETAMOZO MOREANO</t>
  </si>
  <si>
    <t>1365-052-080916</t>
  </si>
  <si>
    <t>CASA GRANDE S.A.A.</t>
  </si>
  <si>
    <t>AV. PARQUE FABRICA S/N</t>
  </si>
  <si>
    <t>CASA GRANDE</t>
  </si>
  <si>
    <t>C1:8000:GASOHOL 84 PLUS </t>
  </si>
  <si>
    <t>C1:507936:PETRÓLEO INDUSTRIAL Nº 6 </t>
  </si>
  <si>
    <t>C1:78451:DIESEL B5,Diesel B5 S-50 </t>
  </si>
  <si>
    <t>C1:13209:GASOHOL 84 PLUS </t>
  </si>
  <si>
    <t>JOHNY ROCIO AQUIZE DIAZ</t>
  </si>
  <si>
    <t>0008-CDFJ-04-2001</t>
  </si>
  <si>
    <t>SECTOR INDUSTRIAL MAJES MZ. E, LOTES 10,11 Y 12</t>
  </si>
  <si>
    <t>C1:7000:PETRÓLEO INDUSTRIAL Nº 500,PETRÓLEO INDUSTRIAL Nº 6 </t>
  </si>
  <si>
    <t>C1:8000:PETRÓLEO INDUSTRIAL Nº 500,PETRÓLEO INDUSTRIAL Nº 6 </t>
  </si>
  <si>
    <t>PEREZ WICHT SAN ROMAN, MAURICIO JOSE</t>
  </si>
  <si>
    <t>0008-CDFJ-04-2008</t>
  </si>
  <si>
    <t>ESSALUD - HOSPITAL II MANUEL DE TORRES MUÑOZ</t>
  </si>
  <si>
    <t>JUAN B. ARENAS S/N</t>
  </si>
  <si>
    <t>C1:1600:DIESEL 2 </t>
  </si>
  <si>
    <t>QUIROZ ZEVALLOS, EDUARDO SANTIAGO</t>
  </si>
  <si>
    <t>101002-051-090313</t>
  </si>
  <si>
    <t>CR SERVICE E.I.R.L.</t>
  </si>
  <si>
    <t>LOTE 2, MZA. D, URBANIZACION SEMIRUSTICA PRADERAS DE LURIN</t>
  </si>
  <si>
    <t>CARLOS ALBERTO ROSAS BALLINAS</t>
  </si>
  <si>
    <t>0076-CDFJ-15-2005</t>
  </si>
  <si>
    <t>AV. LOS CISNES MZ. E-2, LOTE 18, URB. EL CLUB</t>
  </si>
  <si>
    <t>C1:2750:DIESEL 2 </t>
  </si>
  <si>
    <t>491-052-060916</t>
  </si>
  <si>
    <t>CARTAVIO S.A.A.</t>
  </si>
  <si>
    <t>PLAZA LA CONCORDIA N° 18 CENTRO POBLADO CARTAVIO</t>
  </si>
  <si>
    <t>C1:12036:DIESEL B5,Diesel B5 S-50 </t>
  </si>
  <si>
    <t>C1:43475:PETRÓLEO INDUSTRIAL Nº 6 </t>
  </si>
  <si>
    <t>C1:211514:PETRÓLEO INDUSTRIAL Nº 6 </t>
  </si>
  <si>
    <t>C1:2000:SIN PRODUCTO </t>
  </si>
  <si>
    <t>SILVANA SALETE VARAS RABANAL</t>
  </si>
  <si>
    <t>ADOLFO E IGNASIO MOREY S.A.</t>
  </si>
  <si>
    <t>CALLE REQUENA N° 336</t>
  </si>
  <si>
    <t>MOREY AREVALO, ADOLFO YGNACIO</t>
  </si>
  <si>
    <t>98328-051-161012</t>
  </si>
  <si>
    <t>CONSORCIO CONSTRUCTOR ALTO CAYMA</t>
  </si>
  <si>
    <t>AV CHARCANI S/N ZONA DE CABRERIAS, ALTO CAYMA</t>
  </si>
  <si>
    <t>C1:5900:Diesel B5 S-50 </t>
  </si>
  <si>
    <t>CARLOS ANDREO BENAMON</t>
  </si>
  <si>
    <t>0025-CDFJ-15-2008</t>
  </si>
  <si>
    <t>COOPERATIVA AGRARIA AZUCARERA ANDAHUASI S.A.A-</t>
  </si>
  <si>
    <t>CARRETERA HUAURA-SAYAN KM. 41.5</t>
  </si>
  <si>
    <t>SAYAN</t>
  </si>
  <si>
    <t>C1:4200:GASOLINA 84 </t>
  </si>
  <si>
    <t>NUÑEZ CAMARA, EDUARDO JESUS</t>
  </si>
  <si>
    <t>0013-CDFJ-15-2002</t>
  </si>
  <si>
    <t>POLICIA NACIONAL DEL PERU - PNP</t>
  </si>
  <si>
    <t>A NIVEL NACIONAL</t>
  </si>
  <si>
    <t>C1:5000:GASOLINA 95 </t>
  </si>
  <si>
    <t>ERNAU ROJAS, VICTOR HUGO</t>
  </si>
  <si>
    <t>0002-CDFJ-04-2007</t>
  </si>
  <si>
    <t>CONSORCIO PERU MURCIA SAC</t>
  </si>
  <si>
    <t>ASOCIACION 1ERO DE MAYO - CODIGO PREDIAL 00925 ALTURA KM.931 CARRETERA PANAMERICANA SUR</t>
  </si>
  <si>
    <t>LOZADA GARCIA, CARLOS ENRIQUE</t>
  </si>
  <si>
    <t>109353-051-160614</t>
  </si>
  <si>
    <t xml:space="preserve">INDUSTRIAS ARGUELLES Y SERVICIOS GENERALES S.A.C. </t>
  </si>
  <si>
    <t xml:space="preserve">AV. CHACRA CERRO S/N </t>
  </si>
  <si>
    <t>KAREN MARIANELLA PASCO FLORES</t>
  </si>
  <si>
    <t>0006-CDFJ-04-2003</t>
  </si>
  <si>
    <t>MUNICIPALIDAD PROVINCIAL DE CONDESUYOS CHUQUIBAMBA</t>
  </si>
  <si>
    <t>CALLE ACEQUIA ALTA S/N</t>
  </si>
  <si>
    <t>LAZO MANRIQUE, GUILLERMO VICTOR</t>
  </si>
  <si>
    <t>0002-CDFJ-06-2002</t>
  </si>
  <si>
    <t>NESTLE PERU S.A.</t>
  </si>
  <si>
    <t>JR PACHACUTEC N° 113</t>
  </si>
  <si>
    <t>C1:20000:PETRÓLEO INDUSTRIAL Nº 500 </t>
  </si>
  <si>
    <t>C1:800:PETRÓLEO INDUSTRIAL Nº 500 </t>
  </si>
  <si>
    <t>IBERICO MAS, ALFREDO</t>
  </si>
  <si>
    <t>965-051-010611</t>
  </si>
  <si>
    <t>PESQUERA RIBAUDO S.A.C.</t>
  </si>
  <si>
    <t>PANAMERICANA NORTE KM 438, SECTOR LA PRIMAVERA, PARCELA 229</t>
  </si>
  <si>
    <t>C1:4600:PETRÓLEO INDUSTRIAL Nº 500 </t>
  </si>
  <si>
    <t>C1:13563:DIESEL B5 </t>
  </si>
  <si>
    <t>ARMANDO COTRINA CHAVEZ</t>
  </si>
  <si>
    <t>0006-CDFJ-15-2003</t>
  </si>
  <si>
    <t>UNIÓN DE CONCRETERAS S.A.</t>
  </si>
  <si>
    <t>QUEBRADA HUAYCOLORO, SARACOTO ALTO, CARRET. CAJAMARQUILLA KM 6</t>
  </si>
  <si>
    <t>0007-CDFJ-02-2002</t>
  </si>
  <si>
    <t>AGROMERK S.A.</t>
  </si>
  <si>
    <t>LA CAMPIÑA KM 4 1/2</t>
  </si>
  <si>
    <t>C1:860:PETRÓLEOS INDUSTRIALES </t>
  </si>
  <si>
    <t>C1:1540:PETRÓLEOS INDUSTRIALES </t>
  </si>
  <si>
    <t>C1:540:PETRÓLEOS INDUSTRIALES </t>
  </si>
  <si>
    <t>POBLETE BRESCIA, ALFONSO PEDRO RAFAEL</t>
  </si>
  <si>
    <t>0001-CDFJ-16-2001</t>
  </si>
  <si>
    <t>J.F. INVERSIONES Y SERVICIOS S.A.C.</t>
  </si>
  <si>
    <t>CARRETERA YURIMAGUAS - TARAPOTO KM. 2,5</t>
  </si>
  <si>
    <t>101976-051-170613</t>
  </si>
  <si>
    <t xml:space="preserve">COMPAÑIA MINERA ARGENTUM S.A. </t>
  </si>
  <si>
    <t xml:space="preserve">CARRETERA CENTRAL KM. 140 UNIDAD MINERA MOROCOCHA- CALLE MOROCOCHA ANTIGUA </t>
  </si>
  <si>
    <t>C1:38000:DIESEL B5 </t>
  </si>
  <si>
    <t>122013-051-061019</t>
  </si>
  <si>
    <t>ODEBRECHT PERU OPERACIONES Y SERVICIOS S.A.C.</t>
  </si>
  <si>
    <t>KM. 468+300 CARRETERA INTEROCEANICA SUR - CAMPAMENTO PLANCHON</t>
  </si>
  <si>
    <t>C1:10093:Diesel B5 S-50 </t>
  </si>
  <si>
    <t>C1:9901:Diesel B5 S-50 </t>
  </si>
  <si>
    <t>WILBER RAPHAEL EDMUNDO CARPIO PACHECO</t>
  </si>
  <si>
    <t>0016-CDFJ-15-2009</t>
  </si>
  <si>
    <t>EMPRESA DE TRANSPORTES LAS FLORES S.A</t>
  </si>
  <si>
    <t>MZ DD2. LOTES 01.02.03 Y 04. SECTOR EL PALOMAR. CENTRO POBLADO ANEXO 22. PAMPA CANTO GRANDE. COMUNIDAD CAMPESINA DE JICAMARCA</t>
  </si>
  <si>
    <t>C1:3698:DIESEL B2 </t>
  </si>
  <si>
    <t>PORRAS VERASTEGUI, JAIME SAUL</t>
  </si>
  <si>
    <t>95624-051-080212</t>
  </si>
  <si>
    <t>EQUIDRILL S.A.C</t>
  </si>
  <si>
    <t>PARAJE PAMPA LARCO-CAMPAMENTO DE EQUIDRIL S.A.C. INTERIOR DE LA MINA DE LA COMPAÑIA AURIFERA SANTA ROSA S.A.</t>
  </si>
  <si>
    <t>LUIS ENRIQUE MARTINEZ RODRIGUEZ</t>
  </si>
  <si>
    <t>142610-051-170419</t>
  </si>
  <si>
    <t xml:space="preserve">AGRICOLA LA VENTA S.A. </t>
  </si>
  <si>
    <t>CARRETERA PANAMERICANA NORTE KM 310</t>
  </si>
  <si>
    <t>CULEBRAS</t>
  </si>
  <si>
    <t>FRANCISCO JAVIER DE LOS RIOS BAERTL</t>
  </si>
  <si>
    <t>0004-CDFJ-15-2009</t>
  </si>
  <si>
    <t>EMP. DE TRANS. Y SERV. EN GENERAL MAURA DE HUAMAN E HIJOS S.A - EUFEMIA HUAMAN ARTEAGA</t>
  </si>
  <si>
    <t>MZ B.LT.11y 12 -URB.LOS CLAVELES-POMATICIA</t>
  </si>
  <si>
    <t>HUAMAN ARTEAGA, EUFEMIA</t>
  </si>
  <si>
    <t>0002-CDFJ-20-2007</t>
  </si>
  <si>
    <t>SOCIEDAD AGRICOLA SATURNO S.A.</t>
  </si>
  <si>
    <t>KM. 13 CARRETERA CHULUCANAS A TAMBOGRANDE</t>
  </si>
  <si>
    <t>BARCLAY REY, DE CASTRO, PAUL</t>
  </si>
  <si>
    <t>0021-CDFJ-15-2008</t>
  </si>
  <si>
    <t>EMPRESA DE TRANSPORTES IKARUS S.A</t>
  </si>
  <si>
    <t>AV. EL SANTUARIO 1439 - 1451 - 1458 URB. ZARATE</t>
  </si>
  <si>
    <t>RAMOS PALACIN, EDSON JAIME</t>
  </si>
  <si>
    <t>141538-051-050319</t>
  </si>
  <si>
    <t>AIS HOSPITAL DANIEL ALCIDES CARRION</t>
  </si>
  <si>
    <t>URBANIZACIÓN SAN JUAN PAMPA DEL SECTOR II YANANCHA ; LOTE N°02; MANZANA P.</t>
  </si>
  <si>
    <t>PATRICIA GLICERIA POMA OSORIO</t>
  </si>
  <si>
    <t>116207-052-310715</t>
  </si>
  <si>
    <t>ZONA DE OPERACIONES DEL PROYECTO MINERO CONSTANCIA</t>
  </si>
  <si>
    <t>C1:103700:Diesel B5 S-50 </t>
  </si>
  <si>
    <t>COMPLEJO QUIMICO PERUANO S.A.</t>
  </si>
  <si>
    <t>AV. REVOLUCION N° 1248 ZONA IND. VENTANILLA</t>
  </si>
  <si>
    <t>BACIGALUPO LIVELLI, ESTEBAN ANGEL</t>
  </si>
  <si>
    <t>0001-CDFJ-03-2006</t>
  </si>
  <si>
    <t>COMUNIDAD CAMPESINA ISCAHUACA</t>
  </si>
  <si>
    <t>AYMARAES</t>
  </si>
  <si>
    <t>COTARUSE</t>
  </si>
  <si>
    <t>91718-051-060411</t>
  </si>
  <si>
    <t>AV. ATOCONGO Nº 2440</t>
  </si>
  <si>
    <t>C1:5033:Diesel B5 S-50 </t>
  </si>
  <si>
    <t>C1:9974:Diesel B5 S-50 </t>
  </si>
  <si>
    <t>DAVID MOISES SANTISTEBAN FERNANDEZ</t>
  </si>
  <si>
    <t>105515-051-041113</t>
  </si>
  <si>
    <t xml:space="preserve">CERAMICA SAN LORENZO S.A.C. </t>
  </si>
  <si>
    <t xml:space="preserve">AV. INDUSTRIAL S/N PRADERAS DE LURIN </t>
  </si>
  <si>
    <t>TULIO ALEJANDRO SILGADO CONSIGLIERI</t>
  </si>
  <si>
    <t>150181-051-220820</t>
  </si>
  <si>
    <t>LOTE URBANO FRENTE AL JR. AEROPUERTO Y JR. TIWINZA, MZ. 16 (CENTRO DE SALUD PICOTA I-4)</t>
  </si>
  <si>
    <t xml:space="preserve">SANCHEZ BERNAL OLGER ARMANDO </t>
  </si>
  <si>
    <t>0001-CDFJ-06-2006</t>
  </si>
  <si>
    <t>TRANSPORTES LINEA S.A</t>
  </si>
  <si>
    <t>AV. SAN MARTIN NRO. 1843</t>
  </si>
  <si>
    <t>C1:4519:DIESEL 2 </t>
  </si>
  <si>
    <t>SALAVERRY MANNUCCI, FERNANDO</t>
  </si>
  <si>
    <t>0006-CDFJ-04-2000</t>
  </si>
  <si>
    <t>FABRICA DE CHOCOLATES LA IBERICA S.A.</t>
  </si>
  <si>
    <t>AV. JUAN VIDAURRAZAGA MENCHACA N° 131 - PARQUE INDUSTRIAL</t>
  </si>
  <si>
    <t>C1:6350:DIESEL 2 </t>
  </si>
  <si>
    <t>VIDAURRAZAGA ZIMMERMANN, JAVIER</t>
  </si>
  <si>
    <t>88996-051-020719</t>
  </si>
  <si>
    <t>SERVICIOS Y REPRESENTACIONES SIGUENZA S.R.L.</t>
  </si>
  <si>
    <t>JIRON SANTA ROSA N° 305 BARRIO ARANJUEZ</t>
  </si>
  <si>
    <t>C1:6638:Diesel B5 S-50 </t>
  </si>
  <si>
    <t>CARLOS ELOY SIGÜENZA ALVAREZ</t>
  </si>
  <si>
    <t>0020-CDFJ-15-2004</t>
  </si>
  <si>
    <t>AV. ALAMEDA MARQUEZ DE LA BULA, MZ.N1, LT 04 URB. HUERTOS DE VILLA</t>
  </si>
  <si>
    <t>186-051-221013</t>
  </si>
  <si>
    <t>INGREDION PERU S.A.</t>
  </si>
  <si>
    <t>CARRETERA CENTRAL KM. 10.5, SANTA CLARA</t>
  </si>
  <si>
    <t>IVAN AUGUSTO AHUMADA NEGRON</t>
  </si>
  <si>
    <t>229-051-060716</t>
  </si>
  <si>
    <t>CIA. INDUSTRIAL NUEVO MUNDO S.A.</t>
  </si>
  <si>
    <t>JR. JOSE CELEDON NO 750</t>
  </si>
  <si>
    <t>C1:720:DIESEL B5,Diesel B5 S-50 </t>
  </si>
  <si>
    <t>C1:760:DIESEL B5,Diesel B5 S-50 </t>
  </si>
  <si>
    <t>C1:5300:DIESEL B5,Diesel B5 S-50 </t>
  </si>
  <si>
    <t>MEYER SCHWARTZMAN RABINOVICH</t>
  </si>
  <si>
    <t>44631-051-151013</t>
  </si>
  <si>
    <t>SUPERVAN S.A.C.</t>
  </si>
  <si>
    <t>AV. ELMER FAUCETT N° 5104, FUNDO LA TABOADA, PARCELA 2A, ZONA NORTE</t>
  </si>
  <si>
    <t>C1:3917:Diesel B5 S-50 </t>
  </si>
  <si>
    <t>GASPARE NEVIO DALLA FRANCESCA DEL SOLAR</t>
  </si>
  <si>
    <t>0007-CDFJ-07-2006</t>
  </si>
  <si>
    <t>EMPRESA LATINOAMERICANA DE TRANSPORTES S.A.C.</t>
  </si>
  <si>
    <t>JR CHOTA MZ B LOTES 2-3 URB CASTILLA</t>
  </si>
  <si>
    <t>C1:4950:DIESEL 2 </t>
  </si>
  <si>
    <t>FLORES LERZUNDI, JAVIER EDUARDO</t>
  </si>
  <si>
    <t>103628-051-060515</t>
  </si>
  <si>
    <t>IBM BUSINESS SERVICES DEL PERU S.A.C</t>
  </si>
  <si>
    <t>AV JAVIER PRADO ESTE N° 6230</t>
  </si>
  <si>
    <t>JORGE LUIS GUILLERMO SALAS OCHOA</t>
  </si>
  <si>
    <t>113134-051-270720</t>
  </si>
  <si>
    <t>LOTE P2-127 REGISTRO CATASTRAL 17498 KM. 1007+100 PANAMERICANA NORTE</t>
  </si>
  <si>
    <t>JHON PATRICIO SÁNCHEZ BERNAL</t>
  </si>
  <si>
    <t>117-051-190515</t>
  </si>
  <si>
    <t>COMPAÑIA MINERA CONDESTABLE S.A.</t>
  </si>
  <si>
    <t>ASENTAMIENTO MINERO BUJAMA-CARRETERA PANAMERICA SUR KM. 89.5</t>
  </si>
  <si>
    <t>C1:27450:Diesel B5 S-50 </t>
  </si>
  <si>
    <t>ORIHUELA AVILA, JOHNY EDUARDO</t>
  </si>
  <si>
    <t>120248-051-131020</t>
  </si>
  <si>
    <t>PREDIO SANTA MARTHA S/N EX FUNDO COSCOMBA CP-PARCELA 019737 UC</t>
  </si>
  <si>
    <t>0006-CDFJ-13-2009</t>
  </si>
  <si>
    <t>BLOCK Nº 1M SECTOR III VALLE VIRU UNIDAD ASIGNADA 5370, PREDIO COMPOSITAN (2)</t>
  </si>
  <si>
    <t>CIA. MINERA SAN VALENTIN S.A.</t>
  </si>
  <si>
    <t>PARAJE PACOCHA</t>
  </si>
  <si>
    <t>LARAOS</t>
  </si>
  <si>
    <t>C1:1350:DIESEL 2 </t>
  </si>
  <si>
    <t>GRANADOS VELARDE ALVAREZ , JORGE A.</t>
  </si>
  <si>
    <t>0008-CDFJ-15-2009</t>
  </si>
  <si>
    <t>CONSORCIO CAF S.A.C</t>
  </si>
  <si>
    <t>AV. LOS RADARES Nª 1517, LOTES. 5 Y 6, MZ. E - 5, PARQUE INDUSTRIAL DE ANCON.</t>
  </si>
  <si>
    <t>C1:2726:DIESEL B2 </t>
  </si>
  <si>
    <t>CISNEROS RAFAEL, OWEN ALBERTO</t>
  </si>
  <si>
    <t>97811-051-240812</t>
  </si>
  <si>
    <t>TRANSPORTES GEMINIS S.A.C</t>
  </si>
  <si>
    <t>SECTOR PAMPA LARCO. INTERIOR DE LA MINA COMARSA CAMPAMENTO TRANSPORTES GEMINIS S.A.C.</t>
  </si>
  <si>
    <t>EDDER FRANCISCO SALIRROSAS LOAYZA</t>
  </si>
  <si>
    <t>1048-112-060115</t>
  </si>
  <si>
    <t>UNIDAD MINERA ISCAYCRUZ - ASIENTO MINERO CAMPAMENTO PACHANGARA</t>
  </si>
  <si>
    <t>PACHANGARA</t>
  </si>
  <si>
    <t>C1:1885:Diesel B5 S-50 </t>
  </si>
  <si>
    <t>C1:1480:Diesel B5 S-50 </t>
  </si>
  <si>
    <t>C1:7260:null </t>
  </si>
  <si>
    <t>JOSE ANTONIO KURCEWICZ</t>
  </si>
  <si>
    <t>148868-051-220120</t>
  </si>
  <si>
    <t>MINISTERIO DE CULTURA</t>
  </si>
  <si>
    <t>KM. 31 ANTIGUA PANAMERICANA SUR - BLOQUE COMBUSTIBLES LIQUIDOS</t>
  </si>
  <si>
    <t>GABRIELA MARIA CARRASCO CARRASCO</t>
  </si>
  <si>
    <t>144674-051-140619</t>
  </si>
  <si>
    <t>EMP. DE TRANS. FLORES HNOS. SRL.</t>
  </si>
  <si>
    <t>CALLE SALAVERRY 480</t>
  </si>
  <si>
    <t>104503-115-300813</t>
  </si>
  <si>
    <t>INDUSTRIAS DERIVADOS DEL ALCOHOL S.A.</t>
  </si>
  <si>
    <t>CALLE LOS MARTILLOS N° 5033, URB. INDUSTRIAL NARANJAL</t>
  </si>
  <si>
    <t>C1:220:SOLVENTE 1,SOLVENTE 3,TOLUENO,XILENO </t>
  </si>
  <si>
    <t>ORLANDO ZOILO RIVAS ESPINAL</t>
  </si>
  <si>
    <t>121616-051-040816</t>
  </si>
  <si>
    <t>HOSPITAL REGIONAL FELIPE ARRIOLA IGLESIAS</t>
  </si>
  <si>
    <t>AV. 28 DE JULIO S/N</t>
  </si>
  <si>
    <t>C1:2015:DIESEL B5 </t>
  </si>
  <si>
    <t>PERCY ANTONIO ROJAS FERREYRA</t>
  </si>
  <si>
    <t>0002-CDFJ-07-2002</t>
  </si>
  <si>
    <t>CALLE 1 N° 463 -URB. INDUSTRIAL BOCANEGRA</t>
  </si>
  <si>
    <t>953-051-270416</t>
  </si>
  <si>
    <t>LA CALERA S.A.C.</t>
  </si>
  <si>
    <t>FUNDO LA CALERA S/N - ALTO LARAN</t>
  </si>
  <si>
    <t>ALTO LARAN</t>
  </si>
  <si>
    <t>MASIAS MARROU, MANUEL ESTUARDO</t>
  </si>
  <si>
    <t>116437-051-050815</t>
  </si>
  <si>
    <t>AV. MANSICHE S/N, SUB LOTE 01-B Y 02-B1-B</t>
  </si>
  <si>
    <t>C1:2200:DIESEL B5 </t>
  </si>
  <si>
    <t>MIGUEL SIMON CHURATA MASCA</t>
  </si>
  <si>
    <t>0006-CDFJ-14-2002</t>
  </si>
  <si>
    <t>FABRICA DE FIDEOS NAPOLI S.A.C.</t>
  </si>
  <si>
    <t>AV. SAENZ PEÑA N° 1771</t>
  </si>
  <si>
    <t>C1:2700:IFO - 380 / BUNKER </t>
  </si>
  <si>
    <t>C1:413:IFO - 380 / BUNKER </t>
  </si>
  <si>
    <t>BATTISTINI NAPOLI, GIORGIO</t>
  </si>
  <si>
    <t>91713-051-060411</t>
  </si>
  <si>
    <t>QUEBRADA PUCARA S/N PASAJE CERRO CONEJO PACHACAMAC</t>
  </si>
  <si>
    <t>C1:4192:Diesel B5 S-50 </t>
  </si>
  <si>
    <t>C1:5215:Diesel B5 S-50 </t>
  </si>
  <si>
    <t>C1:8170:Diesel B5 S-50 </t>
  </si>
  <si>
    <t>96810-051-150213</t>
  </si>
  <si>
    <t xml:space="preserve">GASOCENTRO EMANUEL S.A. </t>
  </si>
  <si>
    <t>AV. INDUSTRIAL MZ. D, LOTE 12, ZONA COLONOS, TABLADA DE LURIN</t>
  </si>
  <si>
    <t>RAFAEL EDUARDO LA ROSA CORONADO</t>
  </si>
  <si>
    <t>INDUSTRIA PERUANA DEL ACERO S.A.</t>
  </si>
  <si>
    <t>AV. MANUEL F. VEGA 151</t>
  </si>
  <si>
    <t>GOMEZ SANCHEZ COSTA, JORGE</t>
  </si>
  <si>
    <t>CONSORCIO TEXTIL SESAN S.A.C.</t>
  </si>
  <si>
    <t>AV. ARGENTINA N° 3655</t>
  </si>
  <si>
    <t>GALLENO PINILLOS, EDUARDO</t>
  </si>
  <si>
    <t>115017-051-030317</t>
  </si>
  <si>
    <t>EMPRESA DE TRANSPORTES DE PASAJEROS DE SERVICIO RAPIDO SEÑOR DE LA ASCENCION DE CACHUY N° 1 S.A.</t>
  </si>
  <si>
    <t xml:space="preserve">PARCELA N° 6, LIMONCILLO, PREDIO CERRO BLANCO Y UNANUE (KM. 145 EX PANAMERICANA SUR) </t>
  </si>
  <si>
    <t>ANDRÉS FREDY ESPICHAN CALAGUA</t>
  </si>
  <si>
    <t>113847-051-140715</t>
  </si>
  <si>
    <t xml:space="preserve">CONSORCIO SANTA BARBARA S.A. </t>
  </si>
  <si>
    <t>MZ I LT 1 AA.HH LA PAZ</t>
  </si>
  <si>
    <t>ARNULFO MAXIMO FELIX VALDERRAMA</t>
  </si>
  <si>
    <t>148177-112-121219</t>
  </si>
  <si>
    <t>URB. LOS HUERTOS DE ORO DE SAN HILARION, CALLE D, MZ. J1, LOTE 17</t>
  </si>
  <si>
    <t>C1:13600:CEMENTO ASFÁLTICO 60-70 </t>
  </si>
  <si>
    <t>C1:13600:CEMENTO ASFÁLTICO 85-100 </t>
  </si>
  <si>
    <t>C1:13600:CEMENTO ASFÁLTICO 120-150 </t>
  </si>
  <si>
    <t>119068-051-181215</t>
  </si>
  <si>
    <t>EMPRESA DE TRANSPORTES SEÑOR DEL HUERTO I S.R.L.</t>
  </si>
  <si>
    <t>SECTOR INTIPAMPA LOTES 7-8</t>
  </si>
  <si>
    <t>OSCAR MOISES DELGADO CCUNO</t>
  </si>
  <si>
    <t>0004-CDFJ-06-2001</t>
  </si>
  <si>
    <t>GLORIA S.A. - DIVISION CARNILAC - PLANTA CAJAMARCA</t>
  </si>
  <si>
    <t>CARRETERA A BA?OS DEL INCA KM. 5,2 - FUNDO EL PORONGO</t>
  </si>
  <si>
    <t>108648-051-140414</t>
  </si>
  <si>
    <t>CONALVIAS CONSTRUCCIONES S.A.S. SUCURSAL PERU.</t>
  </si>
  <si>
    <t>PREDIO S/N CASERIO DE PORTACHUELO.</t>
  </si>
  <si>
    <t>SAN IGNACIO</t>
  </si>
  <si>
    <t>C1:10600:DIESEL B5 </t>
  </si>
  <si>
    <t>C1:5400:DIESEL B5 </t>
  </si>
  <si>
    <t>ANDRES ARAY JIMENEZ</t>
  </si>
  <si>
    <t>0003-CDFJ-25-2000</t>
  </si>
  <si>
    <t>MAPLE GAS CORPORATION DEL PERU S.R.L</t>
  </si>
  <si>
    <t>CAMPO MAQUIA. LOTE 31 - B</t>
  </si>
  <si>
    <t>C1:4746:GASOLINAS PARA USO AUTOMOTOR </t>
  </si>
  <si>
    <t>C1:19026:DIESEL B2 </t>
  </si>
  <si>
    <t>C1:4788:DIESEL B2 </t>
  </si>
  <si>
    <t>61938-051-310811</t>
  </si>
  <si>
    <t>AV. PAUL POBLET LIND N° 458</t>
  </si>
  <si>
    <t>ROBERT CHAVEZ FALCONI</t>
  </si>
  <si>
    <t>0004-CDFJ-14-2005</t>
  </si>
  <si>
    <t>EMPRESA DE TRANSPORTES Y SERVICIOS SANTUARIO DE LA PAZ S.A.</t>
  </si>
  <si>
    <t>AV. PROLONGACION BOLOGNESI S/N LADO OESTE, URB. LAS BRISAS</t>
  </si>
  <si>
    <t>RAMOS BRENIS, ENRIQUE</t>
  </si>
  <si>
    <t>0015-CDFJ-07-2005</t>
  </si>
  <si>
    <t>EMPRESA DE TRANSPORTES SAN MIGUEL Nº 2 S.A.</t>
  </si>
  <si>
    <t>MZ.K, LOTES 21-26 URB. LOS JAZMINES III ETAPA</t>
  </si>
  <si>
    <t>C1:2300:DIESEL 2 </t>
  </si>
  <si>
    <t>VILLANUEVA SANDOVAL, RODOLFO TEOFILO</t>
  </si>
  <si>
    <t>0003-CDFJ-11-2005</t>
  </si>
  <si>
    <t>ZONA OESTE AV. INDUSTRIAL S/N</t>
  </si>
  <si>
    <t>C1:52840:PETRÓLEO INDUSTRIAL Nº 500 </t>
  </si>
  <si>
    <t>C1:5284:PETRÓLEO INDUSTRIAL Nº 500 </t>
  </si>
  <si>
    <t>C1:26420:DIESEL B2 </t>
  </si>
  <si>
    <t>C1:2642:DIESEL B2 </t>
  </si>
  <si>
    <t>20852-051-111016</t>
  </si>
  <si>
    <t>TRUCKS AND MOTORS DEL PERU S.A.C.</t>
  </si>
  <si>
    <t>CARRETERA PANAMERICANA NORTE Nº 774</t>
  </si>
  <si>
    <t>C1:3033:DIESEL B5,Diesel B5 S-50 </t>
  </si>
  <si>
    <t>JUAN MANUEL SANDOVAL CAMPOS</t>
  </si>
  <si>
    <t>0003-CDFJ-07-2002</t>
  </si>
  <si>
    <t>COPORACION REY S.A.</t>
  </si>
  <si>
    <t>OSCAR R. BENAVIDES N° 5991</t>
  </si>
  <si>
    <t>GLEISER KATZ, SAMUEL</t>
  </si>
  <si>
    <t>139902-051-210219</t>
  </si>
  <si>
    <t>TRACOM PERU S.A.C.</t>
  </si>
  <si>
    <t>MZ. C LOTE 12 C.P. EL MILAGRO PARQUE INDUSTRIAL DEL CARBON</t>
  </si>
  <si>
    <t>C1:4315:Diesel B5 S-50 </t>
  </si>
  <si>
    <t>MIGUELA MERCEDES OLORTEGUI LOZANO</t>
  </si>
  <si>
    <t>EMPRESA DE TRANSPORTES Y SERVICIOS EMANUEL S.A.</t>
  </si>
  <si>
    <t>MAZ Q, LTES 8, 9 Y 10, TERCERA ETAPA, URB. LAS PRADERAS</t>
  </si>
  <si>
    <t>YUPANQUI PACHECO, PEDRO FRANCISCO</t>
  </si>
  <si>
    <t>91646-051-310311</t>
  </si>
  <si>
    <t>EMPRESA DE TRANSPORTES 41 S.A.</t>
  </si>
  <si>
    <t>PARCELA I, MZ E´1, LT 1, URB. POPULAR DE INTERES SOCIAL DEL PROYECTO ESPECIAL CIUDAD DE PACHACUTEC, AV. STA. ROSA S/N</t>
  </si>
  <si>
    <t xml:space="preserve">GUILLERMO ORE BARBOZA </t>
  </si>
  <si>
    <t>0011-CDFJ-15-2007</t>
  </si>
  <si>
    <t xml:space="preserve">EMPRESA DE TRANSPORTES Y SERVICIOS EL INTI S.A. </t>
  </si>
  <si>
    <t>AV. BERTELLO MZ. B, LOTE 12, URB. PHILADELFIA</t>
  </si>
  <si>
    <t>C1:7550:DIESEL 2 </t>
  </si>
  <si>
    <t>BALDEON VICENTE, EDWARD ISIDRO</t>
  </si>
  <si>
    <t>84378-051-040615</t>
  </si>
  <si>
    <t>CONSORCIO VIA S.A.C.</t>
  </si>
  <si>
    <t>INTERSECCION AV. ANCON Y CALLE 4, MZ. D, LOTES 2 Y 14, LOTIZACION EL ARENAL, CENTRO POBLADO ZAPALLAL OESTE</t>
  </si>
  <si>
    <t>DAVID ARQUIMEDES FUERTES JUVENAL</t>
  </si>
  <si>
    <t>0004-CDFJ-11-2009</t>
  </si>
  <si>
    <t>LOTE 01 DEL FUNDO SAN PABLO ALT. KM 200 CARRETERA PANAMERICANA SUR.</t>
  </si>
  <si>
    <t>C1:200:PETRÓLEOS INDUSTRIALES </t>
  </si>
  <si>
    <t>SOTOMAYOR ARCINIEGA, JOSE ANDRES</t>
  </si>
  <si>
    <t>143070-051-210519</t>
  </si>
  <si>
    <t>AQUACULTIVOS DEL PACIFICO S.A.C.</t>
  </si>
  <si>
    <t>SECTOR LA CAPILLA SAMANCO (ENTRADA POR CAMINO A LA ALTURA DEL ARCO DE SAMANCO)</t>
  </si>
  <si>
    <t>C1:1139:GASOHOL 90 PLUS </t>
  </si>
  <si>
    <t>GUSTAVO ALONSO REATEGUI RODRIGUEZ</t>
  </si>
  <si>
    <t>PESQUERA INDUSTRIAL EL ANGEL S.A.</t>
  </si>
  <si>
    <t>AV. CELESTINO ZAPATA Nº 101 - CALETA CULEBRAS</t>
  </si>
  <si>
    <t>C1:86435:PETRÓLEO INDUSTRIAL Nº 6 </t>
  </si>
  <si>
    <t>C1:63400:DIESEL 2 </t>
  </si>
  <si>
    <t>NAVARRETE TAPIA, JOSE TEODORO</t>
  </si>
  <si>
    <t>0002-CDFJ-22-2002</t>
  </si>
  <si>
    <t>EMPRESA DE TRANSPORTES PAREDES ESTRELLA S.C.R.L.</t>
  </si>
  <si>
    <t>AV. SALAVERRY Nº842</t>
  </si>
  <si>
    <t>PAREDES RUIZ, JAMES WALTER</t>
  </si>
  <si>
    <t>88282-975-040319</t>
  </si>
  <si>
    <t>MINISTERIO DE DEFENSA - FUERZA AEREA DEL PERU</t>
  </si>
  <si>
    <t>MORONACOCHA S/N BASE FAP GRUPO AEREO N° 42</t>
  </si>
  <si>
    <t>C1:22000:TURBO A-1 </t>
  </si>
  <si>
    <t>COLINA ROJAS RICARDO DANIEL</t>
  </si>
  <si>
    <t>87763-051-250514</t>
  </si>
  <si>
    <t>AMAUTA IMPRESIONES COMERCIALES S.A.C.</t>
  </si>
  <si>
    <t>JR. MANUEL DEL MAR Y BERNEDO Nº 1324, URB. CHACRA RÍOS</t>
  </si>
  <si>
    <t xml:space="preserve">STANBURY TITINGER GUILLERMO ARMANDO </t>
  </si>
  <si>
    <t>82958-051-071212</t>
  </si>
  <si>
    <t>TRANSPORT TIGRILLO S.A. - TRANSTIGRILLO S.A.</t>
  </si>
  <si>
    <t>AV. PACHACUTEC, MZ. BJ, LOTE 04 Y 05, ANEXO 22</t>
  </si>
  <si>
    <t>JHONY PARDAVE LIVIA</t>
  </si>
  <si>
    <t>118584-051-240216</t>
  </si>
  <si>
    <t xml:space="preserve">FUNDO QUISPIQUILLA MZ. B LT. 3 </t>
  </si>
  <si>
    <t>RICHARD ARMANDO PALOMINO ORTIZ</t>
  </si>
  <si>
    <t>103859-051-250816</t>
  </si>
  <si>
    <t>RIO TINTO MINERA PERU LIMITADA S.A.C.</t>
  </si>
  <si>
    <t>CAMPAMENTO MINERO LA GRANJA - CENTRO POBLADO LA GRANJA</t>
  </si>
  <si>
    <t>QUEROCOTO</t>
  </si>
  <si>
    <t>GUILLERMO PEDRO TELLO VELASQUEZ</t>
  </si>
  <si>
    <t>796-051-190615</t>
  </si>
  <si>
    <t>EMPRESA DE TRANSPORTES PUEBLO NUEVO S.A.</t>
  </si>
  <si>
    <t>AV. VICTOR ANDRES BELAUNDE N°1060</t>
  </si>
  <si>
    <t>C1:3000:DIESEL B5 UV </t>
  </si>
  <si>
    <t>MOISES IGNACIO PINEDA ASTORAYME</t>
  </si>
  <si>
    <t>CARRETERA CENTRAL KM. 35 - ESQUINA AV. HUAROCHIRI -EX- FUNDO MAYORASGO</t>
  </si>
  <si>
    <t>C1:11810:DIESEL 2 </t>
  </si>
  <si>
    <t>RENGIFO -, BENJAMIN</t>
  </si>
  <si>
    <t>35054-052-260816</t>
  </si>
  <si>
    <t>CARRETERA CAJAMARCA - BAMBAMARCA KM. 36 (CARACHUGO ZONA 3)</t>
  </si>
  <si>
    <t>C1:209361:DIESEL B5,Diesel B5 S-50 </t>
  </si>
  <si>
    <t>108-051-080918</t>
  </si>
  <si>
    <t>AV. TRUJILLO S/N</t>
  </si>
  <si>
    <t>C1:20200:PETRÓLEO INDUSTRIAL Nº 500 </t>
  </si>
  <si>
    <t>C1:7293:Diesel B5 S-50 </t>
  </si>
  <si>
    <t>C1:2336:GASOHOL 90 PLUS </t>
  </si>
  <si>
    <t>96380-051-070512</t>
  </si>
  <si>
    <t xml:space="preserve">TECHNOFEED S.A.C. </t>
  </si>
  <si>
    <t>PASAJE DON OSCAR Nº 155 - ZONA INDUSTRIAL ACAPULCO</t>
  </si>
  <si>
    <t>OMAR ALONZO PINCHI RAMIREZ</t>
  </si>
  <si>
    <t>0002-CDFJ-25-2001</t>
  </si>
  <si>
    <t>EMP CONCESIONARIA DE ELECT DE UCAYALI S.A.</t>
  </si>
  <si>
    <t>AV. CIRCUNVALACION Nº 300</t>
  </si>
  <si>
    <t>C1:763316:PETRÓLEO INDUSTRIAL Nº 6 </t>
  </si>
  <si>
    <t>C1:66412:DIESEL B2 </t>
  </si>
  <si>
    <t>CAMPOS HUACCHO, WILFREDO ROLANDO</t>
  </si>
  <si>
    <t>EMPRESA DE GENERACION ELECTRICA SAN GABAN S.A. - PUNO</t>
  </si>
  <si>
    <t>KM 290 DE LA CARRETERA SAN GABAN</t>
  </si>
  <si>
    <t>C1:4400:GASOLINA 84 </t>
  </si>
  <si>
    <t>98742-051-051114</t>
  </si>
  <si>
    <t>LUMAZA S.A.C.</t>
  </si>
  <si>
    <t>ESQUINA ANTIGUA PANAMERICANA SUR CON LA CALLE 4, PROGRAMA DE VIVIENDA SAN JOSE III ETAPA, MZ. M LOTE 01</t>
  </si>
  <si>
    <t>LUIS JORGE ZANABRIA CAMPOS</t>
  </si>
  <si>
    <t>1313-051-280118</t>
  </si>
  <si>
    <t>ASESORIA &amp; SERVICIOS AGROQUIMICOS S.A.C.</t>
  </si>
  <si>
    <t>AV. VICTOR LARCO N° 376 SECTOR BUENOS AIRES</t>
  </si>
  <si>
    <t xml:space="preserve">JAIME HERRERA VASQUEZ </t>
  </si>
  <si>
    <t>113281-051-250215</t>
  </si>
  <si>
    <t>TRANSPORTES Y SERVICIOS CIELO MAR Y TIERRA S.A.</t>
  </si>
  <si>
    <t>CALLE PABLO BOONER N°188 MZ I-7; LOTE 13-14, ZONA INDUSTRIAL</t>
  </si>
  <si>
    <t>C1:2656:Diesel B5 S-50 </t>
  </si>
  <si>
    <t>RAUL OCTAVIO DAVILA CARRASCO</t>
  </si>
  <si>
    <t>1219-051-220719</t>
  </si>
  <si>
    <t>SERVICIOS Y EQUIPOS AMAZONICOS S.A.C.</t>
  </si>
  <si>
    <t>AV. LA MARINA N°486</t>
  </si>
  <si>
    <t>CARRILLO BEECK SEBASTIÁN ANTONIO</t>
  </si>
  <si>
    <t>0002-CDFJ-20-2003</t>
  </si>
  <si>
    <t>SANCHEZ CERRO MZ. 239 ZONA INDUSTRIAL</t>
  </si>
  <si>
    <t>C1:12500:DIESEL 2 </t>
  </si>
  <si>
    <t>127519-051-201017</t>
  </si>
  <si>
    <t>DOIL INTERNATIONAL S.A.C.</t>
  </si>
  <si>
    <t>CALLE 02 EL MILAGRO MZ. E LOTES 2-3 ZONA INDUSTRIAL GRAN TRAPECIO</t>
  </si>
  <si>
    <t>MARCOS DOMINGUEZ MALLQUE</t>
  </si>
  <si>
    <t>18774-051-231111</t>
  </si>
  <si>
    <t xml:space="preserve">TRANSPORTES Y SERVICIOS GENERALES JOSELITO S.A.C. </t>
  </si>
  <si>
    <t xml:space="preserve">AV. TUPAC AMARU N° 1586 - URB. MOCHICA </t>
  </si>
  <si>
    <t>16541-051-130114</t>
  </si>
  <si>
    <t>TERMINAL INTERNACIONAL DEL SUR S.A.</t>
  </si>
  <si>
    <t>TERMINAL PORTUARIO DE MATARANI</t>
  </si>
  <si>
    <t>ROSAS ZUÑIGA, ANTONIO FRANCISCO</t>
  </si>
  <si>
    <t>94986-051-150215</t>
  </si>
  <si>
    <t>SAN FELIPE EXPRES S S.A.</t>
  </si>
  <si>
    <t>PARCELA EL BOSQUE - SECTOR EL BOSQUE - CODIGO CATASTRAL 8_2758690_ 90526 UNIDAD CATASTRAL 90526 - PROYECTO PREDIOS DE CARABAYLLO</t>
  </si>
  <si>
    <t>C1:5690:DIESEL B5 </t>
  </si>
  <si>
    <t>MARTIN ENCARNACION LEON SEGOVIA</t>
  </si>
  <si>
    <t>86529-115-160612</t>
  </si>
  <si>
    <t>PERUPAINT S.A.C.</t>
  </si>
  <si>
    <t>JR. LAS MAQUINARIAS MZ. S-2 LOTE 10, PARCELA II DEL PARQUE INDUSTRIAL DEL CONO SUR</t>
  </si>
  <si>
    <t>C1:825:SOLVENTE 1,SOLVENTE 3,TOLUENO,XILENO </t>
  </si>
  <si>
    <t>CARLOS ALBERTO DAVALOS MARIÑOS</t>
  </si>
  <si>
    <t>125967-051-190717</t>
  </si>
  <si>
    <t>COMPAÑIA MINERA BARBASTRO S.A.C.</t>
  </si>
  <si>
    <t>MINA MARTA – COMUNIDAD TINYACCLLA</t>
  </si>
  <si>
    <t>HUANDO</t>
  </si>
  <si>
    <t>ALFREDO GILBERTI GALARZA</t>
  </si>
  <si>
    <t>0000060-PIU</t>
  </si>
  <si>
    <t>ELECTRONOROESTE S.A. - ENOSA - C.T. MORROPON</t>
  </si>
  <si>
    <t xml:space="preserve">MZ. LL, LT. 1, P.J. ENRIQUE LOPEZ ALBUJAR </t>
  </si>
  <si>
    <t>EMPRESA DE TRANSPORTES ORE S.R.LTDA. (TRANSORE)</t>
  </si>
  <si>
    <t>AV. PROLONGACION GRAU Nº 499</t>
  </si>
  <si>
    <t>PARCONA</t>
  </si>
  <si>
    <t>ORE CORZO, ELMER EVELIO</t>
  </si>
  <si>
    <t>96266-051-180412</t>
  </si>
  <si>
    <t>SHEN PE RESOURCES INVESTMENT S.A.C.</t>
  </si>
  <si>
    <t>MINA MORRITOS</t>
  </si>
  <si>
    <t>XUEFENG WANG</t>
  </si>
  <si>
    <t>0016-CDFJ-15-2004</t>
  </si>
  <si>
    <t>FIBRAS QUIMICAS INDUSTRIALES S.A.</t>
  </si>
  <si>
    <t>AV. 28 DE JULIO NO 1824</t>
  </si>
  <si>
    <t>SABA DAGACH, FELIPE</t>
  </si>
  <si>
    <t>EMPRESA REGIONAL ELECTRONORTE MEDIO HIDRANDINA S.A.</t>
  </si>
  <si>
    <t>LA FLORIDA S/N</t>
  </si>
  <si>
    <t>OTUZCO</t>
  </si>
  <si>
    <t>0007-CDFJ-04-2001</t>
  </si>
  <si>
    <t>EDUARDO LOPEZ DE ROMAÑA N° 112</t>
  </si>
  <si>
    <t>C1:2131:PETRÓLEO INDUSTRIAL Nº 500 </t>
  </si>
  <si>
    <t>0008-CDFJ-15-2004</t>
  </si>
  <si>
    <t>EMPRESA DE TRANSPORTES DE SERVICIO RAPIDO CORAZON DE JESUS DE SAN DIEGO S.A.</t>
  </si>
  <si>
    <t>AV. SAN DIEGO DE ALCALA SUB LOTE 2-A (EX FUNDO CHUQUITANTA)</t>
  </si>
  <si>
    <t>ZELADA BARTRA, JORGE WASHINGTON</t>
  </si>
  <si>
    <t>95585-051-030413</t>
  </si>
  <si>
    <t>GREEN PERU S.A.</t>
  </si>
  <si>
    <t>CARRETERA PANAMERICANA NORTE KM. 542, SECTOR V, LOTES 12D-1, 12D-2</t>
  </si>
  <si>
    <t>JULIO FRANCISCO ARCONADA GONZALEZ</t>
  </si>
  <si>
    <t>147210-051-231019</t>
  </si>
  <si>
    <t>BAFF SOCIEDAD ANÓNIMA CERRADA</t>
  </si>
  <si>
    <t xml:space="preserve">CONCESION MINERA LA ESPERANZA A QUEBRADA SANTA ELENA </t>
  </si>
  <si>
    <t>JESUS EDISON BACA CONDORI</t>
  </si>
  <si>
    <t>0016-CDFJ-15-2006</t>
  </si>
  <si>
    <t>EMPRESA DE TRANSPORTES WINNER S.A.C</t>
  </si>
  <si>
    <t>AV. UNIVERSITARIA 9844 ASOCIACION DE VIVIENDA LA ALBORADA</t>
  </si>
  <si>
    <t>SHISHCO JAVIER, VICTORIA G.</t>
  </si>
  <si>
    <t>95092-115-230212</t>
  </si>
  <si>
    <t>ELECTROANDINA INDUSTRIAL S.A.C.</t>
  </si>
  <si>
    <t>AV. INDUSTRIAL SUB LOTE 5-B-2 URB. LAS PRADERAS DE LURIN</t>
  </si>
  <si>
    <t>C1:8300:INSUMOS QUÍMICOS </t>
  </si>
  <si>
    <t>PEDRO RENAN PALACIOS ULLAURI</t>
  </si>
  <si>
    <t>0010-CDFJ-07-2002</t>
  </si>
  <si>
    <t>TECNOGAS S A</t>
  </si>
  <si>
    <t>AV. ARGENTINA 1630-C2 - CALLAO 1</t>
  </si>
  <si>
    <t>C1:5600:PETRÓLEO INDUSTRIAL Nº 6 </t>
  </si>
  <si>
    <t>CHOY KOOSAU, ALBERTO DAVID</t>
  </si>
  <si>
    <t>88466-975-071218</t>
  </si>
  <si>
    <t>AERODROMO DE SAN JUAN DE MARCONA</t>
  </si>
  <si>
    <t>C1:3500:TURBO A-1 </t>
  </si>
  <si>
    <t>LUIS MIGUEL CORTEZ FERIA</t>
  </si>
  <si>
    <t>62798-051-301216</t>
  </si>
  <si>
    <t>AV. MATERIALES N° 2215</t>
  </si>
  <si>
    <t>MATOS VARGAS, ROBERTO</t>
  </si>
  <si>
    <t>140787-051-150119</t>
  </si>
  <si>
    <t xml:space="preserve">AGRICOLA HOJA REDONDA S.A. </t>
  </si>
  <si>
    <t xml:space="preserve">CARRETERA EL CARMEN S/N ALTURA KM 213 CARRETERA PANAMERICANA SUR </t>
  </si>
  <si>
    <t>MARTINEZ ABAL GERARDO TOMAS</t>
  </si>
  <si>
    <t>83838-112-060920</t>
  </si>
  <si>
    <t>AGUAYTIA ENERGY DEL PERU S.R.L.</t>
  </si>
  <si>
    <t>YACIMIENTO AGUAYTIA - LOTE 31 C</t>
  </si>
  <si>
    <t>CURIMANA</t>
  </si>
  <si>
    <t>C1:4000:DIESEL B5 C1:55:LUBRICANTES </t>
  </si>
  <si>
    <t xml:space="preserve">CARLOS L. FOSSATI </t>
  </si>
  <si>
    <t>95348-051-111019</t>
  </si>
  <si>
    <t>YACIMIENTO DE SHOUGANG HIERRO PERU, ALTURA DEL KM. 503 DE LA CARRETERA PANAMERICANA SUR</t>
  </si>
  <si>
    <t>VARGAS LOO NADJA</t>
  </si>
  <si>
    <t>85127-051-270717</t>
  </si>
  <si>
    <t>EMPRESA DE TRANSPORTES Y SERVICIOS MULTIPLES MODERNO CIELO AZUL S.A.</t>
  </si>
  <si>
    <t>A.A.H.H. VIRGEN DEL SOCORRO MZ P 20 LOTES 01 Y 02</t>
  </si>
  <si>
    <t>LINIAN ABANTO, VICENTE</t>
  </si>
  <si>
    <t>89629-112-220719</t>
  </si>
  <si>
    <t>LIMA CAUCHO S.A.</t>
  </si>
  <si>
    <t>CARRETERA CENTRAL N° 345 ZONA INDUSTRIAL</t>
  </si>
  <si>
    <t>C1:4000:SOLVENTE 1 </t>
  </si>
  <si>
    <t>DAVID CIRILO LEON MARTINEZ</t>
  </si>
  <si>
    <t>0003-CDFJ-20-2009</t>
  </si>
  <si>
    <t>UCISA S.A.</t>
  </si>
  <si>
    <t>CARRETERA A SULLANA KM. 3</t>
  </si>
  <si>
    <t>C1:20894:PETRÓLEO INDUSTRIAL Nº 6 </t>
  </si>
  <si>
    <t>C1:14640:DIESEL B2 </t>
  </si>
  <si>
    <t>IRAZOLA VIGNOLO, ALBERTO ALEJANDRO</t>
  </si>
  <si>
    <t>125507-051-100217</t>
  </si>
  <si>
    <t>AGRICOLA DON RICARDO S.A.C</t>
  </si>
  <si>
    <t>CASERIO SANTA ROSA MZ A LOTE 77</t>
  </si>
  <si>
    <t>SAN JOSE DE LOS MOLINOS</t>
  </si>
  <si>
    <t>ALEJANDRO FUENTES LEON</t>
  </si>
  <si>
    <t>20148-051-020720</t>
  </si>
  <si>
    <t>A&amp;M TRANSPORTE MAQUINARIAS EQUIPOS Y SERVICIOS GENERALES S.A.C.</t>
  </si>
  <si>
    <t>PASAJE CERRO LA SEÑORITA, PARAJE PAMPA DEL ARCO</t>
  </si>
  <si>
    <t>C1:8200:Diesel B5 S-50 </t>
  </si>
  <si>
    <t>JAVIER OMAR ALVARADO PLASENCIA</t>
  </si>
  <si>
    <t>112093-051-020915</t>
  </si>
  <si>
    <t>AGROJIBITO S.A.</t>
  </si>
  <si>
    <t>KM. 18 CARRETERA SULLANA - PAITA</t>
  </si>
  <si>
    <t>C1:18900:GASOHOL 84 PLUS </t>
  </si>
  <si>
    <t>FELIPE SANTIAGO PÉREZ ASSEO</t>
  </si>
  <si>
    <t>124488-051-291216</t>
  </si>
  <si>
    <t>ENTIDAD PRESTADORA DE SERVICIOS DE SANEAMIENTO GRAU S.A.</t>
  </si>
  <si>
    <t>PLANTA DE TRATAMIENTO DE CURUMUY</t>
  </si>
  <si>
    <t>C1:5700:DIESEL B5 </t>
  </si>
  <si>
    <t>C1:600:DIESEL B5 </t>
  </si>
  <si>
    <t>CARLOS ALVA LEON</t>
  </si>
  <si>
    <t>127970-051-090517</t>
  </si>
  <si>
    <t xml:space="preserve">MINERA CROACIA E.I.R.L. </t>
  </si>
  <si>
    <t xml:space="preserve">ESPERANZA DE CARAVELI S/N </t>
  </si>
  <si>
    <t>C1:9464:Diesel B5 S-50 </t>
  </si>
  <si>
    <t>GERMAN EMILIO MIJAKOVAC CANDELA</t>
  </si>
  <si>
    <t>42455-051-110811</t>
  </si>
  <si>
    <t>COMPLEJO PESQUERO SAMANCO S/N</t>
  </si>
  <si>
    <t>C1:105865:PETRÓLEO INDUSTRIAL Nº 500 </t>
  </si>
  <si>
    <t>C1:76819:DIESEL B5 </t>
  </si>
  <si>
    <t>HUGO CESAR ROSSI SALINAS</t>
  </si>
  <si>
    <t>LIOFILIZADORA DEL PACIFICO S.R. LTDA.</t>
  </si>
  <si>
    <t>CALLE 1 ESQ. CON CALLE A MZ.B LOT-4A</t>
  </si>
  <si>
    <t>NAVARRO VALDIVIA, VICTOR EDWIN</t>
  </si>
  <si>
    <t>139664-051-191118</t>
  </si>
  <si>
    <t>INTERNACIONAL DE TITULOS SOCIEDAD TITULIZADORA S.A.</t>
  </si>
  <si>
    <t>URB. PASEO DEL MAR, MZ. 9 LOTE 1, CALLE AVENIDA 2 / PANAMERICANA NORTE (CC. REAL PLAZA)</t>
  </si>
  <si>
    <t>ANGELICA RUTH TRIGOS VILLANUEVA</t>
  </si>
  <si>
    <t>0047-CDFJ-15-2001</t>
  </si>
  <si>
    <t>MARINE PRODUCTS S.A.C.</t>
  </si>
  <si>
    <t>ESTACION NAVAL DE PAITA - PLANTA DE HARINA DE PESCADO</t>
  </si>
  <si>
    <t>C1:18000:PETRÓLEO INDUSTRIAL Nº 500 </t>
  </si>
  <si>
    <t>MESETH PETRUCCELLI, ENRIQUE</t>
  </si>
  <si>
    <t>93660-051-120911</t>
  </si>
  <si>
    <t>EMPRESA DE TRANSPORTES LOS CUATRO SUYOS S.A.</t>
  </si>
  <si>
    <t>MZ. CZ-3 LTS. 35-36 SECTOR EL VALLE COMUNIDAD CAMPESINA DE JICAMARCA-ANEXO 22 PAMPA CANTO GRANDE</t>
  </si>
  <si>
    <t>SEGUNDO EXEQUIEL RUIZ SEMPERTEGUI</t>
  </si>
  <si>
    <t>93180-051-071117</t>
  </si>
  <si>
    <t>PUERTOS DEL PACIFICO S.A.</t>
  </si>
  <si>
    <t xml:space="preserve">CALLE CARLOS CONCHA Nº 180 </t>
  </si>
  <si>
    <t>JASON OSCAR SAAVEDRA PAREDES</t>
  </si>
  <si>
    <t>142814-051-250419</t>
  </si>
  <si>
    <t>EMPRESA MULTISERVIS TUPAC AMARU II S.A.</t>
  </si>
  <si>
    <t>APV. PICOL ORCOMPUGIO CALLE S/N MZ L LOTES 21 Y 22</t>
  </si>
  <si>
    <t xml:space="preserve">RUBEN WILLIAM GALLEGOS ENRIQUEZ </t>
  </si>
  <si>
    <t>38161-051-271118</t>
  </si>
  <si>
    <t>JR. JULIAN PIÑEYROS Nº 440</t>
  </si>
  <si>
    <t>82290-051-021115</t>
  </si>
  <si>
    <t>COMPANIA GOODYEAR DEL PERU S.A.</t>
  </si>
  <si>
    <t>ARGENTINA N 6037 ZONA INDUSTRIAL INDUSTRIAL</t>
  </si>
  <si>
    <t>EFRAIN CARLOS GALARZA RASAZZA</t>
  </si>
  <si>
    <t>88164-051-181212</t>
  </si>
  <si>
    <t>AV. PANAMERICANA NORTE KM. 666</t>
  </si>
  <si>
    <t>C1:26417:PETRÓLEO INDUSTRIAL Nº 6 </t>
  </si>
  <si>
    <t>92481-051-111014</t>
  </si>
  <si>
    <t>MINERA TRANSOCEANICA SAC</t>
  </si>
  <si>
    <t>CONCESION MINERA METALICA "GALLO DE ORO 2002" A 7.5 KM. DE HUEPETUHE</t>
  </si>
  <si>
    <t>JULIO VALENCIA ESCALANTE</t>
  </si>
  <si>
    <t>121250-051-180516</t>
  </si>
  <si>
    <t>A &amp; G CORPORACION MINERA OROSEL S.R.L</t>
  </si>
  <si>
    <t>CONCESION MINERA ROJITAS I</t>
  </si>
  <si>
    <t>C1:6550:Diesel B5 S-50 </t>
  </si>
  <si>
    <t>0026-CDFJ-15-2008</t>
  </si>
  <si>
    <t>CL CONSTRUCCIONES GENERALES S.R.L.</t>
  </si>
  <si>
    <t xml:space="preserve">AV. MALASQUEZ S/N </t>
  </si>
  <si>
    <t>C1:715:ASFALTO LÍQUIDO RC-250 </t>
  </si>
  <si>
    <t>AGUINAGA ARANA, LUIS ALBERTO</t>
  </si>
  <si>
    <t>96538-115-260512</t>
  </si>
  <si>
    <t>INDUSTRIA QUIMICA MENDOZA E HIJOS S.A.C.</t>
  </si>
  <si>
    <t>CALLE LAS LIMAS N° 240 - CANTO BELLO</t>
  </si>
  <si>
    <t>C1:4147:SOLVENTE 3 </t>
  </si>
  <si>
    <t>SANTIAGO MEJIA MENDOZA</t>
  </si>
  <si>
    <t>0013-CDFJ-15-2001</t>
  </si>
  <si>
    <t>EMPRESA DE TRANSPORTES JOSE GALVEZ S.A.</t>
  </si>
  <si>
    <t>JR. TALARA N° 821, MZ.121-A, LT.7, AA.HH. JOSE GALVEZ BARRENECHEA</t>
  </si>
  <si>
    <t>MONTES POMA, JOSE JESUS</t>
  </si>
  <si>
    <t>90627-051-240712</t>
  </si>
  <si>
    <t>BANCO INTERNACIONAL DEL PERU SAA</t>
  </si>
  <si>
    <t>AV. CARLOS VILLARAN Nº 140 - URB SANTA CATALINA</t>
  </si>
  <si>
    <t>MARIO ALFREDO HUNG FUNG</t>
  </si>
  <si>
    <t>41634-051-181212</t>
  </si>
  <si>
    <t>AV. DEL RIO S/N SECTOR CAUDIVILLA HUACOY Y PUNCHAUCA</t>
  </si>
  <si>
    <t>0004-CDFJ-16-2002</t>
  </si>
  <si>
    <t>TRIPLAY ENCHAPES S.A.C.</t>
  </si>
  <si>
    <t>AV. ALFONSO NAVARRO CAUPER 980</t>
  </si>
  <si>
    <t>C1:4270:DIESEL 2 </t>
  </si>
  <si>
    <t>VALDEZ CHUQUIZUTA, MILUSKA LUISA</t>
  </si>
  <si>
    <t>147271-051-241019</t>
  </si>
  <si>
    <t>EMPRESA DE TRANSPORTES Y SERVICIOS SAN FELIPE S.A.</t>
  </si>
  <si>
    <t>AV. CANTA CALLAO MZ. C5 LOTE 19-20 URB. PRO QUINTO SECTOR</t>
  </si>
  <si>
    <t>VICTOR MARCELO ZAMBRANO ROJAS</t>
  </si>
  <si>
    <t>306-051-130319</t>
  </si>
  <si>
    <t>AV. FRANCISCO BOLOGNESI N° 501 ZONA INDUSTRIAL</t>
  </si>
  <si>
    <t>C1:8900:Diesel B5 S-50 </t>
  </si>
  <si>
    <t>JOSE ANTONIO GALLO URIBE</t>
  </si>
  <si>
    <t>0029-CDFJ-15-2008</t>
  </si>
  <si>
    <t>CONSORCIO DE PRODUCTOS INDUSTRIALES C&amp;V S.A.C.</t>
  </si>
  <si>
    <t>MZ.B LT.6 PARCELA II URB. PARQUE INDUSTRIAL</t>
  </si>
  <si>
    <t>C1:825:INSUMOS QUÍMICOS </t>
  </si>
  <si>
    <t>IÑIGO PERALTA, GUIDO</t>
  </si>
  <si>
    <t>34348-051-071020</t>
  </si>
  <si>
    <t>CORPORACIÓN ADC S.A.C.</t>
  </si>
  <si>
    <t>PARQUE INDUSTRIAL MZ-D LOTES 1 Y 2</t>
  </si>
  <si>
    <t>POCOLLAY</t>
  </si>
  <si>
    <t>ANTONIO EMILIO VALDES DE COL</t>
  </si>
  <si>
    <t>AGRICOLA HUARMEY S.A.</t>
  </si>
  <si>
    <t>CARRETERA PANAMERICANA NORTE KM. 265 - PAMPA LAS ZORRAS</t>
  </si>
  <si>
    <t>C1:35550:DIESEL 2 </t>
  </si>
  <si>
    <t>FARAH BOTE, ERIC EDUARDO</t>
  </si>
  <si>
    <t>TRANSPORTES CORVAL S.A.</t>
  </si>
  <si>
    <t>CALLE 27 DE NOVIEMBRE Nº 645 ALTO LIBERTAD</t>
  </si>
  <si>
    <t>CORNEJO VALENCIA, JAVIER EDILBERTO</t>
  </si>
  <si>
    <t>119294-051-270116</t>
  </si>
  <si>
    <t xml:space="preserve">DACOR GAS S.A.C. </t>
  </si>
  <si>
    <t xml:space="preserve">CALLE 3 MZ B LOTE 08 URB LA RONCADORA SANTA CLARA </t>
  </si>
  <si>
    <t>WIDMAN CORDOVA ATACHAGUA</t>
  </si>
  <si>
    <t>686-051-291219</t>
  </si>
  <si>
    <t>INSTITUTO NACIONAL DE ENFERMEDADES NEOPLASICAS</t>
  </si>
  <si>
    <t>AV. ANGAMOS ESTE N° 2520 URB. LA CALERADE LA MERCED</t>
  </si>
  <si>
    <t>C1:2850:Diesel B5 S-50 </t>
  </si>
  <si>
    <t>EDUARDO TOMAS PAYET MEZA</t>
  </si>
  <si>
    <t>0010-CDFJ-04-2008</t>
  </si>
  <si>
    <t>SANTIAGO RODRIGUEZ BANDA SAC</t>
  </si>
  <si>
    <t>CALLE ERNESTO GUNTHER 246 PARQUE INDUSTRIAL</t>
  </si>
  <si>
    <t>RODRIGUEZ ROJAS, RUTH GEORGINA</t>
  </si>
  <si>
    <t>0033-CDFJ-15-2005</t>
  </si>
  <si>
    <t>TEXTIL EL AMAZONAS S.A.</t>
  </si>
  <si>
    <t>AV. ARGENTINA Nº 1440</t>
  </si>
  <si>
    <t>RAVINA CAYO, LUIS GERARDO</t>
  </si>
  <si>
    <t>95182-112-101012</t>
  </si>
  <si>
    <t>GOBIERNO REGIONAL LAMBAYEQUE</t>
  </si>
  <si>
    <t>SECTOR LA PLUMA BATANGRANDE</t>
  </si>
  <si>
    <t>PITIPO</t>
  </si>
  <si>
    <t>C1:8000:CEMENTO ASFÁLTICO 60-70 </t>
  </si>
  <si>
    <t>C1:8000:ASFALTO LÍQUIDO MC-30 </t>
  </si>
  <si>
    <t>VICTOR HUGO MIRANDA MONTEZA</t>
  </si>
  <si>
    <t>62014-115-160820</t>
  </si>
  <si>
    <t>QUIMICA INDUSTRIAL SOLVENTES S.R.L.</t>
  </si>
  <si>
    <t>AV. PROLONGACION LIMA LT. 02 MZ. C - ARTEMPA</t>
  </si>
  <si>
    <t>C1:57:CGN SOLVENTE,SOLVENTE 3 </t>
  </si>
  <si>
    <t>EDILBERTO RODRIGO 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</si>
</sst>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/>
      <right style="thin">
        <color rgb="FF000080"/>
      </right>
      <top style="thin">
        <color rgb="FF000080"/>
      </top>
      <bottom style="thin">
        <color rgb="FF00008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wrapText="1"/>
    </xf>
    <xf numFmtId="14" fontId="0" fillId="34" borderId="10" xfId="0" applyNumberFormat="1" applyFill="1" applyBorder="1" applyAlignment="1">
      <alignment wrapText="1"/>
    </xf>
    <xf numFmtId="0" fontId="0" fillId="35" borderId="10" xfId="0" applyFill="1" applyBorder="1" applyAlignment="1">
      <alignment wrapText="1"/>
    </xf>
    <xf numFmtId="14" fontId="0" fillId="35" borderId="10" xfId="0" applyNumberFormat="1" applyFill="1" applyBorder="1" applyAlignment="1">
      <alignment wrapText="1"/>
    </xf>
    <xf numFmtId="0" fontId="16" fillId="0" borderId="0" xfId="0" applyFont="1" applyAlignment="1">
      <alignment horizontal="center" wrapText="1"/>
    </xf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srvtest03.osinerg.gob.pe:23314/msfh5/images/Logo-azul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764275</xdr:colOff>
      <xdr:row>3</xdr:row>
      <xdr:rowOff>47767</xdr:rowOff>
    </xdr:to>
    <xdr:pic>
      <xdr:nvPicPr>
        <xdr:cNvPr id="1025" name="Picture 1" descr="Logo Osinergmin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70997" cy="580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829"/>
  <sheetViews>
    <sheetView showGridLines="0" tabSelected="1" workbookViewId="0">
      <selection activeCell="A2" sqref="A2:X2"/>
    </sheetView>
  </sheetViews>
  <sheetFormatPr baseColWidth="10" defaultRowHeight="14" x14ac:dyDescent="0.3"/>
  <cols>
    <col min="1" max="1" width="4.8984375" customWidth="1"/>
    <col min="2" max="2" width="13.796875" customWidth="1"/>
    <col min="3" max="3" width="19.5" bestFit="1" customWidth="1"/>
    <col min="4" max="4" width="17.19921875" bestFit="1" customWidth="1"/>
    <col min="5" max="5" width="11.8984375" bestFit="1" customWidth="1"/>
    <col min="6" max="7" width="44.796875" bestFit="1" customWidth="1"/>
    <col min="8" max="8" width="23.09765625" bestFit="1" customWidth="1"/>
    <col min="9" max="9" width="24.69921875" bestFit="1" customWidth="1"/>
    <col min="10" max="10" width="31.5" bestFit="1" customWidth="1"/>
    <col min="11" max="15" width="44.796875" bestFit="1" customWidth="1"/>
    <col min="16" max="16" width="37.5" bestFit="1" customWidth="1"/>
    <col min="17" max="17" width="34.796875" bestFit="1" customWidth="1"/>
    <col min="18" max="18" width="33.796875" bestFit="1" customWidth="1"/>
    <col min="19" max="19" width="32.796875" bestFit="1" customWidth="1"/>
    <col min="20" max="20" width="34.796875" bestFit="1" customWidth="1"/>
    <col min="21" max="21" width="16.8984375" bestFit="1" customWidth="1"/>
    <col min="22" max="22" width="12.19921875" bestFit="1" customWidth="1"/>
    <col min="23" max="23" width="20.3984375" bestFit="1" customWidth="1"/>
    <col min="24" max="24" width="44.796875" bestFit="1" customWidth="1"/>
  </cols>
  <sheetData>
    <row r="2" spans="1:24" ht="14" customHeight="1" x14ac:dyDescent="0.3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6" spans="1:24" x14ac:dyDescent="0.3">
      <c r="A6" s="1" t="s">
        <v>1</v>
      </c>
      <c r="B6" s="2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  <c r="J6" s="1" t="s">
        <v>10</v>
      </c>
      <c r="K6" s="1" t="s">
        <v>11</v>
      </c>
      <c r="L6" s="1" t="s">
        <v>12</v>
      </c>
      <c r="M6" s="1" t="s">
        <v>13</v>
      </c>
      <c r="N6" s="1" t="s">
        <v>14</v>
      </c>
      <c r="O6" s="1" t="s">
        <v>15</v>
      </c>
      <c r="P6" s="1" t="s">
        <v>16</v>
      </c>
      <c r="Q6" s="1" t="s">
        <v>17</v>
      </c>
      <c r="R6" s="1" t="s">
        <v>18</v>
      </c>
      <c r="S6" s="1" t="s">
        <v>19</v>
      </c>
      <c r="T6" s="1" t="s">
        <v>20</v>
      </c>
      <c r="U6" s="1" t="s">
        <v>21</v>
      </c>
      <c r="V6" s="1" t="s">
        <v>22</v>
      </c>
      <c r="W6" s="1" t="s">
        <v>23</v>
      </c>
      <c r="X6" s="1" t="s">
        <v>24</v>
      </c>
    </row>
    <row r="7" spans="1:24" ht="27.95" x14ac:dyDescent="0.3">
      <c r="A7" s="3">
        <v>1</v>
      </c>
      <c r="B7" s="3" t="str">
        <f>"201900097501"</f>
        <v>201900097501</v>
      </c>
      <c r="C7" s="3" t="str">
        <f>"19582"</f>
        <v>19582</v>
      </c>
      <c r="D7" s="3" t="s">
        <v>25</v>
      </c>
      <c r="E7" s="3">
        <v>20509516341</v>
      </c>
      <c r="F7" s="3" t="s">
        <v>26</v>
      </c>
      <c r="G7" s="3" t="s">
        <v>27</v>
      </c>
      <c r="H7" s="3" t="s">
        <v>28</v>
      </c>
      <c r="I7" s="3" t="s">
        <v>28</v>
      </c>
      <c r="J7" s="3" t="s">
        <v>29</v>
      </c>
      <c r="K7" s="3" t="s">
        <v>30</v>
      </c>
      <c r="L7" s="3"/>
      <c r="M7" s="3"/>
      <c r="N7" s="3"/>
      <c r="O7" s="3"/>
      <c r="P7" s="3"/>
      <c r="Q7" s="3"/>
      <c r="R7" s="3"/>
      <c r="S7" s="3"/>
      <c r="T7" s="3"/>
      <c r="U7" s="3">
        <v>8000</v>
      </c>
      <c r="V7" s="4">
        <v>43634</v>
      </c>
      <c r="W7" s="3" t="s">
        <v>31</v>
      </c>
      <c r="X7" s="3" t="s">
        <v>32</v>
      </c>
    </row>
    <row r="8" spans="1:24" ht="41.95" x14ac:dyDescent="0.3">
      <c r="A8" s="5">
        <v>2</v>
      </c>
      <c r="B8" s="5" t="str">
        <f>"1575718"</f>
        <v>1575718</v>
      </c>
      <c r="C8" s="5" t="str">
        <f>"41727"</f>
        <v>41727</v>
      </c>
      <c r="D8" s="5" t="s">
        <v>33</v>
      </c>
      <c r="E8" s="5">
        <v>20209133394</v>
      </c>
      <c r="F8" s="5" t="s">
        <v>34</v>
      </c>
      <c r="G8" s="5" t="s">
        <v>35</v>
      </c>
      <c r="H8" s="5" t="s">
        <v>36</v>
      </c>
      <c r="I8" s="5" t="s">
        <v>37</v>
      </c>
      <c r="J8" s="5" t="s">
        <v>38</v>
      </c>
      <c r="K8" s="5" t="s">
        <v>39</v>
      </c>
      <c r="L8" s="5" t="s">
        <v>40</v>
      </c>
      <c r="M8" s="5" t="s">
        <v>39</v>
      </c>
      <c r="N8" s="5" t="s">
        <v>39</v>
      </c>
      <c r="O8" s="5"/>
      <c r="P8" s="5"/>
      <c r="Q8" s="5"/>
      <c r="R8" s="5"/>
      <c r="S8" s="5"/>
      <c r="T8" s="5"/>
      <c r="U8" s="5">
        <v>331027</v>
      </c>
      <c r="V8" s="6">
        <v>38611</v>
      </c>
      <c r="W8" s="5" t="s">
        <v>31</v>
      </c>
      <c r="X8" s="5" t="s">
        <v>41</v>
      </c>
    </row>
    <row r="9" spans="1:24" x14ac:dyDescent="0.3">
      <c r="A9" s="3">
        <v>3</v>
      </c>
      <c r="B9" s="3" t="str">
        <f>"1350847"</f>
        <v>1350847</v>
      </c>
      <c r="C9" s="3" t="str">
        <f>"735"</f>
        <v>735</v>
      </c>
      <c r="D9" s="3" t="s">
        <v>42</v>
      </c>
      <c r="E9" s="3">
        <v>20503388601</v>
      </c>
      <c r="F9" s="3" t="s">
        <v>43</v>
      </c>
      <c r="G9" s="3" t="s">
        <v>44</v>
      </c>
      <c r="H9" s="3" t="s">
        <v>28</v>
      </c>
      <c r="I9" s="3" t="s">
        <v>28</v>
      </c>
      <c r="J9" s="3" t="s">
        <v>45</v>
      </c>
      <c r="K9" s="3" t="s">
        <v>46</v>
      </c>
      <c r="L9" s="3"/>
      <c r="M9" s="3"/>
      <c r="N9" s="3"/>
      <c r="O9" s="3"/>
      <c r="P9" s="3"/>
      <c r="Q9" s="3"/>
      <c r="R9" s="3"/>
      <c r="S9" s="3"/>
      <c r="T9" s="3"/>
      <c r="U9" s="3">
        <v>3000</v>
      </c>
      <c r="V9" s="4">
        <v>37288</v>
      </c>
      <c r="W9" s="3" t="s">
        <v>31</v>
      </c>
      <c r="X9" s="3" t="s">
        <v>47</v>
      </c>
    </row>
    <row r="10" spans="1:24" x14ac:dyDescent="0.3">
      <c r="A10" s="5">
        <v>4</v>
      </c>
      <c r="B10" s="5" t="str">
        <f>"1457755"</f>
        <v>1457755</v>
      </c>
      <c r="C10" s="5" t="str">
        <f>"1201"</f>
        <v>1201</v>
      </c>
      <c r="D10" s="5" t="s">
        <v>48</v>
      </c>
      <c r="E10" s="5">
        <v>20117871852</v>
      </c>
      <c r="F10" s="5" t="s">
        <v>49</v>
      </c>
      <c r="G10" s="5" t="s">
        <v>50</v>
      </c>
      <c r="H10" s="5" t="s">
        <v>51</v>
      </c>
      <c r="I10" s="5" t="s">
        <v>52</v>
      </c>
      <c r="J10" s="5" t="s">
        <v>52</v>
      </c>
      <c r="K10" s="5" t="s">
        <v>53</v>
      </c>
      <c r="L10" s="5"/>
      <c r="M10" s="5"/>
      <c r="N10" s="5"/>
      <c r="O10" s="5"/>
      <c r="P10" s="5"/>
      <c r="Q10" s="5"/>
      <c r="R10" s="5"/>
      <c r="S10" s="5"/>
      <c r="T10" s="5"/>
      <c r="U10" s="5">
        <v>2600</v>
      </c>
      <c r="V10" s="6">
        <v>38041</v>
      </c>
      <c r="W10" s="5" t="s">
        <v>31</v>
      </c>
      <c r="X10" s="5" t="s">
        <v>54</v>
      </c>
    </row>
    <row r="11" spans="1:24" ht="27.95" x14ac:dyDescent="0.3">
      <c r="A11" s="3">
        <v>5</v>
      </c>
      <c r="B11" s="3" t="str">
        <f>"201300086796"</f>
        <v>201300086796</v>
      </c>
      <c r="C11" s="3" t="str">
        <f>"16513"</f>
        <v>16513</v>
      </c>
      <c r="D11" s="3" t="s">
        <v>55</v>
      </c>
      <c r="E11" s="3">
        <v>20103964921</v>
      </c>
      <c r="F11" s="3" t="s">
        <v>56</v>
      </c>
      <c r="G11" s="3" t="s">
        <v>57</v>
      </c>
      <c r="H11" s="3" t="s">
        <v>58</v>
      </c>
      <c r="I11" s="3" t="s">
        <v>59</v>
      </c>
      <c r="J11" s="3" t="s">
        <v>60</v>
      </c>
      <c r="K11" s="3" t="s">
        <v>61</v>
      </c>
      <c r="L11" s="3" t="s">
        <v>62</v>
      </c>
      <c r="M11" s="3" t="s">
        <v>62</v>
      </c>
      <c r="N11" s="3"/>
      <c r="O11" s="3"/>
      <c r="P11" s="3"/>
      <c r="Q11" s="3"/>
      <c r="R11" s="3"/>
      <c r="S11" s="3"/>
      <c r="T11" s="3"/>
      <c r="U11" s="3">
        <v>25338</v>
      </c>
      <c r="V11" s="4">
        <v>41411</v>
      </c>
      <c r="W11" s="3" t="s">
        <v>31</v>
      </c>
      <c r="X11" s="3" t="s">
        <v>63</v>
      </c>
    </row>
    <row r="12" spans="1:24" x14ac:dyDescent="0.3">
      <c r="A12" s="5">
        <v>6</v>
      </c>
      <c r="B12" s="5" t="str">
        <f>"201500000947"</f>
        <v>201500000947</v>
      </c>
      <c r="C12" s="5" t="str">
        <f>"113232"</f>
        <v>113232</v>
      </c>
      <c r="D12" s="5" t="s">
        <v>64</v>
      </c>
      <c r="E12" s="5">
        <v>20100153751</v>
      </c>
      <c r="F12" s="5" t="s">
        <v>65</v>
      </c>
      <c r="G12" s="5" t="s">
        <v>66</v>
      </c>
      <c r="H12" s="5" t="s">
        <v>28</v>
      </c>
      <c r="I12" s="5" t="s">
        <v>28</v>
      </c>
      <c r="J12" s="5" t="s">
        <v>28</v>
      </c>
      <c r="K12" s="5" t="s">
        <v>67</v>
      </c>
      <c r="L12" s="5" t="s">
        <v>67</v>
      </c>
      <c r="M12" s="5"/>
      <c r="N12" s="5"/>
      <c r="O12" s="5"/>
      <c r="P12" s="5"/>
      <c r="Q12" s="5"/>
      <c r="R12" s="5"/>
      <c r="S12" s="5"/>
      <c r="T12" s="5"/>
      <c r="U12" s="5">
        <v>2400</v>
      </c>
      <c r="V12" s="6">
        <v>42082</v>
      </c>
      <c r="W12" s="5" t="s">
        <v>31</v>
      </c>
      <c r="X12" s="5" t="s">
        <v>68</v>
      </c>
    </row>
    <row r="13" spans="1:24" ht="27.95" x14ac:dyDescent="0.3">
      <c r="A13" s="3">
        <v>7</v>
      </c>
      <c r="B13" s="3" t="str">
        <f>"1555926"</f>
        <v>1555926</v>
      </c>
      <c r="C13" s="3" t="str">
        <f>"1472"</f>
        <v>1472</v>
      </c>
      <c r="D13" s="3" t="s">
        <v>69</v>
      </c>
      <c r="E13" s="3">
        <v>20128425978</v>
      </c>
      <c r="F13" s="3" t="s">
        <v>70</v>
      </c>
      <c r="G13" s="3" t="s">
        <v>71</v>
      </c>
      <c r="H13" s="3" t="s">
        <v>28</v>
      </c>
      <c r="I13" s="3" t="s">
        <v>72</v>
      </c>
      <c r="J13" s="3" t="s">
        <v>73</v>
      </c>
      <c r="K13" s="3" t="s">
        <v>74</v>
      </c>
      <c r="L13" s="3" t="s">
        <v>75</v>
      </c>
      <c r="M13" s="3" t="s">
        <v>75</v>
      </c>
      <c r="N13" s="3" t="s">
        <v>75</v>
      </c>
      <c r="O13" s="3" t="s">
        <v>74</v>
      </c>
      <c r="P13" s="3"/>
      <c r="Q13" s="3"/>
      <c r="R13" s="3"/>
      <c r="S13" s="3"/>
      <c r="T13" s="3"/>
      <c r="U13" s="3">
        <v>20000</v>
      </c>
      <c r="V13" s="4">
        <v>38603</v>
      </c>
      <c r="W13" s="3" t="s">
        <v>31</v>
      </c>
      <c r="X13" s="3" t="s">
        <v>76</v>
      </c>
    </row>
    <row r="14" spans="1:24" x14ac:dyDescent="0.3">
      <c r="A14" s="5">
        <v>8</v>
      </c>
      <c r="B14" s="5" t="str">
        <f>"1399445"</f>
        <v>1399445</v>
      </c>
      <c r="C14" s="5" t="str">
        <f>"18773"</f>
        <v>18773</v>
      </c>
      <c r="D14" s="5" t="s">
        <v>77</v>
      </c>
      <c r="E14" s="5">
        <v>20154477455</v>
      </c>
      <c r="F14" s="5" t="s">
        <v>78</v>
      </c>
      <c r="G14" s="5" t="s">
        <v>79</v>
      </c>
      <c r="H14" s="5" t="s">
        <v>80</v>
      </c>
      <c r="I14" s="5" t="s">
        <v>80</v>
      </c>
      <c r="J14" s="5" t="s">
        <v>80</v>
      </c>
      <c r="K14" s="5" t="s">
        <v>81</v>
      </c>
      <c r="L14" s="5" t="s">
        <v>82</v>
      </c>
      <c r="M14" s="5"/>
      <c r="N14" s="5"/>
      <c r="O14" s="5"/>
      <c r="P14" s="5"/>
      <c r="Q14" s="5"/>
      <c r="R14" s="5"/>
      <c r="S14" s="5"/>
      <c r="T14" s="5"/>
      <c r="U14" s="5">
        <v>11500</v>
      </c>
      <c r="V14" s="6">
        <v>37664</v>
      </c>
      <c r="W14" s="5" t="s">
        <v>31</v>
      </c>
      <c r="X14" s="5" t="s">
        <v>83</v>
      </c>
    </row>
    <row r="15" spans="1:24" ht="27.95" x14ac:dyDescent="0.3">
      <c r="A15" s="3">
        <v>9</v>
      </c>
      <c r="B15" s="3" t="str">
        <f>"201900097509"</f>
        <v>201900097509</v>
      </c>
      <c r="C15" s="3" t="str">
        <f>"38842"</f>
        <v>38842</v>
      </c>
      <c r="D15" s="3" t="s">
        <v>84</v>
      </c>
      <c r="E15" s="3">
        <v>20509516341</v>
      </c>
      <c r="F15" s="3" t="s">
        <v>26</v>
      </c>
      <c r="G15" s="3" t="s">
        <v>85</v>
      </c>
      <c r="H15" s="3" t="s">
        <v>28</v>
      </c>
      <c r="I15" s="3" t="s">
        <v>72</v>
      </c>
      <c r="J15" s="3" t="s">
        <v>86</v>
      </c>
      <c r="K15" s="3" t="s">
        <v>87</v>
      </c>
      <c r="L15" s="3"/>
      <c r="M15" s="3"/>
      <c r="N15" s="3"/>
      <c r="O15" s="3"/>
      <c r="P15" s="3"/>
      <c r="Q15" s="3"/>
      <c r="R15" s="3"/>
      <c r="S15" s="3"/>
      <c r="T15" s="3"/>
      <c r="U15" s="3">
        <v>6000</v>
      </c>
      <c r="V15" s="4">
        <v>43634</v>
      </c>
      <c r="W15" s="3" t="s">
        <v>31</v>
      </c>
      <c r="X15" s="3" t="s">
        <v>32</v>
      </c>
    </row>
    <row r="16" spans="1:24" x14ac:dyDescent="0.3">
      <c r="A16" s="5">
        <v>10</v>
      </c>
      <c r="B16" s="5" t="str">
        <f>"201900028832"</f>
        <v>201900028832</v>
      </c>
      <c r="C16" s="5" t="str">
        <f>"141497"</f>
        <v>141497</v>
      </c>
      <c r="D16" s="5" t="s">
        <v>88</v>
      </c>
      <c r="E16" s="5">
        <v>20100050359</v>
      </c>
      <c r="F16" s="5" t="s">
        <v>89</v>
      </c>
      <c r="G16" s="5" t="s">
        <v>90</v>
      </c>
      <c r="H16" s="5" t="s">
        <v>28</v>
      </c>
      <c r="I16" s="5" t="s">
        <v>28</v>
      </c>
      <c r="J16" s="5" t="s">
        <v>91</v>
      </c>
      <c r="K16" s="5" t="s">
        <v>92</v>
      </c>
      <c r="L16" s="5"/>
      <c r="M16" s="5"/>
      <c r="N16" s="5"/>
      <c r="O16" s="5"/>
      <c r="P16" s="5"/>
      <c r="Q16" s="5"/>
      <c r="R16" s="5"/>
      <c r="S16" s="5"/>
      <c r="T16" s="5"/>
      <c r="U16" s="5">
        <v>500</v>
      </c>
      <c r="V16" s="6">
        <v>43522</v>
      </c>
      <c r="W16" s="5" t="s">
        <v>31</v>
      </c>
      <c r="X16" s="5" t="s">
        <v>93</v>
      </c>
    </row>
    <row r="17" spans="1:24" ht="27.95" x14ac:dyDescent="0.3">
      <c r="A17" s="3">
        <v>11</v>
      </c>
      <c r="B17" s="3" t="str">
        <f>"1942294"</f>
        <v>1942294</v>
      </c>
      <c r="C17" s="3" t="str">
        <f>"84489"</f>
        <v>84489</v>
      </c>
      <c r="D17" s="3" t="s">
        <v>94</v>
      </c>
      <c r="E17" s="3">
        <v>20100152941</v>
      </c>
      <c r="F17" s="3" t="s">
        <v>95</v>
      </c>
      <c r="G17" s="3" t="s">
        <v>96</v>
      </c>
      <c r="H17" s="3" t="s">
        <v>28</v>
      </c>
      <c r="I17" s="3" t="s">
        <v>28</v>
      </c>
      <c r="J17" s="3" t="s">
        <v>91</v>
      </c>
      <c r="K17" s="3" t="s">
        <v>97</v>
      </c>
      <c r="L17" s="3"/>
      <c r="M17" s="3"/>
      <c r="N17" s="3"/>
      <c r="O17" s="3"/>
      <c r="P17" s="3"/>
      <c r="Q17" s="3"/>
      <c r="R17" s="3"/>
      <c r="S17" s="3"/>
      <c r="T17" s="3"/>
      <c r="U17" s="3">
        <v>3200</v>
      </c>
      <c r="V17" s="4">
        <v>40177</v>
      </c>
      <c r="W17" s="3" t="s">
        <v>31</v>
      </c>
      <c r="X17" s="3" t="s">
        <v>98</v>
      </c>
    </row>
    <row r="18" spans="1:24" x14ac:dyDescent="0.3">
      <c r="A18" s="5">
        <v>12</v>
      </c>
      <c r="B18" s="5" t="str">
        <f>"1914651"</f>
        <v>1914651</v>
      </c>
      <c r="C18" s="5" t="str">
        <f>"18231"</f>
        <v>18231</v>
      </c>
      <c r="D18" s="5" t="s">
        <v>99</v>
      </c>
      <c r="E18" s="5">
        <v>20417378911</v>
      </c>
      <c r="F18" s="5" t="s">
        <v>100</v>
      </c>
      <c r="G18" s="5" t="s">
        <v>101</v>
      </c>
      <c r="H18" s="5" t="s">
        <v>28</v>
      </c>
      <c r="I18" s="5" t="s">
        <v>28</v>
      </c>
      <c r="J18" s="5" t="s">
        <v>102</v>
      </c>
      <c r="K18" s="5" t="s">
        <v>103</v>
      </c>
      <c r="L18" s="5" t="s">
        <v>103</v>
      </c>
      <c r="M18" s="5" t="s">
        <v>104</v>
      </c>
      <c r="N18" s="5" t="s">
        <v>103</v>
      </c>
      <c r="O18" s="5"/>
      <c r="P18" s="5"/>
      <c r="Q18" s="5"/>
      <c r="R18" s="5"/>
      <c r="S18" s="5"/>
      <c r="T18" s="5"/>
      <c r="U18" s="5">
        <v>28400</v>
      </c>
      <c r="V18" s="6">
        <v>40064</v>
      </c>
      <c r="W18" s="5" t="s">
        <v>31</v>
      </c>
      <c r="X18" s="5" t="s">
        <v>105</v>
      </c>
    </row>
    <row r="19" spans="1:24" x14ac:dyDescent="0.3">
      <c r="A19" s="3">
        <v>13</v>
      </c>
      <c r="B19" s="3" t="str">
        <f>"201900055552"</f>
        <v>201900055552</v>
      </c>
      <c r="C19" s="3" t="str">
        <f>"82475"</f>
        <v>82475</v>
      </c>
      <c r="D19" s="3" t="s">
        <v>106</v>
      </c>
      <c r="E19" s="3">
        <v>20552743475</v>
      </c>
      <c r="F19" s="3" t="s">
        <v>107</v>
      </c>
      <c r="G19" s="3" t="s">
        <v>108</v>
      </c>
      <c r="H19" s="3" t="s">
        <v>28</v>
      </c>
      <c r="I19" s="3" t="s">
        <v>28</v>
      </c>
      <c r="J19" s="3" t="s">
        <v>109</v>
      </c>
      <c r="K19" s="3" t="s">
        <v>110</v>
      </c>
      <c r="L19" s="3"/>
      <c r="M19" s="3"/>
      <c r="N19" s="3"/>
      <c r="O19" s="3"/>
      <c r="P19" s="3"/>
      <c r="Q19" s="3"/>
      <c r="R19" s="3"/>
      <c r="S19" s="3"/>
      <c r="T19" s="3"/>
      <c r="U19" s="3">
        <v>4000</v>
      </c>
      <c r="V19" s="4">
        <v>43565</v>
      </c>
      <c r="W19" s="3" t="s">
        <v>31</v>
      </c>
      <c r="X19" s="3" t="s">
        <v>111</v>
      </c>
    </row>
    <row r="20" spans="1:24" ht="27.95" x14ac:dyDescent="0.3">
      <c r="A20" s="5">
        <v>14</v>
      </c>
      <c r="B20" s="5" t="str">
        <f>"201000000160"</f>
        <v>201000000160</v>
      </c>
      <c r="C20" s="5" t="str">
        <f>"16543"</f>
        <v>16543</v>
      </c>
      <c r="D20" s="5" t="s">
        <v>112</v>
      </c>
      <c r="E20" s="5">
        <v>20161977773</v>
      </c>
      <c r="F20" s="5" t="s">
        <v>113</v>
      </c>
      <c r="G20" s="5" t="s">
        <v>114</v>
      </c>
      <c r="H20" s="5" t="s">
        <v>115</v>
      </c>
      <c r="I20" s="5" t="s">
        <v>115</v>
      </c>
      <c r="J20" s="5" t="s">
        <v>116</v>
      </c>
      <c r="K20" s="5" t="s">
        <v>117</v>
      </c>
      <c r="L20" s="5"/>
      <c r="M20" s="5"/>
      <c r="N20" s="5"/>
      <c r="O20" s="5"/>
      <c r="P20" s="5"/>
      <c r="Q20" s="5"/>
      <c r="R20" s="5"/>
      <c r="S20" s="5"/>
      <c r="T20" s="5"/>
      <c r="U20" s="5">
        <v>6000</v>
      </c>
      <c r="V20" s="6">
        <v>39909</v>
      </c>
      <c r="W20" s="5" t="s">
        <v>31</v>
      </c>
      <c r="X20" s="5" t="s">
        <v>118</v>
      </c>
    </row>
    <row r="21" spans="1:24" ht="41.95" x14ac:dyDescent="0.3">
      <c r="A21" s="3">
        <v>15</v>
      </c>
      <c r="B21" s="3" t="str">
        <f>"201800102843"</f>
        <v>201800102843</v>
      </c>
      <c r="C21" s="3" t="str">
        <f>"137071"</f>
        <v>137071</v>
      </c>
      <c r="D21" s="3" t="s">
        <v>119</v>
      </c>
      <c r="E21" s="3">
        <v>20603039026</v>
      </c>
      <c r="F21" s="3" t="s">
        <v>120</v>
      </c>
      <c r="G21" s="3" t="s">
        <v>121</v>
      </c>
      <c r="H21" s="3" t="s">
        <v>28</v>
      </c>
      <c r="I21" s="3" t="s">
        <v>122</v>
      </c>
      <c r="J21" s="3" t="s">
        <v>123</v>
      </c>
      <c r="K21" s="3" t="s">
        <v>124</v>
      </c>
      <c r="L21" s="3"/>
      <c r="M21" s="3"/>
      <c r="N21" s="3"/>
      <c r="O21" s="3"/>
      <c r="P21" s="3"/>
      <c r="Q21" s="3"/>
      <c r="R21" s="3"/>
      <c r="S21" s="3"/>
      <c r="T21" s="3"/>
      <c r="U21" s="3">
        <v>3370</v>
      </c>
      <c r="V21" s="4">
        <v>43291</v>
      </c>
      <c r="W21" s="3" t="s">
        <v>31</v>
      </c>
      <c r="X21" s="3" t="s">
        <v>125</v>
      </c>
    </row>
    <row r="22" spans="1:24" x14ac:dyDescent="0.3">
      <c r="A22" s="5">
        <v>16</v>
      </c>
      <c r="B22" s="5" t="str">
        <f>"202000073387"</f>
        <v>202000073387</v>
      </c>
      <c r="C22" s="5" t="str">
        <f>"95704"</f>
        <v>95704</v>
      </c>
      <c r="D22" s="5" t="s">
        <v>126</v>
      </c>
      <c r="E22" s="5">
        <v>20483971746</v>
      </c>
      <c r="F22" s="5" t="s">
        <v>127</v>
      </c>
      <c r="G22" s="5" t="s">
        <v>128</v>
      </c>
      <c r="H22" s="5" t="s">
        <v>80</v>
      </c>
      <c r="I22" s="5" t="s">
        <v>80</v>
      </c>
      <c r="J22" s="5" t="s">
        <v>129</v>
      </c>
      <c r="K22" s="5" t="s">
        <v>130</v>
      </c>
      <c r="L22" s="5"/>
      <c r="M22" s="5"/>
      <c r="N22" s="5"/>
      <c r="O22" s="5"/>
      <c r="P22" s="5"/>
      <c r="Q22" s="5"/>
      <c r="R22" s="5"/>
      <c r="S22" s="5"/>
      <c r="T22" s="5"/>
      <c r="U22" s="5">
        <v>3000</v>
      </c>
      <c r="V22" s="6">
        <v>44010</v>
      </c>
      <c r="W22" s="5" t="s">
        <v>31</v>
      </c>
      <c r="X22" s="5" t="s">
        <v>131</v>
      </c>
    </row>
    <row r="23" spans="1:24" x14ac:dyDescent="0.3">
      <c r="A23" s="3">
        <v>17</v>
      </c>
      <c r="B23" s="3" t="str">
        <f>"201600087558"</f>
        <v>201600087558</v>
      </c>
      <c r="C23" s="3" t="str">
        <f>"122048"</f>
        <v>122048</v>
      </c>
      <c r="D23" s="3" t="s">
        <v>132</v>
      </c>
      <c r="E23" s="3">
        <v>20336183791</v>
      </c>
      <c r="F23" s="3" t="s">
        <v>133</v>
      </c>
      <c r="G23" s="3" t="s">
        <v>134</v>
      </c>
      <c r="H23" s="3" t="s">
        <v>135</v>
      </c>
      <c r="I23" s="3" t="s">
        <v>135</v>
      </c>
      <c r="J23" s="3" t="s">
        <v>136</v>
      </c>
      <c r="K23" s="3" t="s">
        <v>137</v>
      </c>
      <c r="L23" s="3" t="s">
        <v>138</v>
      </c>
      <c r="M23" s="3"/>
      <c r="N23" s="3"/>
      <c r="O23" s="3"/>
      <c r="P23" s="3"/>
      <c r="Q23" s="3"/>
      <c r="R23" s="3"/>
      <c r="S23" s="3"/>
      <c r="T23" s="3"/>
      <c r="U23" s="3">
        <v>3561</v>
      </c>
      <c r="V23" s="4">
        <v>42583</v>
      </c>
      <c r="W23" s="3" t="s">
        <v>31</v>
      </c>
      <c r="X23" s="3" t="s">
        <v>139</v>
      </c>
    </row>
    <row r="24" spans="1:24" ht="27.95" x14ac:dyDescent="0.3">
      <c r="A24" s="5">
        <v>18</v>
      </c>
      <c r="B24" s="5" t="str">
        <f>"201700077395"</f>
        <v>201700077395</v>
      </c>
      <c r="C24" s="5" t="str">
        <f>"119405"</f>
        <v>119405</v>
      </c>
      <c r="D24" s="5" t="s">
        <v>140</v>
      </c>
      <c r="E24" s="5">
        <v>20305385795</v>
      </c>
      <c r="F24" s="5" t="s">
        <v>141</v>
      </c>
      <c r="G24" s="5" t="s">
        <v>142</v>
      </c>
      <c r="H24" s="5" t="s">
        <v>28</v>
      </c>
      <c r="I24" s="5" t="s">
        <v>28</v>
      </c>
      <c r="J24" s="5" t="s">
        <v>91</v>
      </c>
      <c r="K24" s="5" t="s">
        <v>143</v>
      </c>
      <c r="L24" s="5" t="s">
        <v>144</v>
      </c>
      <c r="M24" s="5" t="s">
        <v>145</v>
      </c>
      <c r="N24" s="5" t="s">
        <v>146</v>
      </c>
      <c r="O24" s="5" t="s">
        <v>147</v>
      </c>
      <c r="P24" s="5" t="s">
        <v>148</v>
      </c>
      <c r="Q24" s="5" t="s">
        <v>149</v>
      </c>
      <c r="R24" s="5"/>
      <c r="S24" s="5"/>
      <c r="T24" s="5"/>
      <c r="U24" s="5">
        <v>43288</v>
      </c>
      <c r="V24" s="6">
        <v>42919</v>
      </c>
      <c r="W24" s="5" t="s">
        <v>31</v>
      </c>
      <c r="X24" s="5" t="s">
        <v>150</v>
      </c>
    </row>
    <row r="25" spans="1:24" ht="27.95" x14ac:dyDescent="0.3">
      <c r="A25" s="3">
        <v>19</v>
      </c>
      <c r="B25" s="3" t="str">
        <f>"201700100419"</f>
        <v>201700100419</v>
      </c>
      <c r="C25" s="3" t="str">
        <f>"122893"</f>
        <v>122893</v>
      </c>
      <c r="D25" s="3" t="s">
        <v>151</v>
      </c>
      <c r="E25" s="3">
        <v>20431871808</v>
      </c>
      <c r="F25" s="3" t="s">
        <v>152</v>
      </c>
      <c r="G25" s="3" t="s">
        <v>153</v>
      </c>
      <c r="H25" s="3" t="s">
        <v>51</v>
      </c>
      <c r="I25" s="3" t="s">
        <v>52</v>
      </c>
      <c r="J25" s="3" t="s">
        <v>52</v>
      </c>
      <c r="K25" s="3" t="s">
        <v>154</v>
      </c>
      <c r="L25" s="3" t="s">
        <v>154</v>
      </c>
      <c r="M25" s="3"/>
      <c r="N25" s="3"/>
      <c r="O25" s="3"/>
      <c r="P25" s="3"/>
      <c r="Q25" s="3"/>
      <c r="R25" s="3"/>
      <c r="S25" s="3"/>
      <c r="T25" s="3"/>
      <c r="U25" s="3">
        <v>25000</v>
      </c>
      <c r="V25" s="4">
        <v>42921</v>
      </c>
      <c r="W25" s="3" t="s">
        <v>31</v>
      </c>
      <c r="X25" s="3" t="s">
        <v>155</v>
      </c>
    </row>
    <row r="26" spans="1:24" ht="27.95" x14ac:dyDescent="0.3">
      <c r="A26" s="5">
        <v>20</v>
      </c>
      <c r="B26" s="5" t="str">
        <f>"1736288"</f>
        <v>1736288</v>
      </c>
      <c r="C26" s="5" t="str">
        <f>"37934"</f>
        <v>37934</v>
      </c>
      <c r="D26" s="5" t="s">
        <v>156</v>
      </c>
      <c r="E26" s="5">
        <v>20100247497</v>
      </c>
      <c r="F26" s="5" t="s">
        <v>157</v>
      </c>
      <c r="G26" s="5" t="s">
        <v>158</v>
      </c>
      <c r="H26" s="5" t="s">
        <v>115</v>
      </c>
      <c r="I26" s="5" t="s">
        <v>115</v>
      </c>
      <c r="J26" s="5" t="s">
        <v>159</v>
      </c>
      <c r="K26" s="5" t="s">
        <v>160</v>
      </c>
      <c r="L26" s="5"/>
      <c r="M26" s="5"/>
      <c r="N26" s="5"/>
      <c r="O26" s="5"/>
      <c r="P26" s="5"/>
      <c r="Q26" s="5"/>
      <c r="R26" s="5"/>
      <c r="S26" s="5"/>
      <c r="T26" s="5"/>
      <c r="U26" s="5">
        <v>2990</v>
      </c>
      <c r="V26" s="6">
        <v>39406</v>
      </c>
      <c r="W26" s="5" t="s">
        <v>31</v>
      </c>
      <c r="X26" s="5" t="s">
        <v>161</v>
      </c>
    </row>
    <row r="27" spans="1:24" x14ac:dyDescent="0.3">
      <c r="A27" s="3">
        <v>21</v>
      </c>
      <c r="B27" s="3" t="str">
        <f>"201900101139"</f>
        <v>201900101139</v>
      </c>
      <c r="C27" s="3" t="str">
        <f>"144816"</f>
        <v>144816</v>
      </c>
      <c r="D27" s="3" t="s">
        <v>162</v>
      </c>
      <c r="E27" s="3">
        <v>10048247437</v>
      </c>
      <c r="F27" s="3" t="s">
        <v>163</v>
      </c>
      <c r="G27" s="3" t="s">
        <v>164</v>
      </c>
      <c r="H27" s="3" t="s">
        <v>165</v>
      </c>
      <c r="I27" s="3" t="s">
        <v>166</v>
      </c>
      <c r="J27" s="3" t="s">
        <v>167</v>
      </c>
      <c r="K27" s="3" t="s">
        <v>168</v>
      </c>
      <c r="L27" s="3"/>
      <c r="M27" s="3"/>
      <c r="N27" s="3"/>
      <c r="O27" s="3"/>
      <c r="P27" s="3"/>
      <c r="Q27" s="3"/>
      <c r="R27" s="3"/>
      <c r="S27" s="3"/>
      <c r="T27" s="3"/>
      <c r="U27" s="3">
        <v>10000</v>
      </c>
      <c r="V27" s="4">
        <v>43639</v>
      </c>
      <c r="W27" s="3" t="s">
        <v>31</v>
      </c>
      <c r="X27" s="3" t="s">
        <v>163</v>
      </c>
    </row>
    <row r="28" spans="1:24" ht="27.95" x14ac:dyDescent="0.3">
      <c r="A28" s="5">
        <v>22</v>
      </c>
      <c r="B28" s="5" t="str">
        <f>"1404468"</f>
        <v>1404468</v>
      </c>
      <c r="C28" s="5" t="str">
        <f>"34344"</f>
        <v>34344</v>
      </c>
      <c r="D28" s="5" t="s">
        <v>169</v>
      </c>
      <c r="E28" s="5">
        <v>20160120763</v>
      </c>
      <c r="F28" s="5" t="s">
        <v>170</v>
      </c>
      <c r="G28" s="5" t="s">
        <v>171</v>
      </c>
      <c r="H28" s="5" t="s">
        <v>28</v>
      </c>
      <c r="I28" s="5" t="s">
        <v>28</v>
      </c>
      <c r="J28" s="5" t="s">
        <v>172</v>
      </c>
      <c r="K28" s="5" t="s">
        <v>46</v>
      </c>
      <c r="L28" s="5"/>
      <c r="M28" s="5"/>
      <c r="N28" s="5"/>
      <c r="O28" s="5"/>
      <c r="P28" s="5"/>
      <c r="Q28" s="5"/>
      <c r="R28" s="5"/>
      <c r="S28" s="5"/>
      <c r="T28" s="5"/>
      <c r="U28" s="5">
        <v>3000</v>
      </c>
      <c r="V28" s="6">
        <v>37700</v>
      </c>
      <c r="W28" s="5" t="s">
        <v>31</v>
      </c>
      <c r="X28" s="5" t="s">
        <v>173</v>
      </c>
    </row>
    <row r="29" spans="1:24" x14ac:dyDescent="0.3">
      <c r="A29" s="3">
        <v>23</v>
      </c>
      <c r="B29" s="3" t="str">
        <f>"201800057370"</f>
        <v>201800057370</v>
      </c>
      <c r="C29" s="3" t="str">
        <f>"102416"</f>
        <v>102416</v>
      </c>
      <c r="D29" s="3" t="s">
        <v>174</v>
      </c>
      <c r="E29" s="3">
        <v>10251991168</v>
      </c>
      <c r="F29" s="3" t="s">
        <v>175</v>
      </c>
      <c r="G29" s="3" t="s">
        <v>176</v>
      </c>
      <c r="H29" s="3" t="s">
        <v>165</v>
      </c>
      <c r="I29" s="3" t="s">
        <v>166</v>
      </c>
      <c r="J29" s="3" t="s">
        <v>165</v>
      </c>
      <c r="K29" s="3" t="s">
        <v>110</v>
      </c>
      <c r="L29" s="3" t="s">
        <v>110</v>
      </c>
      <c r="M29" s="3" t="s">
        <v>110</v>
      </c>
      <c r="N29" s="3"/>
      <c r="O29" s="3"/>
      <c r="P29" s="3"/>
      <c r="Q29" s="3"/>
      <c r="R29" s="3"/>
      <c r="S29" s="3"/>
      <c r="T29" s="3"/>
      <c r="U29" s="3">
        <v>12000</v>
      </c>
      <c r="V29" s="4">
        <v>43200</v>
      </c>
      <c r="W29" s="3" t="s">
        <v>31</v>
      </c>
      <c r="X29" s="3" t="s">
        <v>175</v>
      </c>
    </row>
    <row r="30" spans="1:24" ht="27.95" x14ac:dyDescent="0.3">
      <c r="A30" s="5">
        <v>24</v>
      </c>
      <c r="B30" s="5" t="str">
        <f>"201200139629"</f>
        <v>201200139629</v>
      </c>
      <c r="C30" s="5" t="str">
        <f>"96961"</f>
        <v>96961</v>
      </c>
      <c r="D30" s="5" t="s">
        <v>177</v>
      </c>
      <c r="E30" s="5">
        <v>20417926632</v>
      </c>
      <c r="F30" s="5" t="s">
        <v>178</v>
      </c>
      <c r="G30" s="5" t="s">
        <v>179</v>
      </c>
      <c r="H30" s="5" t="s">
        <v>28</v>
      </c>
      <c r="I30" s="5" t="s">
        <v>28</v>
      </c>
      <c r="J30" s="5" t="s">
        <v>180</v>
      </c>
      <c r="K30" s="5" t="s">
        <v>181</v>
      </c>
      <c r="L30" s="5"/>
      <c r="M30" s="5"/>
      <c r="N30" s="5"/>
      <c r="O30" s="5"/>
      <c r="P30" s="5"/>
      <c r="Q30" s="5"/>
      <c r="R30" s="5"/>
      <c r="S30" s="5"/>
      <c r="T30" s="5"/>
      <c r="U30" s="5">
        <v>5000</v>
      </c>
      <c r="V30" s="6">
        <v>41135</v>
      </c>
      <c r="W30" s="5" t="s">
        <v>31</v>
      </c>
      <c r="X30" s="5" t="s">
        <v>182</v>
      </c>
    </row>
    <row r="31" spans="1:24" ht="27.95" x14ac:dyDescent="0.3">
      <c r="A31" s="3">
        <v>25</v>
      </c>
      <c r="B31" s="3" t="str">
        <f>"1656180"</f>
        <v>1656180</v>
      </c>
      <c r="C31" s="3" t="str">
        <f>"44418"</f>
        <v>44418</v>
      </c>
      <c r="D31" s="3" t="s">
        <v>183</v>
      </c>
      <c r="E31" s="3">
        <v>20422292889</v>
      </c>
      <c r="F31" s="3" t="s">
        <v>184</v>
      </c>
      <c r="G31" s="3" t="s">
        <v>185</v>
      </c>
      <c r="H31" s="3" t="s">
        <v>28</v>
      </c>
      <c r="I31" s="3" t="s">
        <v>28</v>
      </c>
      <c r="J31" s="3" t="s">
        <v>186</v>
      </c>
      <c r="K31" s="3" t="s">
        <v>187</v>
      </c>
      <c r="L31" s="3"/>
      <c r="M31" s="3"/>
      <c r="N31" s="3"/>
      <c r="O31" s="3"/>
      <c r="P31" s="3"/>
      <c r="Q31" s="3"/>
      <c r="R31" s="3"/>
      <c r="S31" s="3"/>
      <c r="T31" s="3"/>
      <c r="U31" s="3">
        <v>3950</v>
      </c>
      <c r="V31" s="4">
        <v>39071</v>
      </c>
      <c r="W31" s="3" t="s">
        <v>31</v>
      </c>
      <c r="X31" s="3" t="s">
        <v>188</v>
      </c>
    </row>
    <row r="32" spans="1:24" ht="27.95" x14ac:dyDescent="0.3">
      <c r="A32" s="5">
        <v>26</v>
      </c>
      <c r="B32" s="5" t="str">
        <f>"202000059226"</f>
        <v>202000059226</v>
      </c>
      <c r="C32" s="5" t="str">
        <f>"140592"</f>
        <v>140592</v>
      </c>
      <c r="D32" s="5" t="s">
        <v>189</v>
      </c>
      <c r="E32" s="5">
        <v>20484002216</v>
      </c>
      <c r="F32" s="5" t="s">
        <v>190</v>
      </c>
      <c r="G32" s="5" t="s">
        <v>191</v>
      </c>
      <c r="H32" s="5" t="s">
        <v>80</v>
      </c>
      <c r="I32" s="5" t="s">
        <v>192</v>
      </c>
      <c r="J32" s="5" t="s">
        <v>192</v>
      </c>
      <c r="K32" s="5" t="s">
        <v>193</v>
      </c>
      <c r="L32" s="5" t="s">
        <v>193</v>
      </c>
      <c r="M32" s="5"/>
      <c r="N32" s="5"/>
      <c r="O32" s="5"/>
      <c r="P32" s="5"/>
      <c r="Q32" s="5"/>
      <c r="R32" s="5"/>
      <c r="S32" s="5"/>
      <c r="T32" s="5"/>
      <c r="U32" s="5">
        <v>5000</v>
      </c>
      <c r="V32" s="6">
        <v>43976</v>
      </c>
      <c r="W32" s="5" t="s">
        <v>31</v>
      </c>
      <c r="X32" s="5" t="s">
        <v>194</v>
      </c>
    </row>
    <row r="33" spans="1:24" x14ac:dyDescent="0.3">
      <c r="A33" s="3">
        <v>27</v>
      </c>
      <c r="B33" s="3" t="str">
        <f>"201900181120"</f>
        <v>201900181120</v>
      </c>
      <c r="C33" s="3" t="str">
        <f>"147550"</f>
        <v>147550</v>
      </c>
      <c r="D33" s="3" t="s">
        <v>195</v>
      </c>
      <c r="E33" s="3">
        <v>20555011653</v>
      </c>
      <c r="F33" s="3" t="s">
        <v>196</v>
      </c>
      <c r="G33" s="3" t="s">
        <v>197</v>
      </c>
      <c r="H33" s="3" t="s">
        <v>28</v>
      </c>
      <c r="I33" s="3" t="s">
        <v>28</v>
      </c>
      <c r="J33" s="3" t="s">
        <v>91</v>
      </c>
      <c r="K33" s="3" t="s">
        <v>198</v>
      </c>
      <c r="L33" s="3"/>
      <c r="M33" s="3"/>
      <c r="N33" s="3"/>
      <c r="O33" s="3"/>
      <c r="P33" s="3"/>
      <c r="Q33" s="3"/>
      <c r="R33" s="3"/>
      <c r="S33" s="3"/>
      <c r="T33" s="3"/>
      <c r="U33" s="3">
        <v>9000</v>
      </c>
      <c r="V33" s="4">
        <v>43775</v>
      </c>
      <c r="W33" s="3" t="s">
        <v>31</v>
      </c>
      <c r="X33" s="3" t="s">
        <v>199</v>
      </c>
    </row>
    <row r="34" spans="1:24" x14ac:dyDescent="0.3">
      <c r="A34" s="5">
        <v>28</v>
      </c>
      <c r="B34" s="5" t="str">
        <f>"1264998"</f>
        <v>1264998</v>
      </c>
      <c r="C34" s="5" t="str">
        <f>"18226"</f>
        <v>18226</v>
      </c>
      <c r="D34" s="5">
        <v>1264998</v>
      </c>
      <c r="E34" s="5">
        <v>20100373018</v>
      </c>
      <c r="F34" s="5" t="s">
        <v>200</v>
      </c>
      <c r="G34" s="5" t="s">
        <v>201</v>
      </c>
      <c r="H34" s="5" t="s">
        <v>28</v>
      </c>
      <c r="I34" s="5" t="s">
        <v>28</v>
      </c>
      <c r="J34" s="5" t="s">
        <v>202</v>
      </c>
      <c r="K34" s="5" t="s">
        <v>203</v>
      </c>
      <c r="L34" s="5"/>
      <c r="M34" s="5"/>
      <c r="N34" s="5"/>
      <c r="O34" s="5"/>
      <c r="P34" s="5"/>
      <c r="Q34" s="5"/>
      <c r="R34" s="5"/>
      <c r="S34" s="5"/>
      <c r="T34" s="5"/>
      <c r="U34" s="5">
        <v>4800</v>
      </c>
      <c r="V34" s="6">
        <v>36530</v>
      </c>
      <c r="W34" s="5" t="s">
        <v>31</v>
      </c>
      <c r="X34" s="5" t="s">
        <v>204</v>
      </c>
    </row>
    <row r="35" spans="1:24" ht="27.95" x14ac:dyDescent="0.3">
      <c r="A35" s="3">
        <v>29</v>
      </c>
      <c r="B35" s="3" t="str">
        <f>"201000000159"</f>
        <v>201000000159</v>
      </c>
      <c r="C35" s="3" t="str">
        <f>"16090"</f>
        <v>16090</v>
      </c>
      <c r="D35" s="3" t="s">
        <v>205</v>
      </c>
      <c r="E35" s="3">
        <v>20100152941</v>
      </c>
      <c r="F35" s="3" t="s">
        <v>206</v>
      </c>
      <c r="G35" s="3" t="s">
        <v>207</v>
      </c>
      <c r="H35" s="3" t="s">
        <v>28</v>
      </c>
      <c r="I35" s="3" t="s">
        <v>28</v>
      </c>
      <c r="J35" s="3" t="s">
        <v>208</v>
      </c>
      <c r="K35" s="3" t="s">
        <v>209</v>
      </c>
      <c r="L35" s="3"/>
      <c r="M35" s="3"/>
      <c r="N35" s="3"/>
      <c r="O35" s="3"/>
      <c r="P35" s="3"/>
      <c r="Q35" s="3"/>
      <c r="R35" s="3"/>
      <c r="S35" s="3"/>
      <c r="T35" s="3"/>
      <c r="U35" s="3">
        <v>10000</v>
      </c>
      <c r="V35" s="4">
        <v>39976</v>
      </c>
      <c r="W35" s="3" t="s">
        <v>31</v>
      </c>
      <c r="X35" s="3" t="s">
        <v>210</v>
      </c>
    </row>
    <row r="36" spans="1:24" ht="27.95" x14ac:dyDescent="0.3">
      <c r="A36" s="5">
        <v>30</v>
      </c>
      <c r="B36" s="5" t="str">
        <f>"201900020445"</f>
        <v>201900020445</v>
      </c>
      <c r="C36" s="5" t="str">
        <f>"141238"</f>
        <v>141238</v>
      </c>
      <c r="D36" s="5" t="s">
        <v>211</v>
      </c>
      <c r="E36" s="5">
        <v>20503909007</v>
      </c>
      <c r="F36" s="5" t="s">
        <v>212</v>
      </c>
      <c r="G36" s="5" t="s">
        <v>213</v>
      </c>
      <c r="H36" s="5" t="s">
        <v>214</v>
      </c>
      <c r="I36" s="5" t="s">
        <v>215</v>
      </c>
      <c r="J36" s="5" t="s">
        <v>216</v>
      </c>
      <c r="K36" s="5" t="s">
        <v>217</v>
      </c>
      <c r="L36" s="5" t="s">
        <v>217</v>
      </c>
      <c r="M36" s="5" t="s">
        <v>218</v>
      </c>
      <c r="N36" s="5"/>
      <c r="O36" s="5"/>
      <c r="P36" s="5"/>
      <c r="Q36" s="5"/>
      <c r="R36" s="5"/>
      <c r="S36" s="5"/>
      <c r="T36" s="5"/>
      <c r="U36" s="5">
        <v>800</v>
      </c>
      <c r="V36" s="6">
        <v>43503</v>
      </c>
      <c r="W36" s="5" t="s">
        <v>31</v>
      </c>
      <c r="X36" s="5" t="s">
        <v>219</v>
      </c>
    </row>
    <row r="37" spans="1:24" x14ac:dyDescent="0.3">
      <c r="A37" s="3">
        <v>31</v>
      </c>
      <c r="B37" s="3" t="str">
        <f>"201000000157"</f>
        <v>201000000157</v>
      </c>
      <c r="C37" s="3" t="str">
        <f>"132"</f>
        <v>132</v>
      </c>
      <c r="D37" s="3">
        <v>960686</v>
      </c>
      <c r="E37" s="3">
        <v>20100014123</v>
      </c>
      <c r="F37" s="3" t="s">
        <v>220</v>
      </c>
      <c r="G37" s="3" t="s">
        <v>221</v>
      </c>
      <c r="H37" s="3" t="s">
        <v>115</v>
      </c>
      <c r="I37" s="3" t="s">
        <v>115</v>
      </c>
      <c r="J37" s="3" t="s">
        <v>222</v>
      </c>
      <c r="K37" s="3" t="s">
        <v>223</v>
      </c>
      <c r="L37" s="3"/>
      <c r="M37" s="3"/>
      <c r="N37" s="3"/>
      <c r="O37" s="3"/>
      <c r="P37" s="3"/>
      <c r="Q37" s="3"/>
      <c r="R37" s="3"/>
      <c r="S37" s="3"/>
      <c r="T37" s="3"/>
      <c r="U37" s="3">
        <v>3500</v>
      </c>
      <c r="V37" s="4">
        <v>35465</v>
      </c>
      <c r="W37" s="3" t="s">
        <v>31</v>
      </c>
      <c r="X37" s="3" t="s">
        <v>224</v>
      </c>
    </row>
    <row r="38" spans="1:24" ht="27.95" x14ac:dyDescent="0.3">
      <c r="A38" s="5">
        <v>32</v>
      </c>
      <c r="B38" s="5" t="str">
        <f>"201000000158"</f>
        <v>201000000158</v>
      </c>
      <c r="C38" s="5" t="str">
        <f>"16484"</f>
        <v>16484</v>
      </c>
      <c r="D38" s="5" t="s">
        <v>225</v>
      </c>
      <c r="E38" s="5">
        <v>20357251991</v>
      </c>
      <c r="F38" s="5" t="s">
        <v>226</v>
      </c>
      <c r="G38" s="5" t="s">
        <v>227</v>
      </c>
      <c r="H38" s="5" t="s">
        <v>80</v>
      </c>
      <c r="I38" s="5" t="s">
        <v>228</v>
      </c>
      <c r="J38" s="5" t="s">
        <v>228</v>
      </c>
      <c r="K38" s="5" t="s">
        <v>229</v>
      </c>
      <c r="L38" s="5" t="s">
        <v>229</v>
      </c>
      <c r="M38" s="5"/>
      <c r="N38" s="5"/>
      <c r="O38" s="5"/>
      <c r="P38" s="5"/>
      <c r="Q38" s="5"/>
      <c r="R38" s="5"/>
      <c r="S38" s="5"/>
      <c r="T38" s="5"/>
      <c r="U38" s="5">
        <v>4000</v>
      </c>
      <c r="V38" s="6">
        <v>36654</v>
      </c>
      <c r="W38" s="5" t="s">
        <v>31</v>
      </c>
      <c r="X38" s="5" t="s">
        <v>230</v>
      </c>
    </row>
    <row r="39" spans="1:24" ht="27.95" x14ac:dyDescent="0.3">
      <c r="A39" s="3">
        <v>33</v>
      </c>
      <c r="B39" s="3" t="str">
        <f>"201600129477"</f>
        <v>201600129477</v>
      </c>
      <c r="C39" s="3" t="str">
        <f>"85612"</f>
        <v>85612</v>
      </c>
      <c r="D39" s="3" t="s">
        <v>231</v>
      </c>
      <c r="E39" s="3">
        <v>20131667818</v>
      </c>
      <c r="F39" s="3" t="s">
        <v>232</v>
      </c>
      <c r="G39" s="3" t="s">
        <v>233</v>
      </c>
      <c r="H39" s="3" t="s">
        <v>36</v>
      </c>
      <c r="I39" s="3" t="s">
        <v>234</v>
      </c>
      <c r="J39" s="3" t="s">
        <v>235</v>
      </c>
      <c r="K39" s="3" t="s">
        <v>236</v>
      </c>
      <c r="L39" s="3" t="s">
        <v>236</v>
      </c>
      <c r="M39" s="3" t="s">
        <v>236</v>
      </c>
      <c r="N39" s="3"/>
      <c r="O39" s="3"/>
      <c r="P39" s="3"/>
      <c r="Q39" s="3"/>
      <c r="R39" s="3"/>
      <c r="S39" s="3"/>
      <c r="T39" s="3"/>
      <c r="U39" s="3">
        <v>13500</v>
      </c>
      <c r="V39" s="4">
        <v>42625</v>
      </c>
      <c r="W39" s="3" t="s">
        <v>31</v>
      </c>
      <c r="X39" s="3" t="s">
        <v>237</v>
      </c>
    </row>
    <row r="40" spans="1:24" x14ac:dyDescent="0.3">
      <c r="A40" s="5">
        <v>34</v>
      </c>
      <c r="B40" s="5" t="str">
        <f>"1963864"</f>
        <v>1963864</v>
      </c>
      <c r="C40" s="5" t="str">
        <f>"1522"</f>
        <v>1522</v>
      </c>
      <c r="D40" s="5" t="s">
        <v>238</v>
      </c>
      <c r="E40" s="5">
        <v>20327397258</v>
      </c>
      <c r="F40" s="5" t="s">
        <v>239</v>
      </c>
      <c r="G40" s="5" t="s">
        <v>240</v>
      </c>
      <c r="H40" s="5" t="s">
        <v>51</v>
      </c>
      <c r="I40" s="5" t="s">
        <v>51</v>
      </c>
      <c r="J40" s="5" t="s">
        <v>241</v>
      </c>
      <c r="K40" s="5" t="s">
        <v>242</v>
      </c>
      <c r="L40" s="5" t="s">
        <v>243</v>
      </c>
      <c r="M40" s="5" t="s">
        <v>244</v>
      </c>
      <c r="N40" s="5"/>
      <c r="O40" s="5"/>
      <c r="P40" s="5"/>
      <c r="Q40" s="5"/>
      <c r="R40" s="5"/>
      <c r="S40" s="5"/>
      <c r="T40" s="5"/>
      <c r="U40" s="5">
        <v>35370</v>
      </c>
      <c r="V40" s="6">
        <v>40210</v>
      </c>
      <c r="W40" s="5" t="s">
        <v>31</v>
      </c>
      <c r="X40" s="5" t="s">
        <v>245</v>
      </c>
    </row>
    <row r="41" spans="1:24" ht="27.95" x14ac:dyDescent="0.3">
      <c r="A41" s="3">
        <v>35</v>
      </c>
      <c r="B41" s="3" t="str">
        <f>"202000132195"</f>
        <v>202000132195</v>
      </c>
      <c r="C41" s="3" t="str">
        <f>"89102"</f>
        <v>89102</v>
      </c>
      <c r="D41" s="3" t="s">
        <v>246</v>
      </c>
      <c r="E41" s="3">
        <v>20509516341</v>
      </c>
      <c r="F41" s="3" t="s">
        <v>26</v>
      </c>
      <c r="G41" s="3" t="s">
        <v>247</v>
      </c>
      <c r="H41" s="3" t="s">
        <v>28</v>
      </c>
      <c r="I41" s="3" t="s">
        <v>28</v>
      </c>
      <c r="J41" s="3" t="s">
        <v>91</v>
      </c>
      <c r="K41" s="3" t="s">
        <v>130</v>
      </c>
      <c r="L41" s="3"/>
      <c r="M41" s="3"/>
      <c r="N41" s="3"/>
      <c r="O41" s="3"/>
      <c r="P41" s="3"/>
      <c r="Q41" s="3"/>
      <c r="R41" s="3"/>
      <c r="S41" s="3"/>
      <c r="T41" s="3"/>
      <c r="U41" s="3">
        <v>3000</v>
      </c>
      <c r="V41" s="4">
        <v>44126</v>
      </c>
      <c r="W41" s="3" t="s">
        <v>31</v>
      </c>
      <c r="X41" s="3" t="s">
        <v>32</v>
      </c>
    </row>
    <row r="42" spans="1:24" x14ac:dyDescent="0.3">
      <c r="A42" s="5">
        <v>36</v>
      </c>
      <c r="B42" s="5" t="str">
        <f>"1783247"</f>
        <v>1783247</v>
      </c>
      <c r="C42" s="5" t="str">
        <f>"19"</f>
        <v>19</v>
      </c>
      <c r="D42" s="5" t="s">
        <v>248</v>
      </c>
      <c r="E42" s="5">
        <v>20100718872</v>
      </c>
      <c r="F42" s="5" t="s">
        <v>249</v>
      </c>
      <c r="G42" s="5" t="s">
        <v>250</v>
      </c>
      <c r="H42" s="5" t="s">
        <v>28</v>
      </c>
      <c r="I42" s="5" t="s">
        <v>28</v>
      </c>
      <c r="J42" s="5" t="s">
        <v>251</v>
      </c>
      <c r="K42" s="5" t="s">
        <v>252</v>
      </c>
      <c r="L42" s="5" t="s">
        <v>253</v>
      </c>
      <c r="M42" s="5" t="s">
        <v>252</v>
      </c>
      <c r="N42" s="5"/>
      <c r="O42" s="5"/>
      <c r="P42" s="5"/>
      <c r="Q42" s="5"/>
      <c r="R42" s="5"/>
      <c r="S42" s="5"/>
      <c r="T42" s="5"/>
      <c r="U42" s="5">
        <v>34000</v>
      </c>
      <c r="V42" s="6">
        <v>39590</v>
      </c>
      <c r="W42" s="5" t="s">
        <v>31</v>
      </c>
      <c r="X42" s="5" t="s">
        <v>254</v>
      </c>
    </row>
    <row r="43" spans="1:24" x14ac:dyDescent="0.3">
      <c r="A43" s="3">
        <v>37</v>
      </c>
      <c r="B43" s="3" t="str">
        <f>"201000000152"</f>
        <v>201000000152</v>
      </c>
      <c r="C43" s="3" t="str">
        <f>"1210"</f>
        <v>1210</v>
      </c>
      <c r="D43" s="3" t="s">
        <v>255</v>
      </c>
      <c r="E43" s="3">
        <v>20175517520</v>
      </c>
      <c r="F43" s="3" t="s">
        <v>256</v>
      </c>
      <c r="G43" s="3" t="s">
        <v>257</v>
      </c>
      <c r="H43" s="3" t="s">
        <v>36</v>
      </c>
      <c r="I43" s="3" t="s">
        <v>234</v>
      </c>
      <c r="J43" s="3" t="s">
        <v>258</v>
      </c>
      <c r="K43" s="3" t="s">
        <v>259</v>
      </c>
      <c r="L43" s="3"/>
      <c r="M43" s="3"/>
      <c r="N43" s="3"/>
      <c r="O43" s="3"/>
      <c r="P43" s="3"/>
      <c r="Q43" s="3"/>
      <c r="R43" s="3"/>
      <c r="S43" s="3"/>
      <c r="T43" s="3"/>
      <c r="U43" s="3">
        <v>6000</v>
      </c>
      <c r="V43" s="4">
        <v>37009</v>
      </c>
      <c r="W43" s="3" t="s">
        <v>31</v>
      </c>
      <c r="X43" s="3" t="s">
        <v>260</v>
      </c>
    </row>
    <row r="44" spans="1:24" x14ac:dyDescent="0.3">
      <c r="A44" s="5">
        <v>38</v>
      </c>
      <c r="B44" s="5" t="str">
        <f>"201000000154"</f>
        <v>201000000154</v>
      </c>
      <c r="C44" s="5" t="str">
        <f>"20151"</f>
        <v>20151</v>
      </c>
      <c r="D44" s="5" t="s">
        <v>261</v>
      </c>
      <c r="E44" s="5">
        <v>20353987837</v>
      </c>
      <c r="F44" s="5" t="s">
        <v>262</v>
      </c>
      <c r="G44" s="5" t="s">
        <v>263</v>
      </c>
      <c r="H44" s="5" t="s">
        <v>264</v>
      </c>
      <c r="I44" s="5" t="s">
        <v>265</v>
      </c>
      <c r="J44" s="5" t="s">
        <v>266</v>
      </c>
      <c r="K44" s="5" t="s">
        <v>267</v>
      </c>
      <c r="L44" s="5"/>
      <c r="M44" s="5"/>
      <c r="N44" s="5"/>
      <c r="O44" s="5"/>
      <c r="P44" s="5"/>
      <c r="Q44" s="5"/>
      <c r="R44" s="5"/>
      <c r="S44" s="5"/>
      <c r="T44" s="5"/>
      <c r="U44" s="5">
        <v>21886</v>
      </c>
      <c r="V44" s="6">
        <v>36756</v>
      </c>
      <c r="W44" s="5" t="s">
        <v>31</v>
      </c>
      <c r="X44" s="5" t="s">
        <v>268</v>
      </c>
    </row>
    <row r="45" spans="1:24" x14ac:dyDescent="0.3">
      <c r="A45" s="3">
        <v>39</v>
      </c>
      <c r="B45" s="3" t="str">
        <f>"201000000153"</f>
        <v>201000000153</v>
      </c>
      <c r="C45" s="3" t="str">
        <f>"18685"</f>
        <v>18685</v>
      </c>
      <c r="D45" s="3" t="s">
        <v>269</v>
      </c>
      <c r="E45" s="3">
        <v>20344943801</v>
      </c>
      <c r="F45" s="3" t="s">
        <v>270</v>
      </c>
      <c r="G45" s="3" t="s">
        <v>271</v>
      </c>
      <c r="H45" s="3" t="s">
        <v>36</v>
      </c>
      <c r="I45" s="3" t="s">
        <v>234</v>
      </c>
      <c r="J45" s="3" t="s">
        <v>234</v>
      </c>
      <c r="K45" s="3" t="s">
        <v>272</v>
      </c>
      <c r="L45" s="3" t="s">
        <v>259</v>
      </c>
      <c r="M45" s="3" t="s">
        <v>273</v>
      </c>
      <c r="N45" s="3"/>
      <c r="O45" s="3"/>
      <c r="P45" s="3"/>
      <c r="Q45" s="3"/>
      <c r="R45" s="3"/>
      <c r="S45" s="3"/>
      <c r="T45" s="3"/>
      <c r="U45" s="3">
        <v>14000</v>
      </c>
      <c r="V45" s="4">
        <v>36824</v>
      </c>
      <c r="W45" s="3" t="s">
        <v>31</v>
      </c>
      <c r="X45" s="3" t="s">
        <v>274</v>
      </c>
    </row>
    <row r="46" spans="1:24" ht="27.95" x14ac:dyDescent="0.3">
      <c r="A46" s="5">
        <v>40</v>
      </c>
      <c r="B46" s="5" t="str">
        <f>"1127639"</f>
        <v>1127639</v>
      </c>
      <c r="C46" s="5" t="str">
        <f>"1438"</f>
        <v>1438</v>
      </c>
      <c r="D46" s="5">
        <v>998708</v>
      </c>
      <c r="E46" s="5">
        <v>20100064571</v>
      </c>
      <c r="F46" s="5" t="s">
        <v>275</v>
      </c>
      <c r="G46" s="5" t="s">
        <v>276</v>
      </c>
      <c r="H46" s="5" t="s">
        <v>28</v>
      </c>
      <c r="I46" s="5" t="s">
        <v>28</v>
      </c>
      <c r="J46" s="5" t="s">
        <v>91</v>
      </c>
      <c r="K46" s="5" t="s">
        <v>277</v>
      </c>
      <c r="L46" s="5"/>
      <c r="M46" s="5"/>
      <c r="N46" s="5"/>
      <c r="O46" s="5"/>
      <c r="P46" s="5"/>
      <c r="Q46" s="5"/>
      <c r="R46" s="5"/>
      <c r="S46" s="5"/>
      <c r="T46" s="5"/>
      <c r="U46" s="5">
        <v>3150</v>
      </c>
      <c r="V46" s="6">
        <v>35615</v>
      </c>
      <c r="W46" s="5" t="s">
        <v>31</v>
      </c>
      <c r="X46" s="5" t="s">
        <v>278</v>
      </c>
    </row>
    <row r="47" spans="1:24" ht="27.95" x14ac:dyDescent="0.3">
      <c r="A47" s="3">
        <v>41</v>
      </c>
      <c r="B47" s="3" t="str">
        <f>"1127636"</f>
        <v>1127636</v>
      </c>
      <c r="C47" s="3" t="str">
        <f>"549"</f>
        <v>549</v>
      </c>
      <c r="D47" s="3">
        <v>998707</v>
      </c>
      <c r="E47" s="3">
        <v>20100064571</v>
      </c>
      <c r="F47" s="3" t="s">
        <v>275</v>
      </c>
      <c r="G47" s="3" t="s">
        <v>279</v>
      </c>
      <c r="H47" s="3" t="s">
        <v>28</v>
      </c>
      <c r="I47" s="3" t="s">
        <v>28</v>
      </c>
      <c r="J47" s="3" t="s">
        <v>91</v>
      </c>
      <c r="K47" s="3" t="s">
        <v>280</v>
      </c>
      <c r="L47" s="3" t="s">
        <v>281</v>
      </c>
      <c r="M47" s="3" t="s">
        <v>281</v>
      </c>
      <c r="N47" s="3" t="s">
        <v>280</v>
      </c>
      <c r="O47" s="3"/>
      <c r="P47" s="3"/>
      <c r="Q47" s="3"/>
      <c r="R47" s="3"/>
      <c r="S47" s="3"/>
      <c r="T47" s="3"/>
      <c r="U47" s="3">
        <v>34990</v>
      </c>
      <c r="V47" s="4">
        <v>35615</v>
      </c>
      <c r="W47" s="3" t="s">
        <v>31</v>
      </c>
      <c r="X47" s="3" t="s">
        <v>278</v>
      </c>
    </row>
    <row r="48" spans="1:24" x14ac:dyDescent="0.3">
      <c r="A48" s="5">
        <v>42</v>
      </c>
      <c r="B48" s="5" t="str">
        <f>"201900042839"</f>
        <v>201900042839</v>
      </c>
      <c r="C48" s="5" t="str">
        <f>"141979"</f>
        <v>141979</v>
      </c>
      <c r="D48" s="5" t="s">
        <v>282</v>
      </c>
      <c r="E48" s="5">
        <v>20116225779</v>
      </c>
      <c r="F48" s="5" t="s">
        <v>283</v>
      </c>
      <c r="G48" s="5" t="s">
        <v>284</v>
      </c>
      <c r="H48" s="5" t="s">
        <v>285</v>
      </c>
      <c r="I48" s="5" t="s">
        <v>286</v>
      </c>
      <c r="J48" s="5" t="s">
        <v>287</v>
      </c>
      <c r="K48" s="5" t="s">
        <v>168</v>
      </c>
      <c r="L48" s="5"/>
      <c r="M48" s="5"/>
      <c r="N48" s="5"/>
      <c r="O48" s="5"/>
      <c r="P48" s="5"/>
      <c r="Q48" s="5"/>
      <c r="R48" s="5"/>
      <c r="S48" s="5"/>
      <c r="T48" s="5"/>
      <c r="U48" s="5">
        <v>10000</v>
      </c>
      <c r="V48" s="6">
        <v>43544</v>
      </c>
      <c r="W48" s="5" t="s">
        <v>31</v>
      </c>
      <c r="X48" s="5" t="s">
        <v>288</v>
      </c>
    </row>
    <row r="49" spans="1:24" x14ac:dyDescent="0.3">
      <c r="A49" s="3">
        <v>43</v>
      </c>
      <c r="B49" s="3" t="str">
        <f>"201800158204"</f>
        <v>201800158204</v>
      </c>
      <c r="C49" s="3" t="str">
        <f>"682"</f>
        <v>682</v>
      </c>
      <c r="D49" s="3" t="s">
        <v>289</v>
      </c>
      <c r="E49" s="3">
        <v>20125959483</v>
      </c>
      <c r="F49" s="3" t="s">
        <v>290</v>
      </c>
      <c r="G49" s="3" t="s">
        <v>291</v>
      </c>
      <c r="H49" s="3" t="s">
        <v>292</v>
      </c>
      <c r="I49" s="3" t="s">
        <v>293</v>
      </c>
      <c r="J49" s="3" t="s">
        <v>294</v>
      </c>
      <c r="K49" s="3" t="s">
        <v>295</v>
      </c>
      <c r="L49" s="3" t="s">
        <v>296</v>
      </c>
      <c r="M49" s="3" t="s">
        <v>297</v>
      </c>
      <c r="N49" s="3"/>
      <c r="O49" s="3"/>
      <c r="P49" s="3"/>
      <c r="Q49" s="3"/>
      <c r="R49" s="3"/>
      <c r="S49" s="3"/>
      <c r="T49" s="3"/>
      <c r="U49" s="3">
        <v>29240</v>
      </c>
      <c r="V49" s="4">
        <v>43398</v>
      </c>
      <c r="W49" s="3" t="s">
        <v>31</v>
      </c>
      <c r="X49" s="3" t="s">
        <v>298</v>
      </c>
    </row>
    <row r="50" spans="1:24" x14ac:dyDescent="0.3">
      <c r="A50" s="5">
        <v>44</v>
      </c>
      <c r="B50" s="5" t="str">
        <f>"202000057681"</f>
        <v>202000057681</v>
      </c>
      <c r="C50" s="5" t="str">
        <f>"96428"</f>
        <v>96428</v>
      </c>
      <c r="D50" s="5" t="s">
        <v>299</v>
      </c>
      <c r="E50" s="5">
        <v>20385218029</v>
      </c>
      <c r="F50" s="5" t="s">
        <v>300</v>
      </c>
      <c r="G50" s="5" t="s">
        <v>301</v>
      </c>
      <c r="H50" s="5" t="s">
        <v>80</v>
      </c>
      <c r="I50" s="5" t="s">
        <v>302</v>
      </c>
      <c r="J50" s="5" t="s">
        <v>303</v>
      </c>
      <c r="K50" s="5" t="s">
        <v>304</v>
      </c>
      <c r="L50" s="5"/>
      <c r="M50" s="5"/>
      <c r="N50" s="5"/>
      <c r="O50" s="5"/>
      <c r="P50" s="5"/>
      <c r="Q50" s="5"/>
      <c r="R50" s="5"/>
      <c r="S50" s="5"/>
      <c r="T50" s="5"/>
      <c r="U50" s="5">
        <v>5905</v>
      </c>
      <c r="V50" s="6">
        <v>43985</v>
      </c>
      <c r="W50" s="5" t="s">
        <v>31</v>
      </c>
      <c r="X50" s="5" t="s">
        <v>305</v>
      </c>
    </row>
    <row r="51" spans="1:24" x14ac:dyDescent="0.3">
      <c r="A51" s="3">
        <v>45</v>
      </c>
      <c r="B51" s="3" t="str">
        <f>"202000086808"</f>
        <v>202000086808</v>
      </c>
      <c r="C51" s="3" t="str">
        <f>"84572"</f>
        <v>84572</v>
      </c>
      <c r="D51" s="3" t="s">
        <v>306</v>
      </c>
      <c r="E51" s="3">
        <v>20512773924</v>
      </c>
      <c r="F51" s="3" t="s">
        <v>307</v>
      </c>
      <c r="G51" s="3" t="s">
        <v>308</v>
      </c>
      <c r="H51" s="3" t="s">
        <v>80</v>
      </c>
      <c r="I51" s="3" t="s">
        <v>309</v>
      </c>
      <c r="J51" s="3" t="s">
        <v>309</v>
      </c>
      <c r="K51" s="3" t="s">
        <v>310</v>
      </c>
      <c r="L51" s="3" t="s">
        <v>311</v>
      </c>
      <c r="M51" s="3"/>
      <c r="N51" s="3"/>
      <c r="O51" s="3"/>
      <c r="P51" s="3"/>
      <c r="Q51" s="3"/>
      <c r="R51" s="3"/>
      <c r="S51" s="3"/>
      <c r="T51" s="3"/>
      <c r="U51" s="3">
        <v>18500</v>
      </c>
      <c r="V51" s="4">
        <v>44034</v>
      </c>
      <c r="W51" s="3" t="s">
        <v>31</v>
      </c>
      <c r="X51" s="3" t="s">
        <v>312</v>
      </c>
    </row>
    <row r="52" spans="1:24" ht="27.95" x14ac:dyDescent="0.3">
      <c r="A52" s="5">
        <v>46</v>
      </c>
      <c r="B52" s="5" t="str">
        <f>"201700022382"</f>
        <v>201700022382</v>
      </c>
      <c r="C52" s="5" t="str">
        <f>"126573"</f>
        <v>126573</v>
      </c>
      <c r="D52" s="5" t="s">
        <v>313</v>
      </c>
      <c r="E52" s="5">
        <v>20536126440</v>
      </c>
      <c r="F52" s="5" t="s">
        <v>314</v>
      </c>
      <c r="G52" s="5" t="s">
        <v>315</v>
      </c>
      <c r="H52" s="5" t="s">
        <v>51</v>
      </c>
      <c r="I52" s="5" t="s">
        <v>316</v>
      </c>
      <c r="J52" s="5" t="s">
        <v>317</v>
      </c>
      <c r="K52" s="5" t="s">
        <v>198</v>
      </c>
      <c r="L52" s="5" t="s">
        <v>193</v>
      </c>
      <c r="M52" s="5"/>
      <c r="N52" s="5"/>
      <c r="O52" s="5"/>
      <c r="P52" s="5"/>
      <c r="Q52" s="5"/>
      <c r="R52" s="5"/>
      <c r="S52" s="5"/>
      <c r="T52" s="5"/>
      <c r="U52" s="5">
        <v>11500</v>
      </c>
      <c r="V52" s="6">
        <v>42797</v>
      </c>
      <c r="W52" s="5" t="s">
        <v>31</v>
      </c>
      <c r="X52" s="5" t="s">
        <v>318</v>
      </c>
    </row>
    <row r="53" spans="1:24" ht="27.95" x14ac:dyDescent="0.3">
      <c r="A53" s="3">
        <v>47</v>
      </c>
      <c r="B53" s="3" t="str">
        <f>"1330866"</f>
        <v>1330866</v>
      </c>
      <c r="C53" s="3" t="str">
        <f>"21172"</f>
        <v>21172</v>
      </c>
      <c r="D53" s="3" t="s">
        <v>319</v>
      </c>
      <c r="E53" s="3">
        <v>20107410253</v>
      </c>
      <c r="F53" s="3" t="s">
        <v>320</v>
      </c>
      <c r="G53" s="3" t="s">
        <v>321</v>
      </c>
      <c r="H53" s="3" t="s">
        <v>28</v>
      </c>
      <c r="I53" s="3" t="s">
        <v>72</v>
      </c>
      <c r="J53" s="3" t="s">
        <v>322</v>
      </c>
      <c r="K53" s="3" t="s">
        <v>323</v>
      </c>
      <c r="L53" s="3"/>
      <c r="M53" s="3"/>
      <c r="N53" s="3"/>
      <c r="O53" s="3"/>
      <c r="P53" s="3"/>
      <c r="Q53" s="3"/>
      <c r="R53" s="3"/>
      <c r="S53" s="3"/>
      <c r="T53" s="3"/>
      <c r="U53" s="3">
        <v>4000</v>
      </c>
      <c r="V53" s="4">
        <v>37113</v>
      </c>
      <c r="W53" s="3" t="s">
        <v>31</v>
      </c>
      <c r="X53" s="3" t="s">
        <v>324</v>
      </c>
    </row>
    <row r="54" spans="1:24" x14ac:dyDescent="0.3">
      <c r="A54" s="5">
        <v>48</v>
      </c>
      <c r="B54" s="5" t="str">
        <f>"201000000146"</f>
        <v>201000000146</v>
      </c>
      <c r="C54" s="5" t="str">
        <f>"288"</f>
        <v>288</v>
      </c>
      <c r="D54" s="5" t="s">
        <v>325</v>
      </c>
      <c r="E54" s="5">
        <v>20100168350</v>
      </c>
      <c r="F54" s="5" t="s">
        <v>326</v>
      </c>
      <c r="G54" s="5" t="s">
        <v>327</v>
      </c>
      <c r="H54" s="5" t="s">
        <v>28</v>
      </c>
      <c r="I54" s="5" t="s">
        <v>28</v>
      </c>
      <c r="J54" s="5" t="s">
        <v>328</v>
      </c>
      <c r="K54" s="5" t="s">
        <v>253</v>
      </c>
      <c r="L54" s="5" t="s">
        <v>329</v>
      </c>
      <c r="M54" s="5"/>
      <c r="N54" s="5"/>
      <c r="O54" s="5"/>
      <c r="P54" s="5"/>
      <c r="Q54" s="5"/>
      <c r="R54" s="5"/>
      <c r="S54" s="5"/>
      <c r="T54" s="5"/>
      <c r="U54" s="5">
        <v>28000</v>
      </c>
      <c r="V54" s="6">
        <v>38040</v>
      </c>
      <c r="W54" s="5" t="s">
        <v>31</v>
      </c>
      <c r="X54" s="5" t="s">
        <v>330</v>
      </c>
    </row>
    <row r="55" spans="1:24" ht="27.95" x14ac:dyDescent="0.3">
      <c r="A55" s="3">
        <v>49</v>
      </c>
      <c r="B55" s="3" t="str">
        <f>"201000000147"</f>
        <v>201000000147</v>
      </c>
      <c r="C55" s="3" t="str">
        <f>"931"</f>
        <v>931</v>
      </c>
      <c r="D55" s="3" t="s">
        <v>331</v>
      </c>
      <c r="E55" s="3">
        <v>20146678573</v>
      </c>
      <c r="F55" s="3" t="s">
        <v>332</v>
      </c>
      <c r="G55" s="3" t="s">
        <v>333</v>
      </c>
      <c r="H55" s="3" t="s">
        <v>334</v>
      </c>
      <c r="I55" s="3" t="s">
        <v>335</v>
      </c>
      <c r="J55" s="3" t="s">
        <v>336</v>
      </c>
      <c r="K55" s="3" t="s">
        <v>337</v>
      </c>
      <c r="L55" s="3" t="s">
        <v>229</v>
      </c>
      <c r="M55" s="3"/>
      <c r="N55" s="3"/>
      <c r="O55" s="3"/>
      <c r="P55" s="3"/>
      <c r="Q55" s="3"/>
      <c r="R55" s="3"/>
      <c r="S55" s="3"/>
      <c r="T55" s="3"/>
      <c r="U55" s="3">
        <v>6000</v>
      </c>
      <c r="V55" s="4">
        <v>38215</v>
      </c>
      <c r="W55" s="3" t="s">
        <v>31</v>
      </c>
      <c r="X55" s="3" t="s">
        <v>338</v>
      </c>
    </row>
    <row r="56" spans="1:24" x14ac:dyDescent="0.3">
      <c r="A56" s="5">
        <v>50</v>
      </c>
      <c r="B56" s="5" t="str">
        <f>"1111419"</f>
        <v>1111419</v>
      </c>
      <c r="C56" s="5" t="str">
        <f>"1493"</f>
        <v>1493</v>
      </c>
      <c r="D56" s="5">
        <v>1111419</v>
      </c>
      <c r="E56" s="5">
        <v>20228196585</v>
      </c>
      <c r="F56" s="5" t="s">
        <v>339</v>
      </c>
      <c r="G56" s="5" t="s">
        <v>340</v>
      </c>
      <c r="H56" s="5" t="s">
        <v>36</v>
      </c>
      <c r="I56" s="5" t="s">
        <v>234</v>
      </c>
      <c r="J56" s="5" t="s">
        <v>258</v>
      </c>
      <c r="K56" s="5" t="s">
        <v>341</v>
      </c>
      <c r="L56" s="5" t="s">
        <v>342</v>
      </c>
      <c r="M56" s="5" t="s">
        <v>343</v>
      </c>
      <c r="N56" s="5" t="s">
        <v>344</v>
      </c>
      <c r="O56" s="5" t="s">
        <v>345</v>
      </c>
      <c r="P56" s="5"/>
      <c r="Q56" s="5"/>
      <c r="R56" s="5"/>
      <c r="S56" s="5"/>
      <c r="T56" s="5"/>
      <c r="U56" s="5">
        <v>38750</v>
      </c>
      <c r="V56" s="6">
        <v>35600</v>
      </c>
      <c r="W56" s="5" t="s">
        <v>31</v>
      </c>
      <c r="X56" s="5" t="s">
        <v>346</v>
      </c>
    </row>
    <row r="57" spans="1:24" ht="27.95" x14ac:dyDescent="0.3">
      <c r="A57" s="3">
        <v>51</v>
      </c>
      <c r="B57" s="3" t="str">
        <f>"201000000149"</f>
        <v>201000000149</v>
      </c>
      <c r="C57" s="3" t="str">
        <f>"962"</f>
        <v>962</v>
      </c>
      <c r="D57" s="3" t="s">
        <v>347</v>
      </c>
      <c r="E57" s="3">
        <v>20122749399</v>
      </c>
      <c r="F57" s="3" t="s">
        <v>348</v>
      </c>
      <c r="G57" s="3" t="s">
        <v>349</v>
      </c>
      <c r="H57" s="3" t="s">
        <v>28</v>
      </c>
      <c r="I57" s="3" t="s">
        <v>28</v>
      </c>
      <c r="J57" s="3" t="s">
        <v>91</v>
      </c>
      <c r="K57" s="3" t="s">
        <v>350</v>
      </c>
      <c r="L57" s="3" t="s">
        <v>351</v>
      </c>
      <c r="M57" s="3"/>
      <c r="N57" s="3"/>
      <c r="O57" s="3"/>
      <c r="P57" s="3"/>
      <c r="Q57" s="3"/>
      <c r="R57" s="3"/>
      <c r="S57" s="3"/>
      <c r="T57" s="3"/>
      <c r="U57" s="3">
        <v>8700</v>
      </c>
      <c r="V57" s="4">
        <v>38383</v>
      </c>
      <c r="W57" s="3" t="s">
        <v>31</v>
      </c>
      <c r="X57" s="3" t="s">
        <v>352</v>
      </c>
    </row>
    <row r="58" spans="1:24" ht="27.95" x14ac:dyDescent="0.3">
      <c r="A58" s="5">
        <v>52</v>
      </c>
      <c r="B58" s="5" t="str">
        <f>"201200015994"</f>
        <v>201200015994</v>
      </c>
      <c r="C58" s="5" t="str">
        <f>"95386"</f>
        <v>95386</v>
      </c>
      <c r="D58" s="5" t="s">
        <v>353</v>
      </c>
      <c r="E58" s="5">
        <v>20253358484</v>
      </c>
      <c r="F58" s="5" t="s">
        <v>354</v>
      </c>
      <c r="G58" s="5" t="s">
        <v>355</v>
      </c>
      <c r="H58" s="5" t="s">
        <v>115</v>
      </c>
      <c r="I58" s="5" t="s">
        <v>115</v>
      </c>
      <c r="J58" s="5" t="s">
        <v>116</v>
      </c>
      <c r="K58" s="5" t="s">
        <v>181</v>
      </c>
      <c r="L58" s="5"/>
      <c r="M58" s="5"/>
      <c r="N58" s="5"/>
      <c r="O58" s="5"/>
      <c r="P58" s="5"/>
      <c r="Q58" s="5"/>
      <c r="R58" s="5"/>
      <c r="S58" s="5"/>
      <c r="T58" s="5"/>
      <c r="U58" s="5">
        <v>5000</v>
      </c>
      <c r="V58" s="6">
        <v>40941</v>
      </c>
      <c r="W58" s="5" t="s">
        <v>31</v>
      </c>
      <c r="X58" s="5" t="s">
        <v>356</v>
      </c>
    </row>
    <row r="59" spans="1:24" x14ac:dyDescent="0.3">
      <c r="A59" s="3">
        <v>53</v>
      </c>
      <c r="B59" s="3" t="str">
        <f>"1564074"</f>
        <v>1564074</v>
      </c>
      <c r="C59" s="3" t="str">
        <f>"4140"</f>
        <v>4140</v>
      </c>
      <c r="D59" s="3" t="s">
        <v>357</v>
      </c>
      <c r="E59" s="3">
        <v>20100013151</v>
      </c>
      <c r="F59" s="3" t="s">
        <v>358</v>
      </c>
      <c r="G59" s="3" t="s">
        <v>359</v>
      </c>
      <c r="H59" s="3" t="s">
        <v>292</v>
      </c>
      <c r="I59" s="3" t="s">
        <v>293</v>
      </c>
      <c r="J59" s="3" t="s">
        <v>360</v>
      </c>
      <c r="K59" s="3" t="s">
        <v>361</v>
      </c>
      <c r="L59" s="3"/>
      <c r="M59" s="3"/>
      <c r="N59" s="3"/>
      <c r="O59" s="3"/>
      <c r="P59" s="3"/>
      <c r="Q59" s="3"/>
      <c r="R59" s="3"/>
      <c r="S59" s="3"/>
      <c r="T59" s="3"/>
      <c r="U59" s="3">
        <v>4870</v>
      </c>
      <c r="V59" s="4">
        <v>38552</v>
      </c>
      <c r="W59" s="3" t="s">
        <v>31</v>
      </c>
      <c r="X59" s="3" t="s">
        <v>362</v>
      </c>
    </row>
    <row r="60" spans="1:24" ht="27.95" x14ac:dyDescent="0.3">
      <c r="A60" s="5">
        <v>54</v>
      </c>
      <c r="B60" s="5" t="str">
        <f>"201400026849"</f>
        <v>201400026849</v>
      </c>
      <c r="C60" s="5" t="str">
        <f>"96575"</f>
        <v>96575</v>
      </c>
      <c r="D60" s="5" t="s">
        <v>363</v>
      </c>
      <c r="E60" s="5">
        <v>20205467603</v>
      </c>
      <c r="F60" s="5" t="s">
        <v>364</v>
      </c>
      <c r="G60" s="5" t="s">
        <v>365</v>
      </c>
      <c r="H60" s="5" t="s">
        <v>36</v>
      </c>
      <c r="I60" s="5" t="s">
        <v>366</v>
      </c>
      <c r="J60" s="5" t="s">
        <v>367</v>
      </c>
      <c r="K60" s="5" t="s">
        <v>368</v>
      </c>
      <c r="L60" s="5" t="s">
        <v>368</v>
      </c>
      <c r="M60" s="5" t="s">
        <v>368</v>
      </c>
      <c r="N60" s="5" t="s">
        <v>368</v>
      </c>
      <c r="O60" s="5"/>
      <c r="P60" s="5"/>
      <c r="Q60" s="5"/>
      <c r="R60" s="5"/>
      <c r="S60" s="5"/>
      <c r="T60" s="5"/>
      <c r="U60" s="5">
        <v>240000</v>
      </c>
      <c r="V60" s="6">
        <v>41774</v>
      </c>
      <c r="W60" s="5" t="s">
        <v>31</v>
      </c>
      <c r="X60" s="5" t="s">
        <v>369</v>
      </c>
    </row>
    <row r="61" spans="1:24" ht="27.95" x14ac:dyDescent="0.3">
      <c r="A61" s="3">
        <v>55</v>
      </c>
      <c r="B61" s="3" t="str">
        <f>"202000058053"</f>
        <v>202000058053</v>
      </c>
      <c r="C61" s="3" t="str">
        <f>"147636"</f>
        <v>147636</v>
      </c>
      <c r="D61" s="3" t="s">
        <v>370</v>
      </c>
      <c r="E61" s="3">
        <v>20542232006</v>
      </c>
      <c r="F61" s="3" t="s">
        <v>371</v>
      </c>
      <c r="G61" s="3" t="s">
        <v>372</v>
      </c>
      <c r="H61" s="3" t="s">
        <v>373</v>
      </c>
      <c r="I61" s="3" t="s">
        <v>374</v>
      </c>
      <c r="J61" s="3" t="s">
        <v>375</v>
      </c>
      <c r="K61" s="3" t="s">
        <v>376</v>
      </c>
      <c r="L61" s="3" t="s">
        <v>377</v>
      </c>
      <c r="M61" s="3"/>
      <c r="N61" s="3"/>
      <c r="O61" s="3"/>
      <c r="P61" s="3"/>
      <c r="Q61" s="3"/>
      <c r="R61" s="3"/>
      <c r="S61" s="3"/>
      <c r="T61" s="3"/>
      <c r="U61" s="3">
        <v>1560.68</v>
      </c>
      <c r="V61" s="4">
        <v>43971</v>
      </c>
      <c r="W61" s="3" t="s">
        <v>31</v>
      </c>
      <c r="X61" s="3" t="s">
        <v>378</v>
      </c>
    </row>
    <row r="62" spans="1:24" ht="27.95" x14ac:dyDescent="0.3">
      <c r="A62" s="5">
        <v>56</v>
      </c>
      <c r="B62" s="5" t="str">
        <f>"201600143506"</f>
        <v>201600143506</v>
      </c>
      <c r="C62" s="5" t="str">
        <f>"113058"</f>
        <v>113058</v>
      </c>
      <c r="D62" s="5" t="s">
        <v>379</v>
      </c>
      <c r="E62" s="5">
        <v>20440223207</v>
      </c>
      <c r="F62" s="5" t="s">
        <v>380</v>
      </c>
      <c r="G62" s="5" t="s">
        <v>381</v>
      </c>
      <c r="H62" s="5" t="s">
        <v>36</v>
      </c>
      <c r="I62" s="5" t="s">
        <v>234</v>
      </c>
      <c r="J62" s="5" t="s">
        <v>235</v>
      </c>
      <c r="K62" s="5" t="s">
        <v>382</v>
      </c>
      <c r="L62" s="5"/>
      <c r="M62" s="5"/>
      <c r="N62" s="5"/>
      <c r="O62" s="5"/>
      <c r="P62" s="5"/>
      <c r="Q62" s="5"/>
      <c r="R62" s="5"/>
      <c r="S62" s="5"/>
      <c r="T62" s="5"/>
      <c r="U62" s="5">
        <v>8000</v>
      </c>
      <c r="V62" s="6">
        <v>42649</v>
      </c>
      <c r="W62" s="5" t="s">
        <v>31</v>
      </c>
      <c r="X62" s="5" t="s">
        <v>383</v>
      </c>
    </row>
    <row r="63" spans="1:24" x14ac:dyDescent="0.3">
      <c r="A63" s="3">
        <v>57</v>
      </c>
      <c r="B63" s="3" t="str">
        <f>"1116972"</f>
        <v>1116972</v>
      </c>
      <c r="C63" s="3" t="str">
        <f>"959"</f>
        <v>959</v>
      </c>
      <c r="D63" s="3">
        <v>1038456</v>
      </c>
      <c r="E63" s="3">
        <v>20101228992</v>
      </c>
      <c r="F63" s="3" t="s">
        <v>384</v>
      </c>
      <c r="G63" s="3" t="s">
        <v>385</v>
      </c>
      <c r="H63" s="3" t="s">
        <v>28</v>
      </c>
      <c r="I63" s="3" t="s">
        <v>28</v>
      </c>
      <c r="J63" s="3" t="s">
        <v>186</v>
      </c>
      <c r="K63" s="3" t="s">
        <v>203</v>
      </c>
      <c r="L63" s="3"/>
      <c r="M63" s="3"/>
      <c r="N63" s="3"/>
      <c r="O63" s="3"/>
      <c r="P63" s="3"/>
      <c r="Q63" s="3"/>
      <c r="R63" s="3"/>
      <c r="S63" s="3"/>
      <c r="T63" s="3"/>
      <c r="U63" s="3">
        <v>4800</v>
      </c>
      <c r="V63" s="4">
        <v>35550</v>
      </c>
      <c r="W63" s="3" t="s">
        <v>31</v>
      </c>
      <c r="X63" s="3" t="s">
        <v>386</v>
      </c>
    </row>
    <row r="64" spans="1:24" x14ac:dyDescent="0.3">
      <c r="A64" s="5">
        <v>58</v>
      </c>
      <c r="B64" s="5" t="str">
        <f>"201000000145"</f>
        <v>201000000145</v>
      </c>
      <c r="C64" s="5" t="str">
        <f>"1609"</f>
        <v>1609</v>
      </c>
      <c r="D64" s="5" t="s">
        <v>387</v>
      </c>
      <c r="E64" s="5">
        <v>20100238234</v>
      </c>
      <c r="F64" s="5" t="s">
        <v>388</v>
      </c>
      <c r="G64" s="5" t="s">
        <v>389</v>
      </c>
      <c r="H64" s="5" t="s">
        <v>51</v>
      </c>
      <c r="I64" s="5" t="s">
        <v>51</v>
      </c>
      <c r="J64" s="5" t="s">
        <v>241</v>
      </c>
      <c r="K64" s="5" t="s">
        <v>323</v>
      </c>
      <c r="L64" s="5" t="s">
        <v>259</v>
      </c>
      <c r="M64" s="5" t="s">
        <v>259</v>
      </c>
      <c r="N64" s="5"/>
      <c r="O64" s="5"/>
      <c r="P64" s="5"/>
      <c r="Q64" s="5"/>
      <c r="R64" s="5"/>
      <c r="S64" s="5"/>
      <c r="T64" s="5"/>
      <c r="U64" s="5">
        <v>16000</v>
      </c>
      <c r="V64" s="6">
        <v>38105</v>
      </c>
      <c r="W64" s="5" t="s">
        <v>31</v>
      </c>
      <c r="X64" s="5" t="s">
        <v>390</v>
      </c>
    </row>
    <row r="65" spans="1:24" x14ac:dyDescent="0.3">
      <c r="A65" s="3">
        <v>59</v>
      </c>
      <c r="B65" s="3" t="str">
        <f>"202000056546"</f>
        <v>202000056546</v>
      </c>
      <c r="C65" s="3" t="str">
        <f>"42176"</f>
        <v>42176</v>
      </c>
      <c r="D65" s="3" t="s">
        <v>391</v>
      </c>
      <c r="E65" s="3">
        <v>20483894814</v>
      </c>
      <c r="F65" s="3" t="s">
        <v>392</v>
      </c>
      <c r="G65" s="3" t="s">
        <v>393</v>
      </c>
      <c r="H65" s="3" t="s">
        <v>80</v>
      </c>
      <c r="I65" s="3" t="s">
        <v>80</v>
      </c>
      <c r="J65" s="3" t="s">
        <v>129</v>
      </c>
      <c r="K65" s="3" t="s">
        <v>394</v>
      </c>
      <c r="L65" s="3" t="s">
        <v>395</v>
      </c>
      <c r="M65" s="3" t="s">
        <v>396</v>
      </c>
      <c r="N65" s="3" t="s">
        <v>397</v>
      </c>
      <c r="O65" s="3"/>
      <c r="P65" s="3"/>
      <c r="Q65" s="3"/>
      <c r="R65" s="3"/>
      <c r="S65" s="3"/>
      <c r="T65" s="3"/>
      <c r="U65" s="3">
        <v>15300</v>
      </c>
      <c r="V65" s="4">
        <v>43967</v>
      </c>
      <c r="W65" s="3" t="s">
        <v>31</v>
      </c>
      <c r="X65" s="3" t="s">
        <v>398</v>
      </c>
    </row>
    <row r="66" spans="1:24" x14ac:dyDescent="0.3">
      <c r="A66" s="5">
        <v>60</v>
      </c>
      <c r="B66" s="5" t="str">
        <f>"201000000144"</f>
        <v>201000000144</v>
      </c>
      <c r="C66" s="5" t="str">
        <f>"339"</f>
        <v>339</v>
      </c>
      <c r="D66" s="5" t="s">
        <v>399</v>
      </c>
      <c r="E66" s="5">
        <v>20104582428</v>
      </c>
      <c r="F66" s="5" t="s">
        <v>400</v>
      </c>
      <c r="G66" s="5" t="s">
        <v>401</v>
      </c>
      <c r="H66" s="5" t="s">
        <v>135</v>
      </c>
      <c r="I66" s="5" t="s">
        <v>402</v>
      </c>
      <c r="J66" s="5" t="s">
        <v>403</v>
      </c>
      <c r="K66" s="5" t="s">
        <v>404</v>
      </c>
      <c r="L66" s="5"/>
      <c r="M66" s="5"/>
      <c r="N66" s="5"/>
      <c r="O66" s="5"/>
      <c r="P66" s="5"/>
      <c r="Q66" s="5"/>
      <c r="R66" s="5"/>
      <c r="S66" s="5"/>
      <c r="T66" s="5"/>
      <c r="U66" s="5">
        <v>30000</v>
      </c>
      <c r="V66" s="6">
        <v>37932</v>
      </c>
      <c r="W66" s="5" t="s">
        <v>31</v>
      </c>
      <c r="X66" s="5" t="s">
        <v>405</v>
      </c>
    </row>
    <row r="67" spans="1:24" x14ac:dyDescent="0.3">
      <c r="A67" s="3">
        <v>61</v>
      </c>
      <c r="B67" s="3" t="str">
        <f>"1957854"</f>
        <v>1957854</v>
      </c>
      <c r="C67" s="3" t="str">
        <f>"15672"</f>
        <v>15672</v>
      </c>
      <c r="D67" s="3" t="s">
        <v>406</v>
      </c>
      <c r="E67" s="3">
        <v>20100158478</v>
      </c>
      <c r="F67" s="3" t="s">
        <v>407</v>
      </c>
      <c r="G67" s="3" t="s">
        <v>408</v>
      </c>
      <c r="H67" s="3" t="s">
        <v>28</v>
      </c>
      <c r="I67" s="3" t="s">
        <v>28</v>
      </c>
      <c r="J67" s="3" t="s">
        <v>409</v>
      </c>
      <c r="K67" s="3" t="s">
        <v>410</v>
      </c>
      <c r="L67" s="3" t="s">
        <v>411</v>
      </c>
      <c r="M67" s="3" t="s">
        <v>412</v>
      </c>
      <c r="N67" s="3" t="s">
        <v>413</v>
      </c>
      <c r="O67" s="3" t="s">
        <v>414</v>
      </c>
      <c r="P67" s="3" t="s">
        <v>415</v>
      </c>
      <c r="Q67" s="3"/>
      <c r="R67" s="3"/>
      <c r="S67" s="3"/>
      <c r="T67" s="3"/>
      <c r="U67" s="3">
        <v>34247</v>
      </c>
      <c r="V67" s="4">
        <v>40205</v>
      </c>
      <c r="W67" s="3" t="s">
        <v>31</v>
      </c>
      <c r="X67" s="3" t="s">
        <v>416</v>
      </c>
    </row>
    <row r="68" spans="1:24" ht="27.95" x14ac:dyDescent="0.3">
      <c r="A68" s="5">
        <v>62</v>
      </c>
      <c r="B68" s="5" t="str">
        <f>"201000000143"</f>
        <v>201000000143</v>
      </c>
      <c r="C68" s="5" t="str">
        <f>"39292"</f>
        <v>39292</v>
      </c>
      <c r="D68" s="5" t="s">
        <v>417</v>
      </c>
      <c r="E68" s="5">
        <v>20131589086</v>
      </c>
      <c r="F68" s="5" t="s">
        <v>418</v>
      </c>
      <c r="G68" s="5" t="s">
        <v>419</v>
      </c>
      <c r="H68" s="5" t="s">
        <v>36</v>
      </c>
      <c r="I68" s="5" t="s">
        <v>234</v>
      </c>
      <c r="J68" s="5" t="s">
        <v>234</v>
      </c>
      <c r="K68" s="5" t="s">
        <v>420</v>
      </c>
      <c r="L68" s="5" t="s">
        <v>421</v>
      </c>
      <c r="M68" s="5" t="s">
        <v>420</v>
      </c>
      <c r="N68" s="5"/>
      <c r="O68" s="5"/>
      <c r="P68" s="5"/>
      <c r="Q68" s="5"/>
      <c r="R68" s="5"/>
      <c r="S68" s="5"/>
      <c r="T68" s="5"/>
      <c r="U68" s="5">
        <v>6800</v>
      </c>
      <c r="V68" s="6">
        <v>37837</v>
      </c>
      <c r="W68" s="5" t="s">
        <v>31</v>
      </c>
      <c r="X68" s="5" t="s">
        <v>422</v>
      </c>
    </row>
    <row r="69" spans="1:24" x14ac:dyDescent="0.3">
      <c r="A69" s="3">
        <v>63</v>
      </c>
      <c r="B69" s="3" t="str">
        <f>"201600062736"</f>
        <v>201600062736</v>
      </c>
      <c r="C69" s="3" t="str">
        <f>"120122"</f>
        <v>120122</v>
      </c>
      <c r="D69" s="3" t="s">
        <v>423</v>
      </c>
      <c r="E69" s="3">
        <v>20334766714</v>
      </c>
      <c r="F69" s="3" t="s">
        <v>424</v>
      </c>
      <c r="G69" s="3" t="s">
        <v>425</v>
      </c>
      <c r="H69" s="3" t="s">
        <v>28</v>
      </c>
      <c r="I69" s="3" t="s">
        <v>28</v>
      </c>
      <c r="J69" s="3" t="s">
        <v>426</v>
      </c>
      <c r="K69" s="3" t="s">
        <v>130</v>
      </c>
      <c r="L69" s="3"/>
      <c r="M69" s="3"/>
      <c r="N69" s="3"/>
      <c r="O69" s="3"/>
      <c r="P69" s="3"/>
      <c r="Q69" s="3"/>
      <c r="R69" s="3"/>
      <c r="S69" s="3"/>
      <c r="T69" s="3"/>
      <c r="U69" s="3">
        <v>3000</v>
      </c>
      <c r="V69" s="4">
        <v>42501</v>
      </c>
      <c r="W69" s="3" t="s">
        <v>31</v>
      </c>
      <c r="X69" s="3" t="s">
        <v>427</v>
      </c>
    </row>
    <row r="70" spans="1:24" x14ac:dyDescent="0.3">
      <c r="A70" s="5">
        <v>64</v>
      </c>
      <c r="B70" s="5" t="str">
        <f>"201000000142"</f>
        <v>201000000142</v>
      </c>
      <c r="C70" s="5" t="str">
        <f>"33427"</f>
        <v>33427</v>
      </c>
      <c r="D70" s="5" t="s">
        <v>428</v>
      </c>
      <c r="E70" s="5">
        <v>20100166730</v>
      </c>
      <c r="F70" s="5" t="s">
        <v>429</v>
      </c>
      <c r="G70" s="5" t="s">
        <v>430</v>
      </c>
      <c r="H70" s="5" t="s">
        <v>28</v>
      </c>
      <c r="I70" s="5" t="s">
        <v>28</v>
      </c>
      <c r="J70" s="5" t="s">
        <v>186</v>
      </c>
      <c r="K70" s="5" t="s">
        <v>431</v>
      </c>
      <c r="L70" s="5" t="s">
        <v>432</v>
      </c>
      <c r="M70" s="5"/>
      <c r="N70" s="5"/>
      <c r="O70" s="5"/>
      <c r="P70" s="5"/>
      <c r="Q70" s="5"/>
      <c r="R70" s="5"/>
      <c r="S70" s="5"/>
      <c r="T70" s="5"/>
      <c r="U70" s="5">
        <v>8500</v>
      </c>
      <c r="V70" s="6">
        <v>37725</v>
      </c>
      <c r="W70" s="5" t="s">
        <v>31</v>
      </c>
      <c r="X70" s="5" t="s">
        <v>433</v>
      </c>
    </row>
    <row r="71" spans="1:24" x14ac:dyDescent="0.3">
      <c r="A71" s="3">
        <v>65</v>
      </c>
      <c r="B71" s="3" t="str">
        <f>"1116567"</f>
        <v>1116567</v>
      </c>
      <c r="C71" s="3" t="str">
        <f>"925"</f>
        <v>925</v>
      </c>
      <c r="D71" s="3">
        <v>1029768</v>
      </c>
      <c r="E71" s="3">
        <v>20212971601</v>
      </c>
      <c r="F71" s="3" t="s">
        <v>434</v>
      </c>
      <c r="G71" s="3" t="s">
        <v>435</v>
      </c>
      <c r="H71" s="3" t="s">
        <v>28</v>
      </c>
      <c r="I71" s="3" t="s">
        <v>28</v>
      </c>
      <c r="J71" s="3" t="s">
        <v>436</v>
      </c>
      <c r="K71" s="3" t="s">
        <v>259</v>
      </c>
      <c r="L71" s="3"/>
      <c r="M71" s="3"/>
      <c r="N71" s="3"/>
      <c r="O71" s="3"/>
      <c r="P71" s="3"/>
      <c r="Q71" s="3"/>
      <c r="R71" s="3"/>
      <c r="S71" s="3"/>
      <c r="T71" s="3"/>
      <c r="U71" s="3">
        <v>6000</v>
      </c>
      <c r="V71" s="4">
        <v>35562</v>
      </c>
      <c r="W71" s="3" t="s">
        <v>31</v>
      </c>
      <c r="X71" s="3" t="s">
        <v>437</v>
      </c>
    </row>
    <row r="72" spans="1:24" x14ac:dyDescent="0.3">
      <c r="A72" s="5">
        <v>66</v>
      </c>
      <c r="B72" s="5" t="str">
        <f>"202000103215"</f>
        <v>202000103215</v>
      </c>
      <c r="C72" s="5" t="str">
        <f>"44794"</f>
        <v>44794</v>
      </c>
      <c r="D72" s="5" t="s">
        <v>438</v>
      </c>
      <c r="E72" s="5">
        <v>20305673669</v>
      </c>
      <c r="F72" s="5" t="s">
        <v>439</v>
      </c>
      <c r="G72" s="5" t="s">
        <v>440</v>
      </c>
      <c r="H72" s="5" t="s">
        <v>80</v>
      </c>
      <c r="I72" s="5" t="s">
        <v>309</v>
      </c>
      <c r="J72" s="5" t="s">
        <v>309</v>
      </c>
      <c r="K72" s="5" t="s">
        <v>110</v>
      </c>
      <c r="L72" s="5" t="s">
        <v>441</v>
      </c>
      <c r="M72" s="5" t="s">
        <v>441</v>
      </c>
      <c r="N72" s="5" t="s">
        <v>442</v>
      </c>
      <c r="O72" s="5"/>
      <c r="P72" s="5"/>
      <c r="Q72" s="5"/>
      <c r="R72" s="5"/>
      <c r="S72" s="5"/>
      <c r="T72" s="5"/>
      <c r="U72" s="5">
        <v>17000</v>
      </c>
      <c r="V72" s="6">
        <v>44068</v>
      </c>
      <c r="W72" s="5" t="s">
        <v>31</v>
      </c>
      <c r="X72" s="5" t="s">
        <v>443</v>
      </c>
    </row>
    <row r="73" spans="1:24" ht="27.95" x14ac:dyDescent="0.3">
      <c r="A73" s="3">
        <v>67</v>
      </c>
      <c r="B73" s="3" t="str">
        <f>"201300058058"</f>
        <v>201300058058</v>
      </c>
      <c r="C73" s="3" t="str">
        <f>"101951"</f>
        <v>101951</v>
      </c>
      <c r="D73" s="3" t="s">
        <v>444</v>
      </c>
      <c r="E73" s="3">
        <v>20521218097</v>
      </c>
      <c r="F73" s="3" t="s">
        <v>445</v>
      </c>
      <c r="G73" s="3" t="s">
        <v>446</v>
      </c>
      <c r="H73" s="3" t="s">
        <v>28</v>
      </c>
      <c r="I73" s="3" t="s">
        <v>28</v>
      </c>
      <c r="J73" s="3" t="s">
        <v>447</v>
      </c>
      <c r="K73" s="3" t="s">
        <v>448</v>
      </c>
      <c r="L73" s="3"/>
      <c r="M73" s="3"/>
      <c r="N73" s="3"/>
      <c r="O73" s="3"/>
      <c r="P73" s="3"/>
      <c r="Q73" s="3"/>
      <c r="R73" s="3"/>
      <c r="S73" s="3"/>
      <c r="T73" s="3"/>
      <c r="U73" s="3">
        <v>510</v>
      </c>
      <c r="V73" s="4">
        <v>41407</v>
      </c>
      <c r="W73" s="3" t="s">
        <v>31</v>
      </c>
      <c r="X73" s="3" t="s">
        <v>449</v>
      </c>
    </row>
    <row r="74" spans="1:24" ht="27.95" x14ac:dyDescent="0.3">
      <c r="A74" s="5">
        <v>68</v>
      </c>
      <c r="B74" s="5" t="str">
        <f>"1499424"</f>
        <v>1499424</v>
      </c>
      <c r="C74" s="5" t="str">
        <f>"93499"</f>
        <v>93499</v>
      </c>
      <c r="D74" s="5" t="s">
        <v>450</v>
      </c>
      <c r="E74" s="5">
        <v>20514469505</v>
      </c>
      <c r="F74" s="5" t="s">
        <v>451</v>
      </c>
      <c r="G74" s="5" t="s">
        <v>452</v>
      </c>
      <c r="H74" s="5" t="s">
        <v>28</v>
      </c>
      <c r="I74" s="5" t="s">
        <v>28</v>
      </c>
      <c r="J74" s="5" t="s">
        <v>180</v>
      </c>
      <c r="K74" s="5" t="s">
        <v>110</v>
      </c>
      <c r="L74" s="5"/>
      <c r="M74" s="5"/>
      <c r="N74" s="5"/>
      <c r="O74" s="5"/>
      <c r="P74" s="5"/>
      <c r="Q74" s="5"/>
      <c r="R74" s="5"/>
      <c r="S74" s="5"/>
      <c r="T74" s="5"/>
      <c r="U74" s="5">
        <v>4000</v>
      </c>
      <c r="V74" s="6">
        <v>40816</v>
      </c>
      <c r="W74" s="5" t="s">
        <v>31</v>
      </c>
      <c r="X74" s="5" t="s">
        <v>453</v>
      </c>
    </row>
    <row r="75" spans="1:24" ht="27.95" x14ac:dyDescent="0.3">
      <c r="A75" s="3">
        <v>69</v>
      </c>
      <c r="B75" s="3" t="str">
        <f>"1127642"</f>
        <v>1127642</v>
      </c>
      <c r="C75" s="3" t="str">
        <f>"550"</f>
        <v>550</v>
      </c>
      <c r="D75" s="3">
        <v>998709</v>
      </c>
      <c r="E75" s="3">
        <v>20100064571</v>
      </c>
      <c r="F75" s="3" t="s">
        <v>275</v>
      </c>
      <c r="G75" s="3" t="s">
        <v>454</v>
      </c>
      <c r="H75" s="3" t="s">
        <v>28</v>
      </c>
      <c r="I75" s="3" t="s">
        <v>28</v>
      </c>
      <c r="J75" s="3" t="s">
        <v>91</v>
      </c>
      <c r="K75" s="3" t="s">
        <v>455</v>
      </c>
      <c r="L75" s="3"/>
      <c r="M75" s="3"/>
      <c r="N75" s="3"/>
      <c r="O75" s="3"/>
      <c r="P75" s="3"/>
      <c r="Q75" s="3"/>
      <c r="R75" s="3"/>
      <c r="S75" s="3"/>
      <c r="T75" s="3"/>
      <c r="U75" s="3">
        <v>5150</v>
      </c>
      <c r="V75" s="4">
        <v>35615</v>
      </c>
      <c r="W75" s="3" t="s">
        <v>31</v>
      </c>
      <c r="X75" s="3" t="s">
        <v>278</v>
      </c>
    </row>
    <row r="76" spans="1:24" ht="27.95" x14ac:dyDescent="0.3">
      <c r="A76" s="5">
        <v>70</v>
      </c>
      <c r="B76" s="5" t="str">
        <f>"1318586"</f>
        <v>1318586</v>
      </c>
      <c r="C76" s="5" t="str">
        <f>"57"</f>
        <v>57</v>
      </c>
      <c r="D76" s="5" t="s">
        <v>456</v>
      </c>
      <c r="E76" s="5">
        <v>20133530003</v>
      </c>
      <c r="F76" s="5" t="s">
        <v>457</v>
      </c>
      <c r="G76" s="5" t="s">
        <v>458</v>
      </c>
      <c r="H76" s="5" t="s">
        <v>28</v>
      </c>
      <c r="I76" s="5" t="s">
        <v>28</v>
      </c>
      <c r="J76" s="5" t="s">
        <v>91</v>
      </c>
      <c r="K76" s="5" t="s">
        <v>459</v>
      </c>
      <c r="L76" s="5" t="s">
        <v>460</v>
      </c>
      <c r="M76" s="5" t="s">
        <v>459</v>
      </c>
      <c r="N76" s="5"/>
      <c r="O76" s="5"/>
      <c r="P76" s="5"/>
      <c r="Q76" s="5"/>
      <c r="R76" s="5"/>
      <c r="S76" s="5"/>
      <c r="T76" s="5"/>
      <c r="U76" s="5">
        <v>32200</v>
      </c>
      <c r="V76" s="6">
        <v>37020</v>
      </c>
      <c r="W76" s="5" t="s">
        <v>31</v>
      </c>
      <c r="X76" s="5" t="s">
        <v>461</v>
      </c>
    </row>
    <row r="77" spans="1:24" x14ac:dyDescent="0.3">
      <c r="A77" s="3">
        <v>71</v>
      </c>
      <c r="B77" s="3" t="str">
        <f>"201700022371"</f>
        <v>201700022371</v>
      </c>
      <c r="C77" s="3" t="str">
        <f>"39435"</f>
        <v>39435</v>
      </c>
      <c r="D77" s="3" t="s">
        <v>462</v>
      </c>
      <c r="E77" s="3">
        <v>20505120702</v>
      </c>
      <c r="F77" s="3" t="s">
        <v>463</v>
      </c>
      <c r="G77" s="3" t="s">
        <v>464</v>
      </c>
      <c r="H77" s="3" t="s">
        <v>36</v>
      </c>
      <c r="I77" s="3" t="s">
        <v>465</v>
      </c>
      <c r="J77" s="3" t="s">
        <v>465</v>
      </c>
      <c r="K77" s="3" t="s">
        <v>323</v>
      </c>
      <c r="L77" s="3"/>
      <c r="M77" s="3"/>
      <c r="N77" s="3"/>
      <c r="O77" s="3"/>
      <c r="P77" s="3"/>
      <c r="Q77" s="3"/>
      <c r="R77" s="3"/>
      <c r="S77" s="3"/>
      <c r="T77" s="3"/>
      <c r="U77" s="3">
        <v>4000</v>
      </c>
      <c r="V77" s="4">
        <v>42782</v>
      </c>
      <c r="W77" s="3" t="s">
        <v>31</v>
      </c>
      <c r="X77" s="3" t="s">
        <v>466</v>
      </c>
    </row>
    <row r="78" spans="1:24" ht="27.95" x14ac:dyDescent="0.3">
      <c r="A78" s="5">
        <v>72</v>
      </c>
      <c r="B78" s="5" t="str">
        <f>"201400123351"</f>
        <v>201400123351</v>
      </c>
      <c r="C78" s="5" t="str">
        <f>"25"</f>
        <v>25</v>
      </c>
      <c r="D78" s="5" t="s">
        <v>467</v>
      </c>
      <c r="E78" s="5">
        <v>20278966004</v>
      </c>
      <c r="F78" s="5" t="s">
        <v>468</v>
      </c>
      <c r="G78" s="5" t="s">
        <v>469</v>
      </c>
      <c r="H78" s="5" t="s">
        <v>285</v>
      </c>
      <c r="I78" s="5" t="s">
        <v>286</v>
      </c>
      <c r="J78" s="5" t="s">
        <v>470</v>
      </c>
      <c r="K78" s="5" t="s">
        <v>471</v>
      </c>
      <c r="L78" s="5" t="s">
        <v>472</v>
      </c>
      <c r="M78" s="5"/>
      <c r="N78" s="5"/>
      <c r="O78" s="5"/>
      <c r="P78" s="5"/>
      <c r="Q78" s="5"/>
      <c r="R78" s="5"/>
      <c r="S78" s="5"/>
      <c r="T78" s="5"/>
      <c r="U78" s="5">
        <v>63390</v>
      </c>
      <c r="V78" s="6">
        <v>41915</v>
      </c>
      <c r="W78" s="5" t="s">
        <v>31</v>
      </c>
      <c r="X78" s="5" t="s">
        <v>473</v>
      </c>
    </row>
    <row r="79" spans="1:24" ht="27.95" x14ac:dyDescent="0.3">
      <c r="A79" s="3">
        <v>73</v>
      </c>
      <c r="B79" s="3" t="str">
        <f>"201300110886"</f>
        <v>201300110886</v>
      </c>
      <c r="C79" s="3" t="str">
        <f>"103772"</f>
        <v>103772</v>
      </c>
      <c r="D79" s="3" t="s">
        <v>474</v>
      </c>
      <c r="E79" s="3">
        <v>20523001931</v>
      </c>
      <c r="F79" s="3" t="s">
        <v>475</v>
      </c>
      <c r="G79" s="3" t="s">
        <v>476</v>
      </c>
      <c r="H79" s="3" t="s">
        <v>115</v>
      </c>
      <c r="I79" s="3" t="s">
        <v>115</v>
      </c>
      <c r="J79" s="3" t="s">
        <v>159</v>
      </c>
      <c r="K79" s="3" t="s">
        <v>110</v>
      </c>
      <c r="L79" s="3"/>
      <c r="M79" s="3"/>
      <c r="N79" s="3"/>
      <c r="O79" s="3"/>
      <c r="P79" s="3"/>
      <c r="Q79" s="3"/>
      <c r="R79" s="3"/>
      <c r="S79" s="3"/>
      <c r="T79" s="3"/>
      <c r="U79" s="3">
        <v>4000</v>
      </c>
      <c r="V79" s="4">
        <v>41454</v>
      </c>
      <c r="W79" s="3" t="s">
        <v>31</v>
      </c>
      <c r="X79" s="3" t="s">
        <v>477</v>
      </c>
    </row>
    <row r="80" spans="1:24" x14ac:dyDescent="0.3">
      <c r="A80" s="5">
        <v>74</v>
      </c>
      <c r="B80" s="5" t="str">
        <f>"1116975"</f>
        <v>1116975</v>
      </c>
      <c r="C80" s="5" t="str">
        <f>"960"</f>
        <v>960</v>
      </c>
      <c r="D80" s="5">
        <v>1038460</v>
      </c>
      <c r="E80" s="5">
        <v>20100359708</v>
      </c>
      <c r="F80" s="5" t="s">
        <v>478</v>
      </c>
      <c r="G80" s="5" t="s">
        <v>479</v>
      </c>
      <c r="H80" s="5" t="s">
        <v>28</v>
      </c>
      <c r="I80" s="5" t="s">
        <v>28</v>
      </c>
      <c r="J80" s="5" t="s">
        <v>186</v>
      </c>
      <c r="K80" s="5" t="s">
        <v>421</v>
      </c>
      <c r="L80" s="5"/>
      <c r="M80" s="5"/>
      <c r="N80" s="5"/>
      <c r="O80" s="5"/>
      <c r="P80" s="5"/>
      <c r="Q80" s="5"/>
      <c r="R80" s="5"/>
      <c r="S80" s="5"/>
      <c r="T80" s="5"/>
      <c r="U80" s="5">
        <v>5000</v>
      </c>
      <c r="V80" s="6">
        <v>35550</v>
      </c>
      <c r="W80" s="5" t="s">
        <v>31</v>
      </c>
      <c r="X80" s="5" t="s">
        <v>480</v>
      </c>
    </row>
    <row r="81" spans="1:24" ht="27.95" x14ac:dyDescent="0.3">
      <c r="A81" s="3">
        <v>75</v>
      </c>
      <c r="B81" s="3" t="str">
        <f>"202000005630"</f>
        <v>202000005630</v>
      </c>
      <c r="C81" s="3" t="str">
        <f>"148714"</f>
        <v>148714</v>
      </c>
      <c r="D81" s="3" t="s">
        <v>481</v>
      </c>
      <c r="E81" s="3">
        <v>20279120877</v>
      </c>
      <c r="F81" s="3" t="s">
        <v>482</v>
      </c>
      <c r="G81" s="3" t="s">
        <v>483</v>
      </c>
      <c r="H81" s="3" t="s">
        <v>135</v>
      </c>
      <c r="I81" s="3" t="s">
        <v>402</v>
      </c>
      <c r="J81" s="3" t="s">
        <v>484</v>
      </c>
      <c r="K81" s="3" t="s">
        <v>485</v>
      </c>
      <c r="L81" s="3"/>
      <c r="M81" s="3"/>
      <c r="N81" s="3"/>
      <c r="O81" s="3"/>
      <c r="P81" s="3"/>
      <c r="Q81" s="3"/>
      <c r="R81" s="3"/>
      <c r="S81" s="3"/>
      <c r="T81" s="3"/>
      <c r="U81" s="3">
        <v>1800</v>
      </c>
      <c r="V81" s="4">
        <v>43844</v>
      </c>
      <c r="W81" s="3" t="s">
        <v>31</v>
      </c>
      <c r="X81" s="3" t="s">
        <v>486</v>
      </c>
    </row>
    <row r="82" spans="1:24" x14ac:dyDescent="0.3">
      <c r="A82" s="5">
        <v>76</v>
      </c>
      <c r="B82" s="5" t="str">
        <f>"201000000135"</f>
        <v>201000000135</v>
      </c>
      <c r="C82" s="5" t="str">
        <f>"18713"</f>
        <v>18713</v>
      </c>
      <c r="D82" s="5" t="s">
        <v>487</v>
      </c>
      <c r="E82" s="5">
        <v>20135948641</v>
      </c>
      <c r="F82" s="5" t="s">
        <v>488</v>
      </c>
      <c r="G82" s="5" t="s">
        <v>489</v>
      </c>
      <c r="H82" s="5" t="s">
        <v>28</v>
      </c>
      <c r="I82" s="5" t="s">
        <v>490</v>
      </c>
      <c r="J82" s="5" t="s">
        <v>491</v>
      </c>
      <c r="K82" s="5" t="s">
        <v>492</v>
      </c>
      <c r="L82" s="5"/>
      <c r="M82" s="5"/>
      <c r="N82" s="5"/>
      <c r="O82" s="5"/>
      <c r="P82" s="5"/>
      <c r="Q82" s="5"/>
      <c r="R82" s="5"/>
      <c r="S82" s="5"/>
      <c r="T82" s="5"/>
      <c r="U82" s="5">
        <v>29000</v>
      </c>
      <c r="V82" s="6">
        <v>39391</v>
      </c>
      <c r="W82" s="5" t="s">
        <v>31</v>
      </c>
      <c r="X82" s="5" t="s">
        <v>493</v>
      </c>
    </row>
    <row r="83" spans="1:24" x14ac:dyDescent="0.3">
      <c r="A83" s="3">
        <v>77</v>
      </c>
      <c r="B83" s="3" t="str">
        <f>"1297171"</f>
        <v>1297171</v>
      </c>
      <c r="C83" s="3" t="str">
        <f>"20158"</f>
        <v>20158</v>
      </c>
      <c r="D83" s="3">
        <v>1297171</v>
      </c>
      <c r="E83" s="3">
        <v>20218409041</v>
      </c>
      <c r="F83" s="3" t="s">
        <v>494</v>
      </c>
      <c r="G83" s="3" t="s">
        <v>495</v>
      </c>
      <c r="H83" s="3" t="s">
        <v>28</v>
      </c>
      <c r="I83" s="3" t="s">
        <v>28</v>
      </c>
      <c r="J83" s="3" t="s">
        <v>208</v>
      </c>
      <c r="K83" s="3" t="s">
        <v>496</v>
      </c>
      <c r="L83" s="3" t="s">
        <v>496</v>
      </c>
      <c r="M83" s="3" t="s">
        <v>46</v>
      </c>
      <c r="N83" s="3"/>
      <c r="O83" s="3"/>
      <c r="P83" s="3"/>
      <c r="Q83" s="3"/>
      <c r="R83" s="3"/>
      <c r="S83" s="3"/>
      <c r="T83" s="3"/>
      <c r="U83" s="3">
        <v>33000</v>
      </c>
      <c r="V83" s="4">
        <v>36811</v>
      </c>
      <c r="W83" s="3" t="s">
        <v>31</v>
      </c>
      <c r="X83" s="3" t="s">
        <v>497</v>
      </c>
    </row>
    <row r="84" spans="1:24" ht="27.95" x14ac:dyDescent="0.3">
      <c r="A84" s="5">
        <v>78</v>
      </c>
      <c r="B84" s="5" t="str">
        <f>"201000000136"</f>
        <v>201000000136</v>
      </c>
      <c r="C84" s="5" t="str">
        <f>"1386"</f>
        <v>1386</v>
      </c>
      <c r="D84" s="5" t="s">
        <v>498</v>
      </c>
      <c r="E84" s="5">
        <v>20100830362</v>
      </c>
      <c r="F84" s="5" t="s">
        <v>499</v>
      </c>
      <c r="G84" s="5" t="s">
        <v>500</v>
      </c>
      <c r="H84" s="5" t="s">
        <v>28</v>
      </c>
      <c r="I84" s="5" t="s">
        <v>28</v>
      </c>
      <c r="J84" s="5" t="s">
        <v>501</v>
      </c>
      <c r="K84" s="5" t="s">
        <v>502</v>
      </c>
      <c r="L84" s="5"/>
      <c r="M84" s="5"/>
      <c r="N84" s="5"/>
      <c r="O84" s="5"/>
      <c r="P84" s="5"/>
      <c r="Q84" s="5"/>
      <c r="R84" s="5"/>
      <c r="S84" s="5"/>
      <c r="T84" s="5"/>
      <c r="U84" s="5">
        <v>8300</v>
      </c>
      <c r="V84" s="6">
        <v>39391</v>
      </c>
      <c r="W84" s="5" t="s">
        <v>31</v>
      </c>
      <c r="X84" s="5" t="s">
        <v>503</v>
      </c>
    </row>
    <row r="85" spans="1:24" ht="27.95" x14ac:dyDescent="0.3">
      <c r="A85" s="3">
        <v>79</v>
      </c>
      <c r="B85" s="3" t="str">
        <f>"201200126131"</f>
        <v>201200126131</v>
      </c>
      <c r="C85" s="3" t="str">
        <f>"97253"</f>
        <v>97253</v>
      </c>
      <c r="D85" s="3" t="s">
        <v>504</v>
      </c>
      <c r="E85" s="3">
        <v>20488766334</v>
      </c>
      <c r="F85" s="3" t="s">
        <v>505</v>
      </c>
      <c r="G85" s="3" t="s">
        <v>506</v>
      </c>
      <c r="H85" s="3" t="s">
        <v>58</v>
      </c>
      <c r="I85" s="3" t="s">
        <v>507</v>
      </c>
      <c r="J85" s="3" t="s">
        <v>508</v>
      </c>
      <c r="K85" s="3" t="s">
        <v>509</v>
      </c>
      <c r="L85" s="3"/>
      <c r="M85" s="3"/>
      <c r="N85" s="3"/>
      <c r="O85" s="3"/>
      <c r="P85" s="3"/>
      <c r="Q85" s="3"/>
      <c r="R85" s="3"/>
      <c r="S85" s="3"/>
      <c r="T85" s="3"/>
      <c r="U85" s="3">
        <v>720</v>
      </c>
      <c r="V85" s="4">
        <v>41072</v>
      </c>
      <c r="W85" s="3" t="s">
        <v>31</v>
      </c>
      <c r="X85" s="3" t="s">
        <v>510</v>
      </c>
    </row>
    <row r="86" spans="1:24" ht="27.95" x14ac:dyDescent="0.3">
      <c r="A86" s="5">
        <v>80</v>
      </c>
      <c r="B86" s="5" t="str">
        <f>"201600119605"</f>
        <v>201600119605</v>
      </c>
      <c r="C86" s="5" t="str">
        <f>"119295"</f>
        <v>119295</v>
      </c>
      <c r="D86" s="5" t="s">
        <v>511</v>
      </c>
      <c r="E86" s="5">
        <v>20512217452</v>
      </c>
      <c r="F86" s="5" t="s">
        <v>512</v>
      </c>
      <c r="G86" s="5" t="s">
        <v>513</v>
      </c>
      <c r="H86" s="5" t="s">
        <v>36</v>
      </c>
      <c r="I86" s="5" t="s">
        <v>514</v>
      </c>
      <c r="J86" s="5" t="s">
        <v>514</v>
      </c>
      <c r="K86" s="5" t="s">
        <v>515</v>
      </c>
      <c r="L86" s="5"/>
      <c r="M86" s="5"/>
      <c r="N86" s="5"/>
      <c r="O86" s="5"/>
      <c r="P86" s="5"/>
      <c r="Q86" s="5"/>
      <c r="R86" s="5"/>
      <c r="S86" s="5"/>
      <c r="T86" s="5"/>
      <c r="U86" s="5">
        <v>2000</v>
      </c>
      <c r="V86" s="6">
        <v>42603</v>
      </c>
      <c r="W86" s="5" t="s">
        <v>31</v>
      </c>
      <c r="X86" s="5" t="s">
        <v>516</v>
      </c>
    </row>
    <row r="87" spans="1:24" x14ac:dyDescent="0.3">
      <c r="A87" s="3">
        <v>81</v>
      </c>
      <c r="B87" s="3" t="str">
        <f>"201900047088"</f>
        <v>201900047088</v>
      </c>
      <c r="C87" s="3" t="str">
        <f>"142130"</f>
        <v>142130</v>
      </c>
      <c r="D87" s="3" t="s">
        <v>517</v>
      </c>
      <c r="E87" s="3">
        <v>10049632474</v>
      </c>
      <c r="F87" s="3" t="s">
        <v>518</v>
      </c>
      <c r="G87" s="3" t="s">
        <v>519</v>
      </c>
      <c r="H87" s="3" t="s">
        <v>165</v>
      </c>
      <c r="I87" s="3" t="s">
        <v>166</v>
      </c>
      <c r="J87" s="3" t="s">
        <v>165</v>
      </c>
      <c r="K87" s="3" t="s">
        <v>181</v>
      </c>
      <c r="L87" s="3"/>
      <c r="M87" s="3"/>
      <c r="N87" s="3"/>
      <c r="O87" s="3"/>
      <c r="P87" s="3"/>
      <c r="Q87" s="3"/>
      <c r="R87" s="3"/>
      <c r="S87" s="3"/>
      <c r="T87" s="3"/>
      <c r="U87" s="3">
        <v>5000</v>
      </c>
      <c r="V87" s="4">
        <v>43552</v>
      </c>
      <c r="W87" s="3" t="s">
        <v>31</v>
      </c>
      <c r="X87" s="3" t="s">
        <v>518</v>
      </c>
    </row>
    <row r="88" spans="1:24" ht="27.95" x14ac:dyDescent="0.3">
      <c r="A88" s="5">
        <v>82</v>
      </c>
      <c r="B88" s="5" t="str">
        <f>"201200129414"</f>
        <v>201200129414</v>
      </c>
      <c r="C88" s="5" t="str">
        <f>"83312"</f>
        <v>83312</v>
      </c>
      <c r="D88" s="5" t="s">
        <v>520</v>
      </c>
      <c r="E88" s="5">
        <v>20544125681</v>
      </c>
      <c r="F88" s="5" t="s">
        <v>521</v>
      </c>
      <c r="G88" s="5" t="s">
        <v>522</v>
      </c>
      <c r="H88" s="5" t="s">
        <v>115</v>
      </c>
      <c r="I88" s="5" t="s">
        <v>115</v>
      </c>
      <c r="J88" s="5" t="s">
        <v>159</v>
      </c>
      <c r="K88" s="5" t="s">
        <v>523</v>
      </c>
      <c r="L88" s="5"/>
      <c r="M88" s="5"/>
      <c r="N88" s="5"/>
      <c r="O88" s="5"/>
      <c r="P88" s="5"/>
      <c r="Q88" s="5"/>
      <c r="R88" s="5"/>
      <c r="S88" s="5"/>
      <c r="T88" s="5"/>
      <c r="U88" s="5">
        <v>5900</v>
      </c>
      <c r="V88" s="6">
        <v>41113</v>
      </c>
      <c r="W88" s="5" t="s">
        <v>31</v>
      </c>
      <c r="X88" s="5" t="s">
        <v>524</v>
      </c>
    </row>
    <row r="89" spans="1:24" ht="27.95" x14ac:dyDescent="0.3">
      <c r="A89" s="3">
        <v>83</v>
      </c>
      <c r="B89" s="3" t="str">
        <f>"201600159576"</f>
        <v>201600159576</v>
      </c>
      <c r="C89" s="3" t="str">
        <f>"83331"</f>
        <v>83331</v>
      </c>
      <c r="D89" s="3" t="s">
        <v>525</v>
      </c>
      <c r="E89" s="3">
        <v>20170040938</v>
      </c>
      <c r="F89" s="3" t="s">
        <v>526</v>
      </c>
      <c r="G89" s="3" t="s">
        <v>527</v>
      </c>
      <c r="H89" s="3" t="s">
        <v>36</v>
      </c>
      <c r="I89" s="3" t="s">
        <v>234</v>
      </c>
      <c r="J89" s="3" t="s">
        <v>258</v>
      </c>
      <c r="K89" s="3" t="s">
        <v>528</v>
      </c>
      <c r="L89" s="3"/>
      <c r="M89" s="3"/>
      <c r="N89" s="3"/>
      <c r="O89" s="3"/>
      <c r="P89" s="3"/>
      <c r="Q89" s="3"/>
      <c r="R89" s="3"/>
      <c r="S89" s="3"/>
      <c r="T89" s="3"/>
      <c r="U89" s="3">
        <v>1500</v>
      </c>
      <c r="V89" s="4">
        <v>42689</v>
      </c>
      <c r="W89" s="3" t="s">
        <v>31</v>
      </c>
      <c r="X89" s="3" t="s">
        <v>529</v>
      </c>
    </row>
    <row r="90" spans="1:24" x14ac:dyDescent="0.3">
      <c r="A90" s="5">
        <v>84</v>
      </c>
      <c r="B90" s="5" t="str">
        <f>"201900127799"</f>
        <v>201900127799</v>
      </c>
      <c r="C90" s="5" t="str">
        <f>"145708"</f>
        <v>145708</v>
      </c>
      <c r="D90" s="5" t="s">
        <v>530</v>
      </c>
      <c r="E90" s="5">
        <v>20109565017</v>
      </c>
      <c r="F90" s="5" t="s">
        <v>531</v>
      </c>
      <c r="G90" s="5" t="s">
        <v>532</v>
      </c>
      <c r="H90" s="5" t="s">
        <v>373</v>
      </c>
      <c r="I90" s="5" t="s">
        <v>533</v>
      </c>
      <c r="J90" s="5" t="s">
        <v>534</v>
      </c>
      <c r="K90" s="5" t="s">
        <v>535</v>
      </c>
      <c r="L90" s="5"/>
      <c r="M90" s="5"/>
      <c r="N90" s="5"/>
      <c r="O90" s="5"/>
      <c r="P90" s="5"/>
      <c r="Q90" s="5"/>
      <c r="R90" s="5"/>
      <c r="S90" s="5"/>
      <c r="T90" s="5"/>
      <c r="U90" s="5">
        <v>500</v>
      </c>
      <c r="V90" s="6">
        <v>43708</v>
      </c>
      <c r="W90" s="5" t="s">
        <v>31</v>
      </c>
      <c r="X90" s="5" t="s">
        <v>536</v>
      </c>
    </row>
    <row r="91" spans="1:24" ht="27.95" x14ac:dyDescent="0.3">
      <c r="A91" s="3">
        <v>85</v>
      </c>
      <c r="B91" s="3" t="str">
        <f>"201400095784"</f>
        <v>201400095784</v>
      </c>
      <c r="C91" s="3" t="str">
        <f>"110703"</f>
        <v>110703</v>
      </c>
      <c r="D91" s="3" t="s">
        <v>537</v>
      </c>
      <c r="E91" s="3">
        <v>20100003351</v>
      </c>
      <c r="F91" s="3" t="s">
        <v>538</v>
      </c>
      <c r="G91" s="3" t="s">
        <v>539</v>
      </c>
      <c r="H91" s="3" t="s">
        <v>285</v>
      </c>
      <c r="I91" s="3" t="s">
        <v>286</v>
      </c>
      <c r="J91" s="3" t="s">
        <v>470</v>
      </c>
      <c r="K91" s="3" t="s">
        <v>540</v>
      </c>
      <c r="L91" s="3"/>
      <c r="M91" s="3"/>
      <c r="N91" s="3"/>
      <c r="O91" s="3"/>
      <c r="P91" s="3"/>
      <c r="Q91" s="3"/>
      <c r="R91" s="3"/>
      <c r="S91" s="3"/>
      <c r="T91" s="3"/>
      <c r="U91" s="3">
        <v>5000</v>
      </c>
      <c r="V91" s="4">
        <v>41852</v>
      </c>
      <c r="W91" s="3" t="s">
        <v>31</v>
      </c>
      <c r="X91" s="3" t="s">
        <v>541</v>
      </c>
    </row>
    <row r="92" spans="1:24" x14ac:dyDescent="0.3">
      <c r="A92" s="5">
        <v>86</v>
      </c>
      <c r="B92" s="5" t="str">
        <f>"201700021267"</f>
        <v>201700021267</v>
      </c>
      <c r="C92" s="5" t="str">
        <f>"126571"</f>
        <v>126571</v>
      </c>
      <c r="D92" s="5" t="s">
        <v>542</v>
      </c>
      <c r="E92" s="5">
        <v>20177215531</v>
      </c>
      <c r="F92" s="5" t="s">
        <v>543</v>
      </c>
      <c r="G92" s="5" t="s">
        <v>544</v>
      </c>
      <c r="H92" s="5" t="s">
        <v>28</v>
      </c>
      <c r="I92" s="5" t="s">
        <v>28</v>
      </c>
      <c r="J92" s="5" t="s">
        <v>545</v>
      </c>
      <c r="K92" s="5" t="s">
        <v>546</v>
      </c>
      <c r="L92" s="5" t="s">
        <v>546</v>
      </c>
      <c r="M92" s="5"/>
      <c r="N92" s="5"/>
      <c r="O92" s="5"/>
      <c r="P92" s="5"/>
      <c r="Q92" s="5"/>
      <c r="R92" s="5"/>
      <c r="S92" s="5"/>
      <c r="T92" s="5"/>
      <c r="U92" s="5">
        <v>3200</v>
      </c>
      <c r="V92" s="6">
        <v>42922</v>
      </c>
      <c r="W92" s="5" t="s">
        <v>31</v>
      </c>
      <c r="X92" s="5" t="s">
        <v>547</v>
      </c>
    </row>
    <row r="93" spans="1:24" ht="27.95" x14ac:dyDescent="0.3">
      <c r="A93" s="3">
        <v>87</v>
      </c>
      <c r="B93" s="3" t="str">
        <f>"1107535"</f>
        <v>1107535</v>
      </c>
      <c r="C93" s="3" t="str">
        <f>"1144"</f>
        <v>1144</v>
      </c>
      <c r="D93" s="3">
        <v>1107535</v>
      </c>
      <c r="E93" s="3">
        <v>20319101706</v>
      </c>
      <c r="F93" s="3" t="s">
        <v>548</v>
      </c>
      <c r="G93" s="3" t="s">
        <v>549</v>
      </c>
      <c r="H93" s="3" t="s">
        <v>550</v>
      </c>
      <c r="I93" s="3" t="s">
        <v>551</v>
      </c>
      <c r="J93" s="3" t="s">
        <v>552</v>
      </c>
      <c r="K93" s="3" t="s">
        <v>553</v>
      </c>
      <c r="L93" s="3"/>
      <c r="M93" s="3"/>
      <c r="N93" s="3"/>
      <c r="O93" s="3"/>
      <c r="P93" s="3"/>
      <c r="Q93" s="3"/>
      <c r="R93" s="3"/>
      <c r="S93" s="3"/>
      <c r="T93" s="3"/>
      <c r="U93" s="3">
        <v>13375</v>
      </c>
      <c r="V93" s="4">
        <v>35480</v>
      </c>
      <c r="W93" s="3" t="s">
        <v>31</v>
      </c>
      <c r="X93" s="3" t="s">
        <v>554</v>
      </c>
    </row>
    <row r="94" spans="1:24" ht="27.95" x14ac:dyDescent="0.3">
      <c r="A94" s="5">
        <v>88</v>
      </c>
      <c r="B94" s="5" t="str">
        <f>"201300031978"</f>
        <v>201300031978</v>
      </c>
      <c r="C94" s="5" t="str">
        <f>"82550"</f>
        <v>82550</v>
      </c>
      <c r="D94" s="5" t="s">
        <v>555</v>
      </c>
      <c r="E94" s="5">
        <v>20153408191</v>
      </c>
      <c r="F94" s="5" t="s">
        <v>556</v>
      </c>
      <c r="G94" s="5" t="s">
        <v>557</v>
      </c>
      <c r="H94" s="5" t="s">
        <v>28</v>
      </c>
      <c r="I94" s="5" t="s">
        <v>28</v>
      </c>
      <c r="J94" s="5" t="s">
        <v>558</v>
      </c>
      <c r="K94" s="5" t="s">
        <v>559</v>
      </c>
      <c r="L94" s="5" t="s">
        <v>560</v>
      </c>
      <c r="M94" s="5" t="s">
        <v>561</v>
      </c>
      <c r="N94" s="5"/>
      <c r="O94" s="5"/>
      <c r="P94" s="5"/>
      <c r="Q94" s="5"/>
      <c r="R94" s="5"/>
      <c r="S94" s="5"/>
      <c r="T94" s="5"/>
      <c r="U94" s="5">
        <v>14100</v>
      </c>
      <c r="V94" s="6">
        <v>41313</v>
      </c>
      <c r="W94" s="5" t="s">
        <v>31</v>
      </c>
      <c r="X94" s="5" t="s">
        <v>562</v>
      </c>
    </row>
    <row r="95" spans="1:24" x14ac:dyDescent="0.3">
      <c r="A95" s="3">
        <v>89</v>
      </c>
      <c r="B95" s="3" t="str">
        <f>"1382616"</f>
        <v>1382616</v>
      </c>
      <c r="C95" s="3" t="str">
        <f>"41087"</f>
        <v>41087</v>
      </c>
      <c r="D95" s="3" t="s">
        <v>563</v>
      </c>
      <c r="E95" s="3">
        <v>20502597061</v>
      </c>
      <c r="F95" s="3" t="s">
        <v>564</v>
      </c>
      <c r="G95" s="3" t="s">
        <v>565</v>
      </c>
      <c r="H95" s="3" t="s">
        <v>566</v>
      </c>
      <c r="I95" s="3" t="s">
        <v>566</v>
      </c>
      <c r="J95" s="3" t="s">
        <v>567</v>
      </c>
      <c r="K95" s="3" t="s">
        <v>568</v>
      </c>
      <c r="L95" s="3" t="s">
        <v>569</v>
      </c>
      <c r="M95" s="3"/>
      <c r="N95" s="3"/>
      <c r="O95" s="3"/>
      <c r="P95" s="3"/>
      <c r="Q95" s="3"/>
      <c r="R95" s="3"/>
      <c r="S95" s="3"/>
      <c r="T95" s="3"/>
      <c r="U95" s="3">
        <v>3678</v>
      </c>
      <c r="V95" s="4">
        <v>40386</v>
      </c>
      <c r="W95" s="3" t="s">
        <v>31</v>
      </c>
      <c r="X95" s="3" t="s">
        <v>570</v>
      </c>
    </row>
    <row r="96" spans="1:24" x14ac:dyDescent="0.3">
      <c r="A96" s="5">
        <v>90</v>
      </c>
      <c r="B96" s="5" t="str">
        <f>"201900178823"</f>
        <v>201900178823</v>
      </c>
      <c r="C96" s="5" t="str">
        <f>"978"</f>
        <v>978</v>
      </c>
      <c r="D96" s="5" t="s">
        <v>571</v>
      </c>
      <c r="E96" s="5">
        <v>20118798539</v>
      </c>
      <c r="F96" s="5" t="s">
        <v>572</v>
      </c>
      <c r="G96" s="5" t="s">
        <v>573</v>
      </c>
      <c r="H96" s="5" t="s">
        <v>28</v>
      </c>
      <c r="I96" s="5" t="s">
        <v>574</v>
      </c>
      <c r="J96" s="5" t="s">
        <v>575</v>
      </c>
      <c r="K96" s="5" t="s">
        <v>576</v>
      </c>
      <c r="L96" s="5"/>
      <c r="M96" s="5"/>
      <c r="N96" s="5"/>
      <c r="O96" s="5"/>
      <c r="P96" s="5"/>
      <c r="Q96" s="5"/>
      <c r="R96" s="5"/>
      <c r="S96" s="5"/>
      <c r="T96" s="5"/>
      <c r="U96" s="5">
        <v>3500</v>
      </c>
      <c r="V96" s="6">
        <v>43777</v>
      </c>
      <c r="W96" s="5" t="s">
        <v>31</v>
      </c>
      <c r="X96" s="5" t="s">
        <v>577</v>
      </c>
    </row>
    <row r="97" spans="1:24" ht="27.95" x14ac:dyDescent="0.3">
      <c r="A97" s="3">
        <v>91</v>
      </c>
      <c r="B97" s="3" t="str">
        <f>"1384758"</f>
        <v>1384758</v>
      </c>
      <c r="C97" s="3" t="str">
        <f>"14765"</f>
        <v>14765</v>
      </c>
      <c r="D97" s="3" t="s">
        <v>578</v>
      </c>
      <c r="E97" s="3">
        <v>20504311342</v>
      </c>
      <c r="F97" s="3" t="s">
        <v>579</v>
      </c>
      <c r="G97" s="3" t="s">
        <v>580</v>
      </c>
      <c r="H97" s="3" t="s">
        <v>58</v>
      </c>
      <c r="I97" s="3" t="s">
        <v>58</v>
      </c>
      <c r="J97" s="3" t="s">
        <v>581</v>
      </c>
      <c r="K97" s="3" t="s">
        <v>582</v>
      </c>
      <c r="L97" s="3" t="s">
        <v>583</v>
      </c>
      <c r="M97" s="3" t="s">
        <v>584</v>
      </c>
      <c r="N97" s="3"/>
      <c r="O97" s="3"/>
      <c r="P97" s="3"/>
      <c r="Q97" s="3"/>
      <c r="R97" s="3"/>
      <c r="S97" s="3"/>
      <c r="T97" s="3"/>
      <c r="U97" s="3">
        <v>524068</v>
      </c>
      <c r="V97" s="4">
        <v>37544</v>
      </c>
      <c r="W97" s="3" t="s">
        <v>31</v>
      </c>
      <c r="X97" s="3" t="s">
        <v>585</v>
      </c>
    </row>
    <row r="98" spans="1:24" ht="27.95" x14ac:dyDescent="0.3">
      <c r="A98" s="5">
        <v>92</v>
      </c>
      <c r="B98" s="5" t="str">
        <f>"1029881"</f>
        <v>1029881</v>
      </c>
      <c r="C98" s="5" t="str">
        <f>"926"</f>
        <v>926</v>
      </c>
      <c r="D98" s="5">
        <v>1029881</v>
      </c>
      <c r="E98" s="5">
        <v>20170040938</v>
      </c>
      <c r="F98" s="5" t="s">
        <v>526</v>
      </c>
      <c r="G98" s="5" t="s">
        <v>586</v>
      </c>
      <c r="H98" s="5" t="s">
        <v>36</v>
      </c>
      <c r="I98" s="5" t="s">
        <v>234</v>
      </c>
      <c r="J98" s="5" t="s">
        <v>587</v>
      </c>
      <c r="K98" s="5" t="s">
        <v>588</v>
      </c>
      <c r="L98" s="5"/>
      <c r="M98" s="5"/>
      <c r="N98" s="5"/>
      <c r="O98" s="5"/>
      <c r="P98" s="5"/>
      <c r="Q98" s="5"/>
      <c r="R98" s="5"/>
      <c r="S98" s="5"/>
      <c r="T98" s="5"/>
      <c r="U98" s="5">
        <v>8200</v>
      </c>
      <c r="V98" s="6">
        <v>35632</v>
      </c>
      <c r="W98" s="5" t="s">
        <v>31</v>
      </c>
      <c r="X98" s="5" t="s">
        <v>589</v>
      </c>
    </row>
    <row r="99" spans="1:24" ht="41.95" x14ac:dyDescent="0.3">
      <c r="A99" s="3">
        <v>93</v>
      </c>
      <c r="B99" s="3" t="str">
        <f>"201400049298"</f>
        <v>201400049298</v>
      </c>
      <c r="C99" s="3" t="str">
        <f>"83902"</f>
        <v>83902</v>
      </c>
      <c r="D99" s="3" t="s">
        <v>590</v>
      </c>
      <c r="E99" s="3">
        <v>20554225757</v>
      </c>
      <c r="F99" s="3" t="s">
        <v>591</v>
      </c>
      <c r="G99" s="3" t="s">
        <v>592</v>
      </c>
      <c r="H99" s="3" t="s">
        <v>28</v>
      </c>
      <c r="I99" s="3" t="s">
        <v>28</v>
      </c>
      <c r="J99" s="3" t="s">
        <v>409</v>
      </c>
      <c r="K99" s="3" t="s">
        <v>593</v>
      </c>
      <c r="L99" s="3"/>
      <c r="M99" s="3"/>
      <c r="N99" s="3"/>
      <c r="O99" s="3"/>
      <c r="P99" s="3"/>
      <c r="Q99" s="3"/>
      <c r="R99" s="3"/>
      <c r="S99" s="3"/>
      <c r="T99" s="3"/>
      <c r="U99" s="3">
        <v>2600</v>
      </c>
      <c r="V99" s="4">
        <v>41752</v>
      </c>
      <c r="W99" s="3" t="s">
        <v>31</v>
      </c>
      <c r="X99" s="3" t="s">
        <v>594</v>
      </c>
    </row>
    <row r="100" spans="1:24" ht="27.95" x14ac:dyDescent="0.3">
      <c r="A100" s="5">
        <v>94</v>
      </c>
      <c r="B100" s="5" t="str">
        <f>"1110067"</f>
        <v>1110067</v>
      </c>
      <c r="C100" s="5" t="str">
        <f>"360"</f>
        <v>360</v>
      </c>
      <c r="D100" s="5">
        <v>989502</v>
      </c>
      <c r="E100" s="5">
        <v>20100060150</v>
      </c>
      <c r="F100" s="5" t="s">
        <v>595</v>
      </c>
      <c r="G100" s="5" t="s">
        <v>596</v>
      </c>
      <c r="H100" s="5" t="s">
        <v>28</v>
      </c>
      <c r="I100" s="5" t="s">
        <v>28</v>
      </c>
      <c r="J100" s="5" t="s">
        <v>91</v>
      </c>
      <c r="K100" s="5" t="s">
        <v>229</v>
      </c>
      <c r="L100" s="5"/>
      <c r="M100" s="5"/>
      <c r="N100" s="5"/>
      <c r="O100" s="5"/>
      <c r="P100" s="5"/>
      <c r="Q100" s="5"/>
      <c r="R100" s="5"/>
      <c r="S100" s="5"/>
      <c r="T100" s="5"/>
      <c r="U100" s="5">
        <v>2000</v>
      </c>
      <c r="V100" s="6">
        <v>35508</v>
      </c>
      <c r="W100" s="5" t="s">
        <v>31</v>
      </c>
      <c r="X100" s="5" t="s">
        <v>597</v>
      </c>
    </row>
    <row r="101" spans="1:24" ht="27.95" x14ac:dyDescent="0.3">
      <c r="A101" s="3">
        <v>95</v>
      </c>
      <c r="B101" s="3" t="str">
        <f>"201700154036"</f>
        <v>201700154036</v>
      </c>
      <c r="C101" s="3" t="str">
        <f>"96701"</f>
        <v>96701</v>
      </c>
      <c r="D101" s="3" t="s">
        <v>598</v>
      </c>
      <c r="E101" s="3">
        <v>20130447679</v>
      </c>
      <c r="F101" s="3" t="s">
        <v>599</v>
      </c>
      <c r="G101" s="3" t="s">
        <v>600</v>
      </c>
      <c r="H101" s="3" t="s">
        <v>28</v>
      </c>
      <c r="I101" s="3" t="s">
        <v>28</v>
      </c>
      <c r="J101" s="3" t="s">
        <v>91</v>
      </c>
      <c r="K101" s="3" t="s">
        <v>30</v>
      </c>
      <c r="L101" s="3"/>
      <c r="M101" s="3"/>
      <c r="N101" s="3"/>
      <c r="O101" s="3"/>
      <c r="P101" s="3"/>
      <c r="Q101" s="3"/>
      <c r="R101" s="3"/>
      <c r="S101" s="3"/>
      <c r="T101" s="3"/>
      <c r="U101" s="3">
        <v>8000</v>
      </c>
      <c r="V101" s="4">
        <v>43000</v>
      </c>
      <c r="W101" s="3" t="s">
        <v>31</v>
      </c>
      <c r="X101" s="3" t="s">
        <v>601</v>
      </c>
    </row>
    <row r="102" spans="1:24" x14ac:dyDescent="0.3">
      <c r="A102" s="5">
        <v>96</v>
      </c>
      <c r="B102" s="5" t="str">
        <f>"1536414"</f>
        <v>1536414</v>
      </c>
      <c r="C102" s="5" t="str">
        <f>"766"</f>
        <v>766</v>
      </c>
      <c r="D102" s="5" t="s">
        <v>602</v>
      </c>
      <c r="E102" s="5">
        <v>20254053822</v>
      </c>
      <c r="F102" s="5" t="s">
        <v>603</v>
      </c>
      <c r="G102" s="5" t="s">
        <v>604</v>
      </c>
      <c r="H102" s="5" t="s">
        <v>115</v>
      </c>
      <c r="I102" s="5" t="s">
        <v>115</v>
      </c>
      <c r="J102" s="5" t="s">
        <v>159</v>
      </c>
      <c r="K102" s="5" t="s">
        <v>605</v>
      </c>
      <c r="L102" s="5"/>
      <c r="M102" s="5"/>
      <c r="N102" s="5"/>
      <c r="O102" s="5"/>
      <c r="P102" s="5"/>
      <c r="Q102" s="5"/>
      <c r="R102" s="5"/>
      <c r="S102" s="5"/>
      <c r="T102" s="5"/>
      <c r="U102" s="5">
        <v>2000</v>
      </c>
      <c r="V102" s="6">
        <v>39976</v>
      </c>
      <c r="W102" s="5" t="s">
        <v>31</v>
      </c>
      <c r="X102" s="5" t="s">
        <v>606</v>
      </c>
    </row>
    <row r="103" spans="1:24" x14ac:dyDescent="0.3">
      <c r="A103" s="3">
        <v>97</v>
      </c>
      <c r="B103" s="3" t="str">
        <f>"201500080126"</f>
        <v>201500080126</v>
      </c>
      <c r="C103" s="3" t="str">
        <f>"116000"</f>
        <v>116000</v>
      </c>
      <c r="D103" s="3" t="s">
        <v>607</v>
      </c>
      <c r="E103" s="3">
        <v>20100814162</v>
      </c>
      <c r="F103" s="3" t="s">
        <v>608</v>
      </c>
      <c r="G103" s="3" t="s">
        <v>609</v>
      </c>
      <c r="H103" s="3" t="s">
        <v>51</v>
      </c>
      <c r="I103" s="3" t="s">
        <v>51</v>
      </c>
      <c r="J103" s="3" t="s">
        <v>241</v>
      </c>
      <c r="K103" s="3" t="s">
        <v>610</v>
      </c>
      <c r="L103" s="3" t="s">
        <v>610</v>
      </c>
      <c r="M103" s="3" t="s">
        <v>610</v>
      </c>
      <c r="N103" s="3"/>
      <c r="O103" s="3"/>
      <c r="P103" s="3"/>
      <c r="Q103" s="3"/>
      <c r="R103" s="3"/>
      <c r="S103" s="3"/>
      <c r="T103" s="3"/>
      <c r="U103" s="3">
        <v>32193</v>
      </c>
      <c r="V103" s="4">
        <v>42199</v>
      </c>
      <c r="W103" s="3" t="s">
        <v>31</v>
      </c>
      <c r="X103" s="3" t="s">
        <v>611</v>
      </c>
    </row>
    <row r="104" spans="1:24" x14ac:dyDescent="0.3">
      <c r="A104" s="5">
        <v>98</v>
      </c>
      <c r="B104" s="5" t="str">
        <f>"201700211617"</f>
        <v>201700211617</v>
      </c>
      <c r="C104" s="5" t="str">
        <f>"133476"</f>
        <v>133476</v>
      </c>
      <c r="D104" s="5" t="s">
        <v>612</v>
      </c>
      <c r="E104" s="5">
        <v>20395275535</v>
      </c>
      <c r="F104" s="5" t="s">
        <v>613</v>
      </c>
      <c r="G104" s="5" t="s">
        <v>614</v>
      </c>
      <c r="H104" s="5" t="s">
        <v>264</v>
      </c>
      <c r="I104" s="5" t="s">
        <v>264</v>
      </c>
      <c r="J104" s="5" t="s">
        <v>615</v>
      </c>
      <c r="K104" s="5" t="s">
        <v>181</v>
      </c>
      <c r="L104" s="5"/>
      <c r="M104" s="5"/>
      <c r="N104" s="5"/>
      <c r="O104" s="5"/>
      <c r="P104" s="5"/>
      <c r="Q104" s="5"/>
      <c r="R104" s="5"/>
      <c r="S104" s="5"/>
      <c r="T104" s="5"/>
      <c r="U104" s="5">
        <v>5000</v>
      </c>
      <c r="V104" s="6">
        <v>43100</v>
      </c>
      <c r="W104" s="5" t="s">
        <v>31</v>
      </c>
      <c r="X104" s="5" t="s">
        <v>616</v>
      </c>
    </row>
    <row r="105" spans="1:24" ht="27.95" x14ac:dyDescent="0.3">
      <c r="A105" s="3">
        <v>99</v>
      </c>
      <c r="B105" s="3" t="str">
        <f>"1477542"</f>
        <v>1477542</v>
      </c>
      <c r="C105" s="3" t="str">
        <f>"89345"</f>
        <v>89345</v>
      </c>
      <c r="D105" s="3" t="s">
        <v>617</v>
      </c>
      <c r="E105" s="3">
        <v>20492943011</v>
      </c>
      <c r="F105" s="3" t="s">
        <v>618</v>
      </c>
      <c r="G105" s="3" t="s">
        <v>619</v>
      </c>
      <c r="H105" s="3" t="s">
        <v>115</v>
      </c>
      <c r="I105" s="3" t="s">
        <v>115</v>
      </c>
      <c r="J105" s="3" t="s">
        <v>116</v>
      </c>
      <c r="K105" s="3" t="s">
        <v>620</v>
      </c>
      <c r="L105" s="3"/>
      <c r="M105" s="3"/>
      <c r="N105" s="3"/>
      <c r="O105" s="3"/>
      <c r="P105" s="3"/>
      <c r="Q105" s="3"/>
      <c r="R105" s="3"/>
      <c r="S105" s="3"/>
      <c r="T105" s="3"/>
      <c r="U105" s="3">
        <v>3011</v>
      </c>
      <c r="V105" s="4">
        <v>40653</v>
      </c>
      <c r="W105" s="3" t="s">
        <v>31</v>
      </c>
      <c r="X105" s="3" t="s">
        <v>621</v>
      </c>
    </row>
    <row r="106" spans="1:24" ht="41.95" x14ac:dyDescent="0.3">
      <c r="A106" s="5">
        <v>100</v>
      </c>
      <c r="B106" s="5" t="str">
        <f>"201400029675"</f>
        <v>201400029675</v>
      </c>
      <c r="C106" s="5" t="str">
        <f>"889"</f>
        <v>889</v>
      </c>
      <c r="D106" s="5" t="s">
        <v>622</v>
      </c>
      <c r="E106" s="5">
        <v>20138053939</v>
      </c>
      <c r="F106" s="5" t="s">
        <v>623</v>
      </c>
      <c r="G106" s="5" t="s">
        <v>624</v>
      </c>
      <c r="H106" s="5" t="s">
        <v>28</v>
      </c>
      <c r="I106" s="5" t="s">
        <v>28</v>
      </c>
      <c r="J106" s="5" t="s">
        <v>29</v>
      </c>
      <c r="K106" s="5" t="s">
        <v>87</v>
      </c>
      <c r="L106" s="5"/>
      <c r="M106" s="5"/>
      <c r="N106" s="5"/>
      <c r="O106" s="5"/>
      <c r="P106" s="5"/>
      <c r="Q106" s="5"/>
      <c r="R106" s="5"/>
      <c r="S106" s="5"/>
      <c r="T106" s="5"/>
      <c r="U106" s="5">
        <v>6000</v>
      </c>
      <c r="V106" s="6">
        <v>41726</v>
      </c>
      <c r="W106" s="5" t="s">
        <v>31</v>
      </c>
      <c r="X106" s="5" t="s">
        <v>625</v>
      </c>
    </row>
    <row r="107" spans="1:24" ht="27.95" x14ac:dyDescent="0.3">
      <c r="A107" s="3">
        <v>101</v>
      </c>
      <c r="B107" s="3" t="str">
        <f>"1226875"</f>
        <v>1226875</v>
      </c>
      <c r="C107" s="3" t="str">
        <f>"16155"</f>
        <v>16155</v>
      </c>
      <c r="D107" s="3">
        <v>982198</v>
      </c>
      <c r="E107" s="3">
        <v>20379689788</v>
      </c>
      <c r="F107" s="3" t="s">
        <v>626</v>
      </c>
      <c r="G107" s="3" t="s">
        <v>627</v>
      </c>
      <c r="H107" s="3" t="s">
        <v>285</v>
      </c>
      <c r="I107" s="3" t="s">
        <v>286</v>
      </c>
      <c r="J107" s="3" t="s">
        <v>628</v>
      </c>
      <c r="K107" s="3" t="s">
        <v>629</v>
      </c>
      <c r="L107" s="3" t="s">
        <v>630</v>
      </c>
      <c r="M107" s="3"/>
      <c r="N107" s="3"/>
      <c r="O107" s="3"/>
      <c r="P107" s="3"/>
      <c r="Q107" s="3"/>
      <c r="R107" s="3"/>
      <c r="S107" s="3"/>
      <c r="T107" s="3"/>
      <c r="U107" s="3">
        <v>109378</v>
      </c>
      <c r="V107" s="4">
        <v>36245</v>
      </c>
      <c r="W107" s="3" t="s">
        <v>31</v>
      </c>
      <c r="X107" s="3" t="s">
        <v>631</v>
      </c>
    </row>
    <row r="108" spans="1:24" ht="27.95" x14ac:dyDescent="0.3">
      <c r="A108" s="5">
        <v>102</v>
      </c>
      <c r="B108" s="5" t="str">
        <f>"1335568"</f>
        <v>1335568</v>
      </c>
      <c r="C108" s="5" t="str">
        <f>"328"</f>
        <v>328</v>
      </c>
      <c r="D108" s="5" t="s">
        <v>632</v>
      </c>
      <c r="E108" s="5">
        <v>20100193036</v>
      </c>
      <c r="F108" s="5" t="s">
        <v>633</v>
      </c>
      <c r="G108" s="5" t="s">
        <v>634</v>
      </c>
      <c r="H108" s="5" t="s">
        <v>51</v>
      </c>
      <c r="I108" s="5" t="s">
        <v>51</v>
      </c>
      <c r="J108" s="5" t="s">
        <v>241</v>
      </c>
      <c r="K108" s="5" t="s">
        <v>635</v>
      </c>
      <c r="L108" s="5" t="s">
        <v>636</v>
      </c>
      <c r="M108" s="5" t="s">
        <v>635</v>
      </c>
      <c r="N108" s="5" t="s">
        <v>637</v>
      </c>
      <c r="O108" s="5"/>
      <c r="P108" s="5"/>
      <c r="Q108" s="5"/>
      <c r="R108" s="5"/>
      <c r="S108" s="5"/>
      <c r="T108" s="5"/>
      <c r="U108" s="5">
        <v>13000</v>
      </c>
      <c r="V108" s="6">
        <v>37138</v>
      </c>
      <c r="W108" s="5" t="s">
        <v>31</v>
      </c>
      <c r="X108" s="5" t="s">
        <v>638</v>
      </c>
    </row>
    <row r="109" spans="1:24" x14ac:dyDescent="0.3">
      <c r="A109" s="3">
        <v>103</v>
      </c>
      <c r="B109" s="3" t="str">
        <f>"1127219"</f>
        <v>1127219</v>
      </c>
      <c r="C109" s="3" t="str">
        <f>"754"</f>
        <v>754</v>
      </c>
      <c r="D109" s="3">
        <v>1009706</v>
      </c>
      <c r="E109" s="3">
        <v>20160388570</v>
      </c>
      <c r="F109" s="3" t="s">
        <v>639</v>
      </c>
      <c r="G109" s="3" t="s">
        <v>640</v>
      </c>
      <c r="H109" s="3" t="s">
        <v>28</v>
      </c>
      <c r="I109" s="3" t="s">
        <v>28</v>
      </c>
      <c r="J109" s="3" t="s">
        <v>28</v>
      </c>
      <c r="K109" s="3" t="s">
        <v>641</v>
      </c>
      <c r="L109" s="3" t="s">
        <v>642</v>
      </c>
      <c r="M109" s="3" t="s">
        <v>642</v>
      </c>
      <c r="N109" s="3"/>
      <c r="O109" s="3"/>
      <c r="P109" s="3"/>
      <c r="Q109" s="3"/>
      <c r="R109" s="3"/>
      <c r="S109" s="3"/>
      <c r="T109" s="3"/>
      <c r="U109" s="3">
        <v>15960</v>
      </c>
      <c r="V109" s="4">
        <v>35605</v>
      </c>
      <c r="W109" s="3" t="s">
        <v>31</v>
      </c>
      <c r="X109" s="3" t="s">
        <v>643</v>
      </c>
    </row>
    <row r="110" spans="1:24" x14ac:dyDescent="0.3">
      <c r="A110" s="5">
        <v>104</v>
      </c>
      <c r="B110" s="5" t="str">
        <f>"1443556"</f>
        <v>1443556</v>
      </c>
      <c r="C110" s="5" t="str">
        <f>"189"</f>
        <v>189</v>
      </c>
      <c r="D110" s="5" t="s">
        <v>644</v>
      </c>
      <c r="E110" s="5">
        <v>20136036778</v>
      </c>
      <c r="F110" s="5" t="s">
        <v>645</v>
      </c>
      <c r="G110" s="5" t="s">
        <v>646</v>
      </c>
      <c r="H110" s="5" t="s">
        <v>264</v>
      </c>
      <c r="I110" s="5" t="s">
        <v>264</v>
      </c>
      <c r="J110" s="5" t="s">
        <v>647</v>
      </c>
      <c r="K110" s="5" t="s">
        <v>648</v>
      </c>
      <c r="L110" s="5" t="s">
        <v>649</v>
      </c>
      <c r="M110" s="5" t="s">
        <v>650</v>
      </c>
      <c r="N110" s="5" t="s">
        <v>651</v>
      </c>
      <c r="O110" s="5" t="s">
        <v>652</v>
      </c>
      <c r="P110" s="5"/>
      <c r="Q110" s="5"/>
      <c r="R110" s="5"/>
      <c r="S110" s="5"/>
      <c r="T110" s="5"/>
      <c r="U110" s="5">
        <v>31260</v>
      </c>
      <c r="V110" s="6">
        <v>37967</v>
      </c>
      <c r="W110" s="5" t="s">
        <v>31</v>
      </c>
      <c r="X110" s="5" t="s">
        <v>653</v>
      </c>
    </row>
    <row r="111" spans="1:24" x14ac:dyDescent="0.3">
      <c r="A111" s="3">
        <v>105</v>
      </c>
      <c r="B111" s="3" t="str">
        <f>"201900043247"</f>
        <v>201900043247</v>
      </c>
      <c r="C111" s="3" t="str">
        <f>"141992"</f>
        <v>141992</v>
      </c>
      <c r="D111" s="3" t="s">
        <v>654</v>
      </c>
      <c r="E111" s="3">
        <v>20486021692</v>
      </c>
      <c r="F111" s="3" t="s">
        <v>655</v>
      </c>
      <c r="G111" s="3" t="s">
        <v>656</v>
      </c>
      <c r="H111" s="3" t="s">
        <v>566</v>
      </c>
      <c r="I111" s="3" t="s">
        <v>657</v>
      </c>
      <c r="J111" s="3" t="s">
        <v>657</v>
      </c>
      <c r="K111" s="3" t="s">
        <v>130</v>
      </c>
      <c r="L111" s="3"/>
      <c r="M111" s="3"/>
      <c r="N111" s="3"/>
      <c r="O111" s="3"/>
      <c r="P111" s="3"/>
      <c r="Q111" s="3"/>
      <c r="R111" s="3"/>
      <c r="S111" s="3"/>
      <c r="T111" s="3"/>
      <c r="U111" s="3">
        <v>3000</v>
      </c>
      <c r="V111" s="4">
        <v>43544</v>
      </c>
      <c r="W111" s="3" t="s">
        <v>31</v>
      </c>
      <c r="X111" s="3" t="s">
        <v>658</v>
      </c>
    </row>
    <row r="112" spans="1:24" x14ac:dyDescent="0.3">
      <c r="A112" s="5">
        <v>106</v>
      </c>
      <c r="B112" s="5" t="str">
        <f>"1117660"</f>
        <v>1117660</v>
      </c>
      <c r="C112" s="5" t="str">
        <f>"240"</f>
        <v>240</v>
      </c>
      <c r="D112" s="5">
        <v>971303</v>
      </c>
      <c r="E112" s="5">
        <v>20100113458</v>
      </c>
      <c r="F112" s="5" t="s">
        <v>659</v>
      </c>
      <c r="G112" s="5" t="s">
        <v>660</v>
      </c>
      <c r="H112" s="5" t="s">
        <v>28</v>
      </c>
      <c r="I112" s="5" t="s">
        <v>28</v>
      </c>
      <c r="J112" s="5" t="s">
        <v>661</v>
      </c>
      <c r="K112" s="5" t="s">
        <v>46</v>
      </c>
      <c r="L112" s="5" t="s">
        <v>662</v>
      </c>
      <c r="M112" s="5"/>
      <c r="N112" s="5"/>
      <c r="O112" s="5"/>
      <c r="P112" s="5"/>
      <c r="Q112" s="5"/>
      <c r="R112" s="5"/>
      <c r="S112" s="5"/>
      <c r="T112" s="5"/>
      <c r="U112" s="5">
        <v>16000</v>
      </c>
      <c r="V112" s="6">
        <v>35562</v>
      </c>
      <c r="W112" s="5" t="s">
        <v>31</v>
      </c>
      <c r="X112" s="5" t="s">
        <v>663</v>
      </c>
    </row>
    <row r="113" spans="1:24" ht="27.95" x14ac:dyDescent="0.3">
      <c r="A113" s="3">
        <v>107</v>
      </c>
      <c r="B113" s="3" t="str">
        <f>"1838053"</f>
        <v>1838053</v>
      </c>
      <c r="C113" s="3" t="str">
        <f>"95"</f>
        <v>95</v>
      </c>
      <c r="D113" s="3" t="s">
        <v>664</v>
      </c>
      <c r="E113" s="3">
        <v>20107290177</v>
      </c>
      <c r="F113" s="3" t="s">
        <v>665</v>
      </c>
      <c r="G113" s="3" t="s">
        <v>666</v>
      </c>
      <c r="H113" s="3" t="s">
        <v>28</v>
      </c>
      <c r="I113" s="3" t="s">
        <v>667</v>
      </c>
      <c r="J113" s="3" t="s">
        <v>667</v>
      </c>
      <c r="K113" s="3" t="s">
        <v>46</v>
      </c>
      <c r="L113" s="3" t="s">
        <v>46</v>
      </c>
      <c r="M113" s="3" t="s">
        <v>46</v>
      </c>
      <c r="N113" s="3" t="s">
        <v>668</v>
      </c>
      <c r="O113" s="3" t="s">
        <v>323</v>
      </c>
      <c r="P113" s="3" t="s">
        <v>46</v>
      </c>
      <c r="Q113" s="3"/>
      <c r="R113" s="3"/>
      <c r="S113" s="3"/>
      <c r="T113" s="3"/>
      <c r="U113" s="3">
        <v>17800</v>
      </c>
      <c r="V113" s="4">
        <v>39783</v>
      </c>
      <c r="W113" s="3" t="s">
        <v>31</v>
      </c>
      <c r="X113" s="3" t="s">
        <v>669</v>
      </c>
    </row>
    <row r="114" spans="1:24" x14ac:dyDescent="0.3">
      <c r="A114" s="5">
        <v>108</v>
      </c>
      <c r="B114" s="5" t="str">
        <f>"201600192944"</f>
        <v>201600192944</v>
      </c>
      <c r="C114" s="5" t="str">
        <f>"93071"</f>
        <v>93071</v>
      </c>
      <c r="D114" s="5" t="s">
        <v>670</v>
      </c>
      <c r="E114" s="5">
        <v>20552714378</v>
      </c>
      <c r="F114" s="5" t="s">
        <v>671</v>
      </c>
      <c r="G114" s="5" t="s">
        <v>672</v>
      </c>
      <c r="H114" s="5" t="s">
        <v>135</v>
      </c>
      <c r="I114" s="5" t="s">
        <v>673</v>
      </c>
      <c r="J114" s="5" t="s">
        <v>674</v>
      </c>
      <c r="K114" s="5" t="s">
        <v>168</v>
      </c>
      <c r="L114" s="5" t="s">
        <v>168</v>
      </c>
      <c r="M114" s="5" t="s">
        <v>168</v>
      </c>
      <c r="N114" s="5" t="s">
        <v>168</v>
      </c>
      <c r="O114" s="5" t="s">
        <v>168</v>
      </c>
      <c r="P114" s="5" t="s">
        <v>168</v>
      </c>
      <c r="Q114" s="5" t="s">
        <v>168</v>
      </c>
      <c r="R114" s="5" t="s">
        <v>181</v>
      </c>
      <c r="S114" s="5"/>
      <c r="T114" s="5"/>
      <c r="U114" s="5">
        <v>75000</v>
      </c>
      <c r="V114" s="6">
        <v>42775</v>
      </c>
      <c r="W114" s="5" t="s">
        <v>31</v>
      </c>
      <c r="X114" s="5" t="s">
        <v>675</v>
      </c>
    </row>
    <row r="115" spans="1:24" ht="27.95" x14ac:dyDescent="0.3">
      <c r="A115" s="3">
        <v>109</v>
      </c>
      <c r="B115" s="3" t="str">
        <f>"201200204329"</f>
        <v>201200204329</v>
      </c>
      <c r="C115" s="3" t="str">
        <f>"99246"</f>
        <v>99246</v>
      </c>
      <c r="D115" s="3" t="s">
        <v>676</v>
      </c>
      <c r="E115" s="3">
        <v>20174455024</v>
      </c>
      <c r="F115" s="3" t="s">
        <v>677</v>
      </c>
      <c r="G115" s="3" t="s">
        <v>678</v>
      </c>
      <c r="H115" s="3" t="s">
        <v>28</v>
      </c>
      <c r="I115" s="3" t="s">
        <v>28</v>
      </c>
      <c r="J115" s="3" t="s">
        <v>501</v>
      </c>
      <c r="K115" s="3" t="s">
        <v>130</v>
      </c>
      <c r="L115" s="3"/>
      <c r="M115" s="3"/>
      <c r="N115" s="3"/>
      <c r="O115" s="3"/>
      <c r="P115" s="3"/>
      <c r="Q115" s="3"/>
      <c r="R115" s="3"/>
      <c r="S115" s="3"/>
      <c r="T115" s="3"/>
      <c r="U115" s="3">
        <v>3000</v>
      </c>
      <c r="V115" s="4">
        <v>41257</v>
      </c>
      <c r="W115" s="3" t="s">
        <v>31</v>
      </c>
      <c r="X115" s="3" t="s">
        <v>679</v>
      </c>
    </row>
    <row r="116" spans="1:24" ht="27.95" x14ac:dyDescent="0.3">
      <c r="A116" s="5">
        <v>110</v>
      </c>
      <c r="B116" s="5" t="str">
        <f>"201800169475"</f>
        <v>201800169475</v>
      </c>
      <c r="C116" s="5" t="str">
        <f>"86435"</f>
        <v>86435</v>
      </c>
      <c r="D116" s="5" t="s">
        <v>680</v>
      </c>
      <c r="E116" s="5">
        <v>20600990986</v>
      </c>
      <c r="F116" s="5" t="s">
        <v>681</v>
      </c>
      <c r="G116" s="5" t="s">
        <v>682</v>
      </c>
      <c r="H116" s="5" t="s">
        <v>28</v>
      </c>
      <c r="I116" s="5" t="s">
        <v>28</v>
      </c>
      <c r="J116" s="5" t="s">
        <v>109</v>
      </c>
      <c r="K116" s="5" t="s">
        <v>181</v>
      </c>
      <c r="L116" s="5"/>
      <c r="M116" s="5"/>
      <c r="N116" s="5"/>
      <c r="O116" s="5"/>
      <c r="P116" s="5"/>
      <c r="Q116" s="5"/>
      <c r="R116" s="5"/>
      <c r="S116" s="5"/>
      <c r="T116" s="5"/>
      <c r="U116" s="5">
        <v>5000</v>
      </c>
      <c r="V116" s="6">
        <v>43389</v>
      </c>
      <c r="W116" s="5" t="s">
        <v>31</v>
      </c>
      <c r="X116" s="5" t="s">
        <v>683</v>
      </c>
    </row>
    <row r="117" spans="1:24" ht="55.9" x14ac:dyDescent="0.3">
      <c r="A117" s="3">
        <v>111</v>
      </c>
      <c r="B117" s="3" t="str">
        <f>"1477128"</f>
        <v>1477128</v>
      </c>
      <c r="C117" s="3" t="str">
        <f>"91750"</f>
        <v>91750</v>
      </c>
      <c r="D117" s="3" t="s">
        <v>684</v>
      </c>
      <c r="E117" s="3">
        <v>20107884476</v>
      </c>
      <c r="F117" s="3" t="s">
        <v>685</v>
      </c>
      <c r="G117" s="3" t="s">
        <v>686</v>
      </c>
      <c r="H117" s="3" t="s">
        <v>28</v>
      </c>
      <c r="I117" s="3" t="s">
        <v>28</v>
      </c>
      <c r="J117" s="3" t="s">
        <v>687</v>
      </c>
      <c r="K117" s="3" t="s">
        <v>688</v>
      </c>
      <c r="L117" s="3"/>
      <c r="M117" s="3"/>
      <c r="N117" s="3"/>
      <c r="O117" s="3"/>
      <c r="P117" s="3"/>
      <c r="Q117" s="3"/>
      <c r="R117" s="3"/>
      <c r="S117" s="3"/>
      <c r="T117" s="3"/>
      <c r="U117" s="3">
        <v>1704</v>
      </c>
      <c r="V117" s="4">
        <v>40674</v>
      </c>
      <c r="W117" s="3" t="s">
        <v>31</v>
      </c>
      <c r="X117" s="3" t="s">
        <v>689</v>
      </c>
    </row>
    <row r="118" spans="1:24" x14ac:dyDescent="0.3">
      <c r="A118" s="5">
        <v>112</v>
      </c>
      <c r="B118" s="5" t="str">
        <f>"1145863"</f>
        <v>1145863</v>
      </c>
      <c r="C118" s="5" t="str">
        <f>"1273"</f>
        <v>1273</v>
      </c>
      <c r="D118" s="5">
        <v>1145863</v>
      </c>
      <c r="E118" s="5">
        <v>20502839501</v>
      </c>
      <c r="F118" s="5" t="s">
        <v>690</v>
      </c>
      <c r="G118" s="5" t="s">
        <v>691</v>
      </c>
      <c r="H118" s="5" t="s">
        <v>214</v>
      </c>
      <c r="I118" s="5" t="s">
        <v>692</v>
      </c>
      <c r="J118" s="5" t="s">
        <v>693</v>
      </c>
      <c r="K118" s="5" t="s">
        <v>694</v>
      </c>
      <c r="L118" s="5"/>
      <c r="M118" s="5"/>
      <c r="N118" s="5"/>
      <c r="O118" s="5"/>
      <c r="P118" s="5"/>
      <c r="Q118" s="5"/>
      <c r="R118" s="5"/>
      <c r="S118" s="5"/>
      <c r="T118" s="5"/>
      <c r="U118" s="5">
        <v>18000</v>
      </c>
      <c r="V118" s="6">
        <v>35648</v>
      </c>
      <c r="W118" s="5" t="s">
        <v>31</v>
      </c>
      <c r="X118" s="5" t="s">
        <v>695</v>
      </c>
    </row>
    <row r="119" spans="1:24" ht="27.95" x14ac:dyDescent="0.3">
      <c r="A119" s="3">
        <v>113</v>
      </c>
      <c r="B119" s="3" t="str">
        <f>"201300094221"</f>
        <v>201300094221</v>
      </c>
      <c r="C119" s="3" t="str">
        <f>"100726"</f>
        <v>100726</v>
      </c>
      <c r="D119" s="3" t="s">
        <v>696</v>
      </c>
      <c r="E119" s="3">
        <v>20202169725</v>
      </c>
      <c r="F119" s="3" t="s">
        <v>697</v>
      </c>
      <c r="G119" s="3" t="s">
        <v>698</v>
      </c>
      <c r="H119" s="3" t="s">
        <v>28</v>
      </c>
      <c r="I119" s="3" t="s">
        <v>28</v>
      </c>
      <c r="J119" s="3" t="s">
        <v>699</v>
      </c>
      <c r="K119" s="3" t="s">
        <v>700</v>
      </c>
      <c r="L119" s="3"/>
      <c r="M119" s="3"/>
      <c r="N119" s="3"/>
      <c r="O119" s="3"/>
      <c r="P119" s="3"/>
      <c r="Q119" s="3"/>
      <c r="R119" s="3"/>
      <c r="S119" s="3"/>
      <c r="T119" s="3"/>
      <c r="U119" s="3">
        <v>9625</v>
      </c>
      <c r="V119" s="4">
        <v>41428</v>
      </c>
      <c r="W119" s="3" t="s">
        <v>31</v>
      </c>
      <c r="X119" s="3" t="s">
        <v>701</v>
      </c>
    </row>
    <row r="120" spans="1:24" x14ac:dyDescent="0.3">
      <c r="A120" s="5">
        <v>114</v>
      </c>
      <c r="B120" s="5" t="str">
        <f>"201200145360"</f>
        <v>201200145360</v>
      </c>
      <c r="C120" s="5" t="str">
        <f>"91851"</f>
        <v>91851</v>
      </c>
      <c r="D120" s="5" t="s">
        <v>702</v>
      </c>
      <c r="E120" s="5">
        <v>20306205855</v>
      </c>
      <c r="F120" s="5" t="s">
        <v>703</v>
      </c>
      <c r="G120" s="5" t="s">
        <v>704</v>
      </c>
      <c r="H120" s="5" t="s">
        <v>115</v>
      </c>
      <c r="I120" s="5" t="s">
        <v>115</v>
      </c>
      <c r="J120" s="5" t="s">
        <v>222</v>
      </c>
      <c r="K120" s="5" t="s">
        <v>705</v>
      </c>
      <c r="L120" s="5" t="s">
        <v>706</v>
      </c>
      <c r="M120" s="5" t="s">
        <v>707</v>
      </c>
      <c r="N120" s="5" t="s">
        <v>708</v>
      </c>
      <c r="O120" s="5"/>
      <c r="P120" s="5"/>
      <c r="Q120" s="5"/>
      <c r="R120" s="5"/>
      <c r="S120" s="5"/>
      <c r="T120" s="5"/>
      <c r="U120" s="5">
        <v>10199</v>
      </c>
      <c r="V120" s="6">
        <v>41131</v>
      </c>
      <c r="W120" s="5" t="s">
        <v>31</v>
      </c>
      <c r="X120" s="5" t="s">
        <v>709</v>
      </c>
    </row>
    <row r="121" spans="1:24" ht="27.95" x14ac:dyDescent="0.3">
      <c r="A121" s="3">
        <v>115</v>
      </c>
      <c r="B121" s="3" t="str">
        <f>"202000092728"</f>
        <v>202000092728</v>
      </c>
      <c r="C121" s="3" t="str">
        <f>"117203"</f>
        <v>117203</v>
      </c>
      <c r="D121" s="3" t="s">
        <v>710</v>
      </c>
      <c r="E121" s="3">
        <v>10777934371</v>
      </c>
      <c r="F121" s="3" t="s">
        <v>711</v>
      </c>
      <c r="G121" s="3" t="s">
        <v>712</v>
      </c>
      <c r="H121" s="3" t="s">
        <v>80</v>
      </c>
      <c r="I121" s="3" t="s">
        <v>309</v>
      </c>
      <c r="J121" s="3" t="s">
        <v>309</v>
      </c>
      <c r="K121" s="3" t="s">
        <v>110</v>
      </c>
      <c r="L121" s="3"/>
      <c r="M121" s="3"/>
      <c r="N121" s="3"/>
      <c r="O121" s="3"/>
      <c r="P121" s="3"/>
      <c r="Q121" s="3"/>
      <c r="R121" s="3"/>
      <c r="S121" s="3"/>
      <c r="T121" s="3"/>
      <c r="U121" s="3">
        <v>4000</v>
      </c>
      <c r="V121" s="4">
        <v>44049</v>
      </c>
      <c r="W121" s="3" t="s">
        <v>31</v>
      </c>
      <c r="X121" s="3" t="s">
        <v>711</v>
      </c>
    </row>
    <row r="122" spans="1:24" x14ac:dyDescent="0.3">
      <c r="A122" s="5">
        <v>116</v>
      </c>
      <c r="B122" s="5" t="str">
        <f>"1350651"</f>
        <v>1350651</v>
      </c>
      <c r="C122" s="5" t="str">
        <f>"368"</f>
        <v>368</v>
      </c>
      <c r="D122" s="5" t="s">
        <v>713</v>
      </c>
      <c r="E122" s="5">
        <v>20463263931</v>
      </c>
      <c r="F122" s="5" t="s">
        <v>714</v>
      </c>
      <c r="G122" s="5" t="s">
        <v>715</v>
      </c>
      <c r="H122" s="5" t="s">
        <v>28</v>
      </c>
      <c r="I122" s="5" t="s">
        <v>28</v>
      </c>
      <c r="J122" s="5" t="s">
        <v>91</v>
      </c>
      <c r="K122" s="5" t="s">
        <v>259</v>
      </c>
      <c r="L122" s="5"/>
      <c r="M122" s="5"/>
      <c r="N122" s="5"/>
      <c r="O122" s="5"/>
      <c r="P122" s="5"/>
      <c r="Q122" s="5"/>
      <c r="R122" s="5"/>
      <c r="S122" s="5"/>
      <c r="T122" s="5"/>
      <c r="U122" s="5">
        <v>6000</v>
      </c>
      <c r="V122" s="6">
        <v>37288</v>
      </c>
      <c r="W122" s="5" t="s">
        <v>31</v>
      </c>
      <c r="X122" s="5" t="s">
        <v>716</v>
      </c>
    </row>
    <row r="123" spans="1:24" x14ac:dyDescent="0.3">
      <c r="A123" s="3">
        <v>117</v>
      </c>
      <c r="B123" s="3" t="str">
        <f>"201600091546"</f>
        <v>201600091546</v>
      </c>
      <c r="C123" s="3" t="str">
        <f>"1584"</f>
        <v>1584</v>
      </c>
      <c r="D123" s="3" t="s">
        <v>717</v>
      </c>
      <c r="E123" s="3">
        <v>20100137390</v>
      </c>
      <c r="F123" s="3" t="s">
        <v>718</v>
      </c>
      <c r="G123" s="3" t="s">
        <v>719</v>
      </c>
      <c r="H123" s="3" t="s">
        <v>28</v>
      </c>
      <c r="I123" s="3" t="s">
        <v>28</v>
      </c>
      <c r="J123" s="3" t="s">
        <v>29</v>
      </c>
      <c r="K123" s="3" t="s">
        <v>720</v>
      </c>
      <c r="L123" s="3" t="s">
        <v>720</v>
      </c>
      <c r="M123" s="3" t="s">
        <v>721</v>
      </c>
      <c r="N123" s="3" t="s">
        <v>193</v>
      </c>
      <c r="O123" s="3" t="s">
        <v>722</v>
      </c>
      <c r="P123" s="3"/>
      <c r="Q123" s="3"/>
      <c r="R123" s="3"/>
      <c r="S123" s="3"/>
      <c r="T123" s="3"/>
      <c r="U123" s="3">
        <v>1278330</v>
      </c>
      <c r="V123" s="4">
        <v>42584</v>
      </c>
      <c r="W123" s="3" t="s">
        <v>31</v>
      </c>
      <c r="X123" s="3" t="s">
        <v>723</v>
      </c>
    </row>
    <row r="124" spans="1:24" ht="27.95" x14ac:dyDescent="0.3">
      <c r="A124" s="5">
        <v>118</v>
      </c>
      <c r="B124" s="5" t="str">
        <f>"1589513"</f>
        <v>1589513</v>
      </c>
      <c r="C124" s="5" t="str">
        <f>"42446"</f>
        <v>42446</v>
      </c>
      <c r="D124" s="5" t="s">
        <v>724</v>
      </c>
      <c r="E124" s="5">
        <v>20100010217</v>
      </c>
      <c r="F124" s="5" t="s">
        <v>725</v>
      </c>
      <c r="G124" s="5" t="s">
        <v>726</v>
      </c>
      <c r="H124" s="5" t="s">
        <v>80</v>
      </c>
      <c r="I124" s="5" t="s">
        <v>309</v>
      </c>
      <c r="J124" s="5" t="s">
        <v>309</v>
      </c>
      <c r="K124" s="5" t="s">
        <v>727</v>
      </c>
      <c r="L124" s="5"/>
      <c r="M124" s="5"/>
      <c r="N124" s="5"/>
      <c r="O124" s="5"/>
      <c r="P124" s="5"/>
      <c r="Q124" s="5"/>
      <c r="R124" s="5"/>
      <c r="S124" s="5"/>
      <c r="T124" s="5"/>
      <c r="U124" s="5">
        <v>4682</v>
      </c>
      <c r="V124" s="6">
        <v>38735</v>
      </c>
      <c r="W124" s="5" t="s">
        <v>31</v>
      </c>
      <c r="X124" s="5" t="s">
        <v>728</v>
      </c>
    </row>
    <row r="125" spans="1:24" x14ac:dyDescent="0.3">
      <c r="A125" s="3">
        <v>119</v>
      </c>
      <c r="B125" s="3" t="str">
        <f>"201500171996"</f>
        <v>201500171996</v>
      </c>
      <c r="C125" s="3" t="str">
        <f>"114486"</f>
        <v>114486</v>
      </c>
      <c r="D125" s="3" t="s">
        <v>729</v>
      </c>
      <c r="E125" s="3">
        <v>10406649615</v>
      </c>
      <c r="F125" s="3" t="s">
        <v>730</v>
      </c>
      <c r="G125" s="3" t="s">
        <v>731</v>
      </c>
      <c r="H125" s="3" t="s">
        <v>165</v>
      </c>
      <c r="I125" s="3" t="s">
        <v>732</v>
      </c>
      <c r="J125" s="3" t="s">
        <v>733</v>
      </c>
      <c r="K125" s="3" t="s">
        <v>734</v>
      </c>
      <c r="L125" s="3" t="s">
        <v>734</v>
      </c>
      <c r="M125" s="3" t="s">
        <v>734</v>
      </c>
      <c r="N125" s="3"/>
      <c r="O125" s="3"/>
      <c r="P125" s="3"/>
      <c r="Q125" s="3"/>
      <c r="R125" s="3"/>
      <c r="S125" s="3"/>
      <c r="T125" s="3"/>
      <c r="U125" s="3">
        <v>21000</v>
      </c>
      <c r="V125" s="4">
        <v>42374</v>
      </c>
      <c r="W125" s="3" t="s">
        <v>31</v>
      </c>
      <c r="X125" s="3" t="s">
        <v>730</v>
      </c>
    </row>
    <row r="126" spans="1:24" ht="27.95" x14ac:dyDescent="0.3">
      <c r="A126" s="5">
        <v>120</v>
      </c>
      <c r="B126" s="5" t="str">
        <f>"201900027597"</f>
        <v>201900027597</v>
      </c>
      <c r="C126" s="5" t="str">
        <f>"141458"</f>
        <v>141458</v>
      </c>
      <c r="D126" s="5" t="s">
        <v>735</v>
      </c>
      <c r="E126" s="5">
        <v>20600441044</v>
      </c>
      <c r="F126" s="5" t="s">
        <v>736</v>
      </c>
      <c r="G126" s="5" t="s">
        <v>737</v>
      </c>
      <c r="H126" s="5" t="s">
        <v>28</v>
      </c>
      <c r="I126" s="5" t="s">
        <v>122</v>
      </c>
      <c r="J126" s="5" t="s">
        <v>123</v>
      </c>
      <c r="K126" s="5" t="s">
        <v>738</v>
      </c>
      <c r="L126" s="5"/>
      <c r="M126" s="5"/>
      <c r="N126" s="5"/>
      <c r="O126" s="5"/>
      <c r="P126" s="5"/>
      <c r="Q126" s="5"/>
      <c r="R126" s="5"/>
      <c r="S126" s="5"/>
      <c r="T126" s="5"/>
      <c r="U126" s="5">
        <v>1500</v>
      </c>
      <c r="V126" s="6">
        <v>43522</v>
      </c>
      <c r="W126" s="5" t="s">
        <v>31</v>
      </c>
      <c r="X126" s="5" t="s">
        <v>739</v>
      </c>
    </row>
    <row r="127" spans="1:24" x14ac:dyDescent="0.3">
      <c r="A127" s="3">
        <v>121</v>
      </c>
      <c r="B127" s="3" t="str">
        <f>"201700021297"</f>
        <v>201700021297</v>
      </c>
      <c r="C127" s="3" t="str">
        <f>"126570"</f>
        <v>126570</v>
      </c>
      <c r="D127" s="3" t="s">
        <v>740</v>
      </c>
      <c r="E127" s="3">
        <v>20517187551</v>
      </c>
      <c r="F127" s="3" t="s">
        <v>741</v>
      </c>
      <c r="G127" s="3" t="s">
        <v>742</v>
      </c>
      <c r="H127" s="3" t="s">
        <v>743</v>
      </c>
      <c r="I127" s="3" t="s">
        <v>744</v>
      </c>
      <c r="J127" s="3" t="s">
        <v>745</v>
      </c>
      <c r="K127" s="3" t="s">
        <v>746</v>
      </c>
      <c r="L127" s="3" t="s">
        <v>746</v>
      </c>
      <c r="M127" s="3" t="s">
        <v>746</v>
      </c>
      <c r="N127" s="3"/>
      <c r="O127" s="3"/>
      <c r="P127" s="3"/>
      <c r="Q127" s="3"/>
      <c r="R127" s="3"/>
      <c r="S127" s="3"/>
      <c r="T127" s="3"/>
      <c r="U127" s="3">
        <v>42000</v>
      </c>
      <c r="V127" s="4">
        <v>42781</v>
      </c>
      <c r="W127" s="3" t="s">
        <v>31</v>
      </c>
      <c r="X127" s="3" t="s">
        <v>747</v>
      </c>
    </row>
    <row r="128" spans="1:24" ht="27.95" x14ac:dyDescent="0.3">
      <c r="A128" s="5">
        <v>122</v>
      </c>
      <c r="B128" s="5" t="str">
        <f>"201600141405"</f>
        <v>201600141405</v>
      </c>
      <c r="C128" s="5" t="str">
        <f>"110300"</f>
        <v>110300</v>
      </c>
      <c r="D128" s="5" t="s">
        <v>748</v>
      </c>
      <c r="E128" s="5">
        <v>20481221162</v>
      </c>
      <c r="F128" s="5" t="s">
        <v>749</v>
      </c>
      <c r="G128" s="5" t="s">
        <v>750</v>
      </c>
      <c r="H128" s="5" t="s">
        <v>36</v>
      </c>
      <c r="I128" s="5" t="s">
        <v>234</v>
      </c>
      <c r="J128" s="5" t="s">
        <v>235</v>
      </c>
      <c r="K128" s="5" t="s">
        <v>751</v>
      </c>
      <c r="L128" s="5"/>
      <c r="M128" s="5"/>
      <c r="N128" s="5"/>
      <c r="O128" s="5"/>
      <c r="P128" s="5"/>
      <c r="Q128" s="5"/>
      <c r="R128" s="5"/>
      <c r="S128" s="5"/>
      <c r="T128" s="5"/>
      <c r="U128" s="5">
        <v>4900</v>
      </c>
      <c r="V128" s="6">
        <v>42643</v>
      </c>
      <c r="W128" s="5" t="s">
        <v>31</v>
      </c>
      <c r="X128" s="5" t="s">
        <v>752</v>
      </c>
    </row>
    <row r="129" spans="1:24" ht="27.95" x14ac:dyDescent="0.3">
      <c r="A129" s="3">
        <v>123</v>
      </c>
      <c r="B129" s="3" t="str">
        <f>"201900000251"</f>
        <v>201900000251</v>
      </c>
      <c r="C129" s="3" t="str">
        <f>"140607"</f>
        <v>140607</v>
      </c>
      <c r="D129" s="3" t="s">
        <v>753</v>
      </c>
      <c r="E129" s="3">
        <v>20107012011</v>
      </c>
      <c r="F129" s="3" t="s">
        <v>754</v>
      </c>
      <c r="G129" s="3" t="s">
        <v>755</v>
      </c>
      <c r="H129" s="3" t="s">
        <v>115</v>
      </c>
      <c r="I129" s="3" t="s">
        <v>115</v>
      </c>
      <c r="J129" s="3" t="s">
        <v>159</v>
      </c>
      <c r="K129" s="3" t="s">
        <v>756</v>
      </c>
      <c r="L129" s="3"/>
      <c r="M129" s="3"/>
      <c r="N129" s="3"/>
      <c r="O129" s="3"/>
      <c r="P129" s="3"/>
      <c r="Q129" s="3"/>
      <c r="R129" s="3"/>
      <c r="S129" s="3"/>
      <c r="T129" s="3"/>
      <c r="U129" s="3">
        <v>6500</v>
      </c>
      <c r="V129" s="4">
        <v>43487</v>
      </c>
      <c r="W129" s="3" t="s">
        <v>31</v>
      </c>
      <c r="X129" s="3" t="s">
        <v>757</v>
      </c>
    </row>
    <row r="130" spans="1:24" ht="27.95" x14ac:dyDescent="0.3">
      <c r="A130" s="5">
        <v>124</v>
      </c>
      <c r="B130" s="5" t="str">
        <f>"201900192285"</f>
        <v>201900192285</v>
      </c>
      <c r="C130" s="5" t="str">
        <f>"124707"</f>
        <v>124707</v>
      </c>
      <c r="D130" s="5" t="s">
        <v>758</v>
      </c>
      <c r="E130" s="5">
        <v>10238786741</v>
      </c>
      <c r="F130" s="5" t="s">
        <v>759</v>
      </c>
      <c r="G130" s="5" t="s">
        <v>760</v>
      </c>
      <c r="H130" s="5" t="s">
        <v>165</v>
      </c>
      <c r="I130" s="5" t="s">
        <v>166</v>
      </c>
      <c r="J130" s="5" t="s">
        <v>165</v>
      </c>
      <c r="K130" s="5" t="s">
        <v>30</v>
      </c>
      <c r="L130" s="5"/>
      <c r="M130" s="5"/>
      <c r="N130" s="5"/>
      <c r="O130" s="5"/>
      <c r="P130" s="5"/>
      <c r="Q130" s="5"/>
      <c r="R130" s="5"/>
      <c r="S130" s="5"/>
      <c r="T130" s="5"/>
      <c r="U130" s="5">
        <v>8000</v>
      </c>
      <c r="V130" s="6">
        <v>43801</v>
      </c>
      <c r="W130" s="5" t="s">
        <v>31</v>
      </c>
      <c r="X130" s="5" t="s">
        <v>759</v>
      </c>
    </row>
    <row r="131" spans="1:24" x14ac:dyDescent="0.3">
      <c r="A131" s="3">
        <v>125</v>
      </c>
      <c r="B131" s="3" t="str">
        <f>"201700188803"</f>
        <v>201700188803</v>
      </c>
      <c r="C131" s="3" t="str">
        <f>"115142"</f>
        <v>115142</v>
      </c>
      <c r="D131" s="3" t="s">
        <v>761</v>
      </c>
      <c r="E131" s="3">
        <v>20109551148</v>
      </c>
      <c r="F131" s="3" t="s">
        <v>762</v>
      </c>
      <c r="G131" s="3" t="s">
        <v>763</v>
      </c>
      <c r="H131" s="3" t="s">
        <v>115</v>
      </c>
      <c r="I131" s="3" t="s">
        <v>115</v>
      </c>
      <c r="J131" s="3" t="s">
        <v>116</v>
      </c>
      <c r="K131" s="3" t="s">
        <v>764</v>
      </c>
      <c r="L131" s="3"/>
      <c r="M131" s="3"/>
      <c r="N131" s="3"/>
      <c r="O131" s="3"/>
      <c r="P131" s="3"/>
      <c r="Q131" s="3"/>
      <c r="R131" s="3"/>
      <c r="S131" s="3"/>
      <c r="T131" s="3"/>
      <c r="U131" s="3">
        <v>2900</v>
      </c>
      <c r="V131" s="4">
        <v>43048</v>
      </c>
      <c r="W131" s="3" t="s">
        <v>31</v>
      </c>
      <c r="X131" s="3" t="s">
        <v>765</v>
      </c>
    </row>
    <row r="132" spans="1:24" ht="27.95" x14ac:dyDescent="0.3">
      <c r="A132" s="5">
        <v>126</v>
      </c>
      <c r="B132" s="5" t="str">
        <f>"201800171677"</f>
        <v>201800171677</v>
      </c>
      <c r="C132" s="5" t="str">
        <f>"115"</f>
        <v>115</v>
      </c>
      <c r="D132" s="5" t="s">
        <v>766</v>
      </c>
      <c r="E132" s="5">
        <v>20100147514</v>
      </c>
      <c r="F132" s="5" t="s">
        <v>767</v>
      </c>
      <c r="G132" s="5" t="s">
        <v>768</v>
      </c>
      <c r="H132" s="5" t="s">
        <v>769</v>
      </c>
      <c r="I132" s="5" t="s">
        <v>770</v>
      </c>
      <c r="J132" s="5" t="s">
        <v>771</v>
      </c>
      <c r="K132" s="5" t="s">
        <v>772</v>
      </c>
      <c r="L132" s="5" t="s">
        <v>773</v>
      </c>
      <c r="M132" s="5" t="s">
        <v>774</v>
      </c>
      <c r="N132" s="5" t="s">
        <v>775</v>
      </c>
      <c r="O132" s="5" t="s">
        <v>776</v>
      </c>
      <c r="P132" s="5" t="s">
        <v>395</v>
      </c>
      <c r="Q132" s="5" t="s">
        <v>777</v>
      </c>
      <c r="R132" s="5" t="s">
        <v>778</v>
      </c>
      <c r="S132" s="5" t="s">
        <v>779</v>
      </c>
      <c r="T132" s="5" t="s">
        <v>780</v>
      </c>
      <c r="U132" s="5">
        <v>1312170</v>
      </c>
      <c r="V132" s="6">
        <v>43391</v>
      </c>
      <c r="W132" s="5" t="s">
        <v>31</v>
      </c>
      <c r="X132" s="5" t="s">
        <v>781</v>
      </c>
    </row>
    <row r="133" spans="1:24" ht="27.95" x14ac:dyDescent="0.3">
      <c r="A133" s="3">
        <v>127</v>
      </c>
      <c r="B133" s="3" t="str">
        <f>"1637806"</f>
        <v>1637806</v>
      </c>
      <c r="C133" s="3" t="str">
        <f>"44236"</f>
        <v>44236</v>
      </c>
      <c r="D133" s="3" t="s">
        <v>782</v>
      </c>
      <c r="E133" s="3">
        <v>20126649402</v>
      </c>
      <c r="F133" s="3" t="s">
        <v>783</v>
      </c>
      <c r="G133" s="3" t="s">
        <v>784</v>
      </c>
      <c r="H133" s="3" t="s">
        <v>28</v>
      </c>
      <c r="I133" s="3" t="s">
        <v>28</v>
      </c>
      <c r="J133" s="3" t="s">
        <v>501</v>
      </c>
      <c r="K133" s="3" t="s">
        <v>785</v>
      </c>
      <c r="L133" s="3"/>
      <c r="M133" s="3"/>
      <c r="N133" s="3"/>
      <c r="O133" s="3"/>
      <c r="P133" s="3"/>
      <c r="Q133" s="3"/>
      <c r="R133" s="3"/>
      <c r="S133" s="3"/>
      <c r="T133" s="3"/>
      <c r="U133" s="3">
        <v>4052</v>
      </c>
      <c r="V133" s="4">
        <v>38996</v>
      </c>
      <c r="W133" s="3" t="s">
        <v>31</v>
      </c>
      <c r="X133" s="3" t="s">
        <v>786</v>
      </c>
    </row>
    <row r="134" spans="1:24" x14ac:dyDescent="0.3">
      <c r="A134" s="5">
        <v>128</v>
      </c>
      <c r="B134" s="5" t="str">
        <f>"201200163378"</f>
        <v>201200163378</v>
      </c>
      <c r="C134" s="5" t="str">
        <f>"736"</f>
        <v>736</v>
      </c>
      <c r="D134" s="5" t="s">
        <v>787</v>
      </c>
      <c r="E134" s="5">
        <v>20100005213</v>
      </c>
      <c r="F134" s="5" t="s">
        <v>788</v>
      </c>
      <c r="G134" s="5" t="s">
        <v>789</v>
      </c>
      <c r="H134" s="5" t="s">
        <v>115</v>
      </c>
      <c r="I134" s="5" t="s">
        <v>115</v>
      </c>
      <c r="J134" s="5" t="s">
        <v>159</v>
      </c>
      <c r="K134" s="5" t="s">
        <v>790</v>
      </c>
      <c r="L134" s="5" t="s">
        <v>791</v>
      </c>
      <c r="M134" s="5" t="s">
        <v>792</v>
      </c>
      <c r="N134" s="5"/>
      <c r="O134" s="5"/>
      <c r="P134" s="5"/>
      <c r="Q134" s="5"/>
      <c r="R134" s="5"/>
      <c r="S134" s="5"/>
      <c r="T134" s="5"/>
      <c r="U134" s="5">
        <v>26320</v>
      </c>
      <c r="V134" s="6">
        <v>41159</v>
      </c>
      <c r="W134" s="5" t="s">
        <v>31</v>
      </c>
      <c r="X134" s="5" t="s">
        <v>793</v>
      </c>
    </row>
    <row r="135" spans="1:24" x14ac:dyDescent="0.3">
      <c r="A135" s="3">
        <v>129</v>
      </c>
      <c r="B135" s="3" t="str">
        <f>"201600181622"</f>
        <v>201600181622</v>
      </c>
      <c r="C135" s="3" t="str">
        <f>"125430"</f>
        <v>125430</v>
      </c>
      <c r="D135" s="3" t="s">
        <v>794</v>
      </c>
      <c r="E135" s="3">
        <v>20490867768</v>
      </c>
      <c r="F135" s="3" t="s">
        <v>795</v>
      </c>
      <c r="G135" s="3" t="s">
        <v>796</v>
      </c>
      <c r="H135" s="3" t="s">
        <v>214</v>
      </c>
      <c r="I135" s="3" t="s">
        <v>797</v>
      </c>
      <c r="J135" s="3" t="s">
        <v>798</v>
      </c>
      <c r="K135" s="3" t="s">
        <v>799</v>
      </c>
      <c r="L135" s="3" t="s">
        <v>799</v>
      </c>
      <c r="M135" s="3"/>
      <c r="N135" s="3"/>
      <c r="O135" s="3"/>
      <c r="P135" s="3"/>
      <c r="Q135" s="3"/>
      <c r="R135" s="3"/>
      <c r="S135" s="3"/>
      <c r="T135" s="3"/>
      <c r="U135" s="3">
        <v>7304</v>
      </c>
      <c r="V135" s="4">
        <v>42756</v>
      </c>
      <c r="W135" s="3" t="s">
        <v>31</v>
      </c>
      <c r="X135" s="3" t="s">
        <v>800</v>
      </c>
    </row>
    <row r="136" spans="1:24" x14ac:dyDescent="0.3">
      <c r="A136" s="5">
        <v>130</v>
      </c>
      <c r="B136" s="5" t="str">
        <f>"1510219"</f>
        <v>1510219</v>
      </c>
      <c r="C136" s="5" t="str">
        <f>"94207"</f>
        <v>94207</v>
      </c>
      <c r="D136" s="5" t="s">
        <v>801</v>
      </c>
      <c r="E136" s="5">
        <v>20502561384</v>
      </c>
      <c r="F136" s="5" t="s">
        <v>802</v>
      </c>
      <c r="G136" s="5" t="s">
        <v>803</v>
      </c>
      <c r="H136" s="5" t="s">
        <v>115</v>
      </c>
      <c r="I136" s="5" t="s">
        <v>115</v>
      </c>
      <c r="J136" s="5" t="s">
        <v>159</v>
      </c>
      <c r="K136" s="5" t="s">
        <v>30</v>
      </c>
      <c r="L136" s="5"/>
      <c r="M136" s="5"/>
      <c r="N136" s="5"/>
      <c r="O136" s="5"/>
      <c r="P136" s="5"/>
      <c r="Q136" s="5"/>
      <c r="R136" s="5"/>
      <c r="S136" s="5"/>
      <c r="T136" s="5"/>
      <c r="U136" s="5">
        <v>8000</v>
      </c>
      <c r="V136" s="6">
        <v>40865</v>
      </c>
      <c r="W136" s="5" t="s">
        <v>31</v>
      </c>
      <c r="X136" s="5" t="s">
        <v>804</v>
      </c>
    </row>
    <row r="137" spans="1:24" x14ac:dyDescent="0.3">
      <c r="A137" s="3">
        <v>131</v>
      </c>
      <c r="B137" s="3" t="str">
        <f>"202000057645"</f>
        <v>202000057645</v>
      </c>
      <c r="C137" s="3" t="str">
        <f>"98769"</f>
        <v>98769</v>
      </c>
      <c r="D137" s="3" t="s">
        <v>805</v>
      </c>
      <c r="E137" s="3">
        <v>20205605500</v>
      </c>
      <c r="F137" s="3" t="s">
        <v>806</v>
      </c>
      <c r="G137" s="3" t="s">
        <v>807</v>
      </c>
      <c r="H137" s="3" t="s">
        <v>808</v>
      </c>
      <c r="I137" s="3" t="s">
        <v>809</v>
      </c>
      <c r="J137" s="3" t="s">
        <v>810</v>
      </c>
      <c r="K137" s="3" t="s">
        <v>181</v>
      </c>
      <c r="L137" s="3" t="s">
        <v>181</v>
      </c>
      <c r="M137" s="3" t="s">
        <v>181</v>
      </c>
      <c r="N137" s="3"/>
      <c r="O137" s="3"/>
      <c r="P137" s="3"/>
      <c r="Q137" s="3"/>
      <c r="R137" s="3"/>
      <c r="S137" s="3"/>
      <c r="T137" s="3"/>
      <c r="U137" s="3">
        <v>15000</v>
      </c>
      <c r="V137" s="4">
        <v>43969</v>
      </c>
      <c r="W137" s="3" t="s">
        <v>31</v>
      </c>
      <c r="X137" s="3" t="s">
        <v>811</v>
      </c>
    </row>
    <row r="138" spans="1:24" x14ac:dyDescent="0.3">
      <c r="A138" s="5">
        <v>132</v>
      </c>
      <c r="B138" s="5" t="str">
        <f>"1696147"</f>
        <v>1696147</v>
      </c>
      <c r="C138" s="5" t="str">
        <f>"55937"</f>
        <v>55937</v>
      </c>
      <c r="D138" s="5" t="s">
        <v>812</v>
      </c>
      <c r="E138" s="5">
        <v>20481464499</v>
      </c>
      <c r="F138" s="5" t="s">
        <v>813</v>
      </c>
      <c r="G138" s="5" t="s">
        <v>814</v>
      </c>
      <c r="H138" s="5" t="s">
        <v>51</v>
      </c>
      <c r="I138" s="5" t="s">
        <v>815</v>
      </c>
      <c r="J138" s="5" t="s">
        <v>816</v>
      </c>
      <c r="K138" s="5" t="s">
        <v>817</v>
      </c>
      <c r="L138" s="5" t="s">
        <v>818</v>
      </c>
      <c r="M138" s="5" t="s">
        <v>819</v>
      </c>
      <c r="N138" s="5"/>
      <c r="O138" s="5"/>
      <c r="P138" s="5"/>
      <c r="Q138" s="5"/>
      <c r="R138" s="5"/>
      <c r="S138" s="5"/>
      <c r="T138" s="5"/>
      <c r="U138" s="5">
        <v>10117</v>
      </c>
      <c r="V138" s="6">
        <v>39238</v>
      </c>
      <c r="W138" s="5" t="s">
        <v>31</v>
      </c>
      <c r="X138" s="5" t="s">
        <v>820</v>
      </c>
    </row>
    <row r="139" spans="1:24" ht="27.95" x14ac:dyDescent="0.3">
      <c r="A139" s="3">
        <v>133</v>
      </c>
      <c r="B139" s="3" t="str">
        <f>"1487075"</f>
        <v>1487075</v>
      </c>
      <c r="C139" s="3" t="str">
        <f>"92382"</f>
        <v>92382</v>
      </c>
      <c r="D139" s="3" t="s">
        <v>821</v>
      </c>
      <c r="E139" s="3">
        <v>20406339361</v>
      </c>
      <c r="F139" s="3" t="s">
        <v>822</v>
      </c>
      <c r="G139" s="3" t="s">
        <v>823</v>
      </c>
      <c r="H139" s="3" t="s">
        <v>550</v>
      </c>
      <c r="I139" s="3" t="s">
        <v>824</v>
      </c>
      <c r="J139" s="3" t="s">
        <v>825</v>
      </c>
      <c r="K139" s="3" t="s">
        <v>826</v>
      </c>
      <c r="L139" s="3"/>
      <c r="M139" s="3"/>
      <c r="N139" s="3"/>
      <c r="O139" s="3"/>
      <c r="P139" s="3"/>
      <c r="Q139" s="3"/>
      <c r="R139" s="3"/>
      <c r="S139" s="3"/>
      <c r="T139" s="3"/>
      <c r="U139" s="3">
        <v>16000</v>
      </c>
      <c r="V139" s="4">
        <v>40701</v>
      </c>
      <c r="W139" s="3" t="s">
        <v>31</v>
      </c>
      <c r="X139" s="3" t="s">
        <v>827</v>
      </c>
    </row>
    <row r="140" spans="1:24" ht="27.95" x14ac:dyDescent="0.3">
      <c r="A140" s="5">
        <v>134</v>
      </c>
      <c r="B140" s="5" t="str">
        <f>"201900044349"</f>
        <v>201900044349</v>
      </c>
      <c r="C140" s="5" t="str">
        <f>"142044"</f>
        <v>142044</v>
      </c>
      <c r="D140" s="5" t="s">
        <v>828</v>
      </c>
      <c r="E140" s="5">
        <v>20103626448</v>
      </c>
      <c r="F140" s="5" t="s">
        <v>829</v>
      </c>
      <c r="G140" s="5" t="s">
        <v>830</v>
      </c>
      <c r="H140" s="5" t="s">
        <v>264</v>
      </c>
      <c r="I140" s="5" t="s">
        <v>265</v>
      </c>
      <c r="J140" s="5" t="s">
        <v>266</v>
      </c>
      <c r="K140" s="5" t="s">
        <v>168</v>
      </c>
      <c r="L140" s="5"/>
      <c r="M140" s="5"/>
      <c r="N140" s="5"/>
      <c r="O140" s="5"/>
      <c r="P140" s="5"/>
      <c r="Q140" s="5"/>
      <c r="R140" s="5"/>
      <c r="S140" s="5"/>
      <c r="T140" s="5"/>
      <c r="U140" s="5">
        <v>10000</v>
      </c>
      <c r="V140" s="6">
        <v>43549</v>
      </c>
      <c r="W140" s="5" t="s">
        <v>31</v>
      </c>
      <c r="X140" s="5" t="s">
        <v>831</v>
      </c>
    </row>
    <row r="141" spans="1:24" x14ac:dyDescent="0.3">
      <c r="A141" s="3">
        <v>135</v>
      </c>
      <c r="B141" s="3" t="str">
        <f>"201300149256"</f>
        <v>201300149256</v>
      </c>
      <c r="C141" s="3" t="str">
        <f>"841"</f>
        <v>841</v>
      </c>
      <c r="D141" s="3" t="s">
        <v>832</v>
      </c>
      <c r="E141" s="3">
        <v>20100079501</v>
      </c>
      <c r="F141" s="3" t="s">
        <v>833</v>
      </c>
      <c r="G141" s="3" t="s">
        <v>834</v>
      </c>
      <c r="H141" s="3" t="s">
        <v>51</v>
      </c>
      <c r="I141" s="3" t="s">
        <v>129</v>
      </c>
      <c r="J141" s="3" t="s">
        <v>835</v>
      </c>
      <c r="K141" s="3" t="s">
        <v>168</v>
      </c>
      <c r="L141" s="3"/>
      <c r="M141" s="3"/>
      <c r="N141" s="3"/>
      <c r="O141" s="3"/>
      <c r="P141" s="3"/>
      <c r="Q141" s="3"/>
      <c r="R141" s="3"/>
      <c r="S141" s="3"/>
      <c r="T141" s="3"/>
      <c r="U141" s="3">
        <v>10000</v>
      </c>
      <c r="V141" s="4">
        <v>41550</v>
      </c>
      <c r="W141" s="3" t="s">
        <v>31</v>
      </c>
      <c r="X141" s="3" t="s">
        <v>836</v>
      </c>
    </row>
    <row r="142" spans="1:24" x14ac:dyDescent="0.3">
      <c r="A142" s="5">
        <v>136</v>
      </c>
      <c r="B142" s="5" t="str">
        <f>"1110401"</f>
        <v>1110401</v>
      </c>
      <c r="C142" s="5" t="str">
        <f>"1294"</f>
        <v>1294</v>
      </c>
      <c r="D142" s="5">
        <v>948465</v>
      </c>
      <c r="E142" s="5">
        <v>20100183235</v>
      </c>
      <c r="F142" s="5" t="s">
        <v>837</v>
      </c>
      <c r="G142" s="5" t="s">
        <v>838</v>
      </c>
      <c r="H142" s="5" t="s">
        <v>28</v>
      </c>
      <c r="I142" s="5" t="s">
        <v>28</v>
      </c>
      <c r="J142" s="5" t="s">
        <v>545</v>
      </c>
      <c r="K142" s="5" t="s">
        <v>839</v>
      </c>
      <c r="L142" s="5" t="s">
        <v>840</v>
      </c>
      <c r="M142" s="5" t="s">
        <v>342</v>
      </c>
      <c r="N142" s="5" t="s">
        <v>841</v>
      </c>
      <c r="O142" s="5" t="s">
        <v>841</v>
      </c>
      <c r="P142" s="5" t="s">
        <v>342</v>
      </c>
      <c r="Q142" s="5"/>
      <c r="R142" s="5"/>
      <c r="S142" s="5"/>
      <c r="T142" s="5"/>
      <c r="U142" s="5">
        <v>21800</v>
      </c>
      <c r="V142" s="6">
        <v>35520</v>
      </c>
      <c r="W142" s="5" t="s">
        <v>31</v>
      </c>
      <c r="X142" s="5" t="s">
        <v>842</v>
      </c>
    </row>
    <row r="143" spans="1:24" x14ac:dyDescent="0.3">
      <c r="A143" s="3">
        <v>137</v>
      </c>
      <c r="B143" s="3" t="str">
        <f>"201300149252"</f>
        <v>201300149252</v>
      </c>
      <c r="C143" s="3" t="str">
        <f>"243"</f>
        <v>243</v>
      </c>
      <c r="D143" s="3" t="s">
        <v>843</v>
      </c>
      <c r="E143" s="3">
        <v>20100079501</v>
      </c>
      <c r="F143" s="3" t="s">
        <v>844</v>
      </c>
      <c r="G143" s="3" t="s">
        <v>845</v>
      </c>
      <c r="H143" s="3" t="s">
        <v>51</v>
      </c>
      <c r="I143" s="3" t="s">
        <v>129</v>
      </c>
      <c r="J143" s="3" t="s">
        <v>846</v>
      </c>
      <c r="K143" s="3" t="s">
        <v>110</v>
      </c>
      <c r="L143" s="3" t="s">
        <v>168</v>
      </c>
      <c r="M143" s="3" t="s">
        <v>847</v>
      </c>
      <c r="N143" s="3"/>
      <c r="O143" s="3"/>
      <c r="P143" s="3"/>
      <c r="Q143" s="3"/>
      <c r="R143" s="3"/>
      <c r="S143" s="3"/>
      <c r="T143" s="3"/>
      <c r="U143" s="3">
        <v>24400</v>
      </c>
      <c r="V143" s="4">
        <v>41549</v>
      </c>
      <c r="W143" s="3" t="s">
        <v>31</v>
      </c>
      <c r="X143" s="3" t="s">
        <v>848</v>
      </c>
    </row>
    <row r="144" spans="1:24" x14ac:dyDescent="0.3">
      <c r="A144" s="5">
        <v>138</v>
      </c>
      <c r="B144" s="5" t="str">
        <f>"1562287"</f>
        <v>1562287</v>
      </c>
      <c r="C144" s="5" t="str">
        <f>"41555"</f>
        <v>41555</v>
      </c>
      <c r="D144" s="5" t="s">
        <v>849</v>
      </c>
      <c r="E144" s="5">
        <v>20200465203</v>
      </c>
      <c r="F144" s="5" t="s">
        <v>850</v>
      </c>
      <c r="G144" s="5" t="s">
        <v>851</v>
      </c>
      <c r="H144" s="5" t="s">
        <v>214</v>
      </c>
      <c r="I144" s="5" t="s">
        <v>797</v>
      </c>
      <c r="J144" s="5" t="s">
        <v>852</v>
      </c>
      <c r="K144" s="5" t="s">
        <v>46</v>
      </c>
      <c r="L144" s="5"/>
      <c r="M144" s="5"/>
      <c r="N144" s="5"/>
      <c r="O144" s="5"/>
      <c r="P144" s="5"/>
      <c r="Q144" s="5"/>
      <c r="R144" s="5"/>
      <c r="S144" s="5"/>
      <c r="T144" s="5"/>
      <c r="U144" s="5">
        <v>3000</v>
      </c>
      <c r="V144" s="6">
        <v>38621</v>
      </c>
      <c r="W144" s="5" t="s">
        <v>31</v>
      </c>
      <c r="X144" s="5" t="s">
        <v>853</v>
      </c>
    </row>
    <row r="145" spans="1:24" ht="27.95" x14ac:dyDescent="0.3">
      <c r="A145" s="3">
        <v>139</v>
      </c>
      <c r="B145" s="3" t="str">
        <f>"1038200"</f>
        <v>1038200</v>
      </c>
      <c r="C145" s="3" t="str">
        <f>"1208"</f>
        <v>1208</v>
      </c>
      <c r="D145" s="3" t="s">
        <v>854</v>
      </c>
      <c r="E145" s="3">
        <v>20131852127</v>
      </c>
      <c r="F145" s="3" t="s">
        <v>855</v>
      </c>
      <c r="G145" s="3" t="s">
        <v>856</v>
      </c>
      <c r="H145" s="3" t="s">
        <v>36</v>
      </c>
      <c r="I145" s="3" t="s">
        <v>234</v>
      </c>
      <c r="J145" s="3" t="s">
        <v>235</v>
      </c>
      <c r="K145" s="3" t="s">
        <v>857</v>
      </c>
      <c r="L145" s="3"/>
      <c r="M145" s="3"/>
      <c r="N145" s="3"/>
      <c r="O145" s="3"/>
      <c r="P145" s="3"/>
      <c r="Q145" s="3"/>
      <c r="R145" s="3"/>
      <c r="S145" s="3"/>
      <c r="T145" s="3"/>
      <c r="U145" s="3">
        <v>4500</v>
      </c>
      <c r="V145" s="4">
        <v>37246</v>
      </c>
      <c r="W145" s="3" t="s">
        <v>31</v>
      </c>
      <c r="X145" s="3" t="s">
        <v>858</v>
      </c>
    </row>
    <row r="146" spans="1:24" x14ac:dyDescent="0.3">
      <c r="A146" s="5">
        <v>140</v>
      </c>
      <c r="B146" s="5" t="str">
        <f>"201600152720"</f>
        <v>201600152720</v>
      </c>
      <c r="C146" s="5" t="str">
        <f>"15197"</f>
        <v>15197</v>
      </c>
      <c r="D146" s="5" t="s">
        <v>859</v>
      </c>
      <c r="E146" s="5">
        <v>20380336384</v>
      </c>
      <c r="F146" s="5" t="s">
        <v>860</v>
      </c>
      <c r="G146" s="5" t="s">
        <v>861</v>
      </c>
      <c r="H146" s="5" t="s">
        <v>135</v>
      </c>
      <c r="I146" s="5" t="s">
        <v>402</v>
      </c>
      <c r="J146" s="5" t="s">
        <v>862</v>
      </c>
      <c r="K146" s="5" t="s">
        <v>863</v>
      </c>
      <c r="L146" s="5" t="s">
        <v>864</v>
      </c>
      <c r="M146" s="5" t="s">
        <v>865</v>
      </c>
      <c r="N146" s="5"/>
      <c r="O146" s="5"/>
      <c r="P146" s="5"/>
      <c r="Q146" s="5"/>
      <c r="R146" s="5"/>
      <c r="S146" s="5"/>
      <c r="T146" s="5"/>
      <c r="U146" s="5">
        <v>198000</v>
      </c>
      <c r="V146" s="6">
        <v>42669</v>
      </c>
      <c r="W146" s="5" t="s">
        <v>31</v>
      </c>
      <c r="X146" s="5" t="s">
        <v>866</v>
      </c>
    </row>
    <row r="147" spans="1:24" x14ac:dyDescent="0.3">
      <c r="A147" s="3">
        <v>141</v>
      </c>
      <c r="B147" s="3" t="str">
        <f>"1335932"</f>
        <v>1335932</v>
      </c>
      <c r="C147" s="3" t="str">
        <f>"21437"</f>
        <v>21437</v>
      </c>
      <c r="D147" s="3" t="s">
        <v>867</v>
      </c>
      <c r="E147" s="3">
        <v>20300777687</v>
      </c>
      <c r="F147" s="3" t="s">
        <v>868</v>
      </c>
      <c r="G147" s="3" t="s">
        <v>869</v>
      </c>
      <c r="H147" s="3" t="s">
        <v>28</v>
      </c>
      <c r="I147" s="3" t="s">
        <v>28</v>
      </c>
      <c r="J147" s="3" t="s">
        <v>501</v>
      </c>
      <c r="K147" s="3" t="s">
        <v>870</v>
      </c>
      <c r="L147" s="3" t="s">
        <v>871</v>
      </c>
      <c r="M147" s="3"/>
      <c r="N147" s="3"/>
      <c r="O147" s="3"/>
      <c r="P147" s="3"/>
      <c r="Q147" s="3"/>
      <c r="R147" s="3"/>
      <c r="S147" s="3"/>
      <c r="T147" s="3"/>
      <c r="U147" s="3">
        <v>4700</v>
      </c>
      <c r="V147" s="4">
        <v>37158</v>
      </c>
      <c r="W147" s="3" t="s">
        <v>31</v>
      </c>
      <c r="X147" s="3" t="s">
        <v>872</v>
      </c>
    </row>
    <row r="148" spans="1:24" x14ac:dyDescent="0.3">
      <c r="A148" s="5">
        <v>142</v>
      </c>
      <c r="B148" s="5" t="str">
        <f>"1372853"</f>
        <v>1372853</v>
      </c>
      <c r="C148" s="5" t="str">
        <f>"19567"</f>
        <v>19567</v>
      </c>
      <c r="D148" s="5" t="s">
        <v>873</v>
      </c>
      <c r="E148" s="5">
        <v>20505120702</v>
      </c>
      <c r="F148" s="5" t="s">
        <v>874</v>
      </c>
      <c r="G148" s="5" t="s">
        <v>875</v>
      </c>
      <c r="H148" s="5" t="s">
        <v>36</v>
      </c>
      <c r="I148" s="5" t="s">
        <v>465</v>
      </c>
      <c r="J148" s="5" t="s">
        <v>876</v>
      </c>
      <c r="K148" s="5" t="s">
        <v>877</v>
      </c>
      <c r="L148" s="5"/>
      <c r="M148" s="5"/>
      <c r="N148" s="5"/>
      <c r="O148" s="5"/>
      <c r="P148" s="5"/>
      <c r="Q148" s="5"/>
      <c r="R148" s="5"/>
      <c r="S148" s="5"/>
      <c r="T148" s="5"/>
      <c r="U148" s="5">
        <v>2900</v>
      </c>
      <c r="V148" s="6">
        <v>37454</v>
      </c>
      <c r="W148" s="5" t="s">
        <v>31</v>
      </c>
      <c r="X148" s="5" t="s">
        <v>466</v>
      </c>
    </row>
    <row r="149" spans="1:24" x14ac:dyDescent="0.3">
      <c r="A149" s="3">
        <v>143</v>
      </c>
      <c r="B149" s="3" t="str">
        <f>"202000119127"</f>
        <v>202000119127</v>
      </c>
      <c r="C149" s="3" t="str">
        <f>"151079"</f>
        <v>151079</v>
      </c>
      <c r="D149" s="3" t="s">
        <v>878</v>
      </c>
      <c r="E149" s="3">
        <v>20170072465</v>
      </c>
      <c r="F149" s="3" t="s">
        <v>879</v>
      </c>
      <c r="G149" s="3" t="s">
        <v>880</v>
      </c>
      <c r="H149" s="3" t="s">
        <v>51</v>
      </c>
      <c r="I149" s="3" t="s">
        <v>52</v>
      </c>
      <c r="J149" s="3" t="s">
        <v>52</v>
      </c>
      <c r="K149" s="3" t="s">
        <v>881</v>
      </c>
      <c r="L149" s="3"/>
      <c r="M149" s="3"/>
      <c r="N149" s="3"/>
      <c r="O149" s="3"/>
      <c r="P149" s="3"/>
      <c r="Q149" s="3"/>
      <c r="R149" s="3"/>
      <c r="S149" s="3"/>
      <c r="T149" s="3"/>
      <c r="U149" s="3">
        <v>400</v>
      </c>
      <c r="V149" s="4">
        <v>44092</v>
      </c>
      <c r="W149" s="3" t="s">
        <v>31</v>
      </c>
      <c r="X149" s="3" t="s">
        <v>882</v>
      </c>
    </row>
    <row r="150" spans="1:24" x14ac:dyDescent="0.3">
      <c r="A150" s="5">
        <v>144</v>
      </c>
      <c r="B150" s="5" t="str">
        <f>"201900100556"</f>
        <v>201900100556</v>
      </c>
      <c r="C150" s="5" t="str">
        <f>"144809"</f>
        <v>144809</v>
      </c>
      <c r="D150" s="5" t="s">
        <v>883</v>
      </c>
      <c r="E150" s="5">
        <v>20297543653</v>
      </c>
      <c r="F150" s="5" t="s">
        <v>884</v>
      </c>
      <c r="G150" s="5" t="s">
        <v>885</v>
      </c>
      <c r="H150" s="5" t="s">
        <v>28</v>
      </c>
      <c r="I150" s="5" t="s">
        <v>28</v>
      </c>
      <c r="J150" s="5" t="s">
        <v>28</v>
      </c>
      <c r="K150" s="5" t="s">
        <v>168</v>
      </c>
      <c r="L150" s="5"/>
      <c r="M150" s="5"/>
      <c r="N150" s="5"/>
      <c r="O150" s="5"/>
      <c r="P150" s="5"/>
      <c r="Q150" s="5"/>
      <c r="R150" s="5"/>
      <c r="S150" s="5"/>
      <c r="T150" s="5"/>
      <c r="U150" s="5">
        <v>10000</v>
      </c>
      <c r="V150" s="6">
        <v>43643</v>
      </c>
      <c r="W150" s="5" t="s">
        <v>31</v>
      </c>
      <c r="X150" s="5" t="s">
        <v>886</v>
      </c>
    </row>
    <row r="151" spans="1:24" ht="41.95" x14ac:dyDescent="0.3">
      <c r="A151" s="3">
        <v>145</v>
      </c>
      <c r="B151" s="3" t="str">
        <f>"201900053790"</f>
        <v>201900053790</v>
      </c>
      <c r="C151" s="3" t="str">
        <f>"83185"</f>
        <v>83185</v>
      </c>
      <c r="D151" s="3" t="s">
        <v>887</v>
      </c>
      <c r="E151" s="3">
        <v>20504542239</v>
      </c>
      <c r="F151" s="3" t="s">
        <v>888</v>
      </c>
      <c r="G151" s="3" t="s">
        <v>889</v>
      </c>
      <c r="H151" s="3" t="s">
        <v>28</v>
      </c>
      <c r="I151" s="3" t="s">
        <v>72</v>
      </c>
      <c r="J151" s="3" t="s">
        <v>322</v>
      </c>
      <c r="K151" s="3" t="s">
        <v>890</v>
      </c>
      <c r="L151" s="3"/>
      <c r="M151" s="3"/>
      <c r="N151" s="3"/>
      <c r="O151" s="3"/>
      <c r="P151" s="3"/>
      <c r="Q151" s="3"/>
      <c r="R151" s="3"/>
      <c r="S151" s="3"/>
      <c r="T151" s="3"/>
      <c r="U151" s="3">
        <v>13200</v>
      </c>
      <c r="V151" s="4">
        <v>43559</v>
      </c>
      <c r="W151" s="3" t="s">
        <v>31</v>
      </c>
      <c r="X151" s="3" t="s">
        <v>891</v>
      </c>
    </row>
    <row r="152" spans="1:24" x14ac:dyDescent="0.3">
      <c r="A152" s="5">
        <v>146</v>
      </c>
      <c r="B152" s="5" t="str">
        <f>"201600022589"</f>
        <v>201600022589</v>
      </c>
      <c r="C152" s="5" t="str">
        <f>"119968"</f>
        <v>119968</v>
      </c>
      <c r="D152" s="5" t="s">
        <v>892</v>
      </c>
      <c r="E152" s="5">
        <v>20550858461</v>
      </c>
      <c r="F152" s="5" t="s">
        <v>893</v>
      </c>
      <c r="G152" s="5" t="s">
        <v>894</v>
      </c>
      <c r="H152" s="5" t="s">
        <v>264</v>
      </c>
      <c r="I152" s="5" t="s">
        <v>264</v>
      </c>
      <c r="J152" s="5" t="s">
        <v>895</v>
      </c>
      <c r="K152" s="5" t="s">
        <v>896</v>
      </c>
      <c r="L152" s="5"/>
      <c r="M152" s="5"/>
      <c r="N152" s="5"/>
      <c r="O152" s="5"/>
      <c r="P152" s="5"/>
      <c r="Q152" s="5"/>
      <c r="R152" s="5"/>
      <c r="S152" s="5"/>
      <c r="T152" s="5"/>
      <c r="U152" s="5">
        <v>5200</v>
      </c>
      <c r="V152" s="6">
        <v>42440</v>
      </c>
      <c r="W152" s="5" t="s">
        <v>31</v>
      </c>
      <c r="X152" s="5" t="s">
        <v>897</v>
      </c>
    </row>
    <row r="153" spans="1:24" ht="27.95" x14ac:dyDescent="0.3">
      <c r="A153" s="3">
        <v>147</v>
      </c>
      <c r="B153" s="3" t="str">
        <f>"1413239"</f>
        <v>1413239</v>
      </c>
      <c r="C153" s="3" t="str">
        <f>"88387"</f>
        <v>88387</v>
      </c>
      <c r="D153" s="3" t="s">
        <v>898</v>
      </c>
      <c r="E153" s="3">
        <v>20457920050</v>
      </c>
      <c r="F153" s="3" t="s">
        <v>899</v>
      </c>
      <c r="G153" s="3" t="s">
        <v>900</v>
      </c>
      <c r="H153" s="3" t="s">
        <v>28</v>
      </c>
      <c r="I153" s="3" t="s">
        <v>72</v>
      </c>
      <c r="J153" s="3" t="s">
        <v>322</v>
      </c>
      <c r="K153" s="3" t="s">
        <v>901</v>
      </c>
      <c r="L153" s="3"/>
      <c r="M153" s="3"/>
      <c r="N153" s="3"/>
      <c r="O153" s="3"/>
      <c r="P153" s="3"/>
      <c r="Q153" s="3"/>
      <c r="R153" s="3"/>
      <c r="S153" s="3"/>
      <c r="T153" s="3"/>
      <c r="U153" s="3">
        <v>3204</v>
      </c>
      <c r="V153" s="4">
        <v>40444</v>
      </c>
      <c r="W153" s="3" t="s">
        <v>31</v>
      </c>
      <c r="X153" s="3" t="s">
        <v>902</v>
      </c>
    </row>
    <row r="154" spans="1:24" x14ac:dyDescent="0.3">
      <c r="A154" s="5">
        <v>148</v>
      </c>
      <c r="B154" s="5" t="str">
        <f>"1670441"</f>
        <v>1670441</v>
      </c>
      <c r="C154" s="5" t="str">
        <f>"45103"</f>
        <v>45103</v>
      </c>
      <c r="D154" s="5" t="s">
        <v>903</v>
      </c>
      <c r="E154" s="5">
        <v>20263674929</v>
      </c>
      <c r="F154" s="5" t="s">
        <v>904</v>
      </c>
      <c r="G154" s="5" t="s">
        <v>905</v>
      </c>
      <c r="H154" s="5" t="s">
        <v>28</v>
      </c>
      <c r="I154" s="5" t="s">
        <v>28</v>
      </c>
      <c r="J154" s="5" t="s">
        <v>91</v>
      </c>
      <c r="K154" s="5" t="s">
        <v>906</v>
      </c>
      <c r="L154" s="5"/>
      <c r="M154" s="5"/>
      <c r="N154" s="5"/>
      <c r="O154" s="5"/>
      <c r="P154" s="5"/>
      <c r="Q154" s="5"/>
      <c r="R154" s="5"/>
      <c r="S154" s="5"/>
      <c r="T154" s="5"/>
      <c r="U154" s="5">
        <v>3951</v>
      </c>
      <c r="V154" s="6">
        <v>39140</v>
      </c>
      <c r="W154" s="5" t="s">
        <v>31</v>
      </c>
      <c r="X154" s="5" t="s">
        <v>907</v>
      </c>
    </row>
    <row r="155" spans="1:24" ht="27.95" x14ac:dyDescent="0.3">
      <c r="A155" s="3">
        <v>149</v>
      </c>
      <c r="B155" s="3" t="str">
        <f>"201700091893"</f>
        <v>201700091893</v>
      </c>
      <c r="C155" s="3" t="str">
        <f>"129381"</f>
        <v>129381</v>
      </c>
      <c r="D155" s="3" t="s">
        <v>908</v>
      </c>
      <c r="E155" s="3">
        <v>20601162980</v>
      </c>
      <c r="F155" s="3" t="s">
        <v>909</v>
      </c>
      <c r="G155" s="3" t="s">
        <v>910</v>
      </c>
      <c r="H155" s="3" t="s">
        <v>28</v>
      </c>
      <c r="I155" s="3" t="s">
        <v>28</v>
      </c>
      <c r="J155" s="3" t="s">
        <v>911</v>
      </c>
      <c r="K155" s="3" t="s">
        <v>181</v>
      </c>
      <c r="L155" s="3"/>
      <c r="M155" s="3"/>
      <c r="N155" s="3"/>
      <c r="O155" s="3"/>
      <c r="P155" s="3"/>
      <c r="Q155" s="3"/>
      <c r="R155" s="3"/>
      <c r="S155" s="3"/>
      <c r="T155" s="3"/>
      <c r="U155" s="3">
        <v>5000</v>
      </c>
      <c r="V155" s="4">
        <v>42916</v>
      </c>
      <c r="W155" s="3" t="s">
        <v>31</v>
      </c>
      <c r="X155" s="3" t="s">
        <v>912</v>
      </c>
    </row>
    <row r="156" spans="1:24" ht="27.95" x14ac:dyDescent="0.3">
      <c r="A156" s="5">
        <v>150</v>
      </c>
      <c r="B156" s="5" t="str">
        <f>"201200034185"</f>
        <v>201200034185</v>
      </c>
      <c r="C156" s="5" t="str">
        <f>"40968"</f>
        <v>40968</v>
      </c>
      <c r="D156" s="5" t="s">
        <v>913</v>
      </c>
      <c r="E156" s="5">
        <v>20100971772</v>
      </c>
      <c r="F156" s="5" t="s">
        <v>914</v>
      </c>
      <c r="G156" s="5" t="s">
        <v>915</v>
      </c>
      <c r="H156" s="5" t="s">
        <v>115</v>
      </c>
      <c r="I156" s="5" t="s">
        <v>115</v>
      </c>
      <c r="J156" s="5" t="s">
        <v>116</v>
      </c>
      <c r="K156" s="5" t="s">
        <v>916</v>
      </c>
      <c r="L156" s="5"/>
      <c r="M156" s="5"/>
      <c r="N156" s="5"/>
      <c r="O156" s="5"/>
      <c r="P156" s="5"/>
      <c r="Q156" s="5"/>
      <c r="R156" s="5"/>
      <c r="S156" s="5"/>
      <c r="T156" s="5"/>
      <c r="U156" s="5">
        <v>97000</v>
      </c>
      <c r="V156" s="6">
        <v>40986</v>
      </c>
      <c r="W156" s="5" t="s">
        <v>31</v>
      </c>
      <c r="X156" s="5" t="s">
        <v>917</v>
      </c>
    </row>
    <row r="157" spans="1:24" ht="27.95" x14ac:dyDescent="0.3">
      <c r="A157" s="3">
        <v>151</v>
      </c>
      <c r="B157" s="3" t="str">
        <f>"201500069855"</f>
        <v>201500069855</v>
      </c>
      <c r="C157" s="3" t="str">
        <f>"82542"</f>
        <v>82542</v>
      </c>
      <c r="D157" s="3" t="s">
        <v>918</v>
      </c>
      <c r="E157" s="3">
        <v>20100017572</v>
      </c>
      <c r="F157" s="3" t="s">
        <v>919</v>
      </c>
      <c r="G157" s="3" t="s">
        <v>920</v>
      </c>
      <c r="H157" s="3" t="s">
        <v>921</v>
      </c>
      <c r="I157" s="3" t="s">
        <v>921</v>
      </c>
      <c r="J157" s="3" t="s">
        <v>922</v>
      </c>
      <c r="K157" s="3" t="s">
        <v>826</v>
      </c>
      <c r="L157" s="3" t="s">
        <v>923</v>
      </c>
      <c r="M157" s="3"/>
      <c r="N157" s="3"/>
      <c r="O157" s="3"/>
      <c r="P157" s="3"/>
      <c r="Q157" s="3"/>
      <c r="R157" s="3"/>
      <c r="S157" s="3"/>
      <c r="T157" s="3"/>
      <c r="U157" s="3">
        <v>33000</v>
      </c>
      <c r="V157" s="4">
        <v>42233</v>
      </c>
      <c r="W157" s="3" t="s">
        <v>31</v>
      </c>
      <c r="X157" s="3" t="s">
        <v>924</v>
      </c>
    </row>
    <row r="158" spans="1:24" x14ac:dyDescent="0.3">
      <c r="A158" s="5">
        <v>152</v>
      </c>
      <c r="B158" s="5" t="str">
        <f>"201500111728"</f>
        <v>201500111728</v>
      </c>
      <c r="C158" s="5" t="str">
        <f>"195"</f>
        <v>195</v>
      </c>
      <c r="D158" s="5" t="s">
        <v>925</v>
      </c>
      <c r="E158" s="5">
        <v>20100190797</v>
      </c>
      <c r="F158" s="5" t="s">
        <v>926</v>
      </c>
      <c r="G158" s="5" t="s">
        <v>927</v>
      </c>
      <c r="H158" s="5" t="s">
        <v>51</v>
      </c>
      <c r="I158" s="5" t="s">
        <v>51</v>
      </c>
      <c r="J158" s="5" t="s">
        <v>51</v>
      </c>
      <c r="K158" s="5" t="s">
        <v>928</v>
      </c>
      <c r="L158" s="5" t="s">
        <v>929</v>
      </c>
      <c r="M158" s="5" t="s">
        <v>87</v>
      </c>
      <c r="N158" s="5" t="s">
        <v>87</v>
      </c>
      <c r="O158" s="5"/>
      <c r="P158" s="5"/>
      <c r="Q158" s="5"/>
      <c r="R158" s="5"/>
      <c r="S158" s="5"/>
      <c r="T158" s="5"/>
      <c r="U158" s="5">
        <v>58000</v>
      </c>
      <c r="V158" s="6">
        <v>42257</v>
      </c>
      <c r="W158" s="5" t="s">
        <v>31</v>
      </c>
      <c r="X158" s="5" t="s">
        <v>930</v>
      </c>
    </row>
    <row r="159" spans="1:24" ht="27.95" x14ac:dyDescent="0.3">
      <c r="A159" s="3">
        <v>153</v>
      </c>
      <c r="B159" s="3" t="str">
        <f>"201600048399"</f>
        <v>201600048399</v>
      </c>
      <c r="C159" s="3" t="str">
        <f>"20172"</f>
        <v>20172</v>
      </c>
      <c r="D159" s="3" t="s">
        <v>931</v>
      </c>
      <c r="E159" s="3">
        <v>20122549896</v>
      </c>
      <c r="F159" s="3" t="s">
        <v>932</v>
      </c>
      <c r="G159" s="3" t="s">
        <v>933</v>
      </c>
      <c r="H159" s="3" t="s">
        <v>28</v>
      </c>
      <c r="I159" s="3" t="s">
        <v>28</v>
      </c>
      <c r="J159" s="3" t="s">
        <v>91</v>
      </c>
      <c r="K159" s="3" t="s">
        <v>30</v>
      </c>
      <c r="L159" s="3"/>
      <c r="M159" s="3"/>
      <c r="N159" s="3"/>
      <c r="O159" s="3"/>
      <c r="P159" s="3"/>
      <c r="Q159" s="3"/>
      <c r="R159" s="3"/>
      <c r="S159" s="3"/>
      <c r="T159" s="3"/>
      <c r="U159" s="3">
        <v>8000</v>
      </c>
      <c r="V159" s="4">
        <v>42479</v>
      </c>
      <c r="W159" s="3" t="s">
        <v>31</v>
      </c>
      <c r="X159" s="3" t="s">
        <v>934</v>
      </c>
    </row>
    <row r="160" spans="1:24" ht="27.95" x14ac:dyDescent="0.3">
      <c r="A160" s="5">
        <v>154</v>
      </c>
      <c r="B160" s="5" t="str">
        <f>"202000109432"</f>
        <v>202000109432</v>
      </c>
      <c r="C160" s="5" t="str">
        <f>"150742"</f>
        <v>150742</v>
      </c>
      <c r="D160" s="5" t="s">
        <v>935</v>
      </c>
      <c r="E160" s="5">
        <v>20511246009</v>
      </c>
      <c r="F160" s="5" t="s">
        <v>936</v>
      </c>
      <c r="G160" s="5" t="s">
        <v>937</v>
      </c>
      <c r="H160" s="5" t="s">
        <v>285</v>
      </c>
      <c r="I160" s="5" t="s">
        <v>286</v>
      </c>
      <c r="J160" s="5" t="s">
        <v>470</v>
      </c>
      <c r="K160" s="5" t="s">
        <v>938</v>
      </c>
      <c r="L160" s="5"/>
      <c r="M160" s="5"/>
      <c r="N160" s="5"/>
      <c r="O160" s="5"/>
      <c r="P160" s="5"/>
      <c r="Q160" s="5"/>
      <c r="R160" s="5"/>
      <c r="S160" s="5"/>
      <c r="T160" s="5"/>
      <c r="U160" s="5">
        <v>2700</v>
      </c>
      <c r="V160" s="6">
        <v>44068</v>
      </c>
      <c r="W160" s="5" t="s">
        <v>31</v>
      </c>
      <c r="X160" s="5" t="s">
        <v>939</v>
      </c>
    </row>
    <row r="161" spans="1:24" ht="27.95" x14ac:dyDescent="0.3">
      <c r="A161" s="3">
        <v>155</v>
      </c>
      <c r="B161" s="3" t="str">
        <f>"202000011559"</f>
        <v>202000011559</v>
      </c>
      <c r="C161" s="3" t="str">
        <f>"15401"</f>
        <v>15401</v>
      </c>
      <c r="D161" s="3" t="s">
        <v>940</v>
      </c>
      <c r="E161" s="3">
        <v>20338054115</v>
      </c>
      <c r="F161" s="3" t="s">
        <v>941</v>
      </c>
      <c r="G161" s="3" t="s">
        <v>942</v>
      </c>
      <c r="H161" s="3" t="s">
        <v>135</v>
      </c>
      <c r="I161" s="3" t="s">
        <v>943</v>
      </c>
      <c r="J161" s="3" t="s">
        <v>944</v>
      </c>
      <c r="K161" s="3" t="s">
        <v>945</v>
      </c>
      <c r="L161" s="3" t="s">
        <v>945</v>
      </c>
      <c r="M161" s="3"/>
      <c r="N161" s="3"/>
      <c r="O161" s="3"/>
      <c r="P161" s="3"/>
      <c r="Q161" s="3"/>
      <c r="R161" s="3"/>
      <c r="S161" s="3"/>
      <c r="T161" s="3"/>
      <c r="U161" s="3">
        <v>120000</v>
      </c>
      <c r="V161" s="4">
        <v>43860</v>
      </c>
      <c r="W161" s="3" t="s">
        <v>31</v>
      </c>
      <c r="X161" s="3" t="s">
        <v>946</v>
      </c>
    </row>
    <row r="162" spans="1:24" x14ac:dyDescent="0.3">
      <c r="A162" s="5">
        <v>156</v>
      </c>
      <c r="B162" s="5" t="str">
        <f>"1649814"</f>
        <v>1649814</v>
      </c>
      <c r="C162" s="5" t="str">
        <f>"187"</f>
        <v>187</v>
      </c>
      <c r="D162" s="5" t="s">
        <v>947</v>
      </c>
      <c r="E162" s="5">
        <v>20128915711</v>
      </c>
      <c r="F162" s="5" t="s">
        <v>948</v>
      </c>
      <c r="G162" s="5" t="s">
        <v>949</v>
      </c>
      <c r="H162" s="5" t="s">
        <v>334</v>
      </c>
      <c r="I162" s="5" t="s">
        <v>335</v>
      </c>
      <c r="J162" s="5" t="s">
        <v>950</v>
      </c>
      <c r="K162" s="5" t="s">
        <v>951</v>
      </c>
      <c r="L162" s="5" t="s">
        <v>952</v>
      </c>
      <c r="M162" s="5" t="s">
        <v>952</v>
      </c>
      <c r="N162" s="5" t="s">
        <v>953</v>
      </c>
      <c r="O162" s="5" t="s">
        <v>951</v>
      </c>
      <c r="P162" s="5"/>
      <c r="Q162" s="5"/>
      <c r="R162" s="5"/>
      <c r="S162" s="5"/>
      <c r="T162" s="5"/>
      <c r="U162" s="5">
        <v>163200</v>
      </c>
      <c r="V162" s="6">
        <v>39031</v>
      </c>
      <c r="W162" s="5" t="s">
        <v>31</v>
      </c>
      <c r="X162" s="5" t="s">
        <v>954</v>
      </c>
    </row>
    <row r="163" spans="1:24" ht="27.95" x14ac:dyDescent="0.3">
      <c r="A163" s="3">
        <v>157</v>
      </c>
      <c r="B163" s="3" t="str">
        <f>"201900046474"</f>
        <v>201900046474</v>
      </c>
      <c r="C163" s="3" t="str">
        <f>"92694"</f>
        <v>92694</v>
      </c>
      <c r="D163" s="3" t="s">
        <v>955</v>
      </c>
      <c r="E163" s="3">
        <v>20170072465</v>
      </c>
      <c r="F163" s="3" t="s">
        <v>879</v>
      </c>
      <c r="G163" s="3" t="s">
        <v>956</v>
      </c>
      <c r="H163" s="3" t="s">
        <v>51</v>
      </c>
      <c r="I163" s="3" t="s">
        <v>51</v>
      </c>
      <c r="J163" s="3" t="s">
        <v>957</v>
      </c>
      <c r="K163" s="3" t="s">
        <v>958</v>
      </c>
      <c r="L163" s="3" t="s">
        <v>959</v>
      </c>
      <c r="M163" s="3" t="s">
        <v>960</v>
      </c>
      <c r="N163" s="3" t="s">
        <v>960</v>
      </c>
      <c r="O163" s="3" t="s">
        <v>961</v>
      </c>
      <c r="P163" s="3" t="s">
        <v>961</v>
      </c>
      <c r="Q163" s="3" t="s">
        <v>168</v>
      </c>
      <c r="R163" s="3" t="s">
        <v>168</v>
      </c>
      <c r="S163" s="3" t="s">
        <v>962</v>
      </c>
      <c r="T163" s="3" t="s">
        <v>962</v>
      </c>
      <c r="U163" s="3">
        <v>1614701</v>
      </c>
      <c r="V163" s="4">
        <v>43551</v>
      </c>
      <c r="W163" s="3" t="s">
        <v>31</v>
      </c>
      <c r="X163" s="3" t="s">
        <v>882</v>
      </c>
    </row>
    <row r="164" spans="1:24" x14ac:dyDescent="0.3">
      <c r="A164" s="5">
        <v>158</v>
      </c>
      <c r="B164" s="5" t="str">
        <f>"1110419"</f>
        <v>1110419</v>
      </c>
      <c r="C164" s="5" t="str">
        <f>"297"</f>
        <v>297</v>
      </c>
      <c r="D164" s="5">
        <v>979540</v>
      </c>
      <c r="E164" s="5">
        <v>20268911082</v>
      </c>
      <c r="F164" s="5" t="s">
        <v>963</v>
      </c>
      <c r="G164" s="5" t="s">
        <v>964</v>
      </c>
      <c r="H164" s="5" t="s">
        <v>28</v>
      </c>
      <c r="I164" s="5" t="s">
        <v>28</v>
      </c>
      <c r="J164" s="5" t="s">
        <v>91</v>
      </c>
      <c r="K164" s="5" t="s">
        <v>965</v>
      </c>
      <c r="L164" s="5"/>
      <c r="M164" s="5"/>
      <c r="N164" s="5"/>
      <c r="O164" s="5"/>
      <c r="P164" s="5"/>
      <c r="Q164" s="5"/>
      <c r="R164" s="5"/>
      <c r="S164" s="5"/>
      <c r="T164" s="5"/>
      <c r="U164" s="5">
        <v>28000</v>
      </c>
      <c r="V164" s="6">
        <v>35480</v>
      </c>
      <c r="W164" s="5" t="s">
        <v>31</v>
      </c>
      <c r="X164" s="5" t="s">
        <v>966</v>
      </c>
    </row>
    <row r="165" spans="1:24" ht="27.95" x14ac:dyDescent="0.3">
      <c r="A165" s="3">
        <v>159</v>
      </c>
      <c r="B165" s="3" t="str">
        <f>"201800207813"</f>
        <v>201800207813</v>
      </c>
      <c r="C165" s="3" t="str">
        <f>"140356"</f>
        <v>140356</v>
      </c>
      <c r="D165" s="3" t="s">
        <v>967</v>
      </c>
      <c r="E165" s="3">
        <v>20601163137</v>
      </c>
      <c r="F165" s="3" t="s">
        <v>968</v>
      </c>
      <c r="G165" s="3" t="s">
        <v>969</v>
      </c>
      <c r="H165" s="3" t="s">
        <v>970</v>
      </c>
      <c r="I165" s="3" t="s">
        <v>970</v>
      </c>
      <c r="J165" s="3" t="s">
        <v>971</v>
      </c>
      <c r="K165" s="3" t="s">
        <v>972</v>
      </c>
      <c r="L165" s="3" t="s">
        <v>973</v>
      </c>
      <c r="M165" s="3"/>
      <c r="N165" s="3"/>
      <c r="O165" s="3"/>
      <c r="P165" s="3"/>
      <c r="Q165" s="3"/>
      <c r="R165" s="3"/>
      <c r="S165" s="3"/>
      <c r="T165" s="3"/>
      <c r="U165" s="3">
        <v>16000</v>
      </c>
      <c r="V165" s="4">
        <v>43455</v>
      </c>
      <c r="W165" s="3" t="s">
        <v>31</v>
      </c>
      <c r="X165" s="3" t="s">
        <v>974</v>
      </c>
    </row>
    <row r="166" spans="1:24" x14ac:dyDescent="0.3">
      <c r="A166" s="5">
        <v>160</v>
      </c>
      <c r="B166" s="5" t="str">
        <f>"201100157960"</f>
        <v>201100157960</v>
      </c>
      <c r="C166" s="5" t="str">
        <f>"94888"</f>
        <v>94888</v>
      </c>
      <c r="D166" s="5" t="s">
        <v>975</v>
      </c>
      <c r="E166" s="5">
        <v>20140688640</v>
      </c>
      <c r="F166" s="5" t="s">
        <v>976</v>
      </c>
      <c r="G166" s="5" t="s">
        <v>977</v>
      </c>
      <c r="H166" s="5" t="s">
        <v>978</v>
      </c>
      <c r="I166" s="5" t="s">
        <v>979</v>
      </c>
      <c r="J166" s="5" t="s">
        <v>979</v>
      </c>
      <c r="K166" s="5" t="s">
        <v>980</v>
      </c>
      <c r="L166" s="5"/>
      <c r="M166" s="5"/>
      <c r="N166" s="5"/>
      <c r="O166" s="5"/>
      <c r="P166" s="5"/>
      <c r="Q166" s="5"/>
      <c r="R166" s="5"/>
      <c r="S166" s="5"/>
      <c r="T166" s="5"/>
      <c r="U166" s="5">
        <v>80000</v>
      </c>
      <c r="V166" s="6">
        <v>40879</v>
      </c>
      <c r="W166" s="5" t="s">
        <v>31</v>
      </c>
      <c r="X166" s="5" t="s">
        <v>981</v>
      </c>
    </row>
    <row r="167" spans="1:24" x14ac:dyDescent="0.3">
      <c r="A167" s="3">
        <v>161</v>
      </c>
      <c r="B167" s="3" t="str">
        <f>"1474232"</f>
        <v>1474232</v>
      </c>
      <c r="C167" s="3" t="str">
        <f>"89314"</f>
        <v>89314</v>
      </c>
      <c r="D167" s="3" t="s">
        <v>982</v>
      </c>
      <c r="E167" s="3">
        <v>20516046954</v>
      </c>
      <c r="F167" s="3" t="s">
        <v>983</v>
      </c>
      <c r="G167" s="3" t="s">
        <v>984</v>
      </c>
      <c r="H167" s="3" t="s">
        <v>28</v>
      </c>
      <c r="I167" s="3" t="s">
        <v>490</v>
      </c>
      <c r="J167" s="3" t="s">
        <v>985</v>
      </c>
      <c r="K167" s="3" t="s">
        <v>986</v>
      </c>
      <c r="L167" s="3"/>
      <c r="M167" s="3"/>
      <c r="N167" s="3"/>
      <c r="O167" s="3"/>
      <c r="P167" s="3"/>
      <c r="Q167" s="3"/>
      <c r="R167" s="3"/>
      <c r="S167" s="3"/>
      <c r="T167" s="3"/>
      <c r="U167" s="3">
        <v>11747</v>
      </c>
      <c r="V167" s="4">
        <v>40630</v>
      </c>
      <c r="W167" s="3" t="s">
        <v>31</v>
      </c>
      <c r="X167" s="3" t="s">
        <v>987</v>
      </c>
    </row>
    <row r="168" spans="1:24" x14ac:dyDescent="0.3">
      <c r="A168" s="5">
        <v>162</v>
      </c>
      <c r="B168" s="5" t="str">
        <f>"201900152493"</f>
        <v>201900152493</v>
      </c>
      <c r="C168" s="5" t="str">
        <f>"39603"</f>
        <v>39603</v>
      </c>
      <c r="D168" s="5" t="s">
        <v>988</v>
      </c>
      <c r="E168" s="5">
        <v>20287141140</v>
      </c>
      <c r="F168" s="5" t="s">
        <v>989</v>
      </c>
      <c r="G168" s="5" t="s">
        <v>990</v>
      </c>
      <c r="H168" s="5" t="s">
        <v>292</v>
      </c>
      <c r="I168" s="5" t="s">
        <v>991</v>
      </c>
      <c r="J168" s="5" t="s">
        <v>992</v>
      </c>
      <c r="K168" s="5" t="s">
        <v>993</v>
      </c>
      <c r="L168" s="5"/>
      <c r="M168" s="5"/>
      <c r="N168" s="5"/>
      <c r="O168" s="5"/>
      <c r="P168" s="5"/>
      <c r="Q168" s="5"/>
      <c r="R168" s="5"/>
      <c r="S168" s="5"/>
      <c r="T168" s="5"/>
      <c r="U168" s="5">
        <v>6695</v>
      </c>
      <c r="V168" s="6">
        <v>43735</v>
      </c>
      <c r="W168" s="5" t="s">
        <v>31</v>
      </c>
      <c r="X168" s="5" t="s">
        <v>994</v>
      </c>
    </row>
    <row r="169" spans="1:24" x14ac:dyDescent="0.3">
      <c r="A169" s="3">
        <v>163</v>
      </c>
      <c r="B169" s="3" t="str">
        <f>"1504933"</f>
        <v>1504933</v>
      </c>
      <c r="C169" s="3" t="str">
        <f>"94015"</f>
        <v>94015</v>
      </c>
      <c r="D169" s="3" t="s">
        <v>995</v>
      </c>
      <c r="E169" s="3">
        <v>20100047218</v>
      </c>
      <c r="F169" s="3" t="s">
        <v>996</v>
      </c>
      <c r="G169" s="3" t="s">
        <v>997</v>
      </c>
      <c r="H169" s="3" t="s">
        <v>36</v>
      </c>
      <c r="I169" s="3" t="s">
        <v>234</v>
      </c>
      <c r="J169" s="3" t="s">
        <v>998</v>
      </c>
      <c r="K169" s="3" t="s">
        <v>999</v>
      </c>
      <c r="L169" s="3"/>
      <c r="M169" s="3"/>
      <c r="N169" s="3"/>
      <c r="O169" s="3"/>
      <c r="P169" s="3"/>
      <c r="Q169" s="3"/>
      <c r="R169" s="3"/>
      <c r="S169" s="3"/>
      <c r="T169" s="3"/>
      <c r="U169" s="3">
        <v>2350</v>
      </c>
      <c r="V169" s="4">
        <v>40814</v>
      </c>
      <c r="W169" s="3" t="s">
        <v>31</v>
      </c>
      <c r="X169" s="3" t="s">
        <v>1000</v>
      </c>
    </row>
    <row r="170" spans="1:24" ht="27.95" x14ac:dyDescent="0.3">
      <c r="A170" s="5">
        <v>164</v>
      </c>
      <c r="B170" s="5" t="str">
        <f>"201800088083"</f>
        <v>201800088083</v>
      </c>
      <c r="C170" s="5" t="str">
        <f>"61782"</f>
        <v>61782</v>
      </c>
      <c r="D170" s="5" t="s">
        <v>1001</v>
      </c>
      <c r="E170" s="5">
        <v>20278966004</v>
      </c>
      <c r="F170" s="5" t="s">
        <v>468</v>
      </c>
      <c r="G170" s="5" t="s">
        <v>1002</v>
      </c>
      <c r="H170" s="5" t="s">
        <v>285</v>
      </c>
      <c r="I170" s="5" t="s">
        <v>286</v>
      </c>
      <c r="J170" s="5" t="s">
        <v>470</v>
      </c>
      <c r="K170" s="5" t="s">
        <v>1003</v>
      </c>
      <c r="L170" s="5" t="s">
        <v>1004</v>
      </c>
      <c r="M170" s="5"/>
      <c r="N170" s="5"/>
      <c r="O170" s="5"/>
      <c r="P170" s="5"/>
      <c r="Q170" s="5"/>
      <c r="R170" s="5"/>
      <c r="S170" s="5"/>
      <c r="T170" s="5"/>
      <c r="U170" s="5">
        <v>47730</v>
      </c>
      <c r="V170" s="6">
        <v>43249</v>
      </c>
      <c r="W170" s="5" t="s">
        <v>31</v>
      </c>
      <c r="X170" s="5" t="s">
        <v>1005</v>
      </c>
    </row>
    <row r="171" spans="1:24" ht="27.95" x14ac:dyDescent="0.3">
      <c r="A171" s="3">
        <v>165</v>
      </c>
      <c r="B171" s="3" t="str">
        <f>"201600122504"</f>
        <v>201600122504</v>
      </c>
      <c r="C171" s="3" t="str">
        <f>"43422"</f>
        <v>43422</v>
      </c>
      <c r="D171" s="3" t="s">
        <v>1006</v>
      </c>
      <c r="E171" s="3">
        <v>20275229394</v>
      </c>
      <c r="F171" s="3" t="s">
        <v>1007</v>
      </c>
      <c r="G171" s="3" t="s">
        <v>1008</v>
      </c>
      <c r="H171" s="3" t="s">
        <v>36</v>
      </c>
      <c r="I171" s="3" t="s">
        <v>234</v>
      </c>
      <c r="J171" s="3" t="s">
        <v>1009</v>
      </c>
      <c r="K171" s="3" t="s">
        <v>1010</v>
      </c>
      <c r="L171" s="3"/>
      <c r="M171" s="3"/>
      <c r="N171" s="3"/>
      <c r="O171" s="3"/>
      <c r="P171" s="3"/>
      <c r="Q171" s="3"/>
      <c r="R171" s="3"/>
      <c r="S171" s="3"/>
      <c r="T171" s="3"/>
      <c r="U171" s="3">
        <v>1800</v>
      </c>
      <c r="V171" s="4">
        <v>42622</v>
      </c>
      <c r="W171" s="3" t="s">
        <v>31</v>
      </c>
      <c r="X171" s="3" t="s">
        <v>1011</v>
      </c>
    </row>
    <row r="172" spans="1:24" ht="27.95" x14ac:dyDescent="0.3">
      <c r="A172" s="5">
        <v>166</v>
      </c>
      <c r="B172" s="5" t="str">
        <f>"201900010308"</f>
        <v>201900010308</v>
      </c>
      <c r="C172" s="5" t="str">
        <f>"41260"</f>
        <v>41260</v>
      </c>
      <c r="D172" s="5" t="s">
        <v>1012</v>
      </c>
      <c r="E172" s="5">
        <v>20565515650</v>
      </c>
      <c r="F172" s="5" t="s">
        <v>1013</v>
      </c>
      <c r="G172" s="5" t="s">
        <v>1014</v>
      </c>
      <c r="H172" s="5" t="s">
        <v>28</v>
      </c>
      <c r="I172" s="5" t="s">
        <v>72</v>
      </c>
      <c r="J172" s="5" t="s">
        <v>322</v>
      </c>
      <c r="K172" s="5" t="s">
        <v>1015</v>
      </c>
      <c r="L172" s="5"/>
      <c r="M172" s="5"/>
      <c r="N172" s="5"/>
      <c r="O172" s="5"/>
      <c r="P172" s="5"/>
      <c r="Q172" s="5"/>
      <c r="R172" s="5"/>
      <c r="S172" s="5"/>
      <c r="T172" s="5"/>
      <c r="U172" s="5">
        <v>4870</v>
      </c>
      <c r="V172" s="6">
        <v>43493</v>
      </c>
      <c r="W172" s="5" t="s">
        <v>31</v>
      </c>
      <c r="X172" s="5" t="s">
        <v>1016</v>
      </c>
    </row>
    <row r="173" spans="1:24" x14ac:dyDescent="0.3">
      <c r="A173" s="3">
        <v>167</v>
      </c>
      <c r="B173" s="3" t="str">
        <f>"1175259"</f>
        <v>1175259</v>
      </c>
      <c r="C173" s="3" t="str">
        <f>"1384"</f>
        <v>1384</v>
      </c>
      <c r="D173" s="3" t="s">
        <v>1017</v>
      </c>
      <c r="E173" s="3">
        <v>20125625780</v>
      </c>
      <c r="F173" s="3" t="s">
        <v>1018</v>
      </c>
      <c r="G173" s="3" t="s">
        <v>1019</v>
      </c>
      <c r="H173" s="3" t="s">
        <v>36</v>
      </c>
      <c r="I173" s="3" t="s">
        <v>234</v>
      </c>
      <c r="J173" s="3" t="s">
        <v>234</v>
      </c>
      <c r="K173" s="3" t="s">
        <v>259</v>
      </c>
      <c r="L173" s="3"/>
      <c r="M173" s="3"/>
      <c r="N173" s="3"/>
      <c r="O173" s="3"/>
      <c r="P173" s="3"/>
      <c r="Q173" s="3"/>
      <c r="R173" s="3"/>
      <c r="S173" s="3"/>
      <c r="T173" s="3"/>
      <c r="U173" s="3">
        <v>6000</v>
      </c>
      <c r="V173" s="4">
        <v>36815</v>
      </c>
      <c r="W173" s="3" t="s">
        <v>31</v>
      </c>
      <c r="X173" s="3" t="s">
        <v>1020</v>
      </c>
    </row>
    <row r="174" spans="1:24" x14ac:dyDescent="0.3">
      <c r="A174" s="5">
        <v>168</v>
      </c>
      <c r="B174" s="5" t="str">
        <f>"1152194"</f>
        <v>1152194</v>
      </c>
      <c r="C174" s="5" t="str">
        <f>"1299"</f>
        <v>1299</v>
      </c>
      <c r="D174" s="5">
        <v>1102608</v>
      </c>
      <c r="E174" s="5">
        <v>20105202076</v>
      </c>
      <c r="F174" s="5" t="s">
        <v>1021</v>
      </c>
      <c r="G174" s="5" t="s">
        <v>1022</v>
      </c>
      <c r="H174" s="5" t="s">
        <v>80</v>
      </c>
      <c r="I174" s="5" t="s">
        <v>80</v>
      </c>
      <c r="J174" s="5" t="s">
        <v>1023</v>
      </c>
      <c r="K174" s="5" t="s">
        <v>229</v>
      </c>
      <c r="L174" s="5"/>
      <c r="M174" s="5"/>
      <c r="N174" s="5"/>
      <c r="O174" s="5"/>
      <c r="P174" s="5"/>
      <c r="Q174" s="5"/>
      <c r="R174" s="5"/>
      <c r="S174" s="5"/>
      <c r="T174" s="5"/>
      <c r="U174" s="5">
        <v>2000</v>
      </c>
      <c r="V174" s="6">
        <v>35698</v>
      </c>
      <c r="W174" s="5" t="s">
        <v>31</v>
      </c>
      <c r="X174" s="5" t="s">
        <v>1024</v>
      </c>
    </row>
    <row r="175" spans="1:24" ht="27.95" x14ac:dyDescent="0.3">
      <c r="A175" s="3">
        <v>169</v>
      </c>
      <c r="B175" s="3" t="str">
        <f>"201200190233"</f>
        <v>201200190233</v>
      </c>
      <c r="C175" s="3" t="str">
        <f>"98869"</f>
        <v>98869</v>
      </c>
      <c r="D175" s="3" t="s">
        <v>1025</v>
      </c>
      <c r="E175" s="3">
        <v>20297543653</v>
      </c>
      <c r="F175" s="3" t="s">
        <v>884</v>
      </c>
      <c r="G175" s="3" t="s">
        <v>1026</v>
      </c>
      <c r="H175" s="3" t="s">
        <v>28</v>
      </c>
      <c r="I175" s="3" t="s">
        <v>28</v>
      </c>
      <c r="J175" s="3" t="s">
        <v>28</v>
      </c>
      <c r="K175" s="3" t="s">
        <v>181</v>
      </c>
      <c r="L175" s="3"/>
      <c r="M175" s="3"/>
      <c r="N175" s="3"/>
      <c r="O175" s="3"/>
      <c r="P175" s="3"/>
      <c r="Q175" s="3"/>
      <c r="R175" s="3"/>
      <c r="S175" s="3"/>
      <c r="T175" s="3"/>
      <c r="U175" s="3">
        <v>5000</v>
      </c>
      <c r="V175" s="4">
        <v>41239</v>
      </c>
      <c r="W175" s="3" t="s">
        <v>31</v>
      </c>
      <c r="X175" s="3" t="s">
        <v>1027</v>
      </c>
    </row>
    <row r="176" spans="1:24" x14ac:dyDescent="0.3">
      <c r="A176" s="5">
        <v>170</v>
      </c>
      <c r="B176" s="5" t="str">
        <f>"201500147621"</f>
        <v>201500147621</v>
      </c>
      <c r="C176" s="5" t="str">
        <f>"118339"</f>
        <v>118339</v>
      </c>
      <c r="D176" s="5" t="s">
        <v>1028</v>
      </c>
      <c r="E176" s="5">
        <v>20428696515</v>
      </c>
      <c r="F176" s="5" t="s">
        <v>1029</v>
      </c>
      <c r="G176" s="5" t="s">
        <v>1030</v>
      </c>
      <c r="H176" s="5" t="s">
        <v>566</v>
      </c>
      <c r="I176" s="5" t="s">
        <v>1031</v>
      </c>
      <c r="J176" s="5" t="s">
        <v>1032</v>
      </c>
      <c r="K176" s="5" t="s">
        <v>1033</v>
      </c>
      <c r="L176" s="5" t="s">
        <v>1034</v>
      </c>
      <c r="M176" s="5"/>
      <c r="N176" s="5"/>
      <c r="O176" s="5"/>
      <c r="P176" s="5"/>
      <c r="Q176" s="5"/>
      <c r="R176" s="5"/>
      <c r="S176" s="5"/>
      <c r="T176" s="5"/>
      <c r="U176" s="5">
        <v>24000</v>
      </c>
      <c r="V176" s="6">
        <v>42324</v>
      </c>
      <c r="W176" s="5" t="s">
        <v>31</v>
      </c>
      <c r="X176" s="5" t="s">
        <v>1035</v>
      </c>
    </row>
    <row r="177" spans="1:24" ht="27.95" x14ac:dyDescent="0.3">
      <c r="A177" s="3">
        <v>171</v>
      </c>
      <c r="B177" s="3" t="str">
        <f>"201300166032"</f>
        <v>201300166032</v>
      </c>
      <c r="C177" s="3" t="str">
        <f>"61896"</f>
        <v>61896</v>
      </c>
      <c r="D177" s="3" t="s">
        <v>1036</v>
      </c>
      <c r="E177" s="3">
        <v>20450760839</v>
      </c>
      <c r="F177" s="3" t="s">
        <v>1037</v>
      </c>
      <c r="G177" s="3" t="s">
        <v>1038</v>
      </c>
      <c r="H177" s="3" t="s">
        <v>135</v>
      </c>
      <c r="I177" s="3" t="s">
        <v>135</v>
      </c>
      <c r="J177" s="3" t="s">
        <v>1039</v>
      </c>
      <c r="K177" s="3" t="s">
        <v>1040</v>
      </c>
      <c r="L177" s="3" t="s">
        <v>1041</v>
      </c>
      <c r="M177" s="3"/>
      <c r="N177" s="3"/>
      <c r="O177" s="3"/>
      <c r="P177" s="3"/>
      <c r="Q177" s="3"/>
      <c r="R177" s="3"/>
      <c r="S177" s="3"/>
      <c r="T177" s="3"/>
      <c r="U177" s="3">
        <v>5520</v>
      </c>
      <c r="V177" s="4">
        <v>41584</v>
      </c>
      <c r="W177" s="3" t="s">
        <v>31</v>
      </c>
      <c r="X177" s="3" t="s">
        <v>1042</v>
      </c>
    </row>
    <row r="178" spans="1:24" x14ac:dyDescent="0.3">
      <c r="A178" s="5">
        <v>172</v>
      </c>
      <c r="B178" s="5" t="str">
        <f>"201700221230"</f>
        <v>201700221230</v>
      </c>
      <c r="C178" s="5" t="str">
        <f>"133742"</f>
        <v>133742</v>
      </c>
      <c r="D178" s="5" t="s">
        <v>1043</v>
      </c>
      <c r="E178" s="5">
        <v>20511520186</v>
      </c>
      <c r="F178" s="5" t="s">
        <v>1044</v>
      </c>
      <c r="G178" s="5" t="s">
        <v>1045</v>
      </c>
      <c r="H178" s="5" t="s">
        <v>115</v>
      </c>
      <c r="I178" s="5" t="s">
        <v>115</v>
      </c>
      <c r="J178" s="5" t="s">
        <v>159</v>
      </c>
      <c r="K178" s="5" t="s">
        <v>92</v>
      </c>
      <c r="L178" s="5"/>
      <c r="M178" s="5"/>
      <c r="N178" s="5"/>
      <c r="O178" s="5"/>
      <c r="P178" s="5"/>
      <c r="Q178" s="5"/>
      <c r="R178" s="5"/>
      <c r="S178" s="5"/>
      <c r="T178" s="5"/>
      <c r="U178" s="5">
        <v>500</v>
      </c>
      <c r="V178" s="6">
        <v>43102</v>
      </c>
      <c r="W178" s="5" t="s">
        <v>31</v>
      </c>
      <c r="X178" s="5" t="s">
        <v>1046</v>
      </c>
    </row>
    <row r="179" spans="1:24" ht="27.95" x14ac:dyDescent="0.3">
      <c r="A179" s="3">
        <v>173</v>
      </c>
      <c r="B179" s="3" t="str">
        <f>"1527451"</f>
        <v>1527451</v>
      </c>
      <c r="C179" s="3" t="str">
        <f>"39605"</f>
        <v>39605</v>
      </c>
      <c r="D179" s="3" t="s">
        <v>1047</v>
      </c>
      <c r="E179" s="3">
        <v>20159473148</v>
      </c>
      <c r="F179" s="3" t="s">
        <v>1048</v>
      </c>
      <c r="G179" s="3" t="s">
        <v>1049</v>
      </c>
      <c r="H179" s="3" t="s">
        <v>51</v>
      </c>
      <c r="I179" s="3" t="s">
        <v>52</v>
      </c>
      <c r="J179" s="3" t="s">
        <v>1050</v>
      </c>
      <c r="K179" s="3" t="s">
        <v>1051</v>
      </c>
      <c r="L179" s="3" t="s">
        <v>1052</v>
      </c>
      <c r="M179" s="3"/>
      <c r="N179" s="3"/>
      <c r="O179" s="3"/>
      <c r="P179" s="3"/>
      <c r="Q179" s="3"/>
      <c r="R179" s="3"/>
      <c r="S179" s="3"/>
      <c r="T179" s="3"/>
      <c r="U179" s="3">
        <v>86900</v>
      </c>
      <c r="V179" s="4">
        <v>38461</v>
      </c>
      <c r="W179" s="3" t="s">
        <v>31</v>
      </c>
      <c r="X179" s="3" t="s">
        <v>1053</v>
      </c>
    </row>
    <row r="180" spans="1:24" ht="27.95" x14ac:dyDescent="0.3">
      <c r="A180" s="5">
        <v>174</v>
      </c>
      <c r="B180" s="5" t="str">
        <f>"201400146517"</f>
        <v>201400146517</v>
      </c>
      <c r="C180" s="5" t="str">
        <f>"83"</f>
        <v>83</v>
      </c>
      <c r="D180" s="5" t="s">
        <v>1054</v>
      </c>
      <c r="E180" s="5">
        <v>20332907990</v>
      </c>
      <c r="F180" s="5" t="s">
        <v>1055</v>
      </c>
      <c r="G180" s="5" t="s">
        <v>1056</v>
      </c>
      <c r="H180" s="5" t="s">
        <v>28</v>
      </c>
      <c r="I180" s="5" t="s">
        <v>72</v>
      </c>
      <c r="J180" s="5" t="s">
        <v>1057</v>
      </c>
      <c r="K180" s="5" t="s">
        <v>1058</v>
      </c>
      <c r="L180" s="5" t="s">
        <v>1058</v>
      </c>
      <c r="M180" s="5" t="s">
        <v>826</v>
      </c>
      <c r="N180" s="5" t="s">
        <v>1059</v>
      </c>
      <c r="O180" s="5" t="s">
        <v>1060</v>
      </c>
      <c r="P180" s="5"/>
      <c r="Q180" s="5"/>
      <c r="R180" s="5"/>
      <c r="S180" s="5"/>
      <c r="T180" s="5"/>
      <c r="U180" s="5">
        <v>29000</v>
      </c>
      <c r="V180" s="6">
        <v>41970</v>
      </c>
      <c r="W180" s="5" t="s">
        <v>31</v>
      </c>
      <c r="X180" s="5" t="s">
        <v>1061</v>
      </c>
    </row>
    <row r="181" spans="1:24" ht="27.95" x14ac:dyDescent="0.3">
      <c r="A181" s="3">
        <v>175</v>
      </c>
      <c r="B181" s="3" t="str">
        <f>"201700111878"</f>
        <v>201700111878</v>
      </c>
      <c r="C181" s="3" t="str">
        <f>"130551"</f>
        <v>130551</v>
      </c>
      <c r="D181" s="3" t="s">
        <v>1062</v>
      </c>
      <c r="E181" s="3">
        <v>10048262088</v>
      </c>
      <c r="F181" s="3" t="s">
        <v>1063</v>
      </c>
      <c r="G181" s="3" t="s">
        <v>1064</v>
      </c>
      <c r="H181" s="3" t="s">
        <v>165</v>
      </c>
      <c r="I181" s="3" t="s">
        <v>732</v>
      </c>
      <c r="J181" s="3" t="s">
        <v>1065</v>
      </c>
      <c r="K181" s="3" t="s">
        <v>198</v>
      </c>
      <c r="L181" s="3"/>
      <c r="M181" s="3"/>
      <c r="N181" s="3"/>
      <c r="O181" s="3"/>
      <c r="P181" s="3"/>
      <c r="Q181" s="3"/>
      <c r="R181" s="3"/>
      <c r="S181" s="3"/>
      <c r="T181" s="3"/>
      <c r="U181" s="3">
        <v>9000</v>
      </c>
      <c r="V181" s="4">
        <v>42940</v>
      </c>
      <c r="W181" s="3" t="s">
        <v>31</v>
      </c>
      <c r="X181" s="3" t="s">
        <v>1063</v>
      </c>
    </row>
    <row r="182" spans="1:24" x14ac:dyDescent="0.3">
      <c r="A182" s="5">
        <v>176</v>
      </c>
      <c r="B182" s="5" t="str">
        <f>"1214553"</f>
        <v>1214553</v>
      </c>
      <c r="C182" s="5" t="str">
        <f>"15520"</f>
        <v>15520</v>
      </c>
      <c r="D182" s="5">
        <v>1020284</v>
      </c>
      <c r="E182" s="5">
        <v>20225257354</v>
      </c>
      <c r="F182" s="5" t="s">
        <v>1066</v>
      </c>
      <c r="G182" s="5" t="s">
        <v>1067</v>
      </c>
      <c r="H182" s="5" t="s">
        <v>550</v>
      </c>
      <c r="I182" s="5" t="s">
        <v>1068</v>
      </c>
      <c r="J182" s="5" t="s">
        <v>1068</v>
      </c>
      <c r="K182" s="5" t="s">
        <v>1069</v>
      </c>
      <c r="L182" s="5"/>
      <c r="M182" s="5"/>
      <c r="N182" s="5"/>
      <c r="O182" s="5"/>
      <c r="P182" s="5"/>
      <c r="Q182" s="5"/>
      <c r="R182" s="5"/>
      <c r="S182" s="5"/>
      <c r="T182" s="5"/>
      <c r="U182" s="5">
        <v>800</v>
      </c>
      <c r="V182" s="6">
        <v>36143</v>
      </c>
      <c r="W182" s="5" t="s">
        <v>31</v>
      </c>
      <c r="X182" s="5" t="s">
        <v>1070</v>
      </c>
    </row>
    <row r="183" spans="1:24" x14ac:dyDescent="0.3">
      <c r="A183" s="3">
        <v>177</v>
      </c>
      <c r="B183" s="3" t="str">
        <f>"201400119759"</f>
        <v>201400119759</v>
      </c>
      <c r="C183" s="3" t="str">
        <f>"1534"</f>
        <v>1534</v>
      </c>
      <c r="D183" s="3" t="s">
        <v>1071</v>
      </c>
      <c r="E183" s="3">
        <v>20100015014</v>
      </c>
      <c r="F183" s="3" t="s">
        <v>1072</v>
      </c>
      <c r="G183" s="3" t="s">
        <v>1073</v>
      </c>
      <c r="H183" s="3" t="s">
        <v>115</v>
      </c>
      <c r="I183" s="3" t="s">
        <v>115</v>
      </c>
      <c r="J183" s="3" t="s">
        <v>159</v>
      </c>
      <c r="K183" s="3" t="s">
        <v>1074</v>
      </c>
      <c r="L183" s="3"/>
      <c r="M183" s="3"/>
      <c r="N183" s="3"/>
      <c r="O183" s="3"/>
      <c r="P183" s="3"/>
      <c r="Q183" s="3"/>
      <c r="R183" s="3"/>
      <c r="S183" s="3"/>
      <c r="T183" s="3"/>
      <c r="U183" s="3">
        <v>3500</v>
      </c>
      <c r="V183" s="4">
        <v>41917</v>
      </c>
      <c r="W183" s="3" t="s">
        <v>31</v>
      </c>
      <c r="X183" s="3" t="s">
        <v>1075</v>
      </c>
    </row>
    <row r="184" spans="1:24" x14ac:dyDescent="0.3">
      <c r="A184" s="5">
        <v>178</v>
      </c>
      <c r="B184" s="5" t="str">
        <f>"201400119379"</f>
        <v>201400119379</v>
      </c>
      <c r="C184" s="5" t="str">
        <f>"111560"</f>
        <v>111560</v>
      </c>
      <c r="D184" s="5" t="s">
        <v>1076</v>
      </c>
      <c r="E184" s="5">
        <v>20153219118</v>
      </c>
      <c r="F184" s="5" t="s">
        <v>1077</v>
      </c>
      <c r="G184" s="5" t="s">
        <v>1078</v>
      </c>
      <c r="H184" s="5" t="s">
        <v>28</v>
      </c>
      <c r="I184" s="5" t="s">
        <v>28</v>
      </c>
      <c r="J184" s="5" t="s">
        <v>328</v>
      </c>
      <c r="K184" s="5" t="s">
        <v>110</v>
      </c>
      <c r="L184" s="5"/>
      <c r="M184" s="5"/>
      <c r="N184" s="5"/>
      <c r="O184" s="5"/>
      <c r="P184" s="5"/>
      <c r="Q184" s="5"/>
      <c r="R184" s="5"/>
      <c r="S184" s="5"/>
      <c r="T184" s="5"/>
      <c r="U184" s="5">
        <v>4000</v>
      </c>
      <c r="V184" s="6">
        <v>41908</v>
      </c>
      <c r="W184" s="5" t="s">
        <v>31</v>
      </c>
      <c r="X184" s="5" t="s">
        <v>1079</v>
      </c>
    </row>
    <row r="185" spans="1:24" x14ac:dyDescent="0.3">
      <c r="A185" s="3">
        <v>179</v>
      </c>
      <c r="B185" s="3" t="str">
        <f>"201700164362"</f>
        <v>201700164362</v>
      </c>
      <c r="C185" s="3" t="str">
        <f>"121544"</f>
        <v>121544</v>
      </c>
      <c r="D185" s="3" t="s">
        <v>1080</v>
      </c>
      <c r="E185" s="3">
        <v>20602499775</v>
      </c>
      <c r="F185" s="3" t="s">
        <v>1081</v>
      </c>
      <c r="G185" s="3" t="s">
        <v>1082</v>
      </c>
      <c r="H185" s="3" t="s">
        <v>285</v>
      </c>
      <c r="I185" s="3" t="s">
        <v>1083</v>
      </c>
      <c r="J185" s="3" t="s">
        <v>186</v>
      </c>
      <c r="K185" s="3" t="s">
        <v>779</v>
      </c>
      <c r="L185" s="3"/>
      <c r="M185" s="3"/>
      <c r="N185" s="3"/>
      <c r="O185" s="3"/>
      <c r="P185" s="3"/>
      <c r="Q185" s="3"/>
      <c r="R185" s="3"/>
      <c r="S185" s="3"/>
      <c r="T185" s="3"/>
      <c r="U185" s="3">
        <v>2300</v>
      </c>
      <c r="V185" s="4">
        <v>43017</v>
      </c>
      <c r="W185" s="3" t="s">
        <v>31</v>
      </c>
      <c r="X185" s="3" t="s">
        <v>1084</v>
      </c>
    </row>
    <row r="186" spans="1:24" x14ac:dyDescent="0.3">
      <c r="A186" s="5">
        <v>180</v>
      </c>
      <c r="B186" s="5" t="str">
        <f>"201800181715"</f>
        <v>201800181715</v>
      </c>
      <c r="C186" s="5" t="str">
        <f>"129337"</f>
        <v>129337</v>
      </c>
      <c r="D186" s="5" t="s">
        <v>1085</v>
      </c>
      <c r="E186" s="5">
        <v>20332907990</v>
      </c>
      <c r="F186" s="5" t="s">
        <v>1055</v>
      </c>
      <c r="G186" s="5" t="s">
        <v>1086</v>
      </c>
      <c r="H186" s="5" t="s">
        <v>285</v>
      </c>
      <c r="I186" s="5" t="s">
        <v>1087</v>
      </c>
      <c r="J186" s="5" t="s">
        <v>1088</v>
      </c>
      <c r="K186" s="5" t="s">
        <v>168</v>
      </c>
      <c r="L186" s="5" t="s">
        <v>168</v>
      </c>
      <c r="M186" s="5" t="s">
        <v>1089</v>
      </c>
      <c r="N186" s="5"/>
      <c r="O186" s="5"/>
      <c r="P186" s="5"/>
      <c r="Q186" s="5"/>
      <c r="R186" s="5"/>
      <c r="S186" s="5"/>
      <c r="T186" s="5"/>
      <c r="U186" s="5">
        <v>50000</v>
      </c>
      <c r="V186" s="6">
        <v>43409</v>
      </c>
      <c r="W186" s="5" t="s">
        <v>31</v>
      </c>
      <c r="X186" s="5" t="s">
        <v>1090</v>
      </c>
    </row>
    <row r="187" spans="1:24" ht="27.95" x14ac:dyDescent="0.3">
      <c r="A187" s="3">
        <v>181</v>
      </c>
      <c r="B187" s="3" t="str">
        <f>"1486146"</f>
        <v>1486146</v>
      </c>
      <c r="C187" s="3" t="str">
        <f>"92312"</f>
        <v>92312</v>
      </c>
      <c r="D187" s="3" t="s">
        <v>1091</v>
      </c>
      <c r="E187" s="3">
        <v>20501622819</v>
      </c>
      <c r="F187" s="3" t="s">
        <v>1092</v>
      </c>
      <c r="G187" s="3" t="s">
        <v>1093</v>
      </c>
      <c r="H187" s="3" t="s">
        <v>28</v>
      </c>
      <c r="I187" s="3" t="s">
        <v>28</v>
      </c>
      <c r="J187" s="3" t="s">
        <v>266</v>
      </c>
      <c r="K187" s="3" t="s">
        <v>1094</v>
      </c>
      <c r="L187" s="3"/>
      <c r="M187" s="3"/>
      <c r="N187" s="3"/>
      <c r="O187" s="3"/>
      <c r="P187" s="3"/>
      <c r="Q187" s="3"/>
      <c r="R187" s="3"/>
      <c r="S187" s="3"/>
      <c r="T187" s="3"/>
      <c r="U187" s="3">
        <v>5609</v>
      </c>
      <c r="V187" s="4">
        <v>40699</v>
      </c>
      <c r="W187" s="3" t="s">
        <v>31</v>
      </c>
      <c r="X187" s="3" t="s">
        <v>1095</v>
      </c>
    </row>
    <row r="188" spans="1:24" x14ac:dyDescent="0.3">
      <c r="A188" s="5">
        <v>182</v>
      </c>
      <c r="B188" s="5" t="str">
        <f>"201600192124"</f>
        <v>201600192124</v>
      </c>
      <c r="C188" s="5" t="str">
        <f>"125833"</f>
        <v>125833</v>
      </c>
      <c r="D188" s="5" t="s">
        <v>1096</v>
      </c>
      <c r="E188" s="5">
        <v>20131677457</v>
      </c>
      <c r="F188" s="5" t="s">
        <v>1097</v>
      </c>
      <c r="G188" s="5" t="s">
        <v>1098</v>
      </c>
      <c r="H188" s="5" t="s">
        <v>36</v>
      </c>
      <c r="I188" s="5" t="s">
        <v>234</v>
      </c>
      <c r="J188" s="5" t="s">
        <v>235</v>
      </c>
      <c r="K188" s="5" t="s">
        <v>1099</v>
      </c>
      <c r="L188" s="5"/>
      <c r="M188" s="5"/>
      <c r="N188" s="5"/>
      <c r="O188" s="5"/>
      <c r="P188" s="5"/>
      <c r="Q188" s="5"/>
      <c r="R188" s="5"/>
      <c r="S188" s="5"/>
      <c r="T188" s="5"/>
      <c r="U188" s="5">
        <v>5798</v>
      </c>
      <c r="V188" s="6">
        <v>42751</v>
      </c>
      <c r="W188" s="5" t="s">
        <v>31</v>
      </c>
      <c r="X188" s="5" t="s">
        <v>1100</v>
      </c>
    </row>
    <row r="189" spans="1:24" x14ac:dyDescent="0.3">
      <c r="A189" s="3">
        <v>183</v>
      </c>
      <c r="B189" s="3" t="str">
        <f>"202000095537"</f>
        <v>202000095537</v>
      </c>
      <c r="C189" s="3" t="str">
        <f>"150316"</f>
        <v>150316</v>
      </c>
      <c r="D189" s="3" t="s">
        <v>1101</v>
      </c>
      <c r="E189" s="3">
        <v>20507646051</v>
      </c>
      <c r="F189" s="3" t="s">
        <v>1102</v>
      </c>
      <c r="G189" s="3" t="s">
        <v>1103</v>
      </c>
      <c r="H189" s="3" t="s">
        <v>115</v>
      </c>
      <c r="I189" s="3" t="s">
        <v>115</v>
      </c>
      <c r="J189" s="3" t="s">
        <v>159</v>
      </c>
      <c r="K189" s="3" t="s">
        <v>756</v>
      </c>
      <c r="L189" s="3"/>
      <c r="M189" s="3"/>
      <c r="N189" s="3"/>
      <c r="O189" s="3"/>
      <c r="P189" s="3"/>
      <c r="Q189" s="3"/>
      <c r="R189" s="3"/>
      <c r="S189" s="3"/>
      <c r="T189" s="3"/>
      <c r="U189" s="3">
        <v>6500</v>
      </c>
      <c r="V189" s="4">
        <v>44076</v>
      </c>
      <c r="W189" s="3" t="s">
        <v>31</v>
      </c>
      <c r="X189" s="3" t="s">
        <v>1104</v>
      </c>
    </row>
    <row r="190" spans="1:24" ht="55.9" x14ac:dyDescent="0.3">
      <c r="A190" s="5">
        <v>184</v>
      </c>
      <c r="B190" s="5" t="str">
        <f>"201300053866"</f>
        <v>201300053866</v>
      </c>
      <c r="C190" s="5" t="str">
        <f>"98054"</f>
        <v>98054</v>
      </c>
      <c r="D190" s="5" t="s">
        <v>1105</v>
      </c>
      <c r="E190" s="5">
        <v>20330262428</v>
      </c>
      <c r="F190" s="5" t="s">
        <v>1106</v>
      </c>
      <c r="G190" s="5" t="s">
        <v>1107</v>
      </c>
      <c r="H190" s="5" t="s">
        <v>285</v>
      </c>
      <c r="I190" s="5" t="s">
        <v>1087</v>
      </c>
      <c r="J190" s="5" t="s">
        <v>1088</v>
      </c>
      <c r="K190" s="5" t="s">
        <v>1108</v>
      </c>
      <c r="L190" s="5" t="s">
        <v>1108</v>
      </c>
      <c r="M190" s="5" t="s">
        <v>1109</v>
      </c>
      <c r="N190" s="5" t="s">
        <v>1109</v>
      </c>
      <c r="O190" s="5"/>
      <c r="P190" s="5"/>
      <c r="Q190" s="5"/>
      <c r="R190" s="5"/>
      <c r="S190" s="5"/>
      <c r="T190" s="5"/>
      <c r="U190" s="5">
        <v>67720</v>
      </c>
      <c r="V190" s="6">
        <v>41358</v>
      </c>
      <c r="W190" s="5" t="s">
        <v>31</v>
      </c>
      <c r="X190" s="5" t="s">
        <v>1110</v>
      </c>
    </row>
    <row r="191" spans="1:24" x14ac:dyDescent="0.3">
      <c r="A191" s="3">
        <v>185</v>
      </c>
      <c r="B191" s="3" t="str">
        <f>"201500077556"</f>
        <v>201500077556</v>
      </c>
      <c r="C191" s="3" t="str">
        <f>"102288"</f>
        <v>102288</v>
      </c>
      <c r="D191" s="3" t="s">
        <v>1111</v>
      </c>
      <c r="E191" s="3">
        <v>20450516768</v>
      </c>
      <c r="F191" s="3" t="s">
        <v>1112</v>
      </c>
      <c r="G191" s="3" t="s">
        <v>1113</v>
      </c>
      <c r="H191" s="3" t="s">
        <v>165</v>
      </c>
      <c r="I191" s="3" t="s">
        <v>166</v>
      </c>
      <c r="J191" s="3" t="s">
        <v>167</v>
      </c>
      <c r="K191" s="3" t="s">
        <v>198</v>
      </c>
      <c r="L191" s="3"/>
      <c r="M191" s="3"/>
      <c r="N191" s="3"/>
      <c r="O191" s="3"/>
      <c r="P191" s="3"/>
      <c r="Q191" s="3"/>
      <c r="R191" s="3"/>
      <c r="S191" s="3"/>
      <c r="T191" s="3"/>
      <c r="U191" s="3">
        <v>9000</v>
      </c>
      <c r="V191" s="4">
        <v>42198</v>
      </c>
      <c r="W191" s="3" t="s">
        <v>31</v>
      </c>
      <c r="X191" s="3" t="s">
        <v>1114</v>
      </c>
    </row>
    <row r="192" spans="1:24" ht="27.95" x14ac:dyDescent="0.3">
      <c r="A192" s="5">
        <v>186</v>
      </c>
      <c r="B192" s="5" t="str">
        <f>"201400089809"</f>
        <v>201400089809</v>
      </c>
      <c r="C192" s="5" t="str">
        <f>"107670"</f>
        <v>107670</v>
      </c>
      <c r="D192" s="5" t="s">
        <v>1115</v>
      </c>
      <c r="E192" s="5">
        <v>20511165181</v>
      </c>
      <c r="F192" s="5" t="s">
        <v>1116</v>
      </c>
      <c r="G192" s="5" t="s">
        <v>1117</v>
      </c>
      <c r="H192" s="5" t="s">
        <v>214</v>
      </c>
      <c r="I192" s="5" t="s">
        <v>1118</v>
      </c>
      <c r="J192" s="5" t="s">
        <v>1119</v>
      </c>
      <c r="K192" s="5" t="s">
        <v>168</v>
      </c>
      <c r="L192" s="5" t="s">
        <v>168</v>
      </c>
      <c r="M192" s="5" t="s">
        <v>168</v>
      </c>
      <c r="N192" s="5" t="s">
        <v>168</v>
      </c>
      <c r="O192" s="5" t="s">
        <v>1120</v>
      </c>
      <c r="P192" s="5" t="s">
        <v>1120</v>
      </c>
      <c r="Q192" s="5" t="s">
        <v>1120</v>
      </c>
      <c r="R192" s="5"/>
      <c r="S192" s="5"/>
      <c r="T192" s="5"/>
      <c r="U192" s="5">
        <v>61300</v>
      </c>
      <c r="V192" s="6">
        <v>41851</v>
      </c>
      <c r="W192" s="5" t="s">
        <v>31</v>
      </c>
      <c r="X192" s="5" t="s">
        <v>1121</v>
      </c>
    </row>
    <row r="193" spans="1:24" ht="27.95" x14ac:dyDescent="0.3">
      <c r="A193" s="3">
        <v>187</v>
      </c>
      <c r="B193" s="3" t="str">
        <f>"1425260"</f>
        <v>1425260</v>
      </c>
      <c r="C193" s="3" t="str">
        <f>"88700"</f>
        <v>88700</v>
      </c>
      <c r="D193" s="3" t="s">
        <v>1122</v>
      </c>
      <c r="E193" s="3">
        <v>20100994632</v>
      </c>
      <c r="F193" s="3" t="s">
        <v>1123</v>
      </c>
      <c r="G193" s="3" t="s">
        <v>1124</v>
      </c>
      <c r="H193" s="3" t="s">
        <v>28</v>
      </c>
      <c r="I193" s="3" t="s">
        <v>28</v>
      </c>
      <c r="J193" s="3" t="s">
        <v>102</v>
      </c>
      <c r="K193" s="3" t="s">
        <v>1125</v>
      </c>
      <c r="L193" s="3" t="s">
        <v>1126</v>
      </c>
      <c r="M193" s="3"/>
      <c r="N193" s="3"/>
      <c r="O193" s="3"/>
      <c r="P193" s="3"/>
      <c r="Q193" s="3"/>
      <c r="R193" s="3"/>
      <c r="S193" s="3"/>
      <c r="T193" s="3"/>
      <c r="U193" s="3">
        <v>3500</v>
      </c>
      <c r="V193" s="4">
        <v>40480</v>
      </c>
      <c r="W193" s="3" t="s">
        <v>31</v>
      </c>
      <c r="X193" s="3" t="s">
        <v>1127</v>
      </c>
    </row>
    <row r="194" spans="1:24" ht="27.95" x14ac:dyDescent="0.3">
      <c r="A194" s="5">
        <v>188</v>
      </c>
      <c r="B194" s="5" t="str">
        <f>"201600165819"</f>
        <v>201600165819</v>
      </c>
      <c r="C194" s="5" t="str">
        <f>"89721"</f>
        <v>89721</v>
      </c>
      <c r="D194" s="5" t="s">
        <v>1128</v>
      </c>
      <c r="E194" s="5">
        <v>20600006429</v>
      </c>
      <c r="F194" s="5" t="s">
        <v>1129</v>
      </c>
      <c r="G194" s="5" t="s">
        <v>1130</v>
      </c>
      <c r="H194" s="5" t="s">
        <v>264</v>
      </c>
      <c r="I194" s="5" t="s">
        <v>264</v>
      </c>
      <c r="J194" s="5" t="s">
        <v>264</v>
      </c>
      <c r="K194" s="5" t="s">
        <v>1131</v>
      </c>
      <c r="L194" s="5" t="s">
        <v>74</v>
      </c>
      <c r="M194" s="5" t="s">
        <v>74</v>
      </c>
      <c r="N194" s="5"/>
      <c r="O194" s="5"/>
      <c r="P194" s="5"/>
      <c r="Q194" s="5"/>
      <c r="R194" s="5"/>
      <c r="S194" s="5"/>
      <c r="T194" s="5"/>
      <c r="U194" s="5">
        <v>10000</v>
      </c>
      <c r="V194" s="6">
        <v>42691</v>
      </c>
      <c r="W194" s="5" t="s">
        <v>31</v>
      </c>
      <c r="X194" s="5" t="s">
        <v>1132</v>
      </c>
    </row>
    <row r="195" spans="1:24" ht="27.95" x14ac:dyDescent="0.3">
      <c r="A195" s="3">
        <v>189</v>
      </c>
      <c r="B195" s="3" t="str">
        <f>"1669741"</f>
        <v>1669741</v>
      </c>
      <c r="C195" s="3" t="str">
        <f>"18761"</f>
        <v>18761</v>
      </c>
      <c r="D195" s="3" t="s">
        <v>1133</v>
      </c>
      <c r="E195" s="3">
        <v>20100113610</v>
      </c>
      <c r="F195" s="3" t="s">
        <v>1134</v>
      </c>
      <c r="G195" s="3" t="s">
        <v>1135</v>
      </c>
      <c r="H195" s="3" t="s">
        <v>28</v>
      </c>
      <c r="I195" s="3" t="s">
        <v>72</v>
      </c>
      <c r="J195" s="3" t="s">
        <v>73</v>
      </c>
      <c r="K195" s="3" t="s">
        <v>1136</v>
      </c>
      <c r="L195" s="3"/>
      <c r="M195" s="3"/>
      <c r="N195" s="3"/>
      <c r="O195" s="3"/>
      <c r="P195" s="3"/>
      <c r="Q195" s="3"/>
      <c r="R195" s="3"/>
      <c r="S195" s="3"/>
      <c r="T195" s="3"/>
      <c r="U195" s="3">
        <v>4800</v>
      </c>
      <c r="V195" s="4">
        <v>39189</v>
      </c>
      <c r="W195" s="3" t="s">
        <v>31</v>
      </c>
      <c r="X195" s="3" t="s">
        <v>1137</v>
      </c>
    </row>
    <row r="196" spans="1:24" ht="27.95" x14ac:dyDescent="0.3">
      <c r="A196" s="5">
        <v>190</v>
      </c>
      <c r="B196" s="5" t="str">
        <f>"201500147611"</f>
        <v>201500147611</v>
      </c>
      <c r="C196" s="5" t="str">
        <f>"118337"</f>
        <v>118337</v>
      </c>
      <c r="D196" s="5" t="s">
        <v>1138</v>
      </c>
      <c r="E196" s="5">
        <v>20428696515</v>
      </c>
      <c r="F196" s="5" t="s">
        <v>1139</v>
      </c>
      <c r="G196" s="5" t="s">
        <v>1140</v>
      </c>
      <c r="H196" s="5" t="s">
        <v>373</v>
      </c>
      <c r="I196" s="5" t="s">
        <v>1141</v>
      </c>
      <c r="J196" s="5" t="s">
        <v>1142</v>
      </c>
      <c r="K196" s="5" t="s">
        <v>1143</v>
      </c>
      <c r="L196" s="5" t="s">
        <v>1144</v>
      </c>
      <c r="M196" s="5"/>
      <c r="N196" s="5"/>
      <c r="O196" s="5"/>
      <c r="P196" s="5"/>
      <c r="Q196" s="5"/>
      <c r="R196" s="5"/>
      <c r="S196" s="5"/>
      <c r="T196" s="5"/>
      <c r="U196" s="5">
        <v>23400</v>
      </c>
      <c r="V196" s="6">
        <v>42324</v>
      </c>
      <c r="W196" s="5" t="s">
        <v>31</v>
      </c>
      <c r="X196" s="5" t="s">
        <v>1035</v>
      </c>
    </row>
    <row r="197" spans="1:24" x14ac:dyDescent="0.3">
      <c r="A197" s="3">
        <v>191</v>
      </c>
      <c r="B197" s="3" t="str">
        <f>"1131704"</f>
        <v>1131704</v>
      </c>
      <c r="C197" s="3" t="str">
        <f>"1225"</f>
        <v>1225</v>
      </c>
      <c r="D197" s="3">
        <v>1131704</v>
      </c>
      <c r="E197" s="3"/>
      <c r="F197" s="3" t="s">
        <v>1145</v>
      </c>
      <c r="G197" s="3" t="s">
        <v>1146</v>
      </c>
      <c r="H197" s="3" t="s">
        <v>1147</v>
      </c>
      <c r="I197" s="3" t="s">
        <v>1148</v>
      </c>
      <c r="J197" s="3" t="s">
        <v>1148</v>
      </c>
      <c r="K197" s="3" t="s">
        <v>46</v>
      </c>
      <c r="L197" s="3"/>
      <c r="M197" s="3"/>
      <c r="N197" s="3"/>
      <c r="O197" s="3"/>
      <c r="P197" s="3"/>
      <c r="Q197" s="3"/>
      <c r="R197" s="3"/>
      <c r="S197" s="3"/>
      <c r="T197" s="3"/>
      <c r="U197" s="3">
        <v>3000</v>
      </c>
      <c r="V197" s="4">
        <v>35671</v>
      </c>
      <c r="W197" s="3" t="s">
        <v>31</v>
      </c>
      <c r="X197" s="3" t="s">
        <v>1149</v>
      </c>
    </row>
    <row r="198" spans="1:24" x14ac:dyDescent="0.3">
      <c r="A198" s="5">
        <v>192</v>
      </c>
      <c r="B198" s="5" t="str">
        <f>"1302638"</f>
        <v>1302638</v>
      </c>
      <c r="C198" s="5" t="str">
        <f>"864"</f>
        <v>864</v>
      </c>
      <c r="D198" s="5">
        <v>1302638</v>
      </c>
      <c r="E198" s="5">
        <v>20100055580</v>
      </c>
      <c r="F198" s="5" t="s">
        <v>1150</v>
      </c>
      <c r="G198" s="5" t="s">
        <v>1151</v>
      </c>
      <c r="H198" s="5" t="s">
        <v>28</v>
      </c>
      <c r="I198" s="5" t="s">
        <v>28</v>
      </c>
      <c r="J198" s="5" t="s">
        <v>28</v>
      </c>
      <c r="K198" s="5" t="s">
        <v>209</v>
      </c>
      <c r="L198" s="5"/>
      <c r="M198" s="5"/>
      <c r="N198" s="5"/>
      <c r="O198" s="5"/>
      <c r="P198" s="5"/>
      <c r="Q198" s="5"/>
      <c r="R198" s="5"/>
      <c r="S198" s="5"/>
      <c r="T198" s="5"/>
      <c r="U198" s="5">
        <v>10000</v>
      </c>
      <c r="V198" s="6">
        <v>36864</v>
      </c>
      <c r="W198" s="5" t="s">
        <v>31</v>
      </c>
      <c r="X198" s="5" t="s">
        <v>1152</v>
      </c>
    </row>
    <row r="199" spans="1:24" x14ac:dyDescent="0.3">
      <c r="A199" s="3">
        <v>193</v>
      </c>
      <c r="B199" s="3" t="str">
        <f>"1253019"</f>
        <v>1253019</v>
      </c>
      <c r="C199" s="3" t="str">
        <f>"18215"</f>
        <v>18215</v>
      </c>
      <c r="D199" s="3">
        <v>1253019</v>
      </c>
      <c r="E199" s="3">
        <v>20100158982</v>
      </c>
      <c r="F199" s="3" t="s">
        <v>1153</v>
      </c>
      <c r="G199" s="3" t="s">
        <v>1154</v>
      </c>
      <c r="H199" s="3" t="s">
        <v>28</v>
      </c>
      <c r="I199" s="3" t="s">
        <v>28</v>
      </c>
      <c r="J199" s="3" t="s">
        <v>409</v>
      </c>
      <c r="K199" s="3" t="s">
        <v>1155</v>
      </c>
      <c r="L199" s="3" t="s">
        <v>1156</v>
      </c>
      <c r="M199" s="3" t="s">
        <v>1157</v>
      </c>
      <c r="N199" s="3"/>
      <c r="O199" s="3"/>
      <c r="P199" s="3"/>
      <c r="Q199" s="3"/>
      <c r="R199" s="3"/>
      <c r="S199" s="3"/>
      <c r="T199" s="3"/>
      <c r="U199" s="3">
        <v>21019</v>
      </c>
      <c r="V199" s="4">
        <v>36468</v>
      </c>
      <c r="W199" s="3" t="s">
        <v>31</v>
      </c>
      <c r="X199" s="3" t="s">
        <v>1158</v>
      </c>
    </row>
    <row r="200" spans="1:24" x14ac:dyDescent="0.3">
      <c r="A200" s="5">
        <v>194</v>
      </c>
      <c r="B200" s="5" t="str">
        <f>"201200067249"</f>
        <v>201200067249</v>
      </c>
      <c r="C200" s="5" t="str">
        <f>"138"</f>
        <v>138</v>
      </c>
      <c r="D200" s="5" t="s">
        <v>1159</v>
      </c>
      <c r="E200" s="5">
        <v>20546191541</v>
      </c>
      <c r="F200" s="5" t="s">
        <v>1160</v>
      </c>
      <c r="G200" s="5" t="s">
        <v>1161</v>
      </c>
      <c r="H200" s="5" t="s">
        <v>921</v>
      </c>
      <c r="I200" s="5" t="s">
        <v>921</v>
      </c>
      <c r="J200" s="5" t="s">
        <v>1162</v>
      </c>
      <c r="K200" s="5" t="s">
        <v>1163</v>
      </c>
      <c r="L200" s="5"/>
      <c r="M200" s="5"/>
      <c r="N200" s="5"/>
      <c r="O200" s="5"/>
      <c r="P200" s="5"/>
      <c r="Q200" s="5"/>
      <c r="R200" s="5"/>
      <c r="S200" s="5"/>
      <c r="T200" s="5"/>
      <c r="U200" s="5">
        <v>67000</v>
      </c>
      <c r="V200" s="6">
        <v>41073</v>
      </c>
      <c r="W200" s="5" t="s">
        <v>31</v>
      </c>
      <c r="X200" s="5" t="s">
        <v>1164</v>
      </c>
    </row>
    <row r="201" spans="1:24" ht="27.95" x14ac:dyDescent="0.3">
      <c r="A201" s="3">
        <v>195</v>
      </c>
      <c r="B201" s="3" t="str">
        <f>"201900036592"</f>
        <v>201900036592</v>
      </c>
      <c r="C201" s="3" t="str">
        <f>"141759"</f>
        <v>141759</v>
      </c>
      <c r="D201" s="3" t="s">
        <v>1165</v>
      </c>
      <c r="E201" s="3">
        <v>20602393934</v>
      </c>
      <c r="F201" s="3" t="s">
        <v>1166</v>
      </c>
      <c r="G201" s="3" t="s">
        <v>1167</v>
      </c>
      <c r="H201" s="3" t="s">
        <v>28</v>
      </c>
      <c r="I201" s="3" t="s">
        <v>28</v>
      </c>
      <c r="J201" s="3" t="s">
        <v>436</v>
      </c>
      <c r="K201" s="3" t="s">
        <v>1168</v>
      </c>
      <c r="L201" s="3"/>
      <c r="M201" s="3"/>
      <c r="N201" s="3"/>
      <c r="O201" s="3"/>
      <c r="P201" s="3"/>
      <c r="Q201" s="3"/>
      <c r="R201" s="3"/>
      <c r="S201" s="3"/>
      <c r="T201" s="3"/>
      <c r="U201" s="3">
        <v>1500</v>
      </c>
      <c r="V201" s="4">
        <v>43534</v>
      </c>
      <c r="W201" s="3" t="s">
        <v>31</v>
      </c>
      <c r="X201" s="3" t="s">
        <v>1169</v>
      </c>
    </row>
    <row r="202" spans="1:24" ht="27.95" x14ac:dyDescent="0.3">
      <c r="A202" s="5">
        <v>196</v>
      </c>
      <c r="B202" s="5" t="str">
        <f>"1817923"</f>
        <v>1817923</v>
      </c>
      <c r="C202" s="5" t="str">
        <f>"44589"</f>
        <v>44589</v>
      </c>
      <c r="D202" s="5" t="s">
        <v>1170</v>
      </c>
      <c r="E202" s="5">
        <v>20166514607</v>
      </c>
      <c r="F202" s="5" t="s">
        <v>1171</v>
      </c>
      <c r="G202" s="5" t="s">
        <v>1172</v>
      </c>
      <c r="H202" s="5" t="s">
        <v>28</v>
      </c>
      <c r="I202" s="5" t="s">
        <v>28</v>
      </c>
      <c r="J202" s="5" t="s">
        <v>180</v>
      </c>
      <c r="K202" s="5" t="s">
        <v>323</v>
      </c>
      <c r="L202" s="5"/>
      <c r="M202" s="5"/>
      <c r="N202" s="5"/>
      <c r="O202" s="5"/>
      <c r="P202" s="5"/>
      <c r="Q202" s="5"/>
      <c r="R202" s="5"/>
      <c r="S202" s="5"/>
      <c r="T202" s="5"/>
      <c r="U202" s="5">
        <v>4000</v>
      </c>
      <c r="V202" s="6">
        <v>39700</v>
      </c>
      <c r="W202" s="5" t="s">
        <v>31</v>
      </c>
      <c r="X202" s="5" t="s">
        <v>1173</v>
      </c>
    </row>
    <row r="203" spans="1:24" x14ac:dyDescent="0.3">
      <c r="A203" s="3">
        <v>197</v>
      </c>
      <c r="B203" s="3" t="str">
        <f>"1375272"</f>
        <v>1375272</v>
      </c>
      <c r="C203" s="3" t="str">
        <f>"14432"</f>
        <v>14432</v>
      </c>
      <c r="D203" s="3" t="s">
        <v>1174</v>
      </c>
      <c r="E203" s="3">
        <v>20130908749</v>
      </c>
      <c r="F203" s="3" t="s">
        <v>1175</v>
      </c>
      <c r="G203" s="3" t="s">
        <v>1176</v>
      </c>
      <c r="H203" s="3" t="s">
        <v>51</v>
      </c>
      <c r="I203" s="3" t="s">
        <v>51</v>
      </c>
      <c r="J203" s="3" t="s">
        <v>1177</v>
      </c>
      <c r="K203" s="3" t="s">
        <v>421</v>
      </c>
      <c r="L203" s="3"/>
      <c r="M203" s="3"/>
      <c r="N203" s="3"/>
      <c r="O203" s="3"/>
      <c r="P203" s="3"/>
      <c r="Q203" s="3"/>
      <c r="R203" s="3"/>
      <c r="S203" s="3"/>
      <c r="T203" s="3"/>
      <c r="U203" s="3">
        <v>5000</v>
      </c>
      <c r="V203" s="4">
        <v>37463</v>
      </c>
      <c r="W203" s="3" t="s">
        <v>31</v>
      </c>
      <c r="X203" s="3" t="s">
        <v>1178</v>
      </c>
    </row>
    <row r="204" spans="1:24" x14ac:dyDescent="0.3">
      <c r="A204" s="5">
        <v>198</v>
      </c>
      <c r="B204" s="5" t="str">
        <f>"1116516"</f>
        <v>1116516</v>
      </c>
      <c r="C204" s="5" t="str">
        <f>"619"</f>
        <v>619</v>
      </c>
      <c r="D204" s="5" t="s">
        <v>1179</v>
      </c>
      <c r="E204" s="5">
        <v>20100541255</v>
      </c>
      <c r="F204" s="5" t="s">
        <v>1180</v>
      </c>
      <c r="G204" s="5" t="s">
        <v>1181</v>
      </c>
      <c r="H204" s="5" t="s">
        <v>115</v>
      </c>
      <c r="I204" s="5" t="s">
        <v>115</v>
      </c>
      <c r="J204" s="5" t="s">
        <v>159</v>
      </c>
      <c r="K204" s="5" t="s">
        <v>1182</v>
      </c>
      <c r="L204" s="5"/>
      <c r="M204" s="5"/>
      <c r="N204" s="5"/>
      <c r="O204" s="5"/>
      <c r="P204" s="5"/>
      <c r="Q204" s="5"/>
      <c r="R204" s="5"/>
      <c r="S204" s="5"/>
      <c r="T204" s="5"/>
      <c r="U204" s="5">
        <v>4000</v>
      </c>
      <c r="V204" s="6">
        <v>39976</v>
      </c>
      <c r="W204" s="5" t="s">
        <v>31</v>
      </c>
      <c r="X204" s="5" t="s">
        <v>1183</v>
      </c>
    </row>
    <row r="205" spans="1:24" x14ac:dyDescent="0.3">
      <c r="A205" s="3">
        <v>199</v>
      </c>
      <c r="B205" s="3" t="str">
        <f>"1495324"</f>
        <v>1495324</v>
      </c>
      <c r="C205" s="3" t="str">
        <f>"93244"</f>
        <v>93244</v>
      </c>
      <c r="D205" s="3" t="s">
        <v>1184</v>
      </c>
      <c r="E205" s="3">
        <v>20517187551</v>
      </c>
      <c r="F205" s="3" t="s">
        <v>1185</v>
      </c>
      <c r="G205" s="3" t="s">
        <v>1186</v>
      </c>
      <c r="H205" s="3" t="s">
        <v>214</v>
      </c>
      <c r="I205" s="3" t="s">
        <v>1118</v>
      </c>
      <c r="J205" s="3" t="s">
        <v>1187</v>
      </c>
      <c r="K205" s="3" t="s">
        <v>1188</v>
      </c>
      <c r="L205" s="3"/>
      <c r="M205" s="3"/>
      <c r="N205" s="3"/>
      <c r="O205" s="3"/>
      <c r="P205" s="3"/>
      <c r="Q205" s="3"/>
      <c r="R205" s="3"/>
      <c r="S205" s="3"/>
      <c r="T205" s="3"/>
      <c r="U205" s="3">
        <v>42000</v>
      </c>
      <c r="V205" s="4">
        <v>40759</v>
      </c>
      <c r="W205" s="3" t="s">
        <v>31</v>
      </c>
      <c r="X205" s="3" t="s">
        <v>1189</v>
      </c>
    </row>
    <row r="206" spans="1:24" x14ac:dyDescent="0.3">
      <c r="A206" s="5">
        <v>200</v>
      </c>
      <c r="B206" s="5" t="str">
        <f>"1705616"</f>
        <v>1705616</v>
      </c>
      <c r="C206" s="5" t="str">
        <f>"43775"</f>
        <v>43775</v>
      </c>
      <c r="D206" s="5" t="s">
        <v>1190</v>
      </c>
      <c r="E206" s="5">
        <v>20508853727</v>
      </c>
      <c r="F206" s="5" t="s">
        <v>1191</v>
      </c>
      <c r="G206" s="5" t="s">
        <v>1192</v>
      </c>
      <c r="H206" s="5" t="s">
        <v>51</v>
      </c>
      <c r="I206" s="5" t="s">
        <v>316</v>
      </c>
      <c r="J206" s="5" t="s">
        <v>317</v>
      </c>
      <c r="K206" s="5" t="s">
        <v>1193</v>
      </c>
      <c r="L206" s="5" t="s">
        <v>1193</v>
      </c>
      <c r="M206" s="5"/>
      <c r="N206" s="5"/>
      <c r="O206" s="5"/>
      <c r="P206" s="5"/>
      <c r="Q206" s="5"/>
      <c r="R206" s="5"/>
      <c r="S206" s="5"/>
      <c r="T206" s="5"/>
      <c r="U206" s="5">
        <v>5300</v>
      </c>
      <c r="V206" s="6">
        <v>39259</v>
      </c>
      <c r="W206" s="5" t="s">
        <v>31</v>
      </c>
      <c r="X206" s="5" t="s">
        <v>1194</v>
      </c>
    </row>
    <row r="207" spans="1:24" x14ac:dyDescent="0.3">
      <c r="A207" s="3">
        <v>201</v>
      </c>
      <c r="B207" s="3" t="str">
        <f>"1399091"</f>
        <v>1399091</v>
      </c>
      <c r="C207" s="3" t="str">
        <f>"34183"</f>
        <v>34183</v>
      </c>
      <c r="D207" s="3" t="s">
        <v>1195</v>
      </c>
      <c r="E207" s="3">
        <v>20497062781</v>
      </c>
      <c r="F207" s="3" t="s">
        <v>1196</v>
      </c>
      <c r="G207" s="3" t="s">
        <v>1197</v>
      </c>
      <c r="H207" s="3" t="s">
        <v>51</v>
      </c>
      <c r="I207" s="3" t="s">
        <v>1198</v>
      </c>
      <c r="J207" s="3" t="s">
        <v>1199</v>
      </c>
      <c r="K207" s="3" t="s">
        <v>1200</v>
      </c>
      <c r="L207" s="3"/>
      <c r="M207" s="3"/>
      <c r="N207" s="3"/>
      <c r="O207" s="3"/>
      <c r="P207" s="3"/>
      <c r="Q207" s="3"/>
      <c r="R207" s="3"/>
      <c r="S207" s="3"/>
      <c r="T207" s="3"/>
      <c r="U207" s="3">
        <v>7030</v>
      </c>
      <c r="V207" s="4">
        <v>37659</v>
      </c>
      <c r="W207" s="3" t="s">
        <v>31</v>
      </c>
      <c r="X207" s="3" t="s">
        <v>1201</v>
      </c>
    </row>
    <row r="208" spans="1:24" ht="27.95" x14ac:dyDescent="0.3">
      <c r="A208" s="5">
        <v>202</v>
      </c>
      <c r="B208" s="5" t="str">
        <f>"1705618"</f>
        <v>1705618</v>
      </c>
      <c r="C208" s="5" t="str">
        <f>"44533"</f>
        <v>44533</v>
      </c>
      <c r="D208" s="5" t="s">
        <v>1202</v>
      </c>
      <c r="E208" s="5">
        <v>20312658357</v>
      </c>
      <c r="F208" s="5" t="s">
        <v>1203</v>
      </c>
      <c r="G208" s="5" t="s">
        <v>1204</v>
      </c>
      <c r="H208" s="5" t="s">
        <v>51</v>
      </c>
      <c r="I208" s="5" t="s">
        <v>51</v>
      </c>
      <c r="J208" s="5" t="s">
        <v>1205</v>
      </c>
      <c r="K208" s="5" t="s">
        <v>229</v>
      </c>
      <c r="L208" s="5"/>
      <c r="M208" s="5"/>
      <c r="N208" s="5"/>
      <c r="O208" s="5"/>
      <c r="P208" s="5"/>
      <c r="Q208" s="5"/>
      <c r="R208" s="5"/>
      <c r="S208" s="5"/>
      <c r="T208" s="5"/>
      <c r="U208" s="5">
        <v>2000</v>
      </c>
      <c r="V208" s="6">
        <v>39254</v>
      </c>
      <c r="W208" s="5" t="s">
        <v>31</v>
      </c>
      <c r="X208" s="5" t="s">
        <v>1206</v>
      </c>
    </row>
    <row r="209" spans="1:24" ht="27.95" x14ac:dyDescent="0.3">
      <c r="A209" s="3">
        <v>203</v>
      </c>
      <c r="B209" s="3" t="str">
        <f>"1438761"</f>
        <v>1438761</v>
      </c>
      <c r="C209" s="3" t="str">
        <f>"134"</f>
        <v>134</v>
      </c>
      <c r="D209" s="3" t="s">
        <v>1207</v>
      </c>
      <c r="E209" s="3">
        <v>20192779333</v>
      </c>
      <c r="F209" s="3" t="s">
        <v>1208</v>
      </c>
      <c r="G209" s="3" t="s">
        <v>1209</v>
      </c>
      <c r="H209" s="3" t="s">
        <v>51</v>
      </c>
      <c r="I209" s="3" t="s">
        <v>1198</v>
      </c>
      <c r="J209" s="3" t="s">
        <v>1210</v>
      </c>
      <c r="K209" s="3" t="s">
        <v>1211</v>
      </c>
      <c r="L209" s="3"/>
      <c r="M209" s="3"/>
      <c r="N209" s="3"/>
      <c r="O209" s="3"/>
      <c r="P209" s="3"/>
      <c r="Q209" s="3"/>
      <c r="R209" s="3"/>
      <c r="S209" s="3"/>
      <c r="T209" s="3"/>
      <c r="U209" s="3">
        <v>147554</v>
      </c>
      <c r="V209" s="4">
        <v>40489</v>
      </c>
      <c r="W209" s="3" t="s">
        <v>31</v>
      </c>
      <c r="X209" s="3" t="s">
        <v>1212</v>
      </c>
    </row>
    <row r="210" spans="1:24" x14ac:dyDescent="0.3">
      <c r="A210" s="5">
        <v>204</v>
      </c>
      <c r="B210" s="5" t="str">
        <f>"201300050125"</f>
        <v>201300050125</v>
      </c>
      <c r="C210" s="5" t="str">
        <f>"98692"</f>
        <v>98692</v>
      </c>
      <c r="D210" s="5" t="s">
        <v>1213</v>
      </c>
      <c r="E210" s="5">
        <v>20176770474</v>
      </c>
      <c r="F210" s="5" t="s">
        <v>1214</v>
      </c>
      <c r="G210" s="5" t="s">
        <v>1215</v>
      </c>
      <c r="H210" s="5" t="s">
        <v>135</v>
      </c>
      <c r="I210" s="5" t="s">
        <v>135</v>
      </c>
      <c r="J210" s="5" t="s">
        <v>1216</v>
      </c>
      <c r="K210" s="5" t="s">
        <v>1217</v>
      </c>
      <c r="L210" s="5"/>
      <c r="M210" s="5"/>
      <c r="N210" s="5"/>
      <c r="O210" s="5"/>
      <c r="P210" s="5"/>
      <c r="Q210" s="5"/>
      <c r="R210" s="5"/>
      <c r="S210" s="5"/>
      <c r="T210" s="5"/>
      <c r="U210" s="5">
        <v>2500</v>
      </c>
      <c r="V210" s="6">
        <v>41379</v>
      </c>
      <c r="W210" s="5" t="s">
        <v>31</v>
      </c>
      <c r="X210" s="5" t="s">
        <v>1218</v>
      </c>
    </row>
    <row r="211" spans="1:24" ht="27.95" x14ac:dyDescent="0.3">
      <c r="A211" s="3">
        <v>205</v>
      </c>
      <c r="B211" s="3" t="str">
        <f>"1767485"</f>
        <v>1767485</v>
      </c>
      <c r="C211" s="3" t="str">
        <f>"16517"</f>
        <v>16517</v>
      </c>
      <c r="D211" s="3" t="s">
        <v>1219</v>
      </c>
      <c r="E211" s="3">
        <v>20187384142</v>
      </c>
      <c r="F211" s="3" t="s">
        <v>1220</v>
      </c>
      <c r="G211" s="3" t="s">
        <v>1221</v>
      </c>
      <c r="H211" s="3" t="s">
        <v>978</v>
      </c>
      <c r="I211" s="3" t="s">
        <v>1222</v>
      </c>
      <c r="J211" s="3" t="s">
        <v>1222</v>
      </c>
      <c r="K211" s="3" t="s">
        <v>229</v>
      </c>
      <c r="L211" s="3" t="s">
        <v>1223</v>
      </c>
      <c r="M211" s="3"/>
      <c r="N211" s="3"/>
      <c r="O211" s="3"/>
      <c r="P211" s="3"/>
      <c r="Q211" s="3"/>
      <c r="R211" s="3"/>
      <c r="S211" s="3"/>
      <c r="T211" s="3"/>
      <c r="U211" s="3">
        <v>4000</v>
      </c>
      <c r="V211" s="4">
        <v>39520</v>
      </c>
      <c r="W211" s="3" t="s">
        <v>31</v>
      </c>
      <c r="X211" s="3" t="s">
        <v>1224</v>
      </c>
    </row>
    <row r="212" spans="1:24" x14ac:dyDescent="0.3">
      <c r="A212" s="5">
        <v>206</v>
      </c>
      <c r="B212" s="5" t="str">
        <f>"202000075602"</f>
        <v>202000075602</v>
      </c>
      <c r="C212" s="5" t="str">
        <f>"114088"</f>
        <v>114088</v>
      </c>
      <c r="D212" s="5" t="s">
        <v>1225</v>
      </c>
      <c r="E212" s="5">
        <v>20336183791</v>
      </c>
      <c r="F212" s="5" t="s">
        <v>133</v>
      </c>
      <c r="G212" s="5" t="s">
        <v>1226</v>
      </c>
      <c r="H212" s="5" t="s">
        <v>80</v>
      </c>
      <c r="I212" s="5" t="s">
        <v>80</v>
      </c>
      <c r="J212" s="5" t="s">
        <v>129</v>
      </c>
      <c r="K212" s="5" t="s">
        <v>1227</v>
      </c>
      <c r="L212" s="5" t="s">
        <v>181</v>
      </c>
      <c r="M212" s="5"/>
      <c r="N212" s="5"/>
      <c r="O212" s="5"/>
      <c r="P212" s="5"/>
      <c r="Q212" s="5"/>
      <c r="R212" s="5"/>
      <c r="S212" s="5"/>
      <c r="T212" s="5"/>
      <c r="U212" s="5">
        <v>6000</v>
      </c>
      <c r="V212" s="6">
        <v>44015</v>
      </c>
      <c r="W212" s="5" t="s">
        <v>31</v>
      </c>
      <c r="X212" s="5" t="s">
        <v>1228</v>
      </c>
    </row>
    <row r="213" spans="1:24" x14ac:dyDescent="0.3">
      <c r="A213" s="3">
        <v>207</v>
      </c>
      <c r="B213" s="3" t="str">
        <f>"1794917"</f>
        <v>1794917</v>
      </c>
      <c r="C213" s="3" t="str">
        <f>"63199"</f>
        <v>63199</v>
      </c>
      <c r="D213" s="3" t="s">
        <v>1229</v>
      </c>
      <c r="E213" s="3">
        <v>20305875296</v>
      </c>
      <c r="F213" s="3" t="s">
        <v>1230</v>
      </c>
      <c r="G213" s="3" t="s">
        <v>1231</v>
      </c>
      <c r="H213" s="3" t="s">
        <v>28</v>
      </c>
      <c r="I213" s="3" t="s">
        <v>28</v>
      </c>
      <c r="J213" s="3" t="s">
        <v>501</v>
      </c>
      <c r="K213" s="3" t="s">
        <v>1232</v>
      </c>
      <c r="L213" s="3" t="s">
        <v>1233</v>
      </c>
      <c r="M213" s="3" t="s">
        <v>1234</v>
      </c>
      <c r="N213" s="3" t="s">
        <v>1235</v>
      </c>
      <c r="O213" s="3"/>
      <c r="P213" s="3"/>
      <c r="Q213" s="3"/>
      <c r="R213" s="3"/>
      <c r="S213" s="3"/>
      <c r="T213" s="3"/>
      <c r="U213" s="3">
        <v>1320</v>
      </c>
      <c r="V213" s="4">
        <v>39654</v>
      </c>
      <c r="W213" s="3" t="s">
        <v>31</v>
      </c>
      <c r="X213" s="3" t="s">
        <v>1236</v>
      </c>
    </row>
    <row r="214" spans="1:24" ht="27.95" x14ac:dyDescent="0.3">
      <c r="A214" s="5">
        <v>208</v>
      </c>
      <c r="B214" s="5" t="str">
        <f>"201500069817"</f>
        <v>201500069817</v>
      </c>
      <c r="C214" s="5" t="str">
        <f>"39913"</f>
        <v>39913</v>
      </c>
      <c r="D214" s="5" t="s">
        <v>1237</v>
      </c>
      <c r="E214" s="5">
        <v>20600327659</v>
      </c>
      <c r="F214" s="5" t="s">
        <v>1238</v>
      </c>
      <c r="G214" s="5" t="s">
        <v>1239</v>
      </c>
      <c r="H214" s="5" t="s">
        <v>28</v>
      </c>
      <c r="I214" s="5" t="s">
        <v>28</v>
      </c>
      <c r="J214" s="5" t="s">
        <v>91</v>
      </c>
      <c r="K214" s="5" t="s">
        <v>1240</v>
      </c>
      <c r="L214" s="5"/>
      <c r="M214" s="5"/>
      <c r="N214" s="5"/>
      <c r="O214" s="5"/>
      <c r="P214" s="5"/>
      <c r="Q214" s="5"/>
      <c r="R214" s="5"/>
      <c r="S214" s="5"/>
      <c r="T214" s="5"/>
      <c r="U214" s="5">
        <v>4800</v>
      </c>
      <c r="V214" s="6">
        <v>42170</v>
      </c>
      <c r="W214" s="5" t="s">
        <v>31</v>
      </c>
      <c r="X214" s="5" t="s">
        <v>1241</v>
      </c>
    </row>
    <row r="215" spans="1:24" x14ac:dyDescent="0.3">
      <c r="A215" s="3">
        <v>209</v>
      </c>
      <c r="B215" s="3" t="str">
        <f>"201400143249"</f>
        <v>201400143249</v>
      </c>
      <c r="C215" s="3" t="str">
        <f>"161"</f>
        <v>161</v>
      </c>
      <c r="D215" s="3" t="s">
        <v>1242</v>
      </c>
      <c r="E215" s="3">
        <v>20100003512</v>
      </c>
      <c r="F215" s="3" t="s">
        <v>1243</v>
      </c>
      <c r="G215" s="3" t="s">
        <v>1244</v>
      </c>
      <c r="H215" s="3" t="s">
        <v>115</v>
      </c>
      <c r="I215" s="3" t="s">
        <v>115</v>
      </c>
      <c r="J215" s="3" t="s">
        <v>159</v>
      </c>
      <c r="K215" s="3" t="s">
        <v>198</v>
      </c>
      <c r="L215" s="3"/>
      <c r="M215" s="3"/>
      <c r="N215" s="3"/>
      <c r="O215" s="3"/>
      <c r="P215" s="3"/>
      <c r="Q215" s="3"/>
      <c r="R215" s="3"/>
      <c r="S215" s="3"/>
      <c r="T215" s="3"/>
      <c r="U215" s="3">
        <v>9000</v>
      </c>
      <c r="V215" s="4">
        <v>41950</v>
      </c>
      <c r="W215" s="3" t="s">
        <v>31</v>
      </c>
      <c r="X215" s="3" t="s">
        <v>1245</v>
      </c>
    </row>
    <row r="216" spans="1:24" ht="27.95" x14ac:dyDescent="0.3">
      <c r="A216" s="5">
        <v>210</v>
      </c>
      <c r="B216" s="5" t="str">
        <f>"201800019979"</f>
        <v>201800019979</v>
      </c>
      <c r="C216" s="5" t="str">
        <f>"134384"</f>
        <v>134384</v>
      </c>
      <c r="D216" s="5" t="s">
        <v>1246</v>
      </c>
      <c r="E216" s="5">
        <v>20191479247</v>
      </c>
      <c r="F216" s="5" t="s">
        <v>1247</v>
      </c>
      <c r="G216" s="5" t="s">
        <v>1248</v>
      </c>
      <c r="H216" s="5" t="s">
        <v>115</v>
      </c>
      <c r="I216" s="5" t="s">
        <v>115</v>
      </c>
      <c r="J216" s="5" t="s">
        <v>159</v>
      </c>
      <c r="K216" s="5" t="s">
        <v>87</v>
      </c>
      <c r="L216" s="5"/>
      <c r="M216" s="5"/>
      <c r="N216" s="5"/>
      <c r="O216" s="5"/>
      <c r="P216" s="5"/>
      <c r="Q216" s="5"/>
      <c r="R216" s="5"/>
      <c r="S216" s="5"/>
      <c r="T216" s="5"/>
      <c r="U216" s="5">
        <v>6000</v>
      </c>
      <c r="V216" s="6">
        <v>43137</v>
      </c>
      <c r="W216" s="5" t="s">
        <v>31</v>
      </c>
      <c r="X216" s="5" t="s">
        <v>1249</v>
      </c>
    </row>
    <row r="217" spans="1:24" x14ac:dyDescent="0.3">
      <c r="A217" s="3">
        <v>211</v>
      </c>
      <c r="B217" s="3" t="str">
        <f>"201900165942"</f>
        <v>201900165942</v>
      </c>
      <c r="C217" s="3" t="str">
        <f>"20188"</f>
        <v>20188</v>
      </c>
      <c r="D217" s="3" t="s">
        <v>1250</v>
      </c>
      <c r="E217" s="3">
        <v>20601115388</v>
      </c>
      <c r="F217" s="3" t="s">
        <v>1251</v>
      </c>
      <c r="G217" s="3" t="s">
        <v>1252</v>
      </c>
      <c r="H217" s="3" t="s">
        <v>1147</v>
      </c>
      <c r="I217" s="3" t="s">
        <v>1148</v>
      </c>
      <c r="J217" s="3" t="s">
        <v>1148</v>
      </c>
      <c r="K217" s="3" t="s">
        <v>1253</v>
      </c>
      <c r="L217" s="3" t="s">
        <v>1254</v>
      </c>
      <c r="M217" s="3"/>
      <c r="N217" s="3"/>
      <c r="O217" s="3"/>
      <c r="P217" s="3"/>
      <c r="Q217" s="3"/>
      <c r="R217" s="3"/>
      <c r="S217" s="3"/>
      <c r="T217" s="3"/>
      <c r="U217" s="3">
        <v>184600</v>
      </c>
      <c r="V217" s="4">
        <v>43748</v>
      </c>
      <c r="W217" s="3" t="s">
        <v>31</v>
      </c>
      <c r="X217" s="3" t="s">
        <v>1255</v>
      </c>
    </row>
    <row r="218" spans="1:24" x14ac:dyDescent="0.3">
      <c r="A218" s="5">
        <v>212</v>
      </c>
      <c r="B218" s="5" t="str">
        <f>"1763103"</f>
        <v>1763103</v>
      </c>
      <c r="C218" s="5" t="str">
        <f>"1559"</f>
        <v>1559</v>
      </c>
      <c r="D218" s="5" t="s">
        <v>1256</v>
      </c>
      <c r="E218" s="5">
        <v>20330791501</v>
      </c>
      <c r="F218" s="5" t="s">
        <v>1257</v>
      </c>
      <c r="G218" s="5" t="s">
        <v>1258</v>
      </c>
      <c r="H218" s="5" t="s">
        <v>135</v>
      </c>
      <c r="I218" s="5" t="s">
        <v>943</v>
      </c>
      <c r="J218" s="5" t="s">
        <v>944</v>
      </c>
      <c r="K218" s="5" t="s">
        <v>1259</v>
      </c>
      <c r="L218" s="5" t="s">
        <v>1260</v>
      </c>
      <c r="M218" s="5" t="s">
        <v>229</v>
      </c>
      <c r="N218" s="5"/>
      <c r="O218" s="5"/>
      <c r="P218" s="5"/>
      <c r="Q218" s="5"/>
      <c r="R218" s="5"/>
      <c r="S218" s="5"/>
      <c r="T218" s="5"/>
      <c r="U218" s="5">
        <v>4500</v>
      </c>
      <c r="V218" s="6">
        <v>39504</v>
      </c>
      <c r="W218" s="5" t="s">
        <v>31</v>
      </c>
      <c r="X218" s="5" t="s">
        <v>1261</v>
      </c>
    </row>
    <row r="219" spans="1:24" ht="27.95" x14ac:dyDescent="0.3">
      <c r="A219" s="3">
        <v>213</v>
      </c>
      <c r="B219" s="3" t="str">
        <f>"202000078935"</f>
        <v>202000078935</v>
      </c>
      <c r="C219" s="3" t="str">
        <f>"134992"</f>
        <v>134992</v>
      </c>
      <c r="D219" s="3" t="s">
        <v>1262</v>
      </c>
      <c r="E219" s="3">
        <v>20450757617</v>
      </c>
      <c r="F219" s="3" t="s">
        <v>1263</v>
      </c>
      <c r="G219" s="3" t="s">
        <v>1264</v>
      </c>
      <c r="H219" s="3" t="s">
        <v>165</v>
      </c>
      <c r="I219" s="3" t="s">
        <v>732</v>
      </c>
      <c r="J219" s="3" t="s">
        <v>732</v>
      </c>
      <c r="K219" s="3" t="s">
        <v>1265</v>
      </c>
      <c r="L219" s="3" t="s">
        <v>181</v>
      </c>
      <c r="M219" s="3" t="s">
        <v>560</v>
      </c>
      <c r="N219" s="3"/>
      <c r="O219" s="3"/>
      <c r="P219" s="3"/>
      <c r="Q219" s="3"/>
      <c r="R219" s="3"/>
      <c r="S219" s="3"/>
      <c r="T219" s="3"/>
      <c r="U219" s="3">
        <v>20500</v>
      </c>
      <c r="V219" s="4">
        <v>44024</v>
      </c>
      <c r="W219" s="3" t="s">
        <v>31</v>
      </c>
      <c r="X219" s="3" t="s">
        <v>1266</v>
      </c>
    </row>
    <row r="220" spans="1:24" ht="27.95" x14ac:dyDescent="0.3">
      <c r="A220" s="5">
        <v>214</v>
      </c>
      <c r="B220" s="5" t="str">
        <f>"201800081695"</f>
        <v>201800081695</v>
      </c>
      <c r="C220" s="5" t="str">
        <f>"41016"</f>
        <v>41016</v>
      </c>
      <c r="D220" s="5" t="s">
        <v>1267</v>
      </c>
      <c r="E220" s="5">
        <v>20159473148</v>
      </c>
      <c r="F220" s="5" t="s">
        <v>1048</v>
      </c>
      <c r="G220" s="5" t="s">
        <v>1268</v>
      </c>
      <c r="H220" s="5" t="s">
        <v>36</v>
      </c>
      <c r="I220" s="5" t="s">
        <v>1269</v>
      </c>
      <c r="J220" s="5" t="s">
        <v>1270</v>
      </c>
      <c r="K220" s="5" t="s">
        <v>1271</v>
      </c>
      <c r="L220" s="5" t="s">
        <v>1272</v>
      </c>
      <c r="M220" s="5" t="s">
        <v>1273</v>
      </c>
      <c r="N220" s="5" t="s">
        <v>1274</v>
      </c>
      <c r="O220" s="5"/>
      <c r="P220" s="5"/>
      <c r="Q220" s="5"/>
      <c r="R220" s="5"/>
      <c r="S220" s="5"/>
      <c r="T220" s="5"/>
      <c r="U220" s="5">
        <v>163212</v>
      </c>
      <c r="V220" s="6">
        <v>43241</v>
      </c>
      <c r="W220" s="5" t="s">
        <v>31</v>
      </c>
      <c r="X220" s="5" t="s">
        <v>1275</v>
      </c>
    </row>
    <row r="221" spans="1:24" ht="41.95" x14ac:dyDescent="0.3">
      <c r="A221" s="3">
        <v>215</v>
      </c>
      <c r="B221" s="3" t="str">
        <f>"1676486"</f>
        <v>1676486</v>
      </c>
      <c r="C221" s="3" t="str">
        <f>"44229"</f>
        <v>44229</v>
      </c>
      <c r="D221" s="3" t="s">
        <v>1276</v>
      </c>
      <c r="E221" s="3">
        <v>20152945664</v>
      </c>
      <c r="F221" s="3" t="s">
        <v>1277</v>
      </c>
      <c r="G221" s="3" t="s">
        <v>1278</v>
      </c>
      <c r="H221" s="3" t="s">
        <v>28</v>
      </c>
      <c r="I221" s="3" t="s">
        <v>28</v>
      </c>
      <c r="J221" s="3" t="s">
        <v>409</v>
      </c>
      <c r="K221" s="3" t="s">
        <v>1279</v>
      </c>
      <c r="L221" s="3"/>
      <c r="M221" s="3"/>
      <c r="N221" s="3"/>
      <c r="O221" s="3"/>
      <c r="P221" s="3"/>
      <c r="Q221" s="3"/>
      <c r="R221" s="3"/>
      <c r="S221" s="3"/>
      <c r="T221" s="3"/>
      <c r="U221" s="3">
        <v>3140</v>
      </c>
      <c r="V221" s="4">
        <v>39162</v>
      </c>
      <c r="W221" s="3" t="s">
        <v>31</v>
      </c>
      <c r="X221" s="3" t="s">
        <v>1280</v>
      </c>
    </row>
    <row r="222" spans="1:24" x14ac:dyDescent="0.3">
      <c r="A222" s="5">
        <v>216</v>
      </c>
      <c r="B222" s="5" t="str">
        <f>"201600070122"</f>
        <v>201600070122</v>
      </c>
      <c r="C222" s="5" t="str">
        <f>"121460"</f>
        <v>121460</v>
      </c>
      <c r="D222" s="5" t="s">
        <v>1281</v>
      </c>
      <c r="E222" s="5">
        <v>20505792042</v>
      </c>
      <c r="F222" s="5" t="s">
        <v>1282</v>
      </c>
      <c r="G222" s="5" t="s">
        <v>1283</v>
      </c>
      <c r="H222" s="5" t="s">
        <v>978</v>
      </c>
      <c r="I222" s="5" t="s">
        <v>1284</v>
      </c>
      <c r="J222" s="5" t="s">
        <v>1285</v>
      </c>
      <c r="K222" s="5" t="s">
        <v>368</v>
      </c>
      <c r="L222" s="5" t="s">
        <v>368</v>
      </c>
      <c r="M222" s="5"/>
      <c r="N222" s="5"/>
      <c r="O222" s="5"/>
      <c r="P222" s="5"/>
      <c r="Q222" s="5"/>
      <c r="R222" s="5"/>
      <c r="S222" s="5"/>
      <c r="T222" s="5"/>
      <c r="U222" s="5">
        <v>120000</v>
      </c>
      <c r="V222" s="6">
        <v>42533</v>
      </c>
      <c r="W222" s="5" t="s">
        <v>31</v>
      </c>
      <c r="X222" s="5" t="s">
        <v>1286</v>
      </c>
    </row>
    <row r="223" spans="1:24" x14ac:dyDescent="0.3">
      <c r="A223" s="3">
        <v>217</v>
      </c>
      <c r="B223" s="3" t="str">
        <f>"1119024"</f>
        <v>1119024</v>
      </c>
      <c r="C223" s="3" t="str">
        <f>"1475"</f>
        <v>1475</v>
      </c>
      <c r="D223" s="3" t="s">
        <v>1287</v>
      </c>
      <c r="E223" s="3">
        <v>20100003199</v>
      </c>
      <c r="F223" s="3" t="s">
        <v>1288</v>
      </c>
      <c r="G223" s="3" t="s">
        <v>1289</v>
      </c>
      <c r="H223" s="3" t="s">
        <v>115</v>
      </c>
      <c r="I223" s="3" t="s">
        <v>115</v>
      </c>
      <c r="J223" s="3" t="s">
        <v>159</v>
      </c>
      <c r="K223" s="3" t="s">
        <v>1290</v>
      </c>
      <c r="L223" s="3"/>
      <c r="M223" s="3"/>
      <c r="N223" s="3"/>
      <c r="O223" s="3"/>
      <c r="P223" s="3"/>
      <c r="Q223" s="3"/>
      <c r="R223" s="3"/>
      <c r="S223" s="3"/>
      <c r="T223" s="3"/>
      <c r="U223" s="3">
        <v>11152</v>
      </c>
      <c r="V223" s="4">
        <v>36826</v>
      </c>
      <c r="W223" s="3" t="s">
        <v>31</v>
      </c>
      <c r="X223" s="3" t="s">
        <v>1291</v>
      </c>
    </row>
    <row r="224" spans="1:24" ht="27.95" x14ac:dyDescent="0.3">
      <c r="A224" s="5">
        <v>218</v>
      </c>
      <c r="B224" s="5" t="str">
        <f>"201200166337"</f>
        <v>201200166337</v>
      </c>
      <c r="C224" s="5" t="str">
        <f>"97465"</f>
        <v>97465</v>
      </c>
      <c r="D224" s="5" t="s">
        <v>1292</v>
      </c>
      <c r="E224" s="5">
        <v>20145915164</v>
      </c>
      <c r="F224" s="5" t="s">
        <v>1293</v>
      </c>
      <c r="G224" s="5" t="s">
        <v>1294</v>
      </c>
      <c r="H224" s="5" t="s">
        <v>28</v>
      </c>
      <c r="I224" s="5" t="s">
        <v>28</v>
      </c>
      <c r="J224" s="5" t="s">
        <v>1295</v>
      </c>
      <c r="K224" s="5" t="s">
        <v>515</v>
      </c>
      <c r="L224" s="5"/>
      <c r="M224" s="5"/>
      <c r="N224" s="5"/>
      <c r="O224" s="5"/>
      <c r="P224" s="5"/>
      <c r="Q224" s="5"/>
      <c r="R224" s="5"/>
      <c r="S224" s="5"/>
      <c r="T224" s="5"/>
      <c r="U224" s="5">
        <v>1000</v>
      </c>
      <c r="V224" s="6">
        <v>41178</v>
      </c>
      <c r="W224" s="5" t="s">
        <v>31</v>
      </c>
      <c r="X224" s="5" t="s">
        <v>1296</v>
      </c>
    </row>
    <row r="225" spans="1:24" ht="27.95" x14ac:dyDescent="0.3">
      <c r="A225" s="3">
        <v>219</v>
      </c>
      <c r="B225" s="3" t="str">
        <f>"1862943"</f>
        <v>1862943</v>
      </c>
      <c r="C225" s="3" t="str">
        <f>"18234"</f>
        <v>18234</v>
      </c>
      <c r="D225" s="3" t="s">
        <v>1297</v>
      </c>
      <c r="E225" s="3">
        <v>20138761003</v>
      </c>
      <c r="F225" s="3" t="s">
        <v>1298</v>
      </c>
      <c r="G225" s="3" t="s">
        <v>1299</v>
      </c>
      <c r="H225" s="3" t="s">
        <v>115</v>
      </c>
      <c r="I225" s="3" t="s">
        <v>115</v>
      </c>
      <c r="J225" s="3" t="s">
        <v>1300</v>
      </c>
      <c r="K225" s="3" t="s">
        <v>117</v>
      </c>
      <c r="L225" s="3"/>
      <c r="M225" s="3"/>
      <c r="N225" s="3"/>
      <c r="O225" s="3"/>
      <c r="P225" s="3"/>
      <c r="Q225" s="3"/>
      <c r="R225" s="3"/>
      <c r="S225" s="3"/>
      <c r="T225" s="3"/>
      <c r="U225" s="3">
        <v>6000</v>
      </c>
      <c r="V225" s="4">
        <v>39881</v>
      </c>
      <c r="W225" s="3" t="s">
        <v>31</v>
      </c>
      <c r="X225" s="3" t="s">
        <v>1301</v>
      </c>
    </row>
    <row r="226" spans="1:24" x14ac:dyDescent="0.3">
      <c r="A226" s="5">
        <v>220</v>
      </c>
      <c r="B226" s="5" t="str">
        <f>"201300195334"</f>
        <v>201300195334</v>
      </c>
      <c r="C226" s="5" t="str">
        <f>"107161"</f>
        <v>107161</v>
      </c>
      <c r="D226" s="5" t="s">
        <v>1302</v>
      </c>
      <c r="E226" s="5">
        <v>20380336384</v>
      </c>
      <c r="F226" s="5" t="s">
        <v>1303</v>
      </c>
      <c r="G226" s="5" t="s">
        <v>1304</v>
      </c>
      <c r="H226" s="5" t="s">
        <v>28</v>
      </c>
      <c r="I226" s="5" t="s">
        <v>574</v>
      </c>
      <c r="J226" s="5" t="s">
        <v>1305</v>
      </c>
      <c r="K226" s="5" t="s">
        <v>1306</v>
      </c>
      <c r="L226" s="5" t="s">
        <v>1307</v>
      </c>
      <c r="M226" s="5"/>
      <c r="N226" s="5"/>
      <c r="O226" s="5"/>
      <c r="P226" s="5"/>
      <c r="Q226" s="5"/>
      <c r="R226" s="5"/>
      <c r="S226" s="5"/>
      <c r="T226" s="5"/>
      <c r="U226" s="5">
        <v>186560</v>
      </c>
      <c r="V226" s="6">
        <v>41673</v>
      </c>
      <c r="W226" s="5" t="s">
        <v>31</v>
      </c>
      <c r="X226" s="5" t="s">
        <v>866</v>
      </c>
    </row>
    <row r="227" spans="1:24" ht="27.95" x14ac:dyDescent="0.3">
      <c r="A227" s="3">
        <v>221</v>
      </c>
      <c r="B227" s="3" t="str">
        <f>"1154755"</f>
        <v>1154755</v>
      </c>
      <c r="C227" s="3" t="str">
        <f>"1324"</f>
        <v>1324</v>
      </c>
      <c r="D227" s="3">
        <v>1010344</v>
      </c>
      <c r="E227" s="3">
        <v>20104536311</v>
      </c>
      <c r="F227" s="3" t="s">
        <v>1308</v>
      </c>
      <c r="G227" s="3" t="s">
        <v>1309</v>
      </c>
      <c r="H227" s="3" t="s">
        <v>135</v>
      </c>
      <c r="I227" s="3" t="s">
        <v>402</v>
      </c>
      <c r="J227" s="3" t="s">
        <v>484</v>
      </c>
      <c r="K227" s="3" t="s">
        <v>1310</v>
      </c>
      <c r="L227" s="3" t="s">
        <v>46</v>
      </c>
      <c r="M227" s="3"/>
      <c r="N227" s="3"/>
      <c r="O227" s="3"/>
      <c r="P227" s="3"/>
      <c r="Q227" s="3"/>
      <c r="R227" s="3"/>
      <c r="S227" s="3"/>
      <c r="T227" s="3"/>
      <c r="U227" s="3">
        <v>7150</v>
      </c>
      <c r="V227" s="4">
        <v>35719</v>
      </c>
      <c r="W227" s="3" t="s">
        <v>31</v>
      </c>
      <c r="X227" s="3" t="s">
        <v>1311</v>
      </c>
    </row>
    <row r="228" spans="1:24" x14ac:dyDescent="0.3">
      <c r="A228" s="5">
        <v>222</v>
      </c>
      <c r="B228" s="5" t="str">
        <f>"1336632"</f>
        <v>1336632</v>
      </c>
      <c r="C228" s="5" t="str">
        <f>"986"</f>
        <v>986</v>
      </c>
      <c r="D228" s="5" t="s">
        <v>1312</v>
      </c>
      <c r="E228" s="5">
        <v>20501489558</v>
      </c>
      <c r="F228" s="5" t="s">
        <v>1313</v>
      </c>
      <c r="G228" s="5" t="s">
        <v>1314</v>
      </c>
      <c r="H228" s="5" t="s">
        <v>51</v>
      </c>
      <c r="I228" s="5" t="s">
        <v>316</v>
      </c>
      <c r="J228" s="5" t="s">
        <v>1315</v>
      </c>
      <c r="K228" s="5" t="s">
        <v>1316</v>
      </c>
      <c r="L228" s="5" t="s">
        <v>1316</v>
      </c>
      <c r="M228" s="5"/>
      <c r="N228" s="5"/>
      <c r="O228" s="5"/>
      <c r="P228" s="5"/>
      <c r="Q228" s="5"/>
      <c r="R228" s="5"/>
      <c r="S228" s="5"/>
      <c r="T228" s="5"/>
      <c r="U228" s="5">
        <v>24000</v>
      </c>
      <c r="V228" s="6">
        <v>37166</v>
      </c>
      <c r="W228" s="5" t="s">
        <v>31</v>
      </c>
      <c r="X228" s="5" t="s">
        <v>1317</v>
      </c>
    </row>
    <row r="229" spans="1:24" ht="27.95" x14ac:dyDescent="0.3">
      <c r="A229" s="3">
        <v>223</v>
      </c>
      <c r="B229" s="3" t="str">
        <f>"201800013736"</f>
        <v>201800013736</v>
      </c>
      <c r="C229" s="3" t="str">
        <f>"133608"</f>
        <v>133608</v>
      </c>
      <c r="D229" s="3" t="s">
        <v>1318</v>
      </c>
      <c r="E229" s="3">
        <v>20340584237</v>
      </c>
      <c r="F229" s="3" t="s">
        <v>1319</v>
      </c>
      <c r="G229" s="3" t="s">
        <v>1320</v>
      </c>
      <c r="H229" s="3" t="s">
        <v>80</v>
      </c>
      <c r="I229" s="3" t="s">
        <v>192</v>
      </c>
      <c r="J229" s="3" t="s">
        <v>192</v>
      </c>
      <c r="K229" s="3" t="s">
        <v>1321</v>
      </c>
      <c r="L229" s="3"/>
      <c r="M229" s="3"/>
      <c r="N229" s="3"/>
      <c r="O229" s="3"/>
      <c r="P229" s="3"/>
      <c r="Q229" s="3"/>
      <c r="R229" s="3"/>
      <c r="S229" s="3"/>
      <c r="T229" s="3"/>
      <c r="U229" s="3">
        <v>3000</v>
      </c>
      <c r="V229" s="4">
        <v>43131</v>
      </c>
      <c r="W229" s="3" t="s">
        <v>31</v>
      </c>
      <c r="X229" s="3" t="s">
        <v>1322</v>
      </c>
    </row>
    <row r="230" spans="1:24" ht="27.95" x14ac:dyDescent="0.3">
      <c r="A230" s="5">
        <v>224</v>
      </c>
      <c r="B230" s="5" t="str">
        <f>"201300157021"</f>
        <v>201300157021</v>
      </c>
      <c r="C230" s="5" t="str">
        <f>"100537"</f>
        <v>100537</v>
      </c>
      <c r="D230" s="5" t="s">
        <v>1323</v>
      </c>
      <c r="E230" s="5">
        <v>20518488709</v>
      </c>
      <c r="F230" s="5" t="s">
        <v>1324</v>
      </c>
      <c r="G230" s="5" t="s">
        <v>1325</v>
      </c>
      <c r="H230" s="5" t="s">
        <v>135</v>
      </c>
      <c r="I230" s="5" t="s">
        <v>943</v>
      </c>
      <c r="J230" s="5" t="s">
        <v>944</v>
      </c>
      <c r="K230" s="5" t="s">
        <v>1326</v>
      </c>
      <c r="L230" s="5"/>
      <c r="M230" s="5"/>
      <c r="N230" s="5"/>
      <c r="O230" s="5"/>
      <c r="P230" s="5"/>
      <c r="Q230" s="5"/>
      <c r="R230" s="5"/>
      <c r="S230" s="5"/>
      <c r="T230" s="5"/>
      <c r="U230" s="5">
        <v>15251</v>
      </c>
      <c r="V230" s="6">
        <v>41566</v>
      </c>
      <c r="W230" s="5" t="s">
        <v>31</v>
      </c>
      <c r="X230" s="5" t="s">
        <v>1327</v>
      </c>
    </row>
    <row r="231" spans="1:24" x14ac:dyDescent="0.3">
      <c r="A231" s="3">
        <v>225</v>
      </c>
      <c r="B231" s="3" t="str">
        <f>"201800080938"</f>
        <v>201800080938</v>
      </c>
      <c r="C231" s="3" t="str">
        <f>"136187"</f>
        <v>136187</v>
      </c>
      <c r="D231" s="3" t="s">
        <v>1328</v>
      </c>
      <c r="E231" s="3">
        <v>20109565017</v>
      </c>
      <c r="F231" s="3" t="s">
        <v>531</v>
      </c>
      <c r="G231" s="3" t="s">
        <v>1329</v>
      </c>
      <c r="H231" s="3" t="s">
        <v>285</v>
      </c>
      <c r="I231" s="3" t="s">
        <v>1083</v>
      </c>
      <c r="J231" s="3" t="s">
        <v>1330</v>
      </c>
      <c r="K231" s="3" t="s">
        <v>1331</v>
      </c>
      <c r="L231" s="3"/>
      <c r="M231" s="3"/>
      <c r="N231" s="3"/>
      <c r="O231" s="3"/>
      <c r="P231" s="3"/>
      <c r="Q231" s="3"/>
      <c r="R231" s="3"/>
      <c r="S231" s="3"/>
      <c r="T231" s="3"/>
      <c r="U231" s="3">
        <v>9868</v>
      </c>
      <c r="V231" s="4">
        <v>43236</v>
      </c>
      <c r="W231" s="3" t="s">
        <v>31</v>
      </c>
      <c r="X231" s="3" t="s">
        <v>1332</v>
      </c>
    </row>
    <row r="232" spans="1:24" x14ac:dyDescent="0.3">
      <c r="A232" s="5">
        <v>226</v>
      </c>
      <c r="B232" s="5" t="str">
        <f>"201800020695"</f>
        <v>201800020695</v>
      </c>
      <c r="C232" s="5" t="str">
        <f>"106652"</f>
        <v>106652</v>
      </c>
      <c r="D232" s="5" t="s">
        <v>1333</v>
      </c>
      <c r="E232" s="5">
        <v>20156058719</v>
      </c>
      <c r="F232" s="5" t="s">
        <v>1334</v>
      </c>
      <c r="G232" s="5" t="s">
        <v>1335</v>
      </c>
      <c r="H232" s="5" t="s">
        <v>36</v>
      </c>
      <c r="I232" s="5" t="s">
        <v>514</v>
      </c>
      <c r="J232" s="5" t="s">
        <v>514</v>
      </c>
      <c r="K232" s="5" t="s">
        <v>382</v>
      </c>
      <c r="L232" s="5" t="s">
        <v>1336</v>
      </c>
      <c r="M232" s="5"/>
      <c r="N232" s="5"/>
      <c r="O232" s="5"/>
      <c r="P232" s="5"/>
      <c r="Q232" s="5"/>
      <c r="R232" s="5"/>
      <c r="S232" s="5"/>
      <c r="T232" s="5"/>
      <c r="U232" s="5">
        <v>8500</v>
      </c>
      <c r="V232" s="6">
        <v>43145</v>
      </c>
      <c r="W232" s="5" t="s">
        <v>31</v>
      </c>
      <c r="X232" s="5" t="s">
        <v>1337</v>
      </c>
    </row>
    <row r="233" spans="1:24" x14ac:dyDescent="0.3">
      <c r="A233" s="3">
        <v>227</v>
      </c>
      <c r="B233" s="3" t="str">
        <f>"201600178929"</f>
        <v>201600178929</v>
      </c>
      <c r="C233" s="3" t="str">
        <f>"19715"</f>
        <v>19715</v>
      </c>
      <c r="D233" s="3" t="s">
        <v>1338</v>
      </c>
      <c r="E233" s="3">
        <v>20338054115</v>
      </c>
      <c r="F233" s="3" t="s">
        <v>941</v>
      </c>
      <c r="G233" s="3" t="s">
        <v>1339</v>
      </c>
      <c r="H233" s="3" t="s">
        <v>28</v>
      </c>
      <c r="I233" s="3" t="s">
        <v>667</v>
      </c>
      <c r="J233" s="3" t="s">
        <v>1340</v>
      </c>
      <c r="K233" s="3" t="s">
        <v>1341</v>
      </c>
      <c r="L233" s="3" t="s">
        <v>1342</v>
      </c>
      <c r="M233" s="3"/>
      <c r="N233" s="3"/>
      <c r="O233" s="3"/>
      <c r="P233" s="3"/>
      <c r="Q233" s="3"/>
      <c r="R233" s="3"/>
      <c r="S233" s="3"/>
      <c r="T233" s="3"/>
      <c r="U233" s="3">
        <v>265000</v>
      </c>
      <c r="V233" s="4">
        <v>42716</v>
      </c>
      <c r="W233" s="3" t="s">
        <v>31</v>
      </c>
      <c r="X233" s="3" t="s">
        <v>1343</v>
      </c>
    </row>
    <row r="234" spans="1:24" ht="27.95" x14ac:dyDescent="0.3">
      <c r="A234" s="5">
        <v>228</v>
      </c>
      <c r="B234" s="5" t="str">
        <f>"1838526"</f>
        <v>1838526</v>
      </c>
      <c r="C234" s="5" t="str">
        <f>"64502"</f>
        <v>64502</v>
      </c>
      <c r="D234" s="5" t="s">
        <v>1344</v>
      </c>
      <c r="E234" s="5">
        <v>20206816750</v>
      </c>
      <c r="F234" s="5" t="s">
        <v>1345</v>
      </c>
      <c r="G234" s="5" t="s">
        <v>1346</v>
      </c>
      <c r="H234" s="5" t="s">
        <v>28</v>
      </c>
      <c r="I234" s="5" t="s">
        <v>72</v>
      </c>
      <c r="J234" s="5" t="s">
        <v>322</v>
      </c>
      <c r="K234" s="5" t="s">
        <v>1347</v>
      </c>
      <c r="L234" s="5"/>
      <c r="M234" s="5"/>
      <c r="N234" s="5"/>
      <c r="O234" s="5"/>
      <c r="P234" s="5"/>
      <c r="Q234" s="5"/>
      <c r="R234" s="5"/>
      <c r="S234" s="5"/>
      <c r="T234" s="5"/>
      <c r="U234" s="5">
        <v>2200</v>
      </c>
      <c r="V234" s="6">
        <v>39776</v>
      </c>
      <c r="W234" s="5" t="s">
        <v>31</v>
      </c>
      <c r="X234" s="5" t="s">
        <v>1348</v>
      </c>
    </row>
    <row r="235" spans="1:24" ht="27.95" x14ac:dyDescent="0.3">
      <c r="A235" s="3">
        <v>229</v>
      </c>
      <c r="B235" s="3" t="str">
        <f>"1604147"</f>
        <v>1604147</v>
      </c>
      <c r="C235" s="3" t="str">
        <f>"843"</f>
        <v>843</v>
      </c>
      <c r="D235" s="3" t="s">
        <v>1349</v>
      </c>
      <c r="E235" s="3">
        <v>20361239581</v>
      </c>
      <c r="F235" s="3" t="s">
        <v>1350</v>
      </c>
      <c r="G235" s="3" t="s">
        <v>1351</v>
      </c>
      <c r="H235" s="3" t="s">
        <v>285</v>
      </c>
      <c r="I235" s="3" t="s">
        <v>286</v>
      </c>
      <c r="J235" s="3" t="s">
        <v>470</v>
      </c>
      <c r="K235" s="3" t="s">
        <v>1352</v>
      </c>
      <c r="L235" s="3" t="s">
        <v>1353</v>
      </c>
      <c r="M235" s="3" t="s">
        <v>1352</v>
      </c>
      <c r="N235" s="3"/>
      <c r="O235" s="3"/>
      <c r="P235" s="3"/>
      <c r="Q235" s="3"/>
      <c r="R235" s="3"/>
      <c r="S235" s="3"/>
      <c r="T235" s="3"/>
      <c r="U235" s="3">
        <v>18700</v>
      </c>
      <c r="V235" s="4">
        <v>38826</v>
      </c>
      <c r="W235" s="3" t="s">
        <v>31</v>
      </c>
      <c r="X235" s="3" t="s">
        <v>1354</v>
      </c>
    </row>
    <row r="236" spans="1:24" ht="27.95" x14ac:dyDescent="0.3">
      <c r="A236" s="5">
        <v>230</v>
      </c>
      <c r="B236" s="5" t="str">
        <f>"1491802"</f>
        <v>1491802</v>
      </c>
      <c r="C236" s="5" t="str">
        <f>"16162"</f>
        <v>16162</v>
      </c>
      <c r="D236" s="5" t="s">
        <v>1355</v>
      </c>
      <c r="E236" s="5">
        <v>20120877055</v>
      </c>
      <c r="F236" s="5" t="s">
        <v>1356</v>
      </c>
      <c r="G236" s="5" t="s">
        <v>1357</v>
      </c>
      <c r="H236" s="5" t="s">
        <v>51</v>
      </c>
      <c r="I236" s="5" t="s">
        <v>51</v>
      </c>
      <c r="J236" s="5" t="s">
        <v>241</v>
      </c>
      <c r="K236" s="5" t="s">
        <v>1358</v>
      </c>
      <c r="L236" s="5" t="s">
        <v>1359</v>
      </c>
      <c r="M236" s="5" t="s">
        <v>1360</v>
      </c>
      <c r="N236" s="5" t="s">
        <v>1361</v>
      </c>
      <c r="O236" s="5" t="s">
        <v>1058</v>
      </c>
      <c r="P236" s="5" t="s">
        <v>1362</v>
      </c>
      <c r="Q236" s="5" t="s">
        <v>1363</v>
      </c>
      <c r="R236" s="5"/>
      <c r="S236" s="5"/>
      <c r="T236" s="5"/>
      <c r="U236" s="5">
        <v>34397</v>
      </c>
      <c r="V236" s="6">
        <v>40729</v>
      </c>
      <c r="W236" s="5" t="s">
        <v>31</v>
      </c>
      <c r="X236" s="5" t="s">
        <v>1364</v>
      </c>
    </row>
    <row r="237" spans="1:24" ht="27.95" x14ac:dyDescent="0.3">
      <c r="A237" s="3">
        <v>231</v>
      </c>
      <c r="B237" s="3" t="str">
        <f>"1179399"</f>
        <v>1179399</v>
      </c>
      <c r="C237" s="3" t="str">
        <f>"1581"</f>
        <v>1581</v>
      </c>
      <c r="D237" s="3">
        <v>1179399</v>
      </c>
      <c r="E237" s="3">
        <v>20229385098</v>
      </c>
      <c r="F237" s="3" t="s">
        <v>1365</v>
      </c>
      <c r="G237" s="3" t="s">
        <v>1366</v>
      </c>
      <c r="H237" s="3" t="s">
        <v>58</v>
      </c>
      <c r="I237" s="3" t="s">
        <v>59</v>
      </c>
      <c r="J237" s="3" t="s">
        <v>1367</v>
      </c>
      <c r="K237" s="3" t="s">
        <v>1368</v>
      </c>
      <c r="L237" s="3"/>
      <c r="M237" s="3"/>
      <c r="N237" s="3"/>
      <c r="O237" s="3"/>
      <c r="P237" s="3"/>
      <c r="Q237" s="3"/>
      <c r="R237" s="3"/>
      <c r="S237" s="3"/>
      <c r="T237" s="3"/>
      <c r="U237" s="3">
        <v>50000</v>
      </c>
      <c r="V237" s="4">
        <v>35899</v>
      </c>
      <c r="W237" s="3" t="s">
        <v>31</v>
      </c>
      <c r="X237" s="3" t="s">
        <v>1369</v>
      </c>
    </row>
    <row r="238" spans="1:24" x14ac:dyDescent="0.3">
      <c r="A238" s="5">
        <v>232</v>
      </c>
      <c r="B238" s="5" t="str">
        <f>"1798038"</f>
        <v>1798038</v>
      </c>
      <c r="C238" s="5" t="str">
        <f>"19579"</f>
        <v>19579</v>
      </c>
      <c r="D238" s="5" t="s">
        <v>1370</v>
      </c>
      <c r="E238" s="5">
        <v>20113551535</v>
      </c>
      <c r="F238" s="5" t="s">
        <v>1371</v>
      </c>
      <c r="G238" s="5" t="s">
        <v>1372</v>
      </c>
      <c r="H238" s="5" t="s">
        <v>80</v>
      </c>
      <c r="I238" s="5" t="s">
        <v>309</v>
      </c>
      <c r="J238" s="5" t="s">
        <v>309</v>
      </c>
      <c r="K238" s="5" t="s">
        <v>1373</v>
      </c>
      <c r="L238" s="5"/>
      <c r="M238" s="5"/>
      <c r="N238" s="5"/>
      <c r="O238" s="5"/>
      <c r="P238" s="5"/>
      <c r="Q238" s="5"/>
      <c r="R238" s="5"/>
      <c r="S238" s="5"/>
      <c r="T238" s="5"/>
      <c r="U238" s="5">
        <v>55500</v>
      </c>
      <c r="V238" s="6">
        <v>39631</v>
      </c>
      <c r="W238" s="5" t="s">
        <v>31</v>
      </c>
      <c r="X238" s="5" t="s">
        <v>1374</v>
      </c>
    </row>
    <row r="239" spans="1:24" ht="27.95" x14ac:dyDescent="0.3">
      <c r="A239" s="3">
        <v>233</v>
      </c>
      <c r="B239" s="3" t="str">
        <f>"1952578"</f>
        <v>1952578</v>
      </c>
      <c r="C239" s="3" t="str">
        <f>"20739"</f>
        <v>20739</v>
      </c>
      <c r="D239" s="3" t="s">
        <v>1375</v>
      </c>
      <c r="E239" s="3">
        <v>20523067797</v>
      </c>
      <c r="F239" s="3" t="s">
        <v>1376</v>
      </c>
      <c r="G239" s="3" t="s">
        <v>1377</v>
      </c>
      <c r="H239" s="3" t="s">
        <v>28</v>
      </c>
      <c r="I239" s="3" t="s">
        <v>28</v>
      </c>
      <c r="J239" s="3" t="s">
        <v>172</v>
      </c>
      <c r="K239" s="3" t="s">
        <v>1378</v>
      </c>
      <c r="L239" s="3"/>
      <c r="M239" s="3"/>
      <c r="N239" s="3"/>
      <c r="O239" s="3"/>
      <c r="P239" s="3"/>
      <c r="Q239" s="3"/>
      <c r="R239" s="3"/>
      <c r="S239" s="3"/>
      <c r="T239" s="3"/>
      <c r="U239" s="3">
        <v>5000</v>
      </c>
      <c r="V239" s="4">
        <v>40227</v>
      </c>
      <c r="W239" s="3" t="s">
        <v>31</v>
      </c>
      <c r="X239" s="3" t="s">
        <v>1379</v>
      </c>
    </row>
    <row r="240" spans="1:24" ht="41.95" x14ac:dyDescent="0.3">
      <c r="A240" s="5">
        <v>234</v>
      </c>
      <c r="B240" s="5" t="str">
        <f>"201800095040"</f>
        <v>201800095040</v>
      </c>
      <c r="C240" s="5" t="str">
        <f>"116108"</f>
        <v>116108</v>
      </c>
      <c r="D240" s="5" t="s">
        <v>1380</v>
      </c>
      <c r="E240" s="5">
        <v>20429350264</v>
      </c>
      <c r="F240" s="5" t="s">
        <v>1381</v>
      </c>
      <c r="G240" s="5" t="s">
        <v>1382</v>
      </c>
      <c r="H240" s="5" t="s">
        <v>51</v>
      </c>
      <c r="I240" s="5" t="s">
        <v>51</v>
      </c>
      <c r="J240" s="5" t="s">
        <v>241</v>
      </c>
      <c r="K240" s="5" t="s">
        <v>154</v>
      </c>
      <c r="L240" s="5" t="s">
        <v>154</v>
      </c>
      <c r="M240" s="5" t="s">
        <v>154</v>
      </c>
      <c r="N240" s="5"/>
      <c r="O240" s="5"/>
      <c r="P240" s="5"/>
      <c r="Q240" s="5"/>
      <c r="R240" s="5"/>
      <c r="S240" s="5"/>
      <c r="T240" s="5"/>
      <c r="U240" s="5">
        <v>37500</v>
      </c>
      <c r="V240" s="6">
        <v>43263</v>
      </c>
      <c r="W240" s="5" t="s">
        <v>31</v>
      </c>
      <c r="X240" s="5" t="s">
        <v>1383</v>
      </c>
    </row>
    <row r="241" spans="1:24" x14ac:dyDescent="0.3">
      <c r="A241" s="3">
        <v>235</v>
      </c>
      <c r="B241" s="3" t="str">
        <f>"1108499"</f>
        <v>1108499</v>
      </c>
      <c r="C241" s="3" t="str">
        <f>"212"</f>
        <v>212</v>
      </c>
      <c r="D241" s="3">
        <v>962311</v>
      </c>
      <c r="E241" s="3">
        <v>20102628447</v>
      </c>
      <c r="F241" s="3" t="s">
        <v>1384</v>
      </c>
      <c r="G241" s="3" t="s">
        <v>1385</v>
      </c>
      <c r="H241" s="3" t="s">
        <v>80</v>
      </c>
      <c r="I241" s="3" t="s">
        <v>192</v>
      </c>
      <c r="J241" s="3" t="s">
        <v>192</v>
      </c>
      <c r="K241" s="3" t="s">
        <v>46</v>
      </c>
      <c r="L241" s="3" t="s">
        <v>229</v>
      </c>
      <c r="M241" s="3"/>
      <c r="N241" s="3"/>
      <c r="O241" s="3"/>
      <c r="P241" s="3"/>
      <c r="Q241" s="3"/>
      <c r="R241" s="3"/>
      <c r="S241" s="3"/>
      <c r="T241" s="3"/>
      <c r="U241" s="3">
        <v>5000</v>
      </c>
      <c r="V241" s="4">
        <v>35487</v>
      </c>
      <c r="W241" s="3" t="s">
        <v>31</v>
      </c>
      <c r="X241" s="3" t="s">
        <v>1386</v>
      </c>
    </row>
    <row r="242" spans="1:24" x14ac:dyDescent="0.3">
      <c r="A242" s="5">
        <v>236</v>
      </c>
      <c r="B242" s="5" t="str">
        <f>"1488110"</f>
        <v>1488110</v>
      </c>
      <c r="C242" s="5" t="str">
        <f>"1368"</f>
        <v>1368</v>
      </c>
      <c r="D242" s="5" t="s">
        <v>1387</v>
      </c>
      <c r="E242" s="5">
        <v>20330862450</v>
      </c>
      <c r="F242" s="5" t="s">
        <v>1388</v>
      </c>
      <c r="G242" s="5" t="s">
        <v>1389</v>
      </c>
      <c r="H242" s="5" t="s">
        <v>135</v>
      </c>
      <c r="I242" s="5" t="s">
        <v>402</v>
      </c>
      <c r="J242" s="5" t="s">
        <v>862</v>
      </c>
      <c r="K242" s="5" t="s">
        <v>1390</v>
      </c>
      <c r="L242" s="5" t="s">
        <v>1390</v>
      </c>
      <c r="M242" s="5" t="s">
        <v>1391</v>
      </c>
      <c r="N242" s="5"/>
      <c r="O242" s="5"/>
      <c r="P242" s="5"/>
      <c r="Q242" s="5"/>
      <c r="R242" s="5"/>
      <c r="S242" s="5"/>
      <c r="T242" s="5"/>
      <c r="U242" s="5">
        <v>325000</v>
      </c>
      <c r="V242" s="6">
        <v>40718</v>
      </c>
      <c r="W242" s="5" t="s">
        <v>31</v>
      </c>
      <c r="X242" s="5" t="s">
        <v>1392</v>
      </c>
    </row>
    <row r="243" spans="1:24" ht="27.95" x14ac:dyDescent="0.3">
      <c r="A243" s="3">
        <v>237</v>
      </c>
      <c r="B243" s="3" t="str">
        <f>"1896868"</f>
        <v>1896868</v>
      </c>
      <c r="C243" s="3" t="str">
        <f>"204"</f>
        <v>204</v>
      </c>
      <c r="D243" s="3" t="s">
        <v>1393</v>
      </c>
      <c r="E243" s="3">
        <v>20330862450</v>
      </c>
      <c r="F243" s="3" t="s">
        <v>1388</v>
      </c>
      <c r="G243" s="3" t="s">
        <v>1394</v>
      </c>
      <c r="H243" s="3" t="s">
        <v>285</v>
      </c>
      <c r="I243" s="3" t="s">
        <v>286</v>
      </c>
      <c r="J243" s="3" t="s">
        <v>470</v>
      </c>
      <c r="K243" s="3" t="s">
        <v>1395</v>
      </c>
      <c r="L243" s="3" t="s">
        <v>528</v>
      </c>
      <c r="M243" s="3" t="s">
        <v>1396</v>
      </c>
      <c r="N243" s="3" t="s">
        <v>1397</v>
      </c>
      <c r="O243" s="3" t="s">
        <v>1398</v>
      </c>
      <c r="P243" s="3"/>
      <c r="Q243" s="3"/>
      <c r="R243" s="3"/>
      <c r="S243" s="3"/>
      <c r="T243" s="3"/>
      <c r="U243" s="3">
        <v>78394</v>
      </c>
      <c r="V243" s="4">
        <v>39982</v>
      </c>
      <c r="W243" s="3" t="s">
        <v>31</v>
      </c>
      <c r="X243" s="3" t="s">
        <v>1399</v>
      </c>
    </row>
    <row r="244" spans="1:24" ht="27.95" x14ac:dyDescent="0.3">
      <c r="A244" s="5">
        <v>238</v>
      </c>
      <c r="B244" s="5" t="str">
        <f>"201600095903"</f>
        <v>201600095903</v>
      </c>
      <c r="C244" s="5" t="str">
        <f>"121159"</f>
        <v>121159</v>
      </c>
      <c r="D244" s="5" t="s">
        <v>1400</v>
      </c>
      <c r="E244" s="5">
        <v>20131257750</v>
      </c>
      <c r="F244" s="5" t="s">
        <v>1401</v>
      </c>
      <c r="G244" s="5" t="s">
        <v>1402</v>
      </c>
      <c r="H244" s="5" t="s">
        <v>28</v>
      </c>
      <c r="I244" s="5" t="s">
        <v>28</v>
      </c>
      <c r="J244" s="5" t="s">
        <v>1403</v>
      </c>
      <c r="K244" s="5" t="s">
        <v>130</v>
      </c>
      <c r="L244" s="5"/>
      <c r="M244" s="5"/>
      <c r="N244" s="5"/>
      <c r="O244" s="5"/>
      <c r="P244" s="5"/>
      <c r="Q244" s="5"/>
      <c r="R244" s="5"/>
      <c r="S244" s="5"/>
      <c r="T244" s="5"/>
      <c r="U244" s="5">
        <v>3000</v>
      </c>
      <c r="V244" s="6">
        <v>42557</v>
      </c>
      <c r="W244" s="5" t="s">
        <v>31</v>
      </c>
      <c r="X244" s="5" t="s">
        <v>1404</v>
      </c>
    </row>
    <row r="245" spans="1:24" x14ac:dyDescent="0.3">
      <c r="A245" s="3">
        <v>239</v>
      </c>
      <c r="B245" s="3" t="str">
        <f>"201700158467"</f>
        <v>201700158467</v>
      </c>
      <c r="C245" s="3" t="str">
        <f>"41576"</f>
        <v>41576</v>
      </c>
      <c r="D245" s="3" t="s">
        <v>1405</v>
      </c>
      <c r="E245" s="3">
        <v>20340584237</v>
      </c>
      <c r="F245" s="3" t="s">
        <v>1319</v>
      </c>
      <c r="G245" s="3" t="s">
        <v>1406</v>
      </c>
      <c r="H245" s="3" t="s">
        <v>36</v>
      </c>
      <c r="I245" s="3" t="s">
        <v>514</v>
      </c>
      <c r="J245" s="3" t="s">
        <v>514</v>
      </c>
      <c r="K245" s="3" t="s">
        <v>1407</v>
      </c>
      <c r="L245" s="3" t="s">
        <v>1408</v>
      </c>
      <c r="M245" s="3"/>
      <c r="N245" s="3"/>
      <c r="O245" s="3"/>
      <c r="P245" s="3"/>
      <c r="Q245" s="3"/>
      <c r="R245" s="3"/>
      <c r="S245" s="3"/>
      <c r="T245" s="3"/>
      <c r="U245" s="3">
        <v>13870</v>
      </c>
      <c r="V245" s="4">
        <v>43013</v>
      </c>
      <c r="W245" s="3" t="s">
        <v>31</v>
      </c>
      <c r="X245" s="3" t="s">
        <v>1409</v>
      </c>
    </row>
    <row r="246" spans="1:24" x14ac:dyDescent="0.3">
      <c r="A246" s="5">
        <v>240</v>
      </c>
      <c r="B246" s="5" t="str">
        <f>"1467258"</f>
        <v>1467258</v>
      </c>
      <c r="C246" s="5" t="str">
        <f>"89973"</f>
        <v>89973</v>
      </c>
      <c r="D246" s="5" t="s">
        <v>1410</v>
      </c>
      <c r="E246" s="5">
        <v>20293623431</v>
      </c>
      <c r="F246" s="5" t="s">
        <v>1411</v>
      </c>
      <c r="G246" s="5" t="s">
        <v>1412</v>
      </c>
      <c r="H246" s="5" t="s">
        <v>28</v>
      </c>
      <c r="I246" s="5" t="s">
        <v>28</v>
      </c>
      <c r="J246" s="5" t="s">
        <v>91</v>
      </c>
      <c r="K246" s="5" t="s">
        <v>1413</v>
      </c>
      <c r="L246" s="5"/>
      <c r="M246" s="5"/>
      <c r="N246" s="5"/>
      <c r="O246" s="5"/>
      <c r="P246" s="5"/>
      <c r="Q246" s="5"/>
      <c r="R246" s="5"/>
      <c r="S246" s="5"/>
      <c r="T246" s="5"/>
      <c r="U246" s="5">
        <v>1320</v>
      </c>
      <c r="V246" s="6">
        <v>40590</v>
      </c>
      <c r="W246" s="5" t="s">
        <v>31</v>
      </c>
      <c r="X246" s="5" t="s">
        <v>1414</v>
      </c>
    </row>
    <row r="247" spans="1:24" x14ac:dyDescent="0.3">
      <c r="A247" s="3">
        <v>241</v>
      </c>
      <c r="B247" s="3" t="str">
        <f>"1276291"</f>
        <v>1276291</v>
      </c>
      <c r="C247" s="3" t="str">
        <f>"18260"</f>
        <v>18260</v>
      </c>
      <c r="D247" s="3" t="s">
        <v>1415</v>
      </c>
      <c r="E247" s="3">
        <v>20331061655</v>
      </c>
      <c r="F247" s="3" t="s">
        <v>1416</v>
      </c>
      <c r="G247" s="3" t="s">
        <v>1417</v>
      </c>
      <c r="H247" s="3" t="s">
        <v>36</v>
      </c>
      <c r="I247" s="3" t="s">
        <v>234</v>
      </c>
      <c r="J247" s="3" t="s">
        <v>235</v>
      </c>
      <c r="K247" s="3" t="s">
        <v>1418</v>
      </c>
      <c r="L247" s="3"/>
      <c r="M247" s="3"/>
      <c r="N247" s="3"/>
      <c r="O247" s="3"/>
      <c r="P247" s="3"/>
      <c r="Q247" s="3"/>
      <c r="R247" s="3"/>
      <c r="S247" s="3"/>
      <c r="T247" s="3"/>
      <c r="U247" s="3">
        <v>3350</v>
      </c>
      <c r="V247" s="4">
        <v>36584</v>
      </c>
      <c r="W247" s="3" t="s">
        <v>31</v>
      </c>
      <c r="X247" s="3" t="s">
        <v>1419</v>
      </c>
    </row>
    <row r="248" spans="1:24" ht="27.95" x14ac:dyDescent="0.3">
      <c r="A248" s="5">
        <v>242</v>
      </c>
      <c r="B248" s="5" t="str">
        <f>"1278806"</f>
        <v>1278806</v>
      </c>
      <c r="C248" s="5" t="str">
        <f>"1242"</f>
        <v>1242</v>
      </c>
      <c r="D248" s="5">
        <v>991258</v>
      </c>
      <c r="E248" s="5">
        <v>20131257750</v>
      </c>
      <c r="F248" s="5" t="s">
        <v>1420</v>
      </c>
      <c r="G248" s="5" t="s">
        <v>1421</v>
      </c>
      <c r="H248" s="5" t="s">
        <v>80</v>
      </c>
      <c r="I248" s="5" t="s">
        <v>80</v>
      </c>
      <c r="J248" s="5" t="s">
        <v>129</v>
      </c>
      <c r="K248" s="5" t="s">
        <v>1422</v>
      </c>
      <c r="L248" s="5"/>
      <c r="M248" s="5"/>
      <c r="N248" s="5"/>
      <c r="O248" s="5"/>
      <c r="P248" s="5"/>
      <c r="Q248" s="5"/>
      <c r="R248" s="5"/>
      <c r="S248" s="5"/>
      <c r="T248" s="5"/>
      <c r="U248" s="5">
        <v>6500</v>
      </c>
      <c r="V248" s="6">
        <v>36623</v>
      </c>
      <c r="W248" s="5" t="s">
        <v>31</v>
      </c>
      <c r="X248" s="5" t="s">
        <v>1423</v>
      </c>
    </row>
    <row r="249" spans="1:24" ht="27.95" x14ac:dyDescent="0.3">
      <c r="A249" s="3">
        <v>243</v>
      </c>
      <c r="B249" s="3" t="str">
        <f>"201600152693"</f>
        <v>201600152693</v>
      </c>
      <c r="C249" s="3" t="str">
        <f>"44736"</f>
        <v>44736</v>
      </c>
      <c r="D249" s="3" t="s">
        <v>1424</v>
      </c>
      <c r="E249" s="3">
        <v>20132264237</v>
      </c>
      <c r="F249" s="3" t="s">
        <v>1425</v>
      </c>
      <c r="G249" s="3" t="s">
        <v>1426</v>
      </c>
      <c r="H249" s="3" t="s">
        <v>36</v>
      </c>
      <c r="I249" s="3" t="s">
        <v>234</v>
      </c>
      <c r="J249" s="3" t="s">
        <v>998</v>
      </c>
      <c r="K249" s="3" t="s">
        <v>1427</v>
      </c>
      <c r="L249" s="3"/>
      <c r="M249" s="3"/>
      <c r="N249" s="3"/>
      <c r="O249" s="3"/>
      <c r="P249" s="3"/>
      <c r="Q249" s="3"/>
      <c r="R249" s="3"/>
      <c r="S249" s="3"/>
      <c r="T249" s="3"/>
      <c r="U249" s="3">
        <v>3984</v>
      </c>
      <c r="V249" s="4">
        <v>42680</v>
      </c>
      <c r="W249" s="3" t="s">
        <v>31</v>
      </c>
      <c r="X249" s="3" t="s">
        <v>1428</v>
      </c>
    </row>
    <row r="250" spans="1:24" ht="27.95" x14ac:dyDescent="0.3">
      <c r="A250" s="5">
        <v>244</v>
      </c>
      <c r="B250" s="5" t="str">
        <f>"201900010394"</f>
        <v>201900010394</v>
      </c>
      <c r="C250" s="5" t="str">
        <f>"140874"</f>
        <v>140874</v>
      </c>
      <c r="D250" s="5" t="s">
        <v>1429</v>
      </c>
      <c r="E250" s="5">
        <v>20100265550</v>
      </c>
      <c r="F250" s="5" t="s">
        <v>1430</v>
      </c>
      <c r="G250" s="5" t="s">
        <v>1431</v>
      </c>
      <c r="H250" s="5" t="s">
        <v>28</v>
      </c>
      <c r="I250" s="5" t="s">
        <v>28</v>
      </c>
      <c r="J250" s="5" t="s">
        <v>1432</v>
      </c>
      <c r="K250" s="5" t="s">
        <v>1433</v>
      </c>
      <c r="L250" s="5"/>
      <c r="M250" s="5"/>
      <c r="N250" s="5"/>
      <c r="O250" s="5"/>
      <c r="P250" s="5"/>
      <c r="Q250" s="5"/>
      <c r="R250" s="5"/>
      <c r="S250" s="5"/>
      <c r="T250" s="5"/>
      <c r="U250" s="5">
        <v>2730</v>
      </c>
      <c r="V250" s="6">
        <v>43511</v>
      </c>
      <c r="W250" s="5" t="s">
        <v>31</v>
      </c>
      <c r="X250" s="5" t="s">
        <v>1434</v>
      </c>
    </row>
    <row r="251" spans="1:24" ht="27.95" x14ac:dyDescent="0.3">
      <c r="A251" s="3">
        <v>245</v>
      </c>
      <c r="B251" s="3" t="str">
        <f>"1485464"</f>
        <v>1485464</v>
      </c>
      <c r="C251" s="3" t="str">
        <f>"91865"</f>
        <v>91865</v>
      </c>
      <c r="D251" s="3" t="s">
        <v>1435</v>
      </c>
      <c r="E251" s="3">
        <v>20172822801</v>
      </c>
      <c r="F251" s="3" t="s">
        <v>1436</v>
      </c>
      <c r="G251" s="3" t="s">
        <v>1437</v>
      </c>
      <c r="H251" s="3" t="s">
        <v>28</v>
      </c>
      <c r="I251" s="3" t="s">
        <v>72</v>
      </c>
      <c r="J251" s="3" t="s">
        <v>322</v>
      </c>
      <c r="K251" s="3" t="s">
        <v>1438</v>
      </c>
      <c r="L251" s="3" t="s">
        <v>1438</v>
      </c>
      <c r="M251" s="3"/>
      <c r="N251" s="3"/>
      <c r="O251" s="3"/>
      <c r="P251" s="3"/>
      <c r="Q251" s="3"/>
      <c r="R251" s="3"/>
      <c r="S251" s="3"/>
      <c r="T251" s="3"/>
      <c r="U251" s="3">
        <v>8012</v>
      </c>
      <c r="V251" s="4">
        <v>40693</v>
      </c>
      <c r="W251" s="3" t="s">
        <v>31</v>
      </c>
      <c r="X251" s="3" t="s">
        <v>1439</v>
      </c>
    </row>
    <row r="252" spans="1:24" ht="27.95" x14ac:dyDescent="0.3">
      <c r="A252" s="5">
        <v>246</v>
      </c>
      <c r="B252" s="5" t="str">
        <f>"201200190283"</f>
        <v>201200190283</v>
      </c>
      <c r="C252" s="5" t="str">
        <f>"98885"</f>
        <v>98885</v>
      </c>
      <c r="D252" s="5" t="s">
        <v>1440</v>
      </c>
      <c r="E252" s="5">
        <v>20132272418</v>
      </c>
      <c r="F252" s="5" t="s">
        <v>1441</v>
      </c>
      <c r="G252" s="5" t="s">
        <v>1442</v>
      </c>
      <c r="H252" s="5" t="s">
        <v>28</v>
      </c>
      <c r="I252" s="5" t="s">
        <v>28</v>
      </c>
      <c r="J252" s="5" t="s">
        <v>28</v>
      </c>
      <c r="K252" s="5" t="s">
        <v>181</v>
      </c>
      <c r="L252" s="5"/>
      <c r="M252" s="5"/>
      <c r="N252" s="5"/>
      <c r="O252" s="5"/>
      <c r="P252" s="5"/>
      <c r="Q252" s="5"/>
      <c r="R252" s="5"/>
      <c r="S252" s="5"/>
      <c r="T252" s="5"/>
      <c r="U252" s="5">
        <v>5000</v>
      </c>
      <c r="V252" s="6">
        <v>41236</v>
      </c>
      <c r="W252" s="5" t="s">
        <v>31</v>
      </c>
      <c r="X252" s="5" t="s">
        <v>1443</v>
      </c>
    </row>
    <row r="253" spans="1:24" ht="27.95" x14ac:dyDescent="0.3">
      <c r="A253" s="3">
        <v>247</v>
      </c>
      <c r="B253" s="3" t="str">
        <f>"1464084"</f>
        <v>1464084</v>
      </c>
      <c r="C253" s="3" t="str">
        <f>"90552"</f>
        <v>90552</v>
      </c>
      <c r="D253" s="3" t="s">
        <v>1444</v>
      </c>
      <c r="E253" s="3">
        <v>20420680717</v>
      </c>
      <c r="F253" s="3" t="s">
        <v>1445</v>
      </c>
      <c r="G253" s="3" t="s">
        <v>1446</v>
      </c>
      <c r="H253" s="3" t="s">
        <v>28</v>
      </c>
      <c r="I253" s="3" t="s">
        <v>28</v>
      </c>
      <c r="J253" s="3" t="s">
        <v>501</v>
      </c>
      <c r="K253" s="3" t="s">
        <v>1447</v>
      </c>
      <c r="L253" s="3"/>
      <c r="M253" s="3"/>
      <c r="N253" s="3"/>
      <c r="O253" s="3"/>
      <c r="P253" s="3"/>
      <c r="Q253" s="3"/>
      <c r="R253" s="3"/>
      <c r="S253" s="3"/>
      <c r="T253" s="3"/>
      <c r="U253" s="3">
        <v>3100</v>
      </c>
      <c r="V253" s="4">
        <v>40570</v>
      </c>
      <c r="W253" s="3" t="s">
        <v>31</v>
      </c>
      <c r="X253" s="3" t="s">
        <v>1448</v>
      </c>
    </row>
    <row r="254" spans="1:24" x14ac:dyDescent="0.3">
      <c r="A254" s="5">
        <v>248</v>
      </c>
      <c r="B254" s="5" t="str">
        <f>"202000016999"</f>
        <v>202000016999</v>
      </c>
      <c r="C254" s="5" t="str">
        <f>"98691"</f>
        <v>98691</v>
      </c>
      <c r="D254" s="5" t="s">
        <v>1449</v>
      </c>
      <c r="E254" s="5">
        <v>20481939861</v>
      </c>
      <c r="F254" s="5" t="s">
        <v>1450</v>
      </c>
      <c r="G254" s="5" t="s">
        <v>1451</v>
      </c>
      <c r="H254" s="5" t="s">
        <v>36</v>
      </c>
      <c r="I254" s="5" t="s">
        <v>234</v>
      </c>
      <c r="J254" s="5" t="s">
        <v>998</v>
      </c>
      <c r="K254" s="5" t="s">
        <v>1452</v>
      </c>
      <c r="L254" s="5"/>
      <c r="M254" s="5"/>
      <c r="N254" s="5"/>
      <c r="O254" s="5"/>
      <c r="P254" s="5"/>
      <c r="Q254" s="5"/>
      <c r="R254" s="5"/>
      <c r="S254" s="5"/>
      <c r="T254" s="5"/>
      <c r="U254" s="5">
        <v>3300</v>
      </c>
      <c r="V254" s="6">
        <v>43865</v>
      </c>
      <c r="W254" s="5" t="s">
        <v>31</v>
      </c>
      <c r="X254" s="5" t="s">
        <v>1453</v>
      </c>
    </row>
    <row r="255" spans="1:24" x14ac:dyDescent="0.3">
      <c r="A255" s="3">
        <v>249</v>
      </c>
      <c r="B255" s="3" t="str">
        <f>"201600076831"</f>
        <v>201600076831</v>
      </c>
      <c r="C255" s="3" t="str">
        <f>"1025"</f>
        <v>1025</v>
      </c>
      <c r="D255" s="3" t="s">
        <v>1454</v>
      </c>
      <c r="E255" s="3">
        <v>20512868046</v>
      </c>
      <c r="F255" s="3" t="s">
        <v>1455</v>
      </c>
      <c r="G255" s="3" t="s">
        <v>1456</v>
      </c>
      <c r="H255" s="3" t="s">
        <v>135</v>
      </c>
      <c r="I255" s="3" t="s">
        <v>943</v>
      </c>
      <c r="J255" s="3" t="s">
        <v>944</v>
      </c>
      <c r="K255" s="3" t="s">
        <v>1457</v>
      </c>
      <c r="L255" s="3" t="s">
        <v>1458</v>
      </c>
      <c r="M255" s="3" t="s">
        <v>1459</v>
      </c>
      <c r="N255" s="3" t="s">
        <v>1460</v>
      </c>
      <c r="O255" s="3"/>
      <c r="P255" s="3"/>
      <c r="Q255" s="3"/>
      <c r="R255" s="3"/>
      <c r="S255" s="3"/>
      <c r="T255" s="3"/>
      <c r="U255" s="3">
        <v>193866</v>
      </c>
      <c r="V255" s="4">
        <v>42543</v>
      </c>
      <c r="W255" s="3" t="s">
        <v>31</v>
      </c>
      <c r="X255" s="3" t="s">
        <v>1461</v>
      </c>
    </row>
    <row r="256" spans="1:24" ht="27.95" x14ac:dyDescent="0.3">
      <c r="A256" s="5">
        <v>250</v>
      </c>
      <c r="B256" s="5" t="str">
        <f>"201100162180"</f>
        <v>201100162180</v>
      </c>
      <c r="C256" s="5" t="str">
        <f>"94460"</f>
        <v>94460</v>
      </c>
      <c r="D256" s="5" t="s">
        <v>1462</v>
      </c>
      <c r="E256" s="5">
        <v>20101206085</v>
      </c>
      <c r="F256" s="5" t="s">
        <v>1463</v>
      </c>
      <c r="G256" s="5" t="s">
        <v>1464</v>
      </c>
      <c r="H256" s="5" t="s">
        <v>28</v>
      </c>
      <c r="I256" s="5" t="s">
        <v>28</v>
      </c>
      <c r="J256" s="5" t="s">
        <v>409</v>
      </c>
      <c r="K256" s="5" t="s">
        <v>1465</v>
      </c>
      <c r="L256" s="5" t="s">
        <v>1466</v>
      </c>
      <c r="M256" s="5" t="s">
        <v>1467</v>
      </c>
      <c r="N256" s="5" t="s">
        <v>1468</v>
      </c>
      <c r="O256" s="5"/>
      <c r="P256" s="5"/>
      <c r="Q256" s="5"/>
      <c r="R256" s="5"/>
      <c r="S256" s="5"/>
      <c r="T256" s="5"/>
      <c r="U256" s="5">
        <v>5830</v>
      </c>
      <c r="V256" s="6">
        <v>40886</v>
      </c>
      <c r="W256" s="5" t="s">
        <v>31</v>
      </c>
      <c r="X256" s="5" t="s">
        <v>1469</v>
      </c>
    </row>
    <row r="257" spans="1:24" x14ac:dyDescent="0.3">
      <c r="A257" s="3">
        <v>251</v>
      </c>
      <c r="B257" s="3" t="str">
        <f>"201600078979"</f>
        <v>201600078979</v>
      </c>
      <c r="C257" s="3" t="str">
        <f>"83669"</f>
        <v>83669</v>
      </c>
      <c r="D257" s="3" t="s">
        <v>1470</v>
      </c>
      <c r="E257" s="3">
        <v>20100120314</v>
      </c>
      <c r="F257" s="3" t="s">
        <v>1471</v>
      </c>
      <c r="G257" s="3" t="s">
        <v>1472</v>
      </c>
      <c r="H257" s="3" t="s">
        <v>285</v>
      </c>
      <c r="I257" s="3" t="s">
        <v>1473</v>
      </c>
      <c r="J257" s="3" t="s">
        <v>1474</v>
      </c>
      <c r="K257" s="3" t="s">
        <v>110</v>
      </c>
      <c r="L257" s="3" t="s">
        <v>1475</v>
      </c>
      <c r="M257" s="3" t="s">
        <v>110</v>
      </c>
      <c r="N257" s="3" t="s">
        <v>1476</v>
      </c>
      <c r="O257" s="3" t="s">
        <v>110</v>
      </c>
      <c r="P257" s="3" t="s">
        <v>397</v>
      </c>
      <c r="Q257" s="3" t="s">
        <v>110</v>
      </c>
      <c r="R257" s="3" t="s">
        <v>1477</v>
      </c>
      <c r="S257" s="3" t="s">
        <v>1475</v>
      </c>
      <c r="T257" s="3"/>
      <c r="U257" s="3">
        <v>147500</v>
      </c>
      <c r="V257" s="4">
        <v>42539</v>
      </c>
      <c r="W257" s="3" t="s">
        <v>31</v>
      </c>
      <c r="X257" s="3" t="s">
        <v>1478</v>
      </c>
    </row>
    <row r="258" spans="1:24" x14ac:dyDescent="0.3">
      <c r="A258" s="5">
        <v>252</v>
      </c>
      <c r="B258" s="5" t="str">
        <f>"1210576"</f>
        <v>1210576</v>
      </c>
      <c r="C258" s="5" t="str">
        <f>"15200"</f>
        <v>15200</v>
      </c>
      <c r="D258" s="5">
        <v>961286</v>
      </c>
      <c r="E258" s="5">
        <v>20100562848</v>
      </c>
      <c r="F258" s="5" t="s">
        <v>1479</v>
      </c>
      <c r="G258" s="5" t="s">
        <v>1480</v>
      </c>
      <c r="H258" s="5" t="s">
        <v>28</v>
      </c>
      <c r="I258" s="5" t="s">
        <v>28</v>
      </c>
      <c r="J258" s="5" t="s">
        <v>28</v>
      </c>
      <c r="K258" s="5" t="s">
        <v>1481</v>
      </c>
      <c r="L258" s="5" t="s">
        <v>1482</v>
      </c>
      <c r="M258" s="5"/>
      <c r="N258" s="5"/>
      <c r="O258" s="5"/>
      <c r="P258" s="5"/>
      <c r="Q258" s="5"/>
      <c r="R258" s="5"/>
      <c r="S258" s="5"/>
      <c r="T258" s="5"/>
      <c r="U258" s="5">
        <v>37190</v>
      </c>
      <c r="V258" s="6">
        <v>36112</v>
      </c>
      <c r="W258" s="5" t="s">
        <v>31</v>
      </c>
      <c r="X258" s="5" t="s">
        <v>1483</v>
      </c>
    </row>
    <row r="259" spans="1:24" ht="27.95" x14ac:dyDescent="0.3">
      <c r="A259" s="3">
        <v>253</v>
      </c>
      <c r="B259" s="3" t="str">
        <f>"201500137549"</f>
        <v>201500137549</v>
      </c>
      <c r="C259" s="3" t="str">
        <f>"110100"</f>
        <v>110100</v>
      </c>
      <c r="D259" s="3" t="s">
        <v>1484</v>
      </c>
      <c r="E259" s="3">
        <v>20101026001</v>
      </c>
      <c r="F259" s="3" t="s">
        <v>1485</v>
      </c>
      <c r="G259" s="3" t="s">
        <v>1486</v>
      </c>
      <c r="H259" s="3" t="s">
        <v>28</v>
      </c>
      <c r="I259" s="3" t="s">
        <v>28</v>
      </c>
      <c r="J259" s="3" t="s">
        <v>501</v>
      </c>
      <c r="K259" s="3" t="s">
        <v>181</v>
      </c>
      <c r="L259" s="3"/>
      <c r="M259" s="3"/>
      <c r="N259" s="3"/>
      <c r="O259" s="3"/>
      <c r="P259" s="3"/>
      <c r="Q259" s="3"/>
      <c r="R259" s="3"/>
      <c r="S259" s="3"/>
      <c r="T259" s="3"/>
      <c r="U259" s="3">
        <v>5000</v>
      </c>
      <c r="V259" s="4">
        <v>42353</v>
      </c>
      <c r="W259" s="3" t="s">
        <v>31</v>
      </c>
      <c r="X259" s="3" t="s">
        <v>1487</v>
      </c>
    </row>
    <row r="260" spans="1:24" x14ac:dyDescent="0.3">
      <c r="A260" s="5">
        <v>254</v>
      </c>
      <c r="B260" s="5" t="str">
        <f>"1588147"</f>
        <v>1588147</v>
      </c>
      <c r="C260" s="5" t="str">
        <f>"18758"</f>
        <v>18758</v>
      </c>
      <c r="D260" s="5" t="s">
        <v>1488</v>
      </c>
      <c r="E260" s="5">
        <v>20101155405</v>
      </c>
      <c r="F260" s="5" t="s">
        <v>1489</v>
      </c>
      <c r="G260" s="5" t="s">
        <v>1490</v>
      </c>
      <c r="H260" s="5" t="s">
        <v>28</v>
      </c>
      <c r="I260" s="5" t="s">
        <v>28</v>
      </c>
      <c r="J260" s="5" t="s">
        <v>436</v>
      </c>
      <c r="K260" s="5" t="s">
        <v>1491</v>
      </c>
      <c r="L260" s="5" t="s">
        <v>1492</v>
      </c>
      <c r="M260" s="5"/>
      <c r="N260" s="5"/>
      <c r="O260" s="5"/>
      <c r="P260" s="5"/>
      <c r="Q260" s="5"/>
      <c r="R260" s="5"/>
      <c r="S260" s="5"/>
      <c r="T260" s="5"/>
      <c r="U260" s="5">
        <v>6600</v>
      </c>
      <c r="V260" s="6">
        <v>38758</v>
      </c>
      <c r="W260" s="5" t="s">
        <v>31</v>
      </c>
      <c r="X260" s="5" t="s">
        <v>1493</v>
      </c>
    </row>
    <row r="261" spans="1:24" ht="41.95" x14ac:dyDescent="0.3">
      <c r="A261" s="3">
        <v>255</v>
      </c>
      <c r="B261" s="3" t="str">
        <f>"202000105866"</f>
        <v>202000105866</v>
      </c>
      <c r="C261" s="3" t="str">
        <f>"150688"</f>
        <v>150688</v>
      </c>
      <c r="D261" s="3" t="s">
        <v>1494</v>
      </c>
      <c r="E261" s="3">
        <v>20557410008</v>
      </c>
      <c r="F261" s="3" t="s">
        <v>1495</v>
      </c>
      <c r="G261" s="3" t="s">
        <v>1496</v>
      </c>
      <c r="H261" s="3" t="s">
        <v>28</v>
      </c>
      <c r="I261" s="3" t="s">
        <v>28</v>
      </c>
      <c r="J261" s="3" t="s">
        <v>545</v>
      </c>
      <c r="K261" s="3" t="s">
        <v>1497</v>
      </c>
      <c r="L261" s="3"/>
      <c r="M261" s="3"/>
      <c r="N261" s="3"/>
      <c r="O261" s="3"/>
      <c r="P261" s="3"/>
      <c r="Q261" s="3"/>
      <c r="R261" s="3"/>
      <c r="S261" s="3"/>
      <c r="T261" s="3"/>
      <c r="U261" s="3">
        <v>2640</v>
      </c>
      <c r="V261" s="4">
        <v>44074</v>
      </c>
      <c r="W261" s="3" t="s">
        <v>31</v>
      </c>
      <c r="X261" s="3" t="s">
        <v>1498</v>
      </c>
    </row>
    <row r="262" spans="1:24" x14ac:dyDescent="0.3">
      <c r="A262" s="5">
        <v>256</v>
      </c>
      <c r="B262" s="5" t="str">
        <f>"201900173808"</f>
        <v>201900173808</v>
      </c>
      <c r="C262" s="5" t="str">
        <f>"147340"</f>
        <v>147340</v>
      </c>
      <c r="D262" s="5" t="s">
        <v>1499</v>
      </c>
      <c r="E262" s="5">
        <v>20498189637</v>
      </c>
      <c r="F262" s="5" t="s">
        <v>1500</v>
      </c>
      <c r="G262" s="5" t="s">
        <v>1501</v>
      </c>
      <c r="H262" s="5" t="s">
        <v>214</v>
      </c>
      <c r="I262" s="5" t="s">
        <v>214</v>
      </c>
      <c r="J262" s="5" t="s">
        <v>1502</v>
      </c>
      <c r="K262" s="5" t="s">
        <v>181</v>
      </c>
      <c r="L262" s="5"/>
      <c r="M262" s="5"/>
      <c r="N262" s="5"/>
      <c r="O262" s="5"/>
      <c r="P262" s="5"/>
      <c r="Q262" s="5"/>
      <c r="R262" s="5"/>
      <c r="S262" s="5"/>
      <c r="T262" s="5"/>
      <c r="U262" s="5">
        <v>5000</v>
      </c>
      <c r="V262" s="6">
        <v>43845</v>
      </c>
      <c r="W262" s="5" t="s">
        <v>31</v>
      </c>
      <c r="X262" s="5" t="s">
        <v>1503</v>
      </c>
    </row>
    <row r="263" spans="1:24" x14ac:dyDescent="0.3">
      <c r="A263" s="3">
        <v>257</v>
      </c>
      <c r="B263" s="3" t="str">
        <f>"1751908"</f>
        <v>1751908</v>
      </c>
      <c r="C263" s="3" t="str">
        <f>"1214"</f>
        <v>1214</v>
      </c>
      <c r="D263" s="3" t="s">
        <v>1504</v>
      </c>
      <c r="E263" s="3">
        <v>20493632141</v>
      </c>
      <c r="F263" s="3" t="s">
        <v>1505</v>
      </c>
      <c r="G263" s="3" t="s">
        <v>1506</v>
      </c>
      <c r="H263" s="3" t="s">
        <v>58</v>
      </c>
      <c r="I263" s="3" t="s">
        <v>59</v>
      </c>
      <c r="J263" s="3" t="s">
        <v>60</v>
      </c>
      <c r="K263" s="3" t="s">
        <v>1507</v>
      </c>
      <c r="L263" s="3"/>
      <c r="M263" s="3"/>
      <c r="N263" s="3"/>
      <c r="O263" s="3"/>
      <c r="P263" s="3"/>
      <c r="Q263" s="3"/>
      <c r="R263" s="3"/>
      <c r="S263" s="3"/>
      <c r="T263" s="3"/>
      <c r="U263" s="3">
        <v>500</v>
      </c>
      <c r="V263" s="4">
        <v>39457</v>
      </c>
      <c r="W263" s="3" t="s">
        <v>31</v>
      </c>
      <c r="X263" s="3" t="s">
        <v>1508</v>
      </c>
    </row>
    <row r="264" spans="1:24" ht="27.95" x14ac:dyDescent="0.3">
      <c r="A264" s="5">
        <v>258</v>
      </c>
      <c r="B264" s="5" t="str">
        <f>"201700019423"</f>
        <v>201700019423</v>
      </c>
      <c r="C264" s="5" t="str">
        <f>"44598"</f>
        <v>44598</v>
      </c>
      <c r="D264" s="5" t="s">
        <v>1509</v>
      </c>
      <c r="E264" s="5">
        <v>20403002101</v>
      </c>
      <c r="F264" s="5" t="s">
        <v>1510</v>
      </c>
      <c r="G264" s="5" t="s">
        <v>1511</v>
      </c>
      <c r="H264" s="5" t="s">
        <v>285</v>
      </c>
      <c r="I264" s="5" t="s">
        <v>286</v>
      </c>
      <c r="J264" s="5" t="s">
        <v>1512</v>
      </c>
      <c r="K264" s="5" t="s">
        <v>110</v>
      </c>
      <c r="L264" s="5" t="s">
        <v>1513</v>
      </c>
      <c r="M264" s="5"/>
      <c r="N264" s="5"/>
      <c r="O264" s="5"/>
      <c r="P264" s="5"/>
      <c r="Q264" s="5"/>
      <c r="R264" s="5"/>
      <c r="S264" s="5"/>
      <c r="T264" s="5"/>
      <c r="U264" s="5">
        <v>9800</v>
      </c>
      <c r="V264" s="6">
        <v>42776</v>
      </c>
      <c r="W264" s="5" t="s">
        <v>31</v>
      </c>
      <c r="X264" s="5" t="s">
        <v>1514</v>
      </c>
    </row>
    <row r="265" spans="1:24" ht="27.95" x14ac:dyDescent="0.3">
      <c r="A265" s="3">
        <v>259</v>
      </c>
      <c r="B265" s="3" t="str">
        <f>"1734577"</f>
        <v>1734577</v>
      </c>
      <c r="C265" s="3" t="str">
        <f>"44293"</f>
        <v>44293</v>
      </c>
      <c r="D265" s="3" t="s">
        <v>1515</v>
      </c>
      <c r="E265" s="3">
        <v>20119407738</v>
      </c>
      <c r="F265" s="3" t="s">
        <v>1516</v>
      </c>
      <c r="G265" s="3" t="s">
        <v>1517</v>
      </c>
      <c r="H265" s="3" t="s">
        <v>28</v>
      </c>
      <c r="I265" s="3" t="s">
        <v>28</v>
      </c>
      <c r="J265" s="3" t="s">
        <v>202</v>
      </c>
      <c r="K265" s="3" t="s">
        <v>1518</v>
      </c>
      <c r="L265" s="3" t="s">
        <v>1518</v>
      </c>
      <c r="M265" s="3"/>
      <c r="N265" s="3"/>
      <c r="O265" s="3"/>
      <c r="P265" s="3"/>
      <c r="Q265" s="3"/>
      <c r="R265" s="3"/>
      <c r="S265" s="3"/>
      <c r="T265" s="3"/>
      <c r="U265" s="3">
        <v>13670</v>
      </c>
      <c r="V265" s="4">
        <v>39405</v>
      </c>
      <c r="W265" s="3" t="s">
        <v>31</v>
      </c>
      <c r="X265" s="3" t="s">
        <v>1519</v>
      </c>
    </row>
    <row r="266" spans="1:24" x14ac:dyDescent="0.3">
      <c r="A266" s="5">
        <v>260</v>
      </c>
      <c r="B266" s="5" t="str">
        <f>"201200188798"</f>
        <v>201200188798</v>
      </c>
      <c r="C266" s="5" t="str">
        <f>"432"</f>
        <v>432</v>
      </c>
      <c r="D266" s="5" t="s">
        <v>1520</v>
      </c>
      <c r="E266" s="5">
        <v>20100137390</v>
      </c>
      <c r="F266" s="5" t="s">
        <v>718</v>
      </c>
      <c r="G266" s="5" t="s">
        <v>1521</v>
      </c>
      <c r="H266" s="5" t="s">
        <v>566</v>
      </c>
      <c r="I266" s="5" t="s">
        <v>1522</v>
      </c>
      <c r="J266" s="5" t="s">
        <v>1523</v>
      </c>
      <c r="K266" s="5" t="s">
        <v>1524</v>
      </c>
      <c r="L266" s="5" t="s">
        <v>1524</v>
      </c>
      <c r="M266" s="5" t="s">
        <v>1525</v>
      </c>
      <c r="N266" s="5" t="s">
        <v>1526</v>
      </c>
      <c r="O266" s="5" t="s">
        <v>1527</v>
      </c>
      <c r="P266" s="5" t="s">
        <v>1528</v>
      </c>
      <c r="Q266" s="5" t="s">
        <v>1529</v>
      </c>
      <c r="R266" s="5" t="s">
        <v>1530</v>
      </c>
      <c r="S266" s="5" t="s">
        <v>1531</v>
      </c>
      <c r="T266" s="5"/>
      <c r="U266" s="5">
        <v>837336</v>
      </c>
      <c r="V266" s="6">
        <v>41204</v>
      </c>
      <c r="W266" s="5" t="s">
        <v>31</v>
      </c>
      <c r="X266" s="5" t="s">
        <v>1532</v>
      </c>
    </row>
    <row r="267" spans="1:24" x14ac:dyDescent="0.3">
      <c r="A267" s="3">
        <v>261</v>
      </c>
      <c r="B267" s="3" t="str">
        <f>"1117188"</f>
        <v>1117188</v>
      </c>
      <c r="C267" s="3" t="str">
        <f>"972"</f>
        <v>972</v>
      </c>
      <c r="D267" s="3">
        <v>1042689</v>
      </c>
      <c r="E267" s="3">
        <v>20100013232</v>
      </c>
      <c r="F267" s="3" t="s">
        <v>1533</v>
      </c>
      <c r="G267" s="3" t="s">
        <v>1534</v>
      </c>
      <c r="H267" s="3" t="s">
        <v>115</v>
      </c>
      <c r="I267" s="3" t="s">
        <v>115</v>
      </c>
      <c r="J267" s="3" t="s">
        <v>159</v>
      </c>
      <c r="K267" s="3" t="s">
        <v>323</v>
      </c>
      <c r="L267" s="3"/>
      <c r="M267" s="3"/>
      <c r="N267" s="3"/>
      <c r="O267" s="3"/>
      <c r="P267" s="3"/>
      <c r="Q267" s="3"/>
      <c r="R267" s="3"/>
      <c r="S267" s="3"/>
      <c r="T267" s="3"/>
      <c r="U267" s="3">
        <v>4000</v>
      </c>
      <c r="V267" s="4">
        <v>35550</v>
      </c>
      <c r="W267" s="3" t="s">
        <v>31</v>
      </c>
      <c r="X267" s="3" t="s">
        <v>1535</v>
      </c>
    </row>
    <row r="268" spans="1:24" x14ac:dyDescent="0.3">
      <c r="A268" s="5">
        <v>262</v>
      </c>
      <c r="B268" s="5" t="str">
        <f>"202000081160"</f>
        <v>202000081160</v>
      </c>
      <c r="C268" s="5" t="str">
        <f>"20192"</f>
        <v>20192</v>
      </c>
      <c r="D268" s="5" t="s">
        <v>1536</v>
      </c>
      <c r="E268" s="5">
        <v>20110378956</v>
      </c>
      <c r="F268" s="5" t="s">
        <v>1537</v>
      </c>
      <c r="G268" s="5" t="s">
        <v>1538</v>
      </c>
      <c r="H268" s="5" t="s">
        <v>80</v>
      </c>
      <c r="I268" s="5" t="s">
        <v>80</v>
      </c>
      <c r="J268" s="5" t="s">
        <v>1023</v>
      </c>
      <c r="K268" s="5" t="s">
        <v>1539</v>
      </c>
      <c r="L268" s="5"/>
      <c r="M268" s="5"/>
      <c r="N268" s="5"/>
      <c r="O268" s="5"/>
      <c r="P268" s="5"/>
      <c r="Q268" s="5"/>
      <c r="R268" s="5"/>
      <c r="S268" s="5"/>
      <c r="T268" s="5"/>
      <c r="U268" s="5">
        <v>18400</v>
      </c>
      <c r="V268" s="6">
        <v>44025</v>
      </c>
      <c r="W268" s="5" t="s">
        <v>31</v>
      </c>
      <c r="X268" s="5" t="s">
        <v>1540</v>
      </c>
    </row>
    <row r="269" spans="1:24" ht="27.95" x14ac:dyDescent="0.3">
      <c r="A269" s="3">
        <v>263</v>
      </c>
      <c r="B269" s="3" t="str">
        <f>"201900142230"</f>
        <v>201900142230</v>
      </c>
      <c r="C269" s="3" t="str">
        <f>"61781"</f>
        <v>61781</v>
      </c>
      <c r="D269" s="3" t="s">
        <v>1541</v>
      </c>
      <c r="E269" s="3">
        <v>20504968996</v>
      </c>
      <c r="F269" s="3" t="s">
        <v>1542</v>
      </c>
      <c r="G269" s="3" t="s">
        <v>1543</v>
      </c>
      <c r="H269" s="3" t="s">
        <v>285</v>
      </c>
      <c r="I269" s="3" t="s">
        <v>286</v>
      </c>
      <c r="J269" s="3" t="s">
        <v>470</v>
      </c>
      <c r="K269" s="3" t="s">
        <v>1491</v>
      </c>
      <c r="L269" s="3" t="s">
        <v>1544</v>
      </c>
      <c r="M269" s="3"/>
      <c r="N269" s="3"/>
      <c r="O269" s="3"/>
      <c r="P269" s="3"/>
      <c r="Q269" s="3"/>
      <c r="R269" s="3"/>
      <c r="S269" s="3"/>
      <c r="T269" s="3"/>
      <c r="U269" s="3">
        <v>4212</v>
      </c>
      <c r="V269" s="4">
        <v>43724</v>
      </c>
      <c r="W269" s="3" t="s">
        <v>31</v>
      </c>
      <c r="X269" s="3" t="s">
        <v>1545</v>
      </c>
    </row>
    <row r="270" spans="1:24" ht="27.95" x14ac:dyDescent="0.3">
      <c r="A270" s="5">
        <v>264</v>
      </c>
      <c r="B270" s="5" t="str">
        <f>"1876633"</f>
        <v>1876633</v>
      </c>
      <c r="C270" s="5" t="str">
        <f>"83266"</f>
        <v>83266</v>
      </c>
      <c r="D270" s="5" t="s">
        <v>1546</v>
      </c>
      <c r="E270" s="5">
        <v>20100047722</v>
      </c>
      <c r="F270" s="5" t="s">
        <v>1547</v>
      </c>
      <c r="G270" s="5" t="s">
        <v>1548</v>
      </c>
      <c r="H270" s="5" t="s">
        <v>115</v>
      </c>
      <c r="I270" s="5" t="s">
        <v>115</v>
      </c>
      <c r="J270" s="5" t="s">
        <v>159</v>
      </c>
      <c r="K270" s="5" t="s">
        <v>1549</v>
      </c>
      <c r="L270" s="5" t="s">
        <v>1549</v>
      </c>
      <c r="M270" s="5" t="s">
        <v>1550</v>
      </c>
      <c r="N270" s="5" t="s">
        <v>1551</v>
      </c>
      <c r="O270" s="5" t="s">
        <v>1552</v>
      </c>
      <c r="P270" s="5" t="s">
        <v>1553</v>
      </c>
      <c r="Q270" s="5" t="s">
        <v>1554</v>
      </c>
      <c r="R270" s="5"/>
      <c r="S270" s="5"/>
      <c r="T270" s="5"/>
      <c r="U270" s="5">
        <v>86240</v>
      </c>
      <c r="V270" s="6">
        <v>39927</v>
      </c>
      <c r="W270" s="5" t="s">
        <v>31</v>
      </c>
      <c r="X270" s="5" t="s">
        <v>1555</v>
      </c>
    </row>
    <row r="271" spans="1:24" ht="27.95" x14ac:dyDescent="0.3">
      <c r="A271" s="3">
        <v>265</v>
      </c>
      <c r="B271" s="3" t="str">
        <f>"201800054590"</f>
        <v>201800054590</v>
      </c>
      <c r="C271" s="3" t="str">
        <f>"95703"</f>
        <v>95703</v>
      </c>
      <c r="D271" s="3" t="s">
        <v>1556</v>
      </c>
      <c r="E271" s="3">
        <v>20525538738</v>
      </c>
      <c r="F271" s="3" t="s">
        <v>1557</v>
      </c>
      <c r="G271" s="3" t="s">
        <v>1558</v>
      </c>
      <c r="H271" s="3" t="s">
        <v>80</v>
      </c>
      <c r="I271" s="3" t="s">
        <v>192</v>
      </c>
      <c r="J271" s="3" t="s">
        <v>1559</v>
      </c>
      <c r="K271" s="3" t="s">
        <v>1560</v>
      </c>
      <c r="L271" s="3"/>
      <c r="M271" s="3"/>
      <c r="N271" s="3"/>
      <c r="O271" s="3"/>
      <c r="P271" s="3"/>
      <c r="Q271" s="3"/>
      <c r="R271" s="3"/>
      <c r="S271" s="3"/>
      <c r="T271" s="3"/>
      <c r="U271" s="3">
        <v>21300</v>
      </c>
      <c r="V271" s="4">
        <v>43202</v>
      </c>
      <c r="W271" s="3" t="s">
        <v>31</v>
      </c>
      <c r="X271" s="3" t="s">
        <v>1561</v>
      </c>
    </row>
    <row r="272" spans="1:24" ht="41.95" x14ac:dyDescent="0.3">
      <c r="A272" s="5">
        <v>266</v>
      </c>
      <c r="B272" s="5" t="str">
        <f>"201400049626"</f>
        <v>201400049626</v>
      </c>
      <c r="C272" s="5" t="str">
        <f>"107334"</f>
        <v>107334</v>
      </c>
      <c r="D272" s="5" t="s">
        <v>1562</v>
      </c>
      <c r="E272" s="5">
        <v>20123499558</v>
      </c>
      <c r="F272" s="5" t="s">
        <v>1563</v>
      </c>
      <c r="G272" s="5" t="s">
        <v>1564</v>
      </c>
      <c r="H272" s="5" t="s">
        <v>28</v>
      </c>
      <c r="I272" s="5" t="s">
        <v>28</v>
      </c>
      <c r="J272" s="5" t="s">
        <v>1565</v>
      </c>
      <c r="K272" s="5" t="s">
        <v>110</v>
      </c>
      <c r="L272" s="5"/>
      <c r="M272" s="5"/>
      <c r="N272" s="5"/>
      <c r="O272" s="5"/>
      <c r="P272" s="5"/>
      <c r="Q272" s="5"/>
      <c r="R272" s="5"/>
      <c r="S272" s="5"/>
      <c r="T272" s="5"/>
      <c r="U272" s="5">
        <v>4000</v>
      </c>
      <c r="V272" s="6">
        <v>41789</v>
      </c>
      <c r="W272" s="5" t="s">
        <v>31</v>
      </c>
      <c r="X272" s="5" t="s">
        <v>1566</v>
      </c>
    </row>
    <row r="273" spans="1:24" ht="41.95" x14ac:dyDescent="0.3">
      <c r="A273" s="3">
        <v>267</v>
      </c>
      <c r="B273" s="3" t="str">
        <f>"201400006854"</f>
        <v>201400006854</v>
      </c>
      <c r="C273" s="3" t="str">
        <f>"1482"</f>
        <v>1482</v>
      </c>
      <c r="D273" s="3" t="s">
        <v>1567</v>
      </c>
      <c r="E273" s="3">
        <v>20493130120</v>
      </c>
      <c r="F273" s="3" t="s">
        <v>1568</v>
      </c>
      <c r="G273" s="3" t="s">
        <v>1569</v>
      </c>
      <c r="H273" s="3" t="s">
        <v>51</v>
      </c>
      <c r="I273" s="3" t="s">
        <v>51</v>
      </c>
      <c r="J273" s="3" t="s">
        <v>241</v>
      </c>
      <c r="K273" s="3" t="s">
        <v>1570</v>
      </c>
      <c r="L273" s="3"/>
      <c r="M273" s="3"/>
      <c r="N273" s="3"/>
      <c r="O273" s="3"/>
      <c r="P273" s="3"/>
      <c r="Q273" s="3"/>
      <c r="R273" s="3"/>
      <c r="S273" s="3"/>
      <c r="T273" s="3"/>
      <c r="U273" s="3">
        <v>9000</v>
      </c>
      <c r="V273" s="4">
        <v>41661</v>
      </c>
      <c r="W273" s="3" t="s">
        <v>31</v>
      </c>
      <c r="X273" s="3" t="s">
        <v>1571</v>
      </c>
    </row>
    <row r="274" spans="1:24" ht="41.95" x14ac:dyDescent="0.3">
      <c r="A274" s="5">
        <v>268</v>
      </c>
      <c r="B274" s="5" t="str">
        <f>"201800117322"</f>
        <v>201800117322</v>
      </c>
      <c r="C274" s="5" t="str">
        <f>"119237"</f>
        <v>119237</v>
      </c>
      <c r="D274" s="5" t="s">
        <v>1572</v>
      </c>
      <c r="E274" s="5">
        <v>20536126440</v>
      </c>
      <c r="F274" s="5" t="s">
        <v>1573</v>
      </c>
      <c r="G274" s="5" t="s">
        <v>1574</v>
      </c>
      <c r="H274" s="5" t="s">
        <v>743</v>
      </c>
      <c r="I274" s="5" t="s">
        <v>1575</v>
      </c>
      <c r="J274" s="5" t="s">
        <v>1576</v>
      </c>
      <c r="K274" s="5" t="s">
        <v>1577</v>
      </c>
      <c r="L274" s="5"/>
      <c r="M274" s="5"/>
      <c r="N274" s="5"/>
      <c r="O274" s="5"/>
      <c r="P274" s="5"/>
      <c r="Q274" s="5"/>
      <c r="R274" s="5"/>
      <c r="S274" s="5"/>
      <c r="T274" s="5"/>
      <c r="U274" s="5">
        <v>11000</v>
      </c>
      <c r="V274" s="6">
        <v>43301</v>
      </c>
      <c r="W274" s="5" t="s">
        <v>31</v>
      </c>
      <c r="X274" s="5" t="s">
        <v>1578</v>
      </c>
    </row>
    <row r="275" spans="1:24" ht="27.95" x14ac:dyDescent="0.3">
      <c r="A275" s="3">
        <v>269</v>
      </c>
      <c r="B275" s="3" t="str">
        <f>"1109108"</f>
        <v>1109108</v>
      </c>
      <c r="C275" s="3" t="str">
        <f>"1146"</f>
        <v>1146</v>
      </c>
      <c r="D275" s="3">
        <v>1109108</v>
      </c>
      <c r="E275" s="3">
        <v>20132269549</v>
      </c>
      <c r="F275" s="3" t="s">
        <v>1579</v>
      </c>
      <c r="G275" s="3" t="s">
        <v>1580</v>
      </c>
      <c r="H275" s="3" t="s">
        <v>36</v>
      </c>
      <c r="I275" s="3" t="s">
        <v>234</v>
      </c>
      <c r="J275" s="3" t="s">
        <v>234</v>
      </c>
      <c r="K275" s="3" t="s">
        <v>421</v>
      </c>
      <c r="L275" s="3"/>
      <c r="M275" s="3"/>
      <c r="N275" s="3"/>
      <c r="O275" s="3"/>
      <c r="P275" s="3"/>
      <c r="Q275" s="3"/>
      <c r="R275" s="3"/>
      <c r="S275" s="3"/>
      <c r="T275" s="3"/>
      <c r="U275" s="3">
        <v>5000</v>
      </c>
      <c r="V275" s="4">
        <v>35664</v>
      </c>
      <c r="W275" s="3" t="s">
        <v>31</v>
      </c>
      <c r="X275" s="3" t="s">
        <v>1581</v>
      </c>
    </row>
    <row r="276" spans="1:24" ht="41.95" x14ac:dyDescent="0.3">
      <c r="A276" s="5">
        <v>270</v>
      </c>
      <c r="B276" s="5" t="str">
        <f>"1982715"</f>
        <v>1982715</v>
      </c>
      <c r="C276" s="5" t="str">
        <f>"86164"</f>
        <v>86164</v>
      </c>
      <c r="D276" s="5" t="s">
        <v>1582</v>
      </c>
      <c r="E276" s="5">
        <v>20503181925</v>
      </c>
      <c r="F276" s="5" t="s">
        <v>1583</v>
      </c>
      <c r="G276" s="5" t="s">
        <v>1584</v>
      </c>
      <c r="H276" s="5" t="s">
        <v>28</v>
      </c>
      <c r="I276" s="5" t="s">
        <v>72</v>
      </c>
      <c r="J276" s="5" t="s">
        <v>322</v>
      </c>
      <c r="K276" s="5" t="s">
        <v>236</v>
      </c>
      <c r="L276" s="5"/>
      <c r="M276" s="5"/>
      <c r="N276" s="5"/>
      <c r="O276" s="5"/>
      <c r="P276" s="5"/>
      <c r="Q276" s="5"/>
      <c r="R276" s="5"/>
      <c r="S276" s="5"/>
      <c r="T276" s="5"/>
      <c r="U276" s="5">
        <v>4500</v>
      </c>
      <c r="V276" s="6">
        <v>40289</v>
      </c>
      <c r="W276" s="5" t="s">
        <v>31</v>
      </c>
      <c r="X276" s="5" t="s">
        <v>1585</v>
      </c>
    </row>
    <row r="277" spans="1:24" x14ac:dyDescent="0.3">
      <c r="A277" s="3">
        <v>271</v>
      </c>
      <c r="B277" s="3" t="str">
        <f>"1243777"</f>
        <v>1243777</v>
      </c>
      <c r="C277" s="3" t="str">
        <f>"16520"</f>
        <v>16520</v>
      </c>
      <c r="D277" s="3">
        <v>990025</v>
      </c>
      <c r="E277" s="3">
        <v>20418141281</v>
      </c>
      <c r="F277" s="3" t="s">
        <v>1586</v>
      </c>
      <c r="G277" s="3" t="s">
        <v>1587</v>
      </c>
      <c r="H277" s="3" t="s">
        <v>28</v>
      </c>
      <c r="I277" s="3" t="s">
        <v>28</v>
      </c>
      <c r="J277" s="3" t="s">
        <v>1588</v>
      </c>
      <c r="K277" s="3" t="s">
        <v>229</v>
      </c>
      <c r="L277" s="3"/>
      <c r="M277" s="3"/>
      <c r="N277" s="3"/>
      <c r="O277" s="3"/>
      <c r="P277" s="3"/>
      <c r="Q277" s="3"/>
      <c r="R277" s="3"/>
      <c r="S277" s="3"/>
      <c r="T277" s="3"/>
      <c r="U277" s="3">
        <v>2000</v>
      </c>
      <c r="V277" s="4">
        <v>36367</v>
      </c>
      <c r="W277" s="3" t="s">
        <v>31</v>
      </c>
      <c r="X277" s="3" t="s">
        <v>1589</v>
      </c>
    </row>
    <row r="278" spans="1:24" x14ac:dyDescent="0.3">
      <c r="A278" s="5">
        <v>272</v>
      </c>
      <c r="B278" s="5" t="str">
        <f>"1109118"</f>
        <v>1109118</v>
      </c>
      <c r="C278" s="5" t="str">
        <f>"551"</f>
        <v>551</v>
      </c>
      <c r="D278" s="5">
        <v>998953</v>
      </c>
      <c r="E278" s="5">
        <v>20255020278</v>
      </c>
      <c r="F278" s="5" t="s">
        <v>1590</v>
      </c>
      <c r="G278" s="5" t="s">
        <v>1591</v>
      </c>
      <c r="H278" s="5" t="s">
        <v>28</v>
      </c>
      <c r="I278" s="5" t="s">
        <v>28</v>
      </c>
      <c r="J278" s="5" t="s">
        <v>1432</v>
      </c>
      <c r="K278" s="5" t="s">
        <v>1592</v>
      </c>
      <c r="L278" s="5" t="s">
        <v>1593</v>
      </c>
      <c r="M278" s="5"/>
      <c r="N278" s="5"/>
      <c r="O278" s="5"/>
      <c r="P278" s="5"/>
      <c r="Q278" s="5"/>
      <c r="R278" s="5"/>
      <c r="S278" s="5"/>
      <c r="T278" s="5"/>
      <c r="U278" s="5">
        <v>25800</v>
      </c>
      <c r="V278" s="6">
        <v>35506</v>
      </c>
      <c r="W278" s="5" t="s">
        <v>31</v>
      </c>
      <c r="X278" s="5" t="s">
        <v>1594</v>
      </c>
    </row>
    <row r="279" spans="1:24" ht="27.95" x14ac:dyDescent="0.3">
      <c r="A279" s="3">
        <v>273</v>
      </c>
      <c r="B279" s="3" t="str">
        <f>"201700039848"</f>
        <v>201700039848</v>
      </c>
      <c r="C279" s="3" t="str">
        <f>"95283"</f>
        <v>95283</v>
      </c>
      <c r="D279" s="3" t="s">
        <v>1595</v>
      </c>
      <c r="E279" s="3">
        <v>20540059463</v>
      </c>
      <c r="F279" s="3" t="s">
        <v>1596</v>
      </c>
      <c r="G279" s="3" t="s">
        <v>1597</v>
      </c>
      <c r="H279" s="3" t="s">
        <v>36</v>
      </c>
      <c r="I279" s="3" t="s">
        <v>234</v>
      </c>
      <c r="J279" s="3" t="s">
        <v>235</v>
      </c>
      <c r="K279" s="3" t="s">
        <v>1598</v>
      </c>
      <c r="L279" s="3"/>
      <c r="M279" s="3"/>
      <c r="N279" s="3"/>
      <c r="O279" s="3"/>
      <c r="P279" s="3"/>
      <c r="Q279" s="3"/>
      <c r="R279" s="3"/>
      <c r="S279" s="3"/>
      <c r="T279" s="3"/>
      <c r="U279" s="3">
        <v>2200</v>
      </c>
      <c r="V279" s="4">
        <v>42818</v>
      </c>
      <c r="W279" s="3" t="s">
        <v>31</v>
      </c>
      <c r="X279" s="3" t="s">
        <v>1599</v>
      </c>
    </row>
    <row r="280" spans="1:24" ht="41.95" x14ac:dyDescent="0.3">
      <c r="A280" s="5">
        <v>274</v>
      </c>
      <c r="B280" s="5" t="str">
        <f>"201900003939"</f>
        <v>201900003939</v>
      </c>
      <c r="C280" s="5" t="str">
        <f>"140695"</f>
        <v>140695</v>
      </c>
      <c r="D280" s="5" t="s">
        <v>1600</v>
      </c>
      <c r="E280" s="5">
        <v>20132377783</v>
      </c>
      <c r="F280" s="5" t="s">
        <v>1601</v>
      </c>
      <c r="G280" s="5" t="s">
        <v>1602</v>
      </c>
      <c r="H280" s="5" t="s">
        <v>36</v>
      </c>
      <c r="I280" s="5" t="s">
        <v>514</v>
      </c>
      <c r="J280" s="5" t="s">
        <v>514</v>
      </c>
      <c r="K280" s="5" t="s">
        <v>1603</v>
      </c>
      <c r="L280" s="5"/>
      <c r="M280" s="5"/>
      <c r="N280" s="5"/>
      <c r="O280" s="5"/>
      <c r="P280" s="5"/>
      <c r="Q280" s="5"/>
      <c r="R280" s="5"/>
      <c r="S280" s="5"/>
      <c r="T280" s="5"/>
      <c r="U280" s="5">
        <v>1320</v>
      </c>
      <c r="V280" s="6">
        <v>43486</v>
      </c>
      <c r="W280" s="5" t="s">
        <v>31</v>
      </c>
      <c r="X280" s="5" t="s">
        <v>1604</v>
      </c>
    </row>
    <row r="281" spans="1:24" ht="27.95" x14ac:dyDescent="0.3">
      <c r="A281" s="3">
        <v>275</v>
      </c>
      <c r="B281" s="3" t="str">
        <f>"201800047679"</f>
        <v>201800047679</v>
      </c>
      <c r="C281" s="3" t="str">
        <f>"135199"</f>
        <v>135199</v>
      </c>
      <c r="D281" s="3" t="s">
        <v>1605</v>
      </c>
      <c r="E281" s="3">
        <v>20100377358</v>
      </c>
      <c r="F281" s="3" t="s">
        <v>1606</v>
      </c>
      <c r="G281" s="3" t="s">
        <v>1607</v>
      </c>
      <c r="H281" s="3" t="s">
        <v>28</v>
      </c>
      <c r="I281" s="3" t="s">
        <v>28</v>
      </c>
      <c r="J281" s="3" t="s">
        <v>699</v>
      </c>
      <c r="K281" s="3" t="s">
        <v>1608</v>
      </c>
      <c r="L281" s="3" t="s">
        <v>1609</v>
      </c>
      <c r="M281" s="3" t="s">
        <v>1610</v>
      </c>
      <c r="N281" s="3" t="s">
        <v>1611</v>
      </c>
      <c r="O281" s="3" t="s">
        <v>1612</v>
      </c>
      <c r="P281" s="3"/>
      <c r="Q281" s="3"/>
      <c r="R281" s="3"/>
      <c r="S281" s="3"/>
      <c r="T281" s="3"/>
      <c r="U281" s="3">
        <v>7700</v>
      </c>
      <c r="V281" s="4">
        <v>43185</v>
      </c>
      <c r="W281" s="3" t="s">
        <v>31</v>
      </c>
      <c r="X281" s="3" t="s">
        <v>1613</v>
      </c>
    </row>
    <row r="282" spans="1:24" ht="41.95" x14ac:dyDescent="0.3">
      <c r="A282" s="5">
        <v>276</v>
      </c>
      <c r="B282" s="5" t="str">
        <f>"1823141"</f>
        <v>1823141</v>
      </c>
      <c r="C282" s="5" t="str">
        <f>"42465"</f>
        <v>42465</v>
      </c>
      <c r="D282" s="5" t="s">
        <v>1614</v>
      </c>
      <c r="E282" s="5">
        <v>20166514607</v>
      </c>
      <c r="F282" s="5" t="s">
        <v>1171</v>
      </c>
      <c r="G282" s="5" t="s">
        <v>1615</v>
      </c>
      <c r="H282" s="5" t="s">
        <v>28</v>
      </c>
      <c r="I282" s="5" t="s">
        <v>28</v>
      </c>
      <c r="J282" s="5" t="s">
        <v>1616</v>
      </c>
      <c r="K282" s="5" t="s">
        <v>1617</v>
      </c>
      <c r="L282" s="5"/>
      <c r="M282" s="5"/>
      <c r="N282" s="5"/>
      <c r="O282" s="5"/>
      <c r="P282" s="5"/>
      <c r="Q282" s="5"/>
      <c r="R282" s="5"/>
      <c r="S282" s="5"/>
      <c r="T282" s="5"/>
      <c r="U282" s="5">
        <v>4400</v>
      </c>
      <c r="V282" s="6">
        <v>39738</v>
      </c>
      <c r="W282" s="5" t="s">
        <v>31</v>
      </c>
      <c r="X282" s="5" t="s">
        <v>1173</v>
      </c>
    </row>
    <row r="283" spans="1:24" x14ac:dyDescent="0.3">
      <c r="A283" s="3">
        <v>277</v>
      </c>
      <c r="B283" s="3" t="str">
        <f>"201200186505"</f>
        <v>201200186505</v>
      </c>
      <c r="C283" s="3" t="str">
        <f>"97887"</f>
        <v>97887</v>
      </c>
      <c r="D283" s="3" t="s">
        <v>1618</v>
      </c>
      <c r="E283" s="3">
        <v>20422548786</v>
      </c>
      <c r="F283" s="3" t="s">
        <v>1619</v>
      </c>
      <c r="G283" s="3" t="s">
        <v>1620</v>
      </c>
      <c r="H283" s="3" t="s">
        <v>285</v>
      </c>
      <c r="I283" s="3" t="s">
        <v>1083</v>
      </c>
      <c r="J283" s="3" t="s">
        <v>186</v>
      </c>
      <c r="K283" s="3" t="s">
        <v>1621</v>
      </c>
      <c r="L283" s="3"/>
      <c r="M283" s="3"/>
      <c r="N283" s="3"/>
      <c r="O283" s="3"/>
      <c r="P283" s="3"/>
      <c r="Q283" s="3"/>
      <c r="R283" s="3"/>
      <c r="S283" s="3"/>
      <c r="T283" s="3"/>
      <c r="U283" s="3">
        <v>5770</v>
      </c>
      <c r="V283" s="4">
        <v>41206</v>
      </c>
      <c r="W283" s="3" t="s">
        <v>31</v>
      </c>
      <c r="X283" s="3" t="s">
        <v>1622</v>
      </c>
    </row>
    <row r="284" spans="1:24" ht="41.95" x14ac:dyDescent="0.3">
      <c r="A284" s="5">
        <v>278</v>
      </c>
      <c r="B284" s="5" t="str">
        <f>"1973930"</f>
        <v>1973930</v>
      </c>
      <c r="C284" s="5" t="str">
        <f>"85868"</f>
        <v>85868</v>
      </c>
      <c r="D284" s="5" t="s">
        <v>1623</v>
      </c>
      <c r="E284" s="5">
        <v>20472646266</v>
      </c>
      <c r="F284" s="5" t="s">
        <v>1624</v>
      </c>
      <c r="G284" s="5" t="s">
        <v>1625</v>
      </c>
      <c r="H284" s="5" t="s">
        <v>28</v>
      </c>
      <c r="I284" s="5" t="s">
        <v>72</v>
      </c>
      <c r="J284" s="5" t="s">
        <v>322</v>
      </c>
      <c r="K284" s="5" t="s">
        <v>1378</v>
      </c>
      <c r="L284" s="5"/>
      <c r="M284" s="5"/>
      <c r="N284" s="5"/>
      <c r="O284" s="5"/>
      <c r="P284" s="5"/>
      <c r="Q284" s="5"/>
      <c r="R284" s="5"/>
      <c r="S284" s="5"/>
      <c r="T284" s="5"/>
      <c r="U284" s="5">
        <v>5000</v>
      </c>
      <c r="V284" s="6">
        <v>40256</v>
      </c>
      <c r="W284" s="5" t="s">
        <v>31</v>
      </c>
      <c r="X284" s="5" t="s">
        <v>1626</v>
      </c>
    </row>
    <row r="285" spans="1:24" x14ac:dyDescent="0.3">
      <c r="A285" s="3">
        <v>279</v>
      </c>
      <c r="B285" s="3" t="str">
        <f>"1301426"</f>
        <v>1301426</v>
      </c>
      <c r="C285" s="3" t="str">
        <f>"20162"</f>
        <v>20162</v>
      </c>
      <c r="D285" s="3">
        <v>1301426</v>
      </c>
      <c r="E285" s="3">
        <v>20100388121</v>
      </c>
      <c r="F285" s="3" t="s">
        <v>1627</v>
      </c>
      <c r="G285" s="3" t="s">
        <v>1628</v>
      </c>
      <c r="H285" s="3" t="s">
        <v>115</v>
      </c>
      <c r="I285" s="3" t="s">
        <v>115</v>
      </c>
      <c r="J285" s="3" t="s">
        <v>159</v>
      </c>
      <c r="K285" s="3" t="s">
        <v>209</v>
      </c>
      <c r="L285" s="3" t="s">
        <v>1629</v>
      </c>
      <c r="M285" s="3" t="s">
        <v>1630</v>
      </c>
      <c r="N285" s="3"/>
      <c r="O285" s="3"/>
      <c r="P285" s="3"/>
      <c r="Q285" s="3"/>
      <c r="R285" s="3"/>
      <c r="S285" s="3"/>
      <c r="T285" s="3"/>
      <c r="U285" s="3">
        <v>89170</v>
      </c>
      <c r="V285" s="4">
        <v>36851</v>
      </c>
      <c r="W285" s="3" t="s">
        <v>31</v>
      </c>
      <c r="X285" s="3" t="s">
        <v>1631</v>
      </c>
    </row>
    <row r="286" spans="1:24" ht="27.95" x14ac:dyDescent="0.3">
      <c r="A286" s="5">
        <v>280</v>
      </c>
      <c r="B286" s="5" t="str">
        <f>"201600134614"</f>
        <v>201600134614</v>
      </c>
      <c r="C286" s="5" t="str">
        <f>"108889"</f>
        <v>108889</v>
      </c>
      <c r="D286" s="5" t="s">
        <v>1632</v>
      </c>
      <c r="E286" s="5">
        <v>20314028164</v>
      </c>
      <c r="F286" s="5" t="s">
        <v>1633</v>
      </c>
      <c r="G286" s="5" t="s">
        <v>1634</v>
      </c>
      <c r="H286" s="5" t="s">
        <v>264</v>
      </c>
      <c r="I286" s="5" t="s">
        <v>1635</v>
      </c>
      <c r="J286" s="5" t="s">
        <v>1636</v>
      </c>
      <c r="K286" s="5" t="s">
        <v>1637</v>
      </c>
      <c r="L286" s="5" t="s">
        <v>1638</v>
      </c>
      <c r="M286" s="5" t="s">
        <v>1639</v>
      </c>
      <c r="N286" s="5" t="s">
        <v>1640</v>
      </c>
      <c r="O286" s="5" t="s">
        <v>1641</v>
      </c>
      <c r="P286" s="5"/>
      <c r="Q286" s="5"/>
      <c r="R286" s="5"/>
      <c r="S286" s="5"/>
      <c r="T286" s="5"/>
      <c r="U286" s="5">
        <v>44117</v>
      </c>
      <c r="V286" s="6">
        <v>42636</v>
      </c>
      <c r="W286" s="5" t="s">
        <v>31</v>
      </c>
      <c r="X286" s="5" t="s">
        <v>1642</v>
      </c>
    </row>
    <row r="287" spans="1:24" ht="27.95" x14ac:dyDescent="0.3">
      <c r="A287" s="3">
        <v>281</v>
      </c>
      <c r="B287" s="3" t="str">
        <f>"201700065628"</f>
        <v>201700065628</v>
      </c>
      <c r="C287" s="3" t="str">
        <f>"255"</f>
        <v>255</v>
      </c>
      <c r="D287" s="3" t="s">
        <v>1643</v>
      </c>
      <c r="E287" s="3">
        <v>20100195080</v>
      </c>
      <c r="F287" s="3" t="s">
        <v>1644</v>
      </c>
      <c r="G287" s="3" t="s">
        <v>1645</v>
      </c>
      <c r="H287" s="3" t="s">
        <v>51</v>
      </c>
      <c r="I287" s="3" t="s">
        <v>51</v>
      </c>
      <c r="J287" s="3" t="s">
        <v>51</v>
      </c>
      <c r="K287" s="3" t="s">
        <v>1646</v>
      </c>
      <c r="L287" s="3" t="s">
        <v>1647</v>
      </c>
      <c r="M287" s="3"/>
      <c r="N287" s="3"/>
      <c r="O287" s="3"/>
      <c r="P287" s="3"/>
      <c r="Q287" s="3"/>
      <c r="R287" s="3"/>
      <c r="S287" s="3"/>
      <c r="T287" s="3"/>
      <c r="U287" s="3">
        <v>11092</v>
      </c>
      <c r="V287" s="4">
        <v>42859</v>
      </c>
      <c r="W287" s="3" t="s">
        <v>31</v>
      </c>
      <c r="X287" s="3" t="s">
        <v>1648</v>
      </c>
    </row>
    <row r="288" spans="1:24" x14ac:dyDescent="0.3">
      <c r="A288" s="5">
        <v>282</v>
      </c>
      <c r="B288" s="5" t="str">
        <f>"201600123636"</f>
        <v>201600123636</v>
      </c>
      <c r="C288" s="5" t="str">
        <f>"121145"</f>
        <v>121145</v>
      </c>
      <c r="D288" s="5" t="s">
        <v>1649</v>
      </c>
      <c r="E288" s="5">
        <v>20136222725</v>
      </c>
      <c r="F288" s="5" t="s">
        <v>1650</v>
      </c>
      <c r="G288" s="5" t="s">
        <v>1651</v>
      </c>
      <c r="H288" s="5" t="s">
        <v>36</v>
      </c>
      <c r="I288" s="5" t="s">
        <v>1652</v>
      </c>
      <c r="J288" s="5" t="s">
        <v>1653</v>
      </c>
      <c r="K288" s="5" t="s">
        <v>1654</v>
      </c>
      <c r="L288" s="5"/>
      <c r="M288" s="5"/>
      <c r="N288" s="5"/>
      <c r="O288" s="5"/>
      <c r="P288" s="5"/>
      <c r="Q288" s="5"/>
      <c r="R288" s="5"/>
      <c r="S288" s="5"/>
      <c r="T288" s="5"/>
      <c r="U288" s="5">
        <v>6000</v>
      </c>
      <c r="V288" s="6">
        <v>42613</v>
      </c>
      <c r="W288" s="5" t="s">
        <v>31</v>
      </c>
      <c r="X288" s="5" t="s">
        <v>1655</v>
      </c>
    </row>
    <row r="289" spans="1:24" ht="27.95" x14ac:dyDescent="0.3">
      <c r="A289" s="3">
        <v>283</v>
      </c>
      <c r="B289" s="3" t="str">
        <f>"201800123531"</f>
        <v>201800123531</v>
      </c>
      <c r="C289" s="3" t="str">
        <f>"137701"</f>
        <v>137701</v>
      </c>
      <c r="D289" s="3" t="s">
        <v>1656</v>
      </c>
      <c r="E289" s="3">
        <v>20505789092</v>
      </c>
      <c r="F289" s="3" t="s">
        <v>1657</v>
      </c>
      <c r="G289" s="3" t="s">
        <v>1658</v>
      </c>
      <c r="H289" s="3" t="s">
        <v>28</v>
      </c>
      <c r="I289" s="3" t="s">
        <v>28</v>
      </c>
      <c r="J289" s="3" t="s">
        <v>1432</v>
      </c>
      <c r="K289" s="3" t="s">
        <v>1659</v>
      </c>
      <c r="L289" s="3"/>
      <c r="M289" s="3"/>
      <c r="N289" s="3"/>
      <c r="O289" s="3"/>
      <c r="P289" s="3"/>
      <c r="Q289" s="3"/>
      <c r="R289" s="3"/>
      <c r="S289" s="3"/>
      <c r="T289" s="3"/>
      <c r="U289" s="3">
        <v>4532</v>
      </c>
      <c r="V289" s="4">
        <v>43321</v>
      </c>
      <c r="W289" s="3" t="s">
        <v>31</v>
      </c>
      <c r="X289" s="3" t="s">
        <v>1660</v>
      </c>
    </row>
    <row r="290" spans="1:24" x14ac:dyDescent="0.3">
      <c r="A290" s="5">
        <v>284</v>
      </c>
      <c r="B290" s="5" t="str">
        <f>"201600125078"</f>
        <v>201600125078</v>
      </c>
      <c r="C290" s="5" t="str">
        <f>"928"</f>
        <v>928</v>
      </c>
      <c r="D290" s="5" t="s">
        <v>1661</v>
      </c>
      <c r="E290" s="5">
        <v>20132171573</v>
      </c>
      <c r="F290" s="5" t="s">
        <v>1662</v>
      </c>
      <c r="G290" s="5" t="s">
        <v>1663</v>
      </c>
      <c r="H290" s="5" t="s">
        <v>36</v>
      </c>
      <c r="I290" s="5" t="s">
        <v>234</v>
      </c>
      <c r="J290" s="5" t="s">
        <v>234</v>
      </c>
      <c r="K290" s="5" t="s">
        <v>382</v>
      </c>
      <c r="L290" s="5"/>
      <c r="M290" s="5"/>
      <c r="N290" s="5"/>
      <c r="O290" s="5"/>
      <c r="P290" s="5"/>
      <c r="Q290" s="5"/>
      <c r="R290" s="5"/>
      <c r="S290" s="5"/>
      <c r="T290" s="5"/>
      <c r="U290" s="5">
        <v>8000</v>
      </c>
      <c r="V290" s="6">
        <v>42613</v>
      </c>
      <c r="W290" s="5" t="s">
        <v>31</v>
      </c>
      <c r="X290" s="5" t="s">
        <v>1664</v>
      </c>
    </row>
    <row r="291" spans="1:24" x14ac:dyDescent="0.3">
      <c r="A291" s="3">
        <v>285</v>
      </c>
      <c r="B291" s="3" t="str">
        <f>"201900207210"</f>
        <v>201900207210</v>
      </c>
      <c r="C291" s="3" t="str">
        <f>"106986"</f>
        <v>106986</v>
      </c>
      <c r="D291" s="3" t="s">
        <v>1665</v>
      </c>
      <c r="E291" s="3">
        <v>20433763221</v>
      </c>
      <c r="F291" s="3" t="s">
        <v>1666</v>
      </c>
      <c r="G291" s="3" t="s">
        <v>1667</v>
      </c>
      <c r="H291" s="3" t="s">
        <v>214</v>
      </c>
      <c r="I291" s="3" t="s">
        <v>1668</v>
      </c>
      <c r="J291" s="3" t="s">
        <v>1669</v>
      </c>
      <c r="K291" s="3" t="s">
        <v>168</v>
      </c>
      <c r="L291" s="3" t="s">
        <v>168</v>
      </c>
      <c r="M291" s="3" t="s">
        <v>168</v>
      </c>
      <c r="N291" s="3"/>
      <c r="O291" s="3"/>
      <c r="P291" s="3"/>
      <c r="Q291" s="3"/>
      <c r="R291" s="3"/>
      <c r="S291" s="3"/>
      <c r="T291" s="3"/>
      <c r="U291" s="3">
        <v>30000</v>
      </c>
      <c r="V291" s="4">
        <v>43813</v>
      </c>
      <c r="W291" s="3" t="s">
        <v>31</v>
      </c>
      <c r="X291" s="3" t="s">
        <v>1670</v>
      </c>
    </row>
    <row r="292" spans="1:24" ht="27.95" x14ac:dyDescent="0.3">
      <c r="A292" s="5">
        <v>286</v>
      </c>
      <c r="B292" s="5" t="str">
        <f>"201200125488"</f>
        <v>201200125488</v>
      </c>
      <c r="C292" s="5" t="str">
        <f>"61151"</f>
        <v>61151</v>
      </c>
      <c r="D292" s="5" t="s">
        <v>1671</v>
      </c>
      <c r="E292" s="5">
        <v>20100265550</v>
      </c>
      <c r="F292" s="5" t="s">
        <v>1430</v>
      </c>
      <c r="G292" s="5" t="s">
        <v>1672</v>
      </c>
      <c r="H292" s="5" t="s">
        <v>28</v>
      </c>
      <c r="I292" s="5" t="s">
        <v>28</v>
      </c>
      <c r="J292" s="5" t="s">
        <v>28</v>
      </c>
      <c r="K292" s="5" t="s">
        <v>1673</v>
      </c>
      <c r="L292" s="5"/>
      <c r="M292" s="5"/>
      <c r="N292" s="5"/>
      <c r="O292" s="5"/>
      <c r="P292" s="5"/>
      <c r="Q292" s="5"/>
      <c r="R292" s="5"/>
      <c r="S292" s="5"/>
      <c r="T292" s="5"/>
      <c r="U292" s="5">
        <v>2210</v>
      </c>
      <c r="V292" s="6">
        <v>41100</v>
      </c>
      <c r="W292" s="5" t="s">
        <v>31</v>
      </c>
      <c r="X292" s="5" t="s">
        <v>1674</v>
      </c>
    </row>
    <row r="293" spans="1:24" ht="27.95" x14ac:dyDescent="0.3">
      <c r="A293" s="3">
        <v>287</v>
      </c>
      <c r="B293" s="3" t="str">
        <f>"201900003936"</f>
        <v>201900003936</v>
      </c>
      <c r="C293" s="3" t="str">
        <f>"140697"</f>
        <v>140697</v>
      </c>
      <c r="D293" s="3" t="s">
        <v>1675</v>
      </c>
      <c r="E293" s="3">
        <v>20132377783</v>
      </c>
      <c r="F293" s="3" t="s">
        <v>1676</v>
      </c>
      <c r="G293" s="3" t="s">
        <v>1677</v>
      </c>
      <c r="H293" s="3" t="s">
        <v>36</v>
      </c>
      <c r="I293" s="3" t="s">
        <v>514</v>
      </c>
      <c r="J293" s="3" t="s">
        <v>514</v>
      </c>
      <c r="K293" s="3" t="s">
        <v>1603</v>
      </c>
      <c r="L293" s="3"/>
      <c r="M293" s="3"/>
      <c r="N293" s="3"/>
      <c r="O293" s="3"/>
      <c r="P293" s="3"/>
      <c r="Q293" s="3"/>
      <c r="R293" s="3"/>
      <c r="S293" s="3"/>
      <c r="T293" s="3"/>
      <c r="U293" s="3">
        <v>1320</v>
      </c>
      <c r="V293" s="4">
        <v>43486</v>
      </c>
      <c r="W293" s="3" t="s">
        <v>31</v>
      </c>
      <c r="X293" s="3" t="s">
        <v>1678</v>
      </c>
    </row>
    <row r="294" spans="1:24" x14ac:dyDescent="0.3">
      <c r="A294" s="5">
        <v>288</v>
      </c>
      <c r="B294" s="5" t="str">
        <f>"201700168689"</f>
        <v>201700168689</v>
      </c>
      <c r="C294" s="5" t="str">
        <f>"171"</f>
        <v>171</v>
      </c>
      <c r="D294" s="5" t="s">
        <v>1679</v>
      </c>
      <c r="E294" s="5">
        <v>20504595863</v>
      </c>
      <c r="F294" s="5" t="s">
        <v>1680</v>
      </c>
      <c r="G294" s="5" t="s">
        <v>1681</v>
      </c>
      <c r="H294" s="5" t="s">
        <v>285</v>
      </c>
      <c r="I294" s="5" t="s">
        <v>286</v>
      </c>
      <c r="J294" s="5" t="s">
        <v>628</v>
      </c>
      <c r="K294" s="5" t="s">
        <v>1682</v>
      </c>
      <c r="L294" s="5" t="s">
        <v>1683</v>
      </c>
      <c r="M294" s="5" t="s">
        <v>168</v>
      </c>
      <c r="N294" s="5" t="s">
        <v>1684</v>
      </c>
      <c r="O294" s="5"/>
      <c r="P294" s="5"/>
      <c r="Q294" s="5"/>
      <c r="R294" s="5"/>
      <c r="S294" s="5"/>
      <c r="T294" s="5"/>
      <c r="U294" s="5">
        <v>151912</v>
      </c>
      <c r="V294" s="6">
        <v>43024</v>
      </c>
      <c r="W294" s="5" t="s">
        <v>31</v>
      </c>
      <c r="X294" s="5" t="s">
        <v>1685</v>
      </c>
    </row>
    <row r="295" spans="1:24" x14ac:dyDescent="0.3">
      <c r="A295" s="3">
        <v>289</v>
      </c>
      <c r="B295" s="3" t="str">
        <f>"201900207217"</f>
        <v>201900207217</v>
      </c>
      <c r="C295" s="3" t="str">
        <f>"63635"</f>
        <v>63635</v>
      </c>
      <c r="D295" s="3" t="s">
        <v>1686</v>
      </c>
      <c r="E295" s="3">
        <v>20433763221</v>
      </c>
      <c r="F295" s="3" t="s">
        <v>1666</v>
      </c>
      <c r="G295" s="3" t="s">
        <v>1687</v>
      </c>
      <c r="H295" s="3" t="s">
        <v>292</v>
      </c>
      <c r="I295" s="3" t="s">
        <v>1688</v>
      </c>
      <c r="J295" s="3" t="s">
        <v>1689</v>
      </c>
      <c r="K295" s="3" t="s">
        <v>168</v>
      </c>
      <c r="L295" s="3"/>
      <c r="M295" s="3"/>
      <c r="N295" s="3"/>
      <c r="O295" s="3"/>
      <c r="P295" s="3"/>
      <c r="Q295" s="3"/>
      <c r="R295" s="3"/>
      <c r="S295" s="3"/>
      <c r="T295" s="3"/>
      <c r="U295" s="3">
        <v>10000</v>
      </c>
      <c r="V295" s="4">
        <v>43827</v>
      </c>
      <c r="W295" s="3" t="s">
        <v>31</v>
      </c>
      <c r="X295" s="3" t="s">
        <v>1690</v>
      </c>
    </row>
    <row r="296" spans="1:24" ht="27.95" x14ac:dyDescent="0.3">
      <c r="A296" s="5">
        <v>290</v>
      </c>
      <c r="B296" s="5" t="str">
        <f>"1711728"</f>
        <v>1711728</v>
      </c>
      <c r="C296" s="5" t="str">
        <f>"18775"</f>
        <v>18775</v>
      </c>
      <c r="D296" s="5" t="s">
        <v>1691</v>
      </c>
      <c r="E296" s="5">
        <v>20100371741</v>
      </c>
      <c r="F296" s="5" t="s">
        <v>1692</v>
      </c>
      <c r="G296" s="5" t="s">
        <v>1693</v>
      </c>
      <c r="H296" s="5" t="s">
        <v>28</v>
      </c>
      <c r="I296" s="5" t="s">
        <v>28</v>
      </c>
      <c r="J296" s="5" t="s">
        <v>91</v>
      </c>
      <c r="K296" s="5" t="s">
        <v>1694</v>
      </c>
      <c r="L296" s="5"/>
      <c r="M296" s="5"/>
      <c r="N296" s="5"/>
      <c r="O296" s="5"/>
      <c r="P296" s="5"/>
      <c r="Q296" s="5"/>
      <c r="R296" s="5"/>
      <c r="S296" s="5"/>
      <c r="T296" s="5"/>
      <c r="U296" s="5">
        <v>20000</v>
      </c>
      <c r="V296" s="6">
        <v>39309</v>
      </c>
      <c r="W296" s="5" t="s">
        <v>31</v>
      </c>
      <c r="X296" s="5" t="s">
        <v>1695</v>
      </c>
    </row>
    <row r="297" spans="1:24" x14ac:dyDescent="0.3">
      <c r="A297" s="3">
        <v>291</v>
      </c>
      <c r="B297" s="3" t="str">
        <f>"201600124301"</f>
        <v>201600124301</v>
      </c>
      <c r="C297" s="3" t="str">
        <f>"20153"</f>
        <v>20153</v>
      </c>
      <c r="D297" s="3" t="s">
        <v>1696</v>
      </c>
      <c r="E297" s="3">
        <v>20100015103</v>
      </c>
      <c r="F297" s="3" t="s">
        <v>1697</v>
      </c>
      <c r="G297" s="3" t="s">
        <v>1698</v>
      </c>
      <c r="H297" s="3" t="s">
        <v>264</v>
      </c>
      <c r="I297" s="3" t="s">
        <v>264</v>
      </c>
      <c r="J297" s="3" t="s">
        <v>895</v>
      </c>
      <c r="K297" s="3" t="s">
        <v>1699</v>
      </c>
      <c r="L297" s="3" t="s">
        <v>1699</v>
      </c>
      <c r="M297" s="3"/>
      <c r="N297" s="3"/>
      <c r="O297" s="3"/>
      <c r="P297" s="3"/>
      <c r="Q297" s="3"/>
      <c r="R297" s="3"/>
      <c r="S297" s="3"/>
      <c r="T297" s="3"/>
      <c r="U297" s="3">
        <v>20000</v>
      </c>
      <c r="V297" s="4">
        <v>42620</v>
      </c>
      <c r="W297" s="3" t="s">
        <v>31</v>
      </c>
      <c r="X297" s="3" t="s">
        <v>1700</v>
      </c>
    </row>
    <row r="298" spans="1:24" ht="27.95" x14ac:dyDescent="0.3">
      <c r="A298" s="5">
        <v>292</v>
      </c>
      <c r="B298" s="5" t="str">
        <f>"201900207214"</f>
        <v>201900207214</v>
      </c>
      <c r="C298" s="5" t="str">
        <f>"117426"</f>
        <v>117426</v>
      </c>
      <c r="D298" s="5" t="s">
        <v>1701</v>
      </c>
      <c r="E298" s="5">
        <v>20433763221</v>
      </c>
      <c r="F298" s="5" t="s">
        <v>1666</v>
      </c>
      <c r="G298" s="5" t="s">
        <v>1702</v>
      </c>
      <c r="H298" s="5" t="s">
        <v>292</v>
      </c>
      <c r="I298" s="5" t="s">
        <v>991</v>
      </c>
      <c r="J298" s="5" t="s">
        <v>292</v>
      </c>
      <c r="K298" s="5" t="s">
        <v>168</v>
      </c>
      <c r="L298" s="5"/>
      <c r="M298" s="5"/>
      <c r="N298" s="5"/>
      <c r="O298" s="5"/>
      <c r="P298" s="5"/>
      <c r="Q298" s="5"/>
      <c r="R298" s="5"/>
      <c r="S298" s="5"/>
      <c r="T298" s="5"/>
      <c r="U298" s="5">
        <v>10000</v>
      </c>
      <c r="V298" s="6">
        <v>43826</v>
      </c>
      <c r="W298" s="5" t="s">
        <v>31</v>
      </c>
      <c r="X298" s="5" t="s">
        <v>1690</v>
      </c>
    </row>
    <row r="299" spans="1:24" x14ac:dyDescent="0.3">
      <c r="A299" s="3">
        <v>293</v>
      </c>
      <c r="B299" s="3" t="str">
        <f>"1658621"</f>
        <v>1658621</v>
      </c>
      <c r="C299" s="3" t="str">
        <f>"44239"</f>
        <v>44239</v>
      </c>
      <c r="D299" s="3" t="s">
        <v>1703</v>
      </c>
      <c r="E299" s="3">
        <v>20117357113</v>
      </c>
      <c r="F299" s="3" t="s">
        <v>1704</v>
      </c>
      <c r="G299" s="3" t="s">
        <v>1705</v>
      </c>
      <c r="H299" s="3" t="s">
        <v>28</v>
      </c>
      <c r="I299" s="3" t="s">
        <v>28</v>
      </c>
      <c r="J299" s="3" t="s">
        <v>1706</v>
      </c>
      <c r="K299" s="3" t="s">
        <v>1707</v>
      </c>
      <c r="L299" s="3" t="s">
        <v>1708</v>
      </c>
      <c r="M299" s="3" t="s">
        <v>1708</v>
      </c>
      <c r="N299" s="3" t="s">
        <v>1707</v>
      </c>
      <c r="O299" s="3"/>
      <c r="P299" s="3"/>
      <c r="Q299" s="3"/>
      <c r="R299" s="3"/>
      <c r="S299" s="3"/>
      <c r="T299" s="3"/>
      <c r="U299" s="3">
        <v>3670</v>
      </c>
      <c r="V299" s="4">
        <v>39101</v>
      </c>
      <c r="W299" s="3" t="s">
        <v>31</v>
      </c>
      <c r="X299" s="3" t="s">
        <v>1709</v>
      </c>
    </row>
    <row r="300" spans="1:24" ht="27.95" x14ac:dyDescent="0.3">
      <c r="A300" s="5">
        <v>294</v>
      </c>
      <c r="B300" s="5" t="str">
        <f>"1502348"</f>
        <v>1502348</v>
      </c>
      <c r="C300" s="5" t="str">
        <f>"116"</f>
        <v>116</v>
      </c>
      <c r="D300" s="5" t="s">
        <v>1710</v>
      </c>
      <c r="E300" s="5">
        <v>20100147514</v>
      </c>
      <c r="F300" s="5" t="s">
        <v>1711</v>
      </c>
      <c r="G300" s="5" t="s">
        <v>1712</v>
      </c>
      <c r="H300" s="5" t="s">
        <v>769</v>
      </c>
      <c r="I300" s="5" t="s">
        <v>769</v>
      </c>
      <c r="J300" s="5" t="s">
        <v>769</v>
      </c>
      <c r="K300" s="5" t="s">
        <v>1713</v>
      </c>
      <c r="L300" s="5" t="s">
        <v>1714</v>
      </c>
      <c r="M300" s="5"/>
      <c r="N300" s="5"/>
      <c r="O300" s="5"/>
      <c r="P300" s="5"/>
      <c r="Q300" s="5"/>
      <c r="R300" s="5"/>
      <c r="S300" s="5"/>
      <c r="T300" s="5"/>
      <c r="U300" s="5">
        <v>7000</v>
      </c>
      <c r="V300" s="6">
        <v>38306</v>
      </c>
      <c r="W300" s="5" t="s">
        <v>31</v>
      </c>
      <c r="X300" s="5" t="s">
        <v>1715</v>
      </c>
    </row>
    <row r="301" spans="1:24" x14ac:dyDescent="0.3">
      <c r="A301" s="3">
        <v>295</v>
      </c>
      <c r="B301" s="3" t="str">
        <f>"1906770"</f>
        <v>1906770</v>
      </c>
      <c r="C301" s="3" t="str">
        <f>"36"</f>
        <v>36</v>
      </c>
      <c r="D301" s="3" t="s">
        <v>1716</v>
      </c>
      <c r="E301" s="3">
        <v>20504963927</v>
      </c>
      <c r="F301" s="3" t="s">
        <v>1717</v>
      </c>
      <c r="G301" s="3" t="s">
        <v>1718</v>
      </c>
      <c r="H301" s="3" t="s">
        <v>115</v>
      </c>
      <c r="I301" s="3" t="s">
        <v>115</v>
      </c>
      <c r="J301" s="3" t="s">
        <v>159</v>
      </c>
      <c r="K301" s="3" t="s">
        <v>1719</v>
      </c>
      <c r="L301" s="3"/>
      <c r="M301" s="3"/>
      <c r="N301" s="3"/>
      <c r="O301" s="3"/>
      <c r="P301" s="3"/>
      <c r="Q301" s="3"/>
      <c r="R301" s="3"/>
      <c r="S301" s="3"/>
      <c r="T301" s="3"/>
      <c r="U301" s="3">
        <v>3300</v>
      </c>
      <c r="V301" s="4">
        <v>40015</v>
      </c>
      <c r="W301" s="3" t="s">
        <v>31</v>
      </c>
      <c r="X301" s="3" t="s">
        <v>1720</v>
      </c>
    </row>
    <row r="302" spans="1:24" ht="27.95" x14ac:dyDescent="0.3">
      <c r="A302" s="5">
        <v>296</v>
      </c>
      <c r="B302" s="5" t="str">
        <f>"201500026317"</f>
        <v>201500026317</v>
      </c>
      <c r="C302" s="5" t="str">
        <f>"113112"</f>
        <v>113112</v>
      </c>
      <c r="D302" s="5" t="s">
        <v>1721</v>
      </c>
      <c r="E302" s="5">
        <v>20188446133</v>
      </c>
      <c r="F302" s="5" t="s">
        <v>1722</v>
      </c>
      <c r="G302" s="5" t="s">
        <v>1723</v>
      </c>
      <c r="H302" s="5" t="s">
        <v>566</v>
      </c>
      <c r="I302" s="5" t="s">
        <v>1724</v>
      </c>
      <c r="J302" s="5" t="s">
        <v>1724</v>
      </c>
      <c r="K302" s="5" t="s">
        <v>1725</v>
      </c>
      <c r="L302" s="5"/>
      <c r="M302" s="5"/>
      <c r="N302" s="5"/>
      <c r="O302" s="5"/>
      <c r="P302" s="5"/>
      <c r="Q302" s="5"/>
      <c r="R302" s="5"/>
      <c r="S302" s="5"/>
      <c r="T302" s="5"/>
      <c r="U302" s="5">
        <v>2000</v>
      </c>
      <c r="V302" s="6">
        <v>42081</v>
      </c>
      <c r="W302" s="5" t="s">
        <v>31</v>
      </c>
      <c r="X302" s="5" t="s">
        <v>1726</v>
      </c>
    </row>
    <row r="303" spans="1:24" ht="41.95" x14ac:dyDescent="0.3">
      <c r="A303" s="3">
        <v>297</v>
      </c>
      <c r="B303" s="3" t="str">
        <f>"201300111543"</f>
        <v>201300111543</v>
      </c>
      <c r="C303" s="3" t="str">
        <f>"103515"</f>
        <v>103515</v>
      </c>
      <c r="D303" s="3" t="s">
        <v>1727</v>
      </c>
      <c r="E303" s="3">
        <v>20507285792</v>
      </c>
      <c r="F303" s="3" t="s">
        <v>1728</v>
      </c>
      <c r="G303" s="3" t="s">
        <v>1729</v>
      </c>
      <c r="H303" s="3" t="s">
        <v>135</v>
      </c>
      <c r="I303" s="3" t="s">
        <v>673</v>
      </c>
      <c r="J303" s="3" t="s">
        <v>1730</v>
      </c>
      <c r="K303" s="3" t="s">
        <v>1731</v>
      </c>
      <c r="L303" s="3"/>
      <c r="M303" s="3"/>
      <c r="N303" s="3"/>
      <c r="O303" s="3"/>
      <c r="P303" s="3"/>
      <c r="Q303" s="3"/>
      <c r="R303" s="3"/>
      <c r="S303" s="3"/>
      <c r="T303" s="3"/>
      <c r="U303" s="3">
        <v>5000</v>
      </c>
      <c r="V303" s="4">
        <v>41461</v>
      </c>
      <c r="W303" s="3" t="s">
        <v>31</v>
      </c>
      <c r="X303" s="3" t="s">
        <v>1732</v>
      </c>
    </row>
    <row r="304" spans="1:24" x14ac:dyDescent="0.3">
      <c r="A304" s="5">
        <v>298</v>
      </c>
      <c r="B304" s="5" t="str">
        <f>"1118681"</f>
        <v>1118681</v>
      </c>
      <c r="C304" s="5" t="str">
        <f>"1044"</f>
        <v>1044</v>
      </c>
      <c r="D304" s="5" t="s">
        <v>1733</v>
      </c>
      <c r="E304" s="5">
        <v>20105384590</v>
      </c>
      <c r="F304" s="5" t="s">
        <v>1734</v>
      </c>
      <c r="G304" s="5" t="s">
        <v>1735</v>
      </c>
      <c r="H304" s="5" t="s">
        <v>80</v>
      </c>
      <c r="I304" s="5" t="s">
        <v>228</v>
      </c>
      <c r="J304" s="5" t="s">
        <v>228</v>
      </c>
      <c r="K304" s="5" t="s">
        <v>1736</v>
      </c>
      <c r="L304" s="5" t="s">
        <v>1737</v>
      </c>
      <c r="M304" s="5"/>
      <c r="N304" s="5"/>
      <c r="O304" s="5"/>
      <c r="P304" s="5"/>
      <c r="Q304" s="5"/>
      <c r="R304" s="5"/>
      <c r="S304" s="5"/>
      <c r="T304" s="5"/>
      <c r="U304" s="5">
        <v>19200</v>
      </c>
      <c r="V304" s="6">
        <v>36809</v>
      </c>
      <c r="W304" s="5" t="s">
        <v>31</v>
      </c>
      <c r="X304" s="5" t="s">
        <v>1738</v>
      </c>
    </row>
    <row r="305" spans="1:24" ht="27.95" x14ac:dyDescent="0.3">
      <c r="A305" s="3">
        <v>299</v>
      </c>
      <c r="B305" s="3" t="str">
        <f>"201800210891"</f>
        <v>201800210891</v>
      </c>
      <c r="C305" s="3" t="str">
        <f>"91031"</f>
        <v>91031</v>
      </c>
      <c r="D305" s="3" t="s">
        <v>1739</v>
      </c>
      <c r="E305" s="3">
        <v>20601777844</v>
      </c>
      <c r="F305" s="3" t="s">
        <v>1740</v>
      </c>
      <c r="G305" s="3" t="s">
        <v>1741</v>
      </c>
      <c r="H305" s="3" t="s">
        <v>28</v>
      </c>
      <c r="I305" s="3" t="s">
        <v>28</v>
      </c>
      <c r="J305" s="3" t="s">
        <v>699</v>
      </c>
      <c r="K305" s="3" t="s">
        <v>1742</v>
      </c>
      <c r="L305" s="3"/>
      <c r="M305" s="3"/>
      <c r="N305" s="3"/>
      <c r="O305" s="3"/>
      <c r="P305" s="3"/>
      <c r="Q305" s="3"/>
      <c r="R305" s="3"/>
      <c r="S305" s="3"/>
      <c r="T305" s="3"/>
      <c r="U305" s="3">
        <v>6160</v>
      </c>
      <c r="V305" s="4">
        <v>43460</v>
      </c>
      <c r="W305" s="3" t="s">
        <v>31</v>
      </c>
      <c r="X305" s="3" t="s">
        <v>1743</v>
      </c>
    </row>
    <row r="306" spans="1:24" x14ac:dyDescent="0.3">
      <c r="A306" s="5">
        <v>300</v>
      </c>
      <c r="B306" s="5" t="str">
        <f>"1504018"</f>
        <v>1504018</v>
      </c>
      <c r="C306" s="5" t="str">
        <f>"20143"</f>
        <v>20143</v>
      </c>
      <c r="D306" s="5" t="s">
        <v>1744</v>
      </c>
      <c r="E306" s="5">
        <v>20114803228</v>
      </c>
      <c r="F306" s="5" t="s">
        <v>1745</v>
      </c>
      <c r="G306" s="5" t="s">
        <v>1746</v>
      </c>
      <c r="H306" s="5" t="s">
        <v>214</v>
      </c>
      <c r="I306" s="5" t="s">
        <v>214</v>
      </c>
      <c r="J306" s="5" t="s">
        <v>214</v>
      </c>
      <c r="K306" s="5" t="s">
        <v>1747</v>
      </c>
      <c r="L306" s="5" t="s">
        <v>1747</v>
      </c>
      <c r="M306" s="5"/>
      <c r="N306" s="5"/>
      <c r="O306" s="5"/>
      <c r="P306" s="5"/>
      <c r="Q306" s="5"/>
      <c r="R306" s="5"/>
      <c r="S306" s="5"/>
      <c r="T306" s="5"/>
      <c r="U306" s="5">
        <v>2000</v>
      </c>
      <c r="V306" s="6">
        <v>40809</v>
      </c>
      <c r="W306" s="5" t="s">
        <v>31</v>
      </c>
      <c r="X306" s="5" t="s">
        <v>1748</v>
      </c>
    </row>
    <row r="307" spans="1:24" ht="27.95" x14ac:dyDescent="0.3">
      <c r="A307" s="3">
        <v>301</v>
      </c>
      <c r="B307" s="3" t="str">
        <f>"202000016449"</f>
        <v>202000016449</v>
      </c>
      <c r="C307" s="3" t="str">
        <f>"109829"</f>
        <v>109829</v>
      </c>
      <c r="D307" s="3" t="s">
        <v>1749</v>
      </c>
      <c r="E307" s="3">
        <v>20102237847</v>
      </c>
      <c r="F307" s="3" t="s">
        <v>1750</v>
      </c>
      <c r="G307" s="3" t="s">
        <v>1751</v>
      </c>
      <c r="H307" s="3" t="s">
        <v>28</v>
      </c>
      <c r="I307" s="3" t="s">
        <v>72</v>
      </c>
      <c r="J307" s="3" t="s">
        <v>322</v>
      </c>
      <c r="K307" s="3" t="s">
        <v>1752</v>
      </c>
      <c r="L307" s="3"/>
      <c r="M307" s="3"/>
      <c r="N307" s="3"/>
      <c r="O307" s="3"/>
      <c r="P307" s="3"/>
      <c r="Q307" s="3"/>
      <c r="R307" s="3"/>
      <c r="S307" s="3"/>
      <c r="T307" s="3"/>
      <c r="U307" s="3">
        <v>10305</v>
      </c>
      <c r="V307" s="4">
        <v>43860</v>
      </c>
      <c r="W307" s="3" t="s">
        <v>31</v>
      </c>
      <c r="X307" s="3" t="s">
        <v>1753</v>
      </c>
    </row>
    <row r="308" spans="1:24" x14ac:dyDescent="0.3">
      <c r="A308" s="5">
        <v>302</v>
      </c>
      <c r="B308" s="5" t="str">
        <f>"1692586"</f>
        <v>1692586</v>
      </c>
      <c r="C308" s="5" t="str">
        <f>"45489"</f>
        <v>45489</v>
      </c>
      <c r="D308" s="5" t="s">
        <v>1754</v>
      </c>
      <c r="E308" s="5">
        <v>20268062671</v>
      </c>
      <c r="F308" s="5" t="s">
        <v>1755</v>
      </c>
      <c r="G308" s="5" t="s">
        <v>1756</v>
      </c>
      <c r="H308" s="5" t="s">
        <v>1147</v>
      </c>
      <c r="I308" s="5" t="s">
        <v>1757</v>
      </c>
      <c r="J308" s="5" t="s">
        <v>1758</v>
      </c>
      <c r="K308" s="5" t="s">
        <v>1759</v>
      </c>
      <c r="L308" s="5" t="s">
        <v>1760</v>
      </c>
      <c r="M308" s="5" t="s">
        <v>1760</v>
      </c>
      <c r="N308" s="5" t="s">
        <v>1760</v>
      </c>
      <c r="O308" s="5"/>
      <c r="P308" s="5"/>
      <c r="Q308" s="5"/>
      <c r="R308" s="5"/>
      <c r="S308" s="5"/>
      <c r="T308" s="5"/>
      <c r="U308" s="5">
        <v>30900</v>
      </c>
      <c r="V308" s="6">
        <v>39226</v>
      </c>
      <c r="W308" s="5" t="s">
        <v>31</v>
      </c>
      <c r="X308" s="5" t="s">
        <v>1761</v>
      </c>
    </row>
    <row r="309" spans="1:24" x14ac:dyDescent="0.3">
      <c r="A309" s="3">
        <v>303</v>
      </c>
      <c r="B309" s="3" t="str">
        <f>"201300104526"</f>
        <v>201300104526</v>
      </c>
      <c r="C309" s="3" t="str">
        <f>"103502"</f>
        <v>103502</v>
      </c>
      <c r="D309" s="3" t="s">
        <v>1762</v>
      </c>
      <c r="E309" s="3">
        <v>20144329148</v>
      </c>
      <c r="F309" s="3" t="s">
        <v>1763</v>
      </c>
      <c r="G309" s="3" t="s">
        <v>1764</v>
      </c>
      <c r="H309" s="3" t="s">
        <v>28</v>
      </c>
      <c r="I309" s="3" t="s">
        <v>28</v>
      </c>
      <c r="J309" s="3" t="s">
        <v>28</v>
      </c>
      <c r="K309" s="3" t="s">
        <v>130</v>
      </c>
      <c r="L309" s="3" t="s">
        <v>130</v>
      </c>
      <c r="M309" s="3" t="s">
        <v>193</v>
      </c>
      <c r="N309" s="3"/>
      <c r="O309" s="3"/>
      <c r="P309" s="3"/>
      <c r="Q309" s="3"/>
      <c r="R309" s="3"/>
      <c r="S309" s="3"/>
      <c r="T309" s="3"/>
      <c r="U309" s="3">
        <v>8500</v>
      </c>
      <c r="V309" s="4">
        <v>41485</v>
      </c>
      <c r="W309" s="3" t="s">
        <v>31</v>
      </c>
      <c r="X309" s="3" t="s">
        <v>1765</v>
      </c>
    </row>
    <row r="310" spans="1:24" ht="27.95" x14ac:dyDescent="0.3">
      <c r="A310" s="5">
        <v>304</v>
      </c>
      <c r="B310" s="5" t="str">
        <f>"202000058451"</f>
        <v>202000058451</v>
      </c>
      <c r="C310" s="5" t="str">
        <f>"149573"</f>
        <v>149573</v>
      </c>
      <c r="D310" s="5" t="s">
        <v>1766</v>
      </c>
      <c r="E310" s="5">
        <v>20509093521</v>
      </c>
      <c r="F310" s="5" t="s">
        <v>1767</v>
      </c>
      <c r="G310" s="5" t="s">
        <v>1768</v>
      </c>
      <c r="H310" s="5" t="s">
        <v>978</v>
      </c>
      <c r="I310" s="5" t="s">
        <v>1222</v>
      </c>
      <c r="J310" s="5" t="s">
        <v>1769</v>
      </c>
      <c r="K310" s="5" t="s">
        <v>397</v>
      </c>
      <c r="L310" s="5" t="s">
        <v>1770</v>
      </c>
      <c r="M310" s="5"/>
      <c r="N310" s="5"/>
      <c r="O310" s="5"/>
      <c r="P310" s="5"/>
      <c r="Q310" s="5"/>
      <c r="R310" s="5"/>
      <c r="S310" s="5"/>
      <c r="T310" s="5"/>
      <c r="U310" s="5">
        <v>2618</v>
      </c>
      <c r="V310" s="6">
        <v>43976</v>
      </c>
      <c r="W310" s="5" t="s">
        <v>31</v>
      </c>
      <c r="X310" s="5" t="s">
        <v>1771</v>
      </c>
    </row>
    <row r="311" spans="1:24" ht="27.95" x14ac:dyDescent="0.3">
      <c r="A311" s="3">
        <v>305</v>
      </c>
      <c r="B311" s="3" t="str">
        <f>"1144811"</f>
        <v>1144811</v>
      </c>
      <c r="C311" s="3" t="str">
        <f>"1246"</f>
        <v>1246</v>
      </c>
      <c r="D311" s="3">
        <v>1088522</v>
      </c>
      <c r="E311" s="3">
        <v>20316587306</v>
      </c>
      <c r="F311" s="3" t="s">
        <v>1772</v>
      </c>
      <c r="G311" s="3" t="s">
        <v>1773</v>
      </c>
      <c r="H311" s="3" t="s">
        <v>80</v>
      </c>
      <c r="I311" s="3" t="s">
        <v>302</v>
      </c>
      <c r="J311" s="3" t="s">
        <v>1774</v>
      </c>
      <c r="K311" s="3" t="s">
        <v>1775</v>
      </c>
      <c r="L311" s="3" t="s">
        <v>1775</v>
      </c>
      <c r="M311" s="3"/>
      <c r="N311" s="3"/>
      <c r="O311" s="3"/>
      <c r="P311" s="3"/>
      <c r="Q311" s="3"/>
      <c r="R311" s="3"/>
      <c r="S311" s="3"/>
      <c r="T311" s="3"/>
      <c r="U311" s="3">
        <v>5000</v>
      </c>
      <c r="V311" s="4">
        <v>35689</v>
      </c>
      <c r="W311" s="3" t="s">
        <v>31</v>
      </c>
      <c r="X311" s="3" t="s">
        <v>1776</v>
      </c>
    </row>
    <row r="312" spans="1:24" ht="27.95" x14ac:dyDescent="0.3">
      <c r="A312" s="5">
        <v>306</v>
      </c>
      <c r="B312" s="5" t="str">
        <f>"201700172963"</f>
        <v>201700172963</v>
      </c>
      <c r="C312" s="5" t="str">
        <f>"132379"</f>
        <v>132379</v>
      </c>
      <c r="D312" s="5" t="s">
        <v>1777</v>
      </c>
      <c r="E312" s="5">
        <v>10419546149</v>
      </c>
      <c r="F312" s="5" t="s">
        <v>1778</v>
      </c>
      <c r="G312" s="5" t="s">
        <v>1779</v>
      </c>
      <c r="H312" s="5" t="s">
        <v>550</v>
      </c>
      <c r="I312" s="5" t="s">
        <v>1780</v>
      </c>
      <c r="J312" s="5" t="s">
        <v>1781</v>
      </c>
      <c r="K312" s="5" t="s">
        <v>1782</v>
      </c>
      <c r="L312" s="5" t="s">
        <v>1782</v>
      </c>
      <c r="M312" s="5"/>
      <c r="N312" s="5"/>
      <c r="O312" s="5"/>
      <c r="P312" s="5"/>
      <c r="Q312" s="5"/>
      <c r="R312" s="5"/>
      <c r="S312" s="5"/>
      <c r="T312" s="5"/>
      <c r="U312" s="5">
        <v>10538</v>
      </c>
      <c r="V312" s="6">
        <v>43030</v>
      </c>
      <c r="W312" s="5" t="s">
        <v>31</v>
      </c>
      <c r="X312" s="5" t="s">
        <v>1778</v>
      </c>
    </row>
    <row r="313" spans="1:24" ht="27.95" x14ac:dyDescent="0.3">
      <c r="A313" s="3">
        <v>307</v>
      </c>
      <c r="B313" s="3" t="str">
        <f>"201500100787"</f>
        <v>201500100787</v>
      </c>
      <c r="C313" s="3" t="str">
        <f>"114258"</f>
        <v>114258</v>
      </c>
      <c r="D313" s="3" t="s">
        <v>1783</v>
      </c>
      <c r="E313" s="3">
        <v>20342660429</v>
      </c>
      <c r="F313" s="3" t="s">
        <v>1784</v>
      </c>
      <c r="G313" s="3" t="s">
        <v>1785</v>
      </c>
      <c r="H313" s="3" t="s">
        <v>28</v>
      </c>
      <c r="I313" s="3" t="s">
        <v>72</v>
      </c>
      <c r="J313" s="3" t="s">
        <v>73</v>
      </c>
      <c r="K313" s="3" t="s">
        <v>168</v>
      </c>
      <c r="L313" s="3"/>
      <c r="M313" s="3"/>
      <c r="N313" s="3"/>
      <c r="O313" s="3"/>
      <c r="P313" s="3"/>
      <c r="Q313" s="3"/>
      <c r="R313" s="3"/>
      <c r="S313" s="3"/>
      <c r="T313" s="3"/>
      <c r="U313" s="3">
        <v>10000</v>
      </c>
      <c r="V313" s="4">
        <v>42230</v>
      </c>
      <c r="W313" s="3" t="s">
        <v>31</v>
      </c>
      <c r="X313" s="3" t="s">
        <v>1786</v>
      </c>
    </row>
    <row r="314" spans="1:24" x14ac:dyDescent="0.3">
      <c r="A314" s="5">
        <v>308</v>
      </c>
      <c r="B314" s="5" t="str">
        <f>"1290722"</f>
        <v>1290722</v>
      </c>
      <c r="C314" s="5" t="str">
        <f>"19426"</f>
        <v>19426</v>
      </c>
      <c r="D314" s="5">
        <v>1290722</v>
      </c>
      <c r="E314" s="5">
        <v>20100035121</v>
      </c>
      <c r="F314" s="5" t="s">
        <v>1787</v>
      </c>
      <c r="G314" s="5" t="s">
        <v>1788</v>
      </c>
      <c r="H314" s="5" t="s">
        <v>28</v>
      </c>
      <c r="I314" s="5" t="s">
        <v>28</v>
      </c>
      <c r="J314" s="5" t="s">
        <v>436</v>
      </c>
      <c r="K314" s="5" t="s">
        <v>1789</v>
      </c>
      <c r="L314" s="5"/>
      <c r="M314" s="5"/>
      <c r="N314" s="5"/>
      <c r="O314" s="5"/>
      <c r="P314" s="5"/>
      <c r="Q314" s="5"/>
      <c r="R314" s="5"/>
      <c r="S314" s="5"/>
      <c r="T314" s="5"/>
      <c r="U314" s="5">
        <v>2700</v>
      </c>
      <c r="V314" s="6">
        <v>36747</v>
      </c>
      <c r="W314" s="5" t="s">
        <v>31</v>
      </c>
      <c r="X314" s="5" t="s">
        <v>1790</v>
      </c>
    </row>
    <row r="315" spans="1:24" x14ac:dyDescent="0.3">
      <c r="A315" s="3">
        <v>309</v>
      </c>
      <c r="B315" s="3" t="str">
        <f>"1113183"</f>
        <v>1113183</v>
      </c>
      <c r="C315" s="3" t="str">
        <f>"767"</f>
        <v>767</v>
      </c>
      <c r="D315" s="3">
        <v>1010219</v>
      </c>
      <c r="E315" s="3">
        <v>20101293115</v>
      </c>
      <c r="F315" s="3" t="s">
        <v>1791</v>
      </c>
      <c r="G315" s="3" t="s">
        <v>1792</v>
      </c>
      <c r="H315" s="3" t="s">
        <v>28</v>
      </c>
      <c r="I315" s="3" t="s">
        <v>28</v>
      </c>
      <c r="J315" s="3" t="s">
        <v>328</v>
      </c>
      <c r="K315" s="3" t="s">
        <v>1793</v>
      </c>
      <c r="L315" s="3" t="s">
        <v>662</v>
      </c>
      <c r="M315" s="3" t="s">
        <v>662</v>
      </c>
      <c r="N315" s="3"/>
      <c r="O315" s="3"/>
      <c r="P315" s="3"/>
      <c r="Q315" s="3"/>
      <c r="R315" s="3"/>
      <c r="S315" s="3"/>
      <c r="T315" s="3"/>
      <c r="U315" s="3">
        <v>52000</v>
      </c>
      <c r="V315" s="4">
        <v>35524</v>
      </c>
      <c r="W315" s="3" t="s">
        <v>31</v>
      </c>
      <c r="X315" s="3" t="s">
        <v>1794</v>
      </c>
    </row>
    <row r="316" spans="1:24" x14ac:dyDescent="0.3">
      <c r="A316" s="5">
        <v>310</v>
      </c>
      <c r="B316" s="5" t="str">
        <f>"201300037728"</f>
        <v>201300037728</v>
      </c>
      <c r="C316" s="5" t="str">
        <f>"61738"</f>
        <v>61738</v>
      </c>
      <c r="D316" s="5" t="s">
        <v>1795</v>
      </c>
      <c r="E316" s="5">
        <v>20447023394</v>
      </c>
      <c r="F316" s="5" t="s">
        <v>1796</v>
      </c>
      <c r="G316" s="5" t="s">
        <v>1797</v>
      </c>
      <c r="H316" s="5" t="s">
        <v>970</v>
      </c>
      <c r="I316" s="5" t="s">
        <v>970</v>
      </c>
      <c r="J316" s="5" t="s">
        <v>1798</v>
      </c>
      <c r="K316" s="5" t="s">
        <v>1799</v>
      </c>
      <c r="L316" s="5" t="s">
        <v>1058</v>
      </c>
      <c r="M316" s="5"/>
      <c r="N316" s="5"/>
      <c r="O316" s="5"/>
      <c r="P316" s="5"/>
      <c r="Q316" s="5"/>
      <c r="R316" s="5"/>
      <c r="S316" s="5"/>
      <c r="T316" s="5"/>
      <c r="U316" s="5">
        <v>10800</v>
      </c>
      <c r="V316" s="6">
        <v>41355</v>
      </c>
      <c r="W316" s="5" t="s">
        <v>31</v>
      </c>
      <c r="X316" s="5" t="s">
        <v>1800</v>
      </c>
    </row>
    <row r="317" spans="1:24" ht="27.95" x14ac:dyDescent="0.3">
      <c r="A317" s="3">
        <v>311</v>
      </c>
      <c r="B317" s="3" t="str">
        <f>"201800084420"</f>
        <v>201800084420</v>
      </c>
      <c r="C317" s="3" t="str">
        <f>"136331"</f>
        <v>136331</v>
      </c>
      <c r="D317" s="3" t="s">
        <v>1801</v>
      </c>
      <c r="E317" s="3">
        <v>20432592961</v>
      </c>
      <c r="F317" s="3" t="s">
        <v>1802</v>
      </c>
      <c r="G317" s="3" t="s">
        <v>1803</v>
      </c>
      <c r="H317" s="3" t="s">
        <v>550</v>
      </c>
      <c r="I317" s="3" t="s">
        <v>1804</v>
      </c>
      <c r="J317" s="3" t="s">
        <v>360</v>
      </c>
      <c r="K317" s="3" t="s">
        <v>397</v>
      </c>
      <c r="L317" s="3"/>
      <c r="M317" s="3"/>
      <c r="N317" s="3"/>
      <c r="O317" s="3"/>
      <c r="P317" s="3"/>
      <c r="Q317" s="3"/>
      <c r="R317" s="3"/>
      <c r="S317" s="3"/>
      <c r="T317" s="3"/>
      <c r="U317" s="3">
        <v>2000</v>
      </c>
      <c r="V317" s="4">
        <v>43256</v>
      </c>
      <c r="W317" s="3" t="s">
        <v>31</v>
      </c>
      <c r="X317" s="3" t="s">
        <v>1805</v>
      </c>
    </row>
    <row r="318" spans="1:24" x14ac:dyDescent="0.3">
      <c r="A318" s="5">
        <v>312</v>
      </c>
      <c r="B318" s="5" t="str">
        <f>"1352247"</f>
        <v>1352247</v>
      </c>
      <c r="C318" s="5" t="str">
        <f>"86834"</f>
        <v>86834</v>
      </c>
      <c r="D318" s="5" t="s">
        <v>1806</v>
      </c>
      <c r="E318" s="5">
        <v>20131257750</v>
      </c>
      <c r="F318" s="5" t="s">
        <v>1807</v>
      </c>
      <c r="G318" s="5" t="s">
        <v>1808</v>
      </c>
      <c r="H318" s="5" t="s">
        <v>135</v>
      </c>
      <c r="I318" s="5" t="s">
        <v>943</v>
      </c>
      <c r="J318" s="5" t="s">
        <v>1809</v>
      </c>
      <c r="K318" s="5" t="s">
        <v>1810</v>
      </c>
      <c r="L318" s="5"/>
      <c r="M318" s="5"/>
      <c r="N318" s="5"/>
      <c r="O318" s="5"/>
      <c r="P318" s="5"/>
      <c r="Q318" s="5"/>
      <c r="R318" s="5"/>
      <c r="S318" s="5"/>
      <c r="T318" s="5"/>
      <c r="U318" s="5">
        <v>2000</v>
      </c>
      <c r="V318" s="6">
        <v>40325</v>
      </c>
      <c r="W318" s="5" t="s">
        <v>31</v>
      </c>
      <c r="X318" s="5" t="s">
        <v>1811</v>
      </c>
    </row>
    <row r="319" spans="1:24" ht="55.9" x14ac:dyDescent="0.3">
      <c r="A319" s="3">
        <v>313</v>
      </c>
      <c r="B319" s="3" t="str">
        <f>"201200221675"</f>
        <v>201200221675</v>
      </c>
      <c r="C319" s="3" t="str">
        <f>"94507"</f>
        <v>94507</v>
      </c>
      <c r="D319" s="3" t="s">
        <v>1812</v>
      </c>
      <c r="E319" s="3">
        <v>20392836200</v>
      </c>
      <c r="F319" s="3" t="s">
        <v>1813</v>
      </c>
      <c r="G319" s="3" t="s">
        <v>1814</v>
      </c>
      <c r="H319" s="3" t="s">
        <v>28</v>
      </c>
      <c r="I319" s="3" t="s">
        <v>28</v>
      </c>
      <c r="J319" s="3" t="s">
        <v>687</v>
      </c>
      <c r="K319" s="3" t="s">
        <v>110</v>
      </c>
      <c r="L319" s="3"/>
      <c r="M319" s="3"/>
      <c r="N319" s="3"/>
      <c r="O319" s="3"/>
      <c r="P319" s="3"/>
      <c r="Q319" s="3"/>
      <c r="R319" s="3"/>
      <c r="S319" s="3"/>
      <c r="T319" s="3"/>
      <c r="U319" s="3">
        <v>4000</v>
      </c>
      <c r="V319" s="4">
        <v>41304</v>
      </c>
      <c r="W319" s="3" t="s">
        <v>31</v>
      </c>
      <c r="X319" s="3" t="s">
        <v>1815</v>
      </c>
    </row>
    <row r="320" spans="1:24" x14ac:dyDescent="0.3">
      <c r="A320" s="5">
        <v>314</v>
      </c>
      <c r="B320" s="5" t="str">
        <f>"201400131251"</f>
        <v>201400131251</v>
      </c>
      <c r="C320" s="5" t="str">
        <f>"92480"</f>
        <v>92480</v>
      </c>
      <c r="D320" s="5" t="s">
        <v>1816</v>
      </c>
      <c r="E320" s="5">
        <v>20527162255</v>
      </c>
      <c r="F320" s="5" t="s">
        <v>1817</v>
      </c>
      <c r="G320" s="5" t="s">
        <v>1818</v>
      </c>
      <c r="H320" s="5" t="s">
        <v>165</v>
      </c>
      <c r="I320" s="5" t="s">
        <v>166</v>
      </c>
      <c r="J320" s="5" t="s">
        <v>167</v>
      </c>
      <c r="K320" s="5" t="s">
        <v>1819</v>
      </c>
      <c r="L320" s="5" t="s">
        <v>1819</v>
      </c>
      <c r="M320" s="5" t="s">
        <v>1819</v>
      </c>
      <c r="N320" s="5" t="s">
        <v>1819</v>
      </c>
      <c r="O320" s="5" t="s">
        <v>1820</v>
      </c>
      <c r="P320" s="5" t="s">
        <v>1820</v>
      </c>
      <c r="Q320" s="5" t="s">
        <v>1820</v>
      </c>
      <c r="R320" s="5" t="s">
        <v>1820</v>
      </c>
      <c r="S320" s="5"/>
      <c r="T320" s="5"/>
      <c r="U320" s="5">
        <v>14880</v>
      </c>
      <c r="V320" s="6">
        <v>42010</v>
      </c>
      <c r="W320" s="5" t="s">
        <v>31</v>
      </c>
      <c r="X320" s="5" t="s">
        <v>1821</v>
      </c>
    </row>
    <row r="321" spans="1:24" ht="27.95" x14ac:dyDescent="0.3">
      <c r="A321" s="3">
        <v>315</v>
      </c>
      <c r="B321" s="3" t="str">
        <f>"1479273"</f>
        <v>1479273</v>
      </c>
      <c r="C321" s="3" t="str">
        <f>"91390"</f>
        <v>91390</v>
      </c>
      <c r="D321" s="3" t="s">
        <v>1822</v>
      </c>
      <c r="E321" s="3">
        <v>20114803228</v>
      </c>
      <c r="F321" s="3" t="s">
        <v>1745</v>
      </c>
      <c r="G321" s="3" t="s">
        <v>1823</v>
      </c>
      <c r="H321" s="3" t="s">
        <v>28</v>
      </c>
      <c r="I321" s="3" t="s">
        <v>28</v>
      </c>
      <c r="J321" s="3" t="s">
        <v>1824</v>
      </c>
      <c r="K321" s="3" t="s">
        <v>1825</v>
      </c>
      <c r="L321" s="3" t="s">
        <v>1825</v>
      </c>
      <c r="M321" s="3"/>
      <c r="N321" s="3"/>
      <c r="O321" s="3"/>
      <c r="P321" s="3"/>
      <c r="Q321" s="3"/>
      <c r="R321" s="3"/>
      <c r="S321" s="3"/>
      <c r="T321" s="3"/>
      <c r="U321" s="3">
        <v>11706</v>
      </c>
      <c r="V321" s="4">
        <v>40653</v>
      </c>
      <c r="W321" s="3" t="s">
        <v>31</v>
      </c>
      <c r="X321" s="3" t="s">
        <v>1748</v>
      </c>
    </row>
    <row r="322" spans="1:24" ht="27.95" x14ac:dyDescent="0.3">
      <c r="A322" s="5">
        <v>316</v>
      </c>
      <c r="B322" s="5" t="str">
        <f>"201900098551"</f>
        <v>201900098551</v>
      </c>
      <c r="C322" s="5" t="str">
        <f>"144758"</f>
        <v>144758</v>
      </c>
      <c r="D322" s="5" t="s">
        <v>1826</v>
      </c>
      <c r="E322" s="5">
        <v>20461642706</v>
      </c>
      <c r="F322" s="5" t="s">
        <v>1827</v>
      </c>
      <c r="G322" s="5" t="s">
        <v>1828</v>
      </c>
      <c r="H322" s="5" t="s">
        <v>36</v>
      </c>
      <c r="I322" s="5" t="s">
        <v>1652</v>
      </c>
      <c r="J322" s="5" t="s">
        <v>1653</v>
      </c>
      <c r="K322" s="5" t="s">
        <v>1829</v>
      </c>
      <c r="L322" s="5"/>
      <c r="M322" s="5"/>
      <c r="N322" s="5"/>
      <c r="O322" s="5"/>
      <c r="P322" s="5"/>
      <c r="Q322" s="5"/>
      <c r="R322" s="5"/>
      <c r="S322" s="5"/>
      <c r="T322" s="5"/>
      <c r="U322" s="5">
        <v>6000</v>
      </c>
      <c r="V322" s="6">
        <v>43648</v>
      </c>
      <c r="W322" s="5" t="s">
        <v>31</v>
      </c>
      <c r="X322" s="5" t="s">
        <v>1830</v>
      </c>
    </row>
    <row r="323" spans="1:24" ht="27.95" x14ac:dyDescent="0.3">
      <c r="A323" s="3">
        <v>317</v>
      </c>
      <c r="B323" s="3" t="str">
        <f>"201600123621"</f>
        <v>201600123621</v>
      </c>
      <c r="C323" s="3" t="str">
        <f>"20145"</f>
        <v>20145</v>
      </c>
      <c r="D323" s="3" t="s">
        <v>1831</v>
      </c>
      <c r="E323" s="3">
        <v>20136222725</v>
      </c>
      <c r="F323" s="3" t="s">
        <v>1650</v>
      </c>
      <c r="G323" s="3" t="s">
        <v>1832</v>
      </c>
      <c r="H323" s="3" t="s">
        <v>135</v>
      </c>
      <c r="I323" s="3" t="s">
        <v>402</v>
      </c>
      <c r="J323" s="3" t="s">
        <v>484</v>
      </c>
      <c r="K323" s="3" t="s">
        <v>130</v>
      </c>
      <c r="L323" s="3"/>
      <c r="M323" s="3"/>
      <c r="N323" s="3"/>
      <c r="O323" s="3"/>
      <c r="P323" s="3"/>
      <c r="Q323" s="3"/>
      <c r="R323" s="3"/>
      <c r="S323" s="3"/>
      <c r="T323" s="3"/>
      <c r="U323" s="3">
        <v>3000</v>
      </c>
      <c r="V323" s="4">
        <v>42614</v>
      </c>
      <c r="W323" s="3" t="s">
        <v>31</v>
      </c>
      <c r="X323" s="3" t="s">
        <v>1833</v>
      </c>
    </row>
    <row r="324" spans="1:24" x14ac:dyDescent="0.3">
      <c r="A324" s="5">
        <v>318</v>
      </c>
      <c r="B324" s="5" t="str">
        <f>"1823413"</f>
        <v>1823413</v>
      </c>
      <c r="C324" s="5" t="str">
        <f>"33575"</f>
        <v>33575</v>
      </c>
      <c r="D324" s="5" t="s">
        <v>1834</v>
      </c>
      <c r="E324" s="5">
        <v>20136165667</v>
      </c>
      <c r="F324" s="5" t="s">
        <v>1835</v>
      </c>
      <c r="G324" s="5" t="s">
        <v>1836</v>
      </c>
      <c r="H324" s="5" t="s">
        <v>28</v>
      </c>
      <c r="I324" s="5" t="s">
        <v>490</v>
      </c>
      <c r="J324" s="5" t="s">
        <v>985</v>
      </c>
      <c r="K324" s="5" t="s">
        <v>1837</v>
      </c>
      <c r="L324" s="5" t="s">
        <v>1838</v>
      </c>
      <c r="M324" s="5"/>
      <c r="N324" s="5"/>
      <c r="O324" s="5"/>
      <c r="P324" s="5"/>
      <c r="Q324" s="5"/>
      <c r="R324" s="5"/>
      <c r="S324" s="5"/>
      <c r="T324" s="5"/>
      <c r="U324" s="5">
        <v>116559</v>
      </c>
      <c r="V324" s="6">
        <v>39722</v>
      </c>
      <c r="W324" s="5" t="s">
        <v>31</v>
      </c>
      <c r="X324" s="5" t="s">
        <v>1839</v>
      </c>
    </row>
    <row r="325" spans="1:24" ht="27.95" x14ac:dyDescent="0.3">
      <c r="A325" s="3">
        <v>319</v>
      </c>
      <c r="B325" s="3" t="str">
        <f>"201300114496"</f>
        <v>201300114496</v>
      </c>
      <c r="C325" s="3" t="str">
        <f>"20747"</f>
        <v>20747</v>
      </c>
      <c r="D325" s="3" t="s">
        <v>1840</v>
      </c>
      <c r="E325" s="3">
        <v>20106665037</v>
      </c>
      <c r="F325" s="3" t="s">
        <v>1841</v>
      </c>
      <c r="G325" s="3" t="s">
        <v>1842</v>
      </c>
      <c r="H325" s="3" t="s">
        <v>28</v>
      </c>
      <c r="I325" s="3" t="s">
        <v>28</v>
      </c>
      <c r="J325" s="3" t="s">
        <v>1432</v>
      </c>
      <c r="K325" s="3" t="s">
        <v>1843</v>
      </c>
      <c r="L325" s="3"/>
      <c r="M325" s="3"/>
      <c r="N325" s="3"/>
      <c r="O325" s="3"/>
      <c r="P325" s="3"/>
      <c r="Q325" s="3"/>
      <c r="R325" s="3"/>
      <c r="S325" s="3"/>
      <c r="T325" s="3"/>
      <c r="U325" s="3">
        <v>6000</v>
      </c>
      <c r="V325" s="4">
        <v>41505</v>
      </c>
      <c r="W325" s="3" t="s">
        <v>31</v>
      </c>
      <c r="X325" s="3" t="s">
        <v>1844</v>
      </c>
    </row>
    <row r="326" spans="1:24" x14ac:dyDescent="0.3">
      <c r="A326" s="5">
        <v>320</v>
      </c>
      <c r="B326" s="5" t="str">
        <f>"1499882"</f>
        <v>1499882</v>
      </c>
      <c r="C326" s="5" t="str">
        <f>"45300"</f>
        <v>45300</v>
      </c>
      <c r="D326" s="5" t="s">
        <v>1845</v>
      </c>
      <c r="E326" s="5">
        <v>20505607831</v>
      </c>
      <c r="F326" s="5" t="s">
        <v>1846</v>
      </c>
      <c r="G326" s="5" t="s">
        <v>1847</v>
      </c>
      <c r="H326" s="5" t="s">
        <v>80</v>
      </c>
      <c r="I326" s="5" t="s">
        <v>309</v>
      </c>
      <c r="J326" s="5" t="s">
        <v>309</v>
      </c>
      <c r="K326" s="5" t="s">
        <v>1848</v>
      </c>
      <c r="L326" s="5" t="s">
        <v>1849</v>
      </c>
      <c r="M326" s="5" t="s">
        <v>1850</v>
      </c>
      <c r="N326" s="5"/>
      <c r="O326" s="5"/>
      <c r="P326" s="5"/>
      <c r="Q326" s="5"/>
      <c r="R326" s="5"/>
      <c r="S326" s="5"/>
      <c r="T326" s="5"/>
      <c r="U326" s="5">
        <v>31266</v>
      </c>
      <c r="V326" s="6">
        <v>40786</v>
      </c>
      <c r="W326" s="5" t="s">
        <v>31</v>
      </c>
      <c r="X326" s="5" t="s">
        <v>1851</v>
      </c>
    </row>
    <row r="327" spans="1:24" x14ac:dyDescent="0.3">
      <c r="A327" s="3">
        <v>321</v>
      </c>
      <c r="B327" s="3" t="str">
        <f>"1853360"</f>
        <v>1853360</v>
      </c>
      <c r="C327" s="3" t="str">
        <f>"82869"</f>
        <v>82869</v>
      </c>
      <c r="D327" s="3" t="s">
        <v>1852</v>
      </c>
      <c r="E327" s="3">
        <v>20297543653</v>
      </c>
      <c r="F327" s="3" t="s">
        <v>884</v>
      </c>
      <c r="G327" s="3" t="s">
        <v>1853</v>
      </c>
      <c r="H327" s="3" t="s">
        <v>28</v>
      </c>
      <c r="I327" s="3" t="s">
        <v>28</v>
      </c>
      <c r="J327" s="3" t="s">
        <v>409</v>
      </c>
      <c r="K327" s="3" t="s">
        <v>1378</v>
      </c>
      <c r="L327" s="3"/>
      <c r="M327" s="3"/>
      <c r="N327" s="3"/>
      <c r="O327" s="3"/>
      <c r="P327" s="3"/>
      <c r="Q327" s="3"/>
      <c r="R327" s="3"/>
      <c r="S327" s="3"/>
      <c r="T327" s="3"/>
      <c r="U327" s="3">
        <v>5000</v>
      </c>
      <c r="V327" s="4">
        <v>39862</v>
      </c>
      <c r="W327" s="3" t="s">
        <v>31</v>
      </c>
      <c r="X327" s="3" t="s">
        <v>1854</v>
      </c>
    </row>
    <row r="328" spans="1:24" x14ac:dyDescent="0.3">
      <c r="A328" s="5">
        <v>322</v>
      </c>
      <c r="B328" s="5" t="str">
        <f>"201600143130"</f>
        <v>201600143130</v>
      </c>
      <c r="C328" s="5" t="str">
        <f>"41653"</f>
        <v>41653</v>
      </c>
      <c r="D328" s="5" t="s">
        <v>1855</v>
      </c>
      <c r="E328" s="5">
        <v>20100039207</v>
      </c>
      <c r="F328" s="5" t="s">
        <v>1856</v>
      </c>
      <c r="G328" s="5" t="s">
        <v>1857</v>
      </c>
      <c r="H328" s="5" t="s">
        <v>135</v>
      </c>
      <c r="I328" s="5" t="s">
        <v>943</v>
      </c>
      <c r="J328" s="5" t="s">
        <v>943</v>
      </c>
      <c r="K328" s="5" t="s">
        <v>1131</v>
      </c>
      <c r="L328" s="5"/>
      <c r="M328" s="5"/>
      <c r="N328" s="5"/>
      <c r="O328" s="5"/>
      <c r="P328" s="5"/>
      <c r="Q328" s="5"/>
      <c r="R328" s="5"/>
      <c r="S328" s="5"/>
      <c r="T328" s="5"/>
      <c r="U328" s="5">
        <v>2000</v>
      </c>
      <c r="V328" s="6">
        <v>42653</v>
      </c>
      <c r="W328" s="5" t="s">
        <v>31</v>
      </c>
      <c r="X328" s="5" t="s">
        <v>1858</v>
      </c>
    </row>
    <row r="329" spans="1:24" x14ac:dyDescent="0.3">
      <c r="A329" s="3">
        <v>323</v>
      </c>
      <c r="B329" s="3" t="str">
        <f>"1115009"</f>
        <v>1115009</v>
      </c>
      <c r="C329" s="3" t="str">
        <f>"848"</f>
        <v>848</v>
      </c>
      <c r="D329" s="3">
        <v>1020183</v>
      </c>
      <c r="E329" s="3">
        <v>20125999604</v>
      </c>
      <c r="F329" s="3" t="s">
        <v>1859</v>
      </c>
      <c r="G329" s="3" t="s">
        <v>1860</v>
      </c>
      <c r="H329" s="3" t="s">
        <v>28</v>
      </c>
      <c r="I329" s="3" t="s">
        <v>28</v>
      </c>
      <c r="J329" s="3" t="s">
        <v>91</v>
      </c>
      <c r="K329" s="3" t="s">
        <v>1260</v>
      </c>
      <c r="L329" s="3"/>
      <c r="M329" s="3"/>
      <c r="N329" s="3"/>
      <c r="O329" s="3"/>
      <c r="P329" s="3"/>
      <c r="Q329" s="3"/>
      <c r="R329" s="3"/>
      <c r="S329" s="3"/>
      <c r="T329" s="3"/>
      <c r="U329" s="3">
        <v>1500</v>
      </c>
      <c r="V329" s="4">
        <v>35550</v>
      </c>
      <c r="W329" s="3" t="s">
        <v>31</v>
      </c>
      <c r="X329" s="3" t="s">
        <v>1861</v>
      </c>
    </row>
    <row r="330" spans="1:24" ht="27.95" x14ac:dyDescent="0.3">
      <c r="A330" s="5">
        <v>324</v>
      </c>
      <c r="B330" s="5" t="str">
        <f>"201800018760"</f>
        <v>201800018760</v>
      </c>
      <c r="C330" s="5" t="str">
        <f>"40623"</f>
        <v>40623</v>
      </c>
      <c r="D330" s="5" t="s">
        <v>1862</v>
      </c>
      <c r="E330" s="5">
        <v>20153408191</v>
      </c>
      <c r="F330" s="5" t="s">
        <v>1863</v>
      </c>
      <c r="G330" s="5" t="s">
        <v>1864</v>
      </c>
      <c r="H330" s="5" t="s">
        <v>334</v>
      </c>
      <c r="I330" s="5" t="s">
        <v>335</v>
      </c>
      <c r="J330" s="5" t="s">
        <v>336</v>
      </c>
      <c r="K330" s="5" t="s">
        <v>1865</v>
      </c>
      <c r="L330" s="5" t="s">
        <v>1866</v>
      </c>
      <c r="M330" s="5" t="s">
        <v>1867</v>
      </c>
      <c r="N330" s="5" t="s">
        <v>1868</v>
      </c>
      <c r="O330" s="5"/>
      <c r="P330" s="5"/>
      <c r="Q330" s="5"/>
      <c r="R330" s="5"/>
      <c r="S330" s="5"/>
      <c r="T330" s="5"/>
      <c r="U330" s="5">
        <v>30868</v>
      </c>
      <c r="V330" s="6">
        <v>43199</v>
      </c>
      <c r="W330" s="5" t="s">
        <v>31</v>
      </c>
      <c r="X330" s="5" t="s">
        <v>1869</v>
      </c>
    </row>
    <row r="331" spans="1:24" x14ac:dyDescent="0.3">
      <c r="A331" s="3">
        <v>325</v>
      </c>
      <c r="B331" s="3" t="str">
        <f>"1274392"</f>
        <v>1274392</v>
      </c>
      <c r="C331" s="3" t="str">
        <f>"18705"</f>
        <v>18705</v>
      </c>
      <c r="D331" s="3">
        <v>1274392</v>
      </c>
      <c r="E331" s="3">
        <v>20419757331</v>
      </c>
      <c r="F331" s="3" t="s">
        <v>1870</v>
      </c>
      <c r="G331" s="3" t="s">
        <v>1871</v>
      </c>
      <c r="H331" s="3" t="s">
        <v>115</v>
      </c>
      <c r="I331" s="3" t="s">
        <v>115</v>
      </c>
      <c r="J331" s="3" t="s">
        <v>1300</v>
      </c>
      <c r="K331" s="3" t="s">
        <v>1872</v>
      </c>
      <c r="L331" s="3"/>
      <c r="M331" s="3"/>
      <c r="N331" s="3"/>
      <c r="O331" s="3"/>
      <c r="P331" s="3"/>
      <c r="Q331" s="3"/>
      <c r="R331" s="3"/>
      <c r="S331" s="3"/>
      <c r="T331" s="3"/>
      <c r="U331" s="3">
        <v>5000</v>
      </c>
      <c r="V331" s="4">
        <v>36602</v>
      </c>
      <c r="W331" s="3" t="s">
        <v>31</v>
      </c>
      <c r="X331" s="3" t="s">
        <v>1873</v>
      </c>
    </row>
    <row r="332" spans="1:24" x14ac:dyDescent="0.3">
      <c r="A332" s="5">
        <v>326</v>
      </c>
      <c r="B332" s="5" t="str">
        <f>"201900197539"</f>
        <v>201900197539</v>
      </c>
      <c r="C332" s="5" t="str">
        <f>"148044"</f>
        <v>148044</v>
      </c>
      <c r="D332" s="5" t="s">
        <v>1874</v>
      </c>
      <c r="E332" s="5">
        <v>20174943924</v>
      </c>
      <c r="F332" s="5" t="s">
        <v>1875</v>
      </c>
      <c r="G332" s="5" t="s">
        <v>1876</v>
      </c>
      <c r="H332" s="5" t="s">
        <v>115</v>
      </c>
      <c r="I332" s="5" t="s">
        <v>115</v>
      </c>
      <c r="J332" s="5" t="s">
        <v>1877</v>
      </c>
      <c r="K332" s="5" t="s">
        <v>1878</v>
      </c>
      <c r="L332" s="5" t="s">
        <v>1878</v>
      </c>
      <c r="M332" s="5"/>
      <c r="N332" s="5"/>
      <c r="O332" s="5"/>
      <c r="P332" s="5"/>
      <c r="Q332" s="5"/>
      <c r="R332" s="5"/>
      <c r="S332" s="5"/>
      <c r="T332" s="5"/>
      <c r="U332" s="5">
        <v>8020</v>
      </c>
      <c r="V332" s="6">
        <v>43803</v>
      </c>
      <c r="W332" s="5" t="s">
        <v>31</v>
      </c>
      <c r="X332" s="5" t="s">
        <v>1879</v>
      </c>
    </row>
    <row r="333" spans="1:24" x14ac:dyDescent="0.3">
      <c r="A333" s="3">
        <v>327</v>
      </c>
      <c r="B333" s="3" t="str">
        <f>"1335045"</f>
        <v>1335045</v>
      </c>
      <c r="C333" s="3" t="str">
        <f>"21436"</f>
        <v>21436</v>
      </c>
      <c r="D333" s="3" t="s">
        <v>1880</v>
      </c>
      <c r="E333" s="3">
        <v>20293847038</v>
      </c>
      <c r="F333" s="3" t="s">
        <v>1881</v>
      </c>
      <c r="G333" s="3" t="s">
        <v>1882</v>
      </c>
      <c r="H333" s="3" t="s">
        <v>28</v>
      </c>
      <c r="I333" s="3" t="s">
        <v>28</v>
      </c>
      <c r="J333" s="3" t="s">
        <v>436</v>
      </c>
      <c r="K333" s="3" t="s">
        <v>1883</v>
      </c>
      <c r="L333" s="3"/>
      <c r="M333" s="3"/>
      <c r="N333" s="3"/>
      <c r="O333" s="3"/>
      <c r="P333" s="3"/>
      <c r="Q333" s="3"/>
      <c r="R333" s="3"/>
      <c r="S333" s="3"/>
      <c r="T333" s="3"/>
      <c r="U333" s="3">
        <v>11205</v>
      </c>
      <c r="V333" s="4">
        <v>37148</v>
      </c>
      <c r="W333" s="3" t="s">
        <v>31</v>
      </c>
      <c r="X333" s="3" t="s">
        <v>1884</v>
      </c>
    </row>
    <row r="334" spans="1:24" ht="27.95" x14ac:dyDescent="0.3">
      <c r="A334" s="5">
        <v>328</v>
      </c>
      <c r="B334" s="5" t="str">
        <f>"1323405"</f>
        <v>1323405</v>
      </c>
      <c r="C334" s="5" t="str">
        <f>"20851"</f>
        <v>20851</v>
      </c>
      <c r="D334" s="5" t="s">
        <v>1885</v>
      </c>
      <c r="E334" s="5">
        <v>20160058430</v>
      </c>
      <c r="F334" s="5" t="s">
        <v>1886</v>
      </c>
      <c r="G334" s="5" t="s">
        <v>1887</v>
      </c>
      <c r="H334" s="5" t="s">
        <v>28</v>
      </c>
      <c r="I334" s="5" t="s">
        <v>28</v>
      </c>
      <c r="J334" s="5" t="s">
        <v>687</v>
      </c>
      <c r="K334" s="5" t="s">
        <v>323</v>
      </c>
      <c r="L334" s="5"/>
      <c r="M334" s="5"/>
      <c r="N334" s="5"/>
      <c r="O334" s="5"/>
      <c r="P334" s="5"/>
      <c r="Q334" s="5"/>
      <c r="R334" s="5"/>
      <c r="S334" s="5"/>
      <c r="T334" s="5"/>
      <c r="U334" s="5">
        <v>4000</v>
      </c>
      <c r="V334" s="6">
        <v>37061</v>
      </c>
      <c r="W334" s="5" t="s">
        <v>31</v>
      </c>
      <c r="X334" s="5" t="s">
        <v>1888</v>
      </c>
    </row>
    <row r="335" spans="1:24" ht="27.95" x14ac:dyDescent="0.3">
      <c r="A335" s="3">
        <v>329</v>
      </c>
      <c r="B335" s="3" t="str">
        <f>"201500092564"</f>
        <v>201500092564</v>
      </c>
      <c r="C335" s="3" t="str">
        <f>"113766"</f>
        <v>113766</v>
      </c>
      <c r="D335" s="3" t="s">
        <v>1889</v>
      </c>
      <c r="E335" s="3">
        <v>20536126440</v>
      </c>
      <c r="F335" s="3" t="s">
        <v>314</v>
      </c>
      <c r="G335" s="3" t="s">
        <v>1890</v>
      </c>
      <c r="H335" s="3" t="s">
        <v>292</v>
      </c>
      <c r="I335" s="3" t="s">
        <v>293</v>
      </c>
      <c r="J335" s="3" t="s">
        <v>1891</v>
      </c>
      <c r="K335" s="3" t="s">
        <v>1892</v>
      </c>
      <c r="L335" s="3" t="s">
        <v>1893</v>
      </c>
      <c r="M335" s="3" t="s">
        <v>881</v>
      </c>
      <c r="N335" s="3"/>
      <c r="O335" s="3"/>
      <c r="P335" s="3"/>
      <c r="Q335" s="3"/>
      <c r="R335" s="3"/>
      <c r="S335" s="3"/>
      <c r="T335" s="3"/>
      <c r="U335" s="3">
        <v>10200</v>
      </c>
      <c r="V335" s="4">
        <v>42257</v>
      </c>
      <c r="W335" s="3" t="s">
        <v>31</v>
      </c>
      <c r="X335" s="3" t="s">
        <v>1578</v>
      </c>
    </row>
    <row r="336" spans="1:24" ht="27.95" x14ac:dyDescent="0.3">
      <c r="A336" s="5">
        <v>330</v>
      </c>
      <c r="B336" s="5" t="str">
        <f>"201900097496"</f>
        <v>201900097496</v>
      </c>
      <c r="C336" s="5" t="str">
        <f>"140218"</f>
        <v>140218</v>
      </c>
      <c r="D336" s="5" t="s">
        <v>1894</v>
      </c>
      <c r="E336" s="5">
        <v>20509516341</v>
      </c>
      <c r="F336" s="5" t="s">
        <v>1895</v>
      </c>
      <c r="G336" s="5" t="s">
        <v>1896</v>
      </c>
      <c r="H336" s="5" t="s">
        <v>28</v>
      </c>
      <c r="I336" s="5" t="s">
        <v>28</v>
      </c>
      <c r="J336" s="5" t="s">
        <v>501</v>
      </c>
      <c r="K336" s="5" t="s">
        <v>397</v>
      </c>
      <c r="L336" s="5"/>
      <c r="M336" s="5"/>
      <c r="N336" s="5"/>
      <c r="O336" s="5"/>
      <c r="P336" s="5"/>
      <c r="Q336" s="5"/>
      <c r="R336" s="5"/>
      <c r="S336" s="5"/>
      <c r="T336" s="5"/>
      <c r="U336" s="5">
        <v>2000</v>
      </c>
      <c r="V336" s="6">
        <v>43638</v>
      </c>
      <c r="W336" s="5" t="s">
        <v>31</v>
      </c>
      <c r="X336" s="5" t="s">
        <v>1897</v>
      </c>
    </row>
    <row r="337" spans="1:24" x14ac:dyDescent="0.3">
      <c r="A337" s="3">
        <v>331</v>
      </c>
      <c r="B337" s="3" t="str">
        <f>"1776509"</f>
        <v>1776509</v>
      </c>
      <c r="C337" s="3" t="str">
        <f>"62717"</f>
        <v>62717</v>
      </c>
      <c r="D337" s="3" t="s">
        <v>1898</v>
      </c>
      <c r="E337" s="3">
        <v>20100166730</v>
      </c>
      <c r="F337" s="3" t="s">
        <v>1899</v>
      </c>
      <c r="G337" s="3" t="s">
        <v>1900</v>
      </c>
      <c r="H337" s="3" t="s">
        <v>28</v>
      </c>
      <c r="I337" s="3" t="s">
        <v>28</v>
      </c>
      <c r="J337" s="3" t="s">
        <v>186</v>
      </c>
      <c r="K337" s="3" t="s">
        <v>1901</v>
      </c>
      <c r="L337" s="3" t="s">
        <v>1902</v>
      </c>
      <c r="M337" s="3" t="s">
        <v>1903</v>
      </c>
      <c r="N337" s="3"/>
      <c r="O337" s="3"/>
      <c r="P337" s="3"/>
      <c r="Q337" s="3"/>
      <c r="R337" s="3"/>
      <c r="S337" s="3"/>
      <c r="T337" s="3"/>
      <c r="U337" s="3">
        <v>1815</v>
      </c>
      <c r="V337" s="4">
        <v>39561</v>
      </c>
      <c r="W337" s="3" t="s">
        <v>31</v>
      </c>
      <c r="X337" s="3" t="s">
        <v>433</v>
      </c>
    </row>
    <row r="338" spans="1:24" ht="27.95" x14ac:dyDescent="0.3">
      <c r="A338" s="5">
        <v>332</v>
      </c>
      <c r="B338" s="5" t="str">
        <f>"201200058190"</f>
        <v>201200058190</v>
      </c>
      <c r="C338" s="5" t="str">
        <f>"95226"</f>
        <v>95226</v>
      </c>
      <c r="D338" s="5" t="s">
        <v>1904</v>
      </c>
      <c r="E338" s="5">
        <v>20525573134</v>
      </c>
      <c r="F338" s="5" t="s">
        <v>1905</v>
      </c>
      <c r="G338" s="5" t="s">
        <v>1906</v>
      </c>
      <c r="H338" s="5" t="s">
        <v>28</v>
      </c>
      <c r="I338" s="5" t="s">
        <v>28</v>
      </c>
      <c r="J338" s="5" t="s">
        <v>1907</v>
      </c>
      <c r="K338" s="5" t="s">
        <v>1908</v>
      </c>
      <c r="L338" s="5" t="s">
        <v>1909</v>
      </c>
      <c r="M338" s="5" t="s">
        <v>1910</v>
      </c>
      <c r="N338" s="5" t="s">
        <v>1911</v>
      </c>
      <c r="O338" s="5" t="s">
        <v>130</v>
      </c>
      <c r="P338" s="5"/>
      <c r="Q338" s="5"/>
      <c r="R338" s="5"/>
      <c r="S338" s="5"/>
      <c r="T338" s="5"/>
      <c r="U338" s="5">
        <v>27000</v>
      </c>
      <c r="V338" s="6">
        <v>41050</v>
      </c>
      <c r="W338" s="5" t="s">
        <v>31</v>
      </c>
      <c r="X338" s="5" t="s">
        <v>1912</v>
      </c>
    </row>
    <row r="339" spans="1:24" ht="27.95" x14ac:dyDescent="0.3">
      <c r="A339" s="3">
        <v>333</v>
      </c>
      <c r="B339" s="3" t="str">
        <f>"1514811"</f>
        <v>1514811</v>
      </c>
      <c r="C339" s="3" t="str">
        <f>"501"</f>
        <v>501</v>
      </c>
      <c r="D339" s="3" t="s">
        <v>1913</v>
      </c>
      <c r="E339" s="3">
        <v>20133530003</v>
      </c>
      <c r="F339" s="3" t="s">
        <v>1914</v>
      </c>
      <c r="G339" s="3" t="s">
        <v>1915</v>
      </c>
      <c r="H339" s="3" t="s">
        <v>28</v>
      </c>
      <c r="I339" s="3" t="s">
        <v>28</v>
      </c>
      <c r="J339" s="3" t="s">
        <v>1432</v>
      </c>
      <c r="K339" s="3" t="s">
        <v>1916</v>
      </c>
      <c r="L339" s="3" t="s">
        <v>1917</v>
      </c>
      <c r="M339" s="3" t="s">
        <v>1918</v>
      </c>
      <c r="N339" s="3" t="s">
        <v>1917</v>
      </c>
      <c r="O339" s="3"/>
      <c r="P339" s="3"/>
      <c r="Q339" s="3"/>
      <c r="R339" s="3"/>
      <c r="S339" s="3"/>
      <c r="T339" s="3"/>
      <c r="U339" s="3">
        <v>15269</v>
      </c>
      <c r="V339" s="4">
        <v>38394</v>
      </c>
      <c r="W339" s="3" t="s">
        <v>31</v>
      </c>
      <c r="X339" s="3" t="s">
        <v>461</v>
      </c>
    </row>
    <row r="340" spans="1:24" x14ac:dyDescent="0.3">
      <c r="A340" s="5">
        <v>334</v>
      </c>
      <c r="B340" s="5" t="str">
        <f>"1761259"</f>
        <v>1761259</v>
      </c>
      <c r="C340" s="5" t="str">
        <f>"346"</f>
        <v>346</v>
      </c>
      <c r="D340" s="5" t="s">
        <v>1919</v>
      </c>
      <c r="E340" s="5">
        <v>20510636946</v>
      </c>
      <c r="F340" s="5" t="s">
        <v>1920</v>
      </c>
      <c r="G340" s="5" t="s">
        <v>1921</v>
      </c>
      <c r="H340" s="5" t="s">
        <v>51</v>
      </c>
      <c r="I340" s="5" t="s">
        <v>1198</v>
      </c>
      <c r="J340" s="5" t="s">
        <v>1922</v>
      </c>
      <c r="K340" s="5" t="s">
        <v>323</v>
      </c>
      <c r="L340" s="5" t="s">
        <v>1923</v>
      </c>
      <c r="M340" s="5" t="s">
        <v>1924</v>
      </c>
      <c r="N340" s="5" t="s">
        <v>1924</v>
      </c>
      <c r="O340" s="5" t="s">
        <v>1925</v>
      </c>
      <c r="P340" s="5" t="s">
        <v>1926</v>
      </c>
      <c r="Q340" s="5" t="s">
        <v>1927</v>
      </c>
      <c r="R340" s="5" t="s">
        <v>1928</v>
      </c>
      <c r="S340" s="5" t="s">
        <v>323</v>
      </c>
      <c r="T340" s="5" t="s">
        <v>1926</v>
      </c>
      <c r="U340" s="5">
        <v>64116</v>
      </c>
      <c r="V340" s="6">
        <v>39484</v>
      </c>
      <c r="W340" s="5" t="s">
        <v>31</v>
      </c>
      <c r="X340" s="5" t="s">
        <v>1929</v>
      </c>
    </row>
    <row r="341" spans="1:24" ht="27.95" x14ac:dyDescent="0.3">
      <c r="A341" s="3">
        <v>335</v>
      </c>
      <c r="B341" s="3" t="str">
        <f>"1471798"</f>
        <v>1471798</v>
      </c>
      <c r="C341" s="3" t="str">
        <f>"91338"</f>
        <v>91338</v>
      </c>
      <c r="D341" s="3" t="s">
        <v>1930</v>
      </c>
      <c r="E341" s="3">
        <v>20101358420</v>
      </c>
      <c r="F341" s="3" t="s">
        <v>1931</v>
      </c>
      <c r="G341" s="3" t="s">
        <v>1932</v>
      </c>
      <c r="H341" s="3" t="s">
        <v>28</v>
      </c>
      <c r="I341" s="3" t="s">
        <v>28</v>
      </c>
      <c r="J341" s="3" t="s">
        <v>409</v>
      </c>
      <c r="K341" s="3" t="s">
        <v>110</v>
      </c>
      <c r="L341" s="3"/>
      <c r="M341" s="3"/>
      <c r="N341" s="3"/>
      <c r="O341" s="3"/>
      <c r="P341" s="3"/>
      <c r="Q341" s="3"/>
      <c r="R341" s="3"/>
      <c r="S341" s="3"/>
      <c r="T341" s="3"/>
      <c r="U341" s="3">
        <v>4000</v>
      </c>
      <c r="V341" s="4">
        <v>40625</v>
      </c>
      <c r="W341" s="3" t="s">
        <v>31</v>
      </c>
      <c r="X341" s="3" t="s">
        <v>1933</v>
      </c>
    </row>
    <row r="342" spans="1:24" x14ac:dyDescent="0.3">
      <c r="A342" s="5">
        <v>336</v>
      </c>
      <c r="B342" s="5" t="str">
        <f>"1115806"</f>
        <v>1115806</v>
      </c>
      <c r="C342" s="5" t="str">
        <f>"596"</f>
        <v>596</v>
      </c>
      <c r="D342" s="5">
        <v>1001775</v>
      </c>
      <c r="E342" s="5">
        <v>20109972241</v>
      </c>
      <c r="F342" s="5" t="s">
        <v>1934</v>
      </c>
      <c r="G342" s="5" t="s">
        <v>1935</v>
      </c>
      <c r="H342" s="5" t="s">
        <v>115</v>
      </c>
      <c r="I342" s="5" t="s">
        <v>115</v>
      </c>
      <c r="J342" s="5" t="s">
        <v>222</v>
      </c>
      <c r="K342" s="5" t="s">
        <v>1126</v>
      </c>
      <c r="L342" s="5" t="s">
        <v>1936</v>
      </c>
      <c r="M342" s="5"/>
      <c r="N342" s="5"/>
      <c r="O342" s="5"/>
      <c r="P342" s="5"/>
      <c r="Q342" s="5"/>
      <c r="R342" s="5"/>
      <c r="S342" s="5"/>
      <c r="T342" s="5"/>
      <c r="U342" s="5">
        <v>5000</v>
      </c>
      <c r="V342" s="6">
        <v>35535</v>
      </c>
      <c r="W342" s="5" t="s">
        <v>31</v>
      </c>
      <c r="X342" s="5" t="s">
        <v>1937</v>
      </c>
    </row>
    <row r="343" spans="1:24" x14ac:dyDescent="0.3">
      <c r="A343" s="3">
        <v>337</v>
      </c>
      <c r="B343" s="3" t="str">
        <f>"201800064799"</f>
        <v>201800064799</v>
      </c>
      <c r="C343" s="3" t="str">
        <f>"16087"</f>
        <v>16087</v>
      </c>
      <c r="D343" s="3" t="s">
        <v>1938</v>
      </c>
      <c r="E343" s="3">
        <v>20297182456</v>
      </c>
      <c r="F343" s="3" t="s">
        <v>1939</v>
      </c>
      <c r="G343" s="3" t="s">
        <v>1940</v>
      </c>
      <c r="H343" s="3" t="s">
        <v>28</v>
      </c>
      <c r="I343" s="3" t="s">
        <v>28</v>
      </c>
      <c r="J343" s="3" t="s">
        <v>545</v>
      </c>
      <c r="K343" s="3" t="s">
        <v>130</v>
      </c>
      <c r="L343" s="3"/>
      <c r="M343" s="3"/>
      <c r="N343" s="3"/>
      <c r="O343" s="3"/>
      <c r="P343" s="3"/>
      <c r="Q343" s="3"/>
      <c r="R343" s="3"/>
      <c r="S343" s="3"/>
      <c r="T343" s="3"/>
      <c r="U343" s="3">
        <v>3000</v>
      </c>
      <c r="V343" s="4">
        <v>43212</v>
      </c>
      <c r="W343" s="3" t="s">
        <v>31</v>
      </c>
      <c r="X343" s="3" t="s">
        <v>1941</v>
      </c>
    </row>
    <row r="344" spans="1:24" ht="27.95" x14ac:dyDescent="0.3">
      <c r="A344" s="5">
        <v>338</v>
      </c>
      <c r="B344" s="5" t="str">
        <f>"201900097482"</f>
        <v>201900097482</v>
      </c>
      <c r="C344" s="5" t="str">
        <f>"21767"</f>
        <v>21767</v>
      </c>
      <c r="D344" s="5" t="s">
        <v>1942</v>
      </c>
      <c r="E344" s="5">
        <v>20509516341</v>
      </c>
      <c r="F344" s="5" t="s">
        <v>26</v>
      </c>
      <c r="G344" s="5" t="s">
        <v>1943</v>
      </c>
      <c r="H344" s="5" t="s">
        <v>28</v>
      </c>
      <c r="I344" s="5" t="s">
        <v>28</v>
      </c>
      <c r="J344" s="5" t="s">
        <v>1944</v>
      </c>
      <c r="K344" s="5" t="s">
        <v>130</v>
      </c>
      <c r="L344" s="5"/>
      <c r="M344" s="5"/>
      <c r="N344" s="5"/>
      <c r="O344" s="5"/>
      <c r="P344" s="5"/>
      <c r="Q344" s="5"/>
      <c r="R344" s="5"/>
      <c r="S344" s="5"/>
      <c r="T344" s="5"/>
      <c r="U344" s="5">
        <v>3000</v>
      </c>
      <c r="V344" s="6">
        <v>43633</v>
      </c>
      <c r="W344" s="5" t="s">
        <v>31</v>
      </c>
      <c r="X344" s="5" t="s">
        <v>32</v>
      </c>
    </row>
    <row r="345" spans="1:24" x14ac:dyDescent="0.3">
      <c r="A345" s="3">
        <v>339</v>
      </c>
      <c r="B345" s="3" t="str">
        <f>"201900201629"</f>
        <v>201900201629</v>
      </c>
      <c r="C345" s="3" t="str">
        <f>"148144"</f>
        <v>148144</v>
      </c>
      <c r="D345" s="3" t="s">
        <v>1945</v>
      </c>
      <c r="E345" s="3">
        <v>20557987020</v>
      </c>
      <c r="F345" s="3" t="s">
        <v>1946</v>
      </c>
      <c r="G345" s="3" t="s">
        <v>1947</v>
      </c>
      <c r="H345" s="3" t="s">
        <v>115</v>
      </c>
      <c r="I345" s="3" t="s">
        <v>115</v>
      </c>
      <c r="J345" s="3" t="s">
        <v>159</v>
      </c>
      <c r="K345" s="3" t="s">
        <v>168</v>
      </c>
      <c r="L345" s="3"/>
      <c r="M345" s="3"/>
      <c r="N345" s="3"/>
      <c r="O345" s="3"/>
      <c r="P345" s="3"/>
      <c r="Q345" s="3"/>
      <c r="R345" s="3"/>
      <c r="S345" s="3"/>
      <c r="T345" s="3"/>
      <c r="U345" s="3">
        <v>10000</v>
      </c>
      <c r="V345" s="4">
        <v>43809</v>
      </c>
      <c r="W345" s="3" t="s">
        <v>31</v>
      </c>
      <c r="X345" s="3" t="s">
        <v>1948</v>
      </c>
    </row>
    <row r="346" spans="1:24" ht="27.95" x14ac:dyDescent="0.3">
      <c r="A346" s="5">
        <v>340</v>
      </c>
      <c r="B346" s="5" t="str">
        <f>"201600169219"</f>
        <v>201600169219</v>
      </c>
      <c r="C346" s="5" t="str">
        <f>"63859"</f>
        <v>63859</v>
      </c>
      <c r="D346" s="5" t="s">
        <v>1949</v>
      </c>
      <c r="E346" s="5">
        <v>20600543459</v>
      </c>
      <c r="F346" s="5" t="s">
        <v>1950</v>
      </c>
      <c r="G346" s="5" t="s">
        <v>1951</v>
      </c>
      <c r="H346" s="5" t="s">
        <v>28</v>
      </c>
      <c r="I346" s="5" t="s">
        <v>28</v>
      </c>
      <c r="J346" s="5" t="s">
        <v>172</v>
      </c>
      <c r="K346" s="5" t="s">
        <v>779</v>
      </c>
      <c r="L346" s="5"/>
      <c r="M346" s="5"/>
      <c r="N346" s="5"/>
      <c r="O346" s="5"/>
      <c r="P346" s="5"/>
      <c r="Q346" s="5"/>
      <c r="R346" s="5"/>
      <c r="S346" s="5"/>
      <c r="T346" s="5"/>
      <c r="U346" s="5">
        <v>2300</v>
      </c>
      <c r="V346" s="6">
        <v>42710</v>
      </c>
      <c r="W346" s="5" t="s">
        <v>31</v>
      </c>
      <c r="X346" s="5" t="s">
        <v>1952</v>
      </c>
    </row>
    <row r="347" spans="1:24" x14ac:dyDescent="0.3">
      <c r="A347" s="3">
        <v>341</v>
      </c>
      <c r="B347" s="3" t="str">
        <f>"202000042800"</f>
        <v>202000042800</v>
      </c>
      <c r="C347" s="3" t="str">
        <f>"149495"</f>
        <v>149495</v>
      </c>
      <c r="D347" s="3" t="s">
        <v>1953</v>
      </c>
      <c r="E347" s="3">
        <v>20396637759</v>
      </c>
      <c r="F347" s="3" t="s">
        <v>1954</v>
      </c>
      <c r="G347" s="3" t="s">
        <v>1955</v>
      </c>
      <c r="H347" s="3" t="s">
        <v>36</v>
      </c>
      <c r="I347" s="3" t="s">
        <v>514</v>
      </c>
      <c r="J347" s="3" t="s">
        <v>514</v>
      </c>
      <c r="K347" s="3" t="s">
        <v>397</v>
      </c>
      <c r="L347" s="3"/>
      <c r="M347" s="3"/>
      <c r="N347" s="3"/>
      <c r="O347" s="3"/>
      <c r="P347" s="3"/>
      <c r="Q347" s="3"/>
      <c r="R347" s="3"/>
      <c r="S347" s="3"/>
      <c r="T347" s="3"/>
      <c r="U347" s="3">
        <v>2000</v>
      </c>
      <c r="V347" s="4">
        <v>43907</v>
      </c>
      <c r="W347" s="3" t="s">
        <v>31</v>
      </c>
      <c r="X347" s="3" t="s">
        <v>1956</v>
      </c>
    </row>
    <row r="348" spans="1:24" x14ac:dyDescent="0.3">
      <c r="A348" s="5">
        <v>342</v>
      </c>
      <c r="B348" s="5" t="str">
        <f>"201900157565"</f>
        <v>201900157565</v>
      </c>
      <c r="C348" s="5" t="str">
        <f>"135759"</f>
        <v>135759</v>
      </c>
      <c r="D348" s="5" t="s">
        <v>1957</v>
      </c>
      <c r="E348" s="5">
        <v>20604381801</v>
      </c>
      <c r="F348" s="5" t="s">
        <v>1958</v>
      </c>
      <c r="G348" s="5" t="s">
        <v>1959</v>
      </c>
      <c r="H348" s="5" t="s">
        <v>28</v>
      </c>
      <c r="I348" s="5" t="s">
        <v>28</v>
      </c>
      <c r="J348" s="5" t="s">
        <v>208</v>
      </c>
      <c r="K348" s="5" t="s">
        <v>1960</v>
      </c>
      <c r="L348" s="5"/>
      <c r="M348" s="5"/>
      <c r="N348" s="5"/>
      <c r="O348" s="5"/>
      <c r="P348" s="5"/>
      <c r="Q348" s="5"/>
      <c r="R348" s="5"/>
      <c r="S348" s="5"/>
      <c r="T348" s="5"/>
      <c r="U348" s="5">
        <v>528</v>
      </c>
      <c r="V348" s="6">
        <v>43756</v>
      </c>
      <c r="W348" s="5" t="s">
        <v>31</v>
      </c>
      <c r="X348" s="5" t="s">
        <v>1961</v>
      </c>
    </row>
    <row r="349" spans="1:24" ht="27.95" x14ac:dyDescent="0.3">
      <c r="A349" s="3">
        <v>343</v>
      </c>
      <c r="B349" s="3" t="str">
        <f>"1420410"</f>
        <v>1420410</v>
      </c>
      <c r="C349" s="3" t="str">
        <f>"44309"</f>
        <v>44309</v>
      </c>
      <c r="D349" s="3" t="s">
        <v>1962</v>
      </c>
      <c r="E349" s="3">
        <v>20299982484</v>
      </c>
      <c r="F349" s="3" t="s">
        <v>1963</v>
      </c>
      <c r="G349" s="3" t="s">
        <v>1964</v>
      </c>
      <c r="H349" s="3" t="s">
        <v>28</v>
      </c>
      <c r="I349" s="3" t="s">
        <v>28</v>
      </c>
      <c r="J349" s="3" t="s">
        <v>186</v>
      </c>
      <c r="K349" s="3" t="s">
        <v>1965</v>
      </c>
      <c r="L349" s="3"/>
      <c r="M349" s="3"/>
      <c r="N349" s="3"/>
      <c r="O349" s="3"/>
      <c r="P349" s="3"/>
      <c r="Q349" s="3"/>
      <c r="R349" s="3"/>
      <c r="S349" s="3"/>
      <c r="T349" s="3"/>
      <c r="U349" s="3">
        <v>750</v>
      </c>
      <c r="V349" s="4">
        <v>40455</v>
      </c>
      <c r="W349" s="3" t="s">
        <v>31</v>
      </c>
      <c r="X349" s="3" t="s">
        <v>1966</v>
      </c>
    </row>
    <row r="350" spans="1:24" x14ac:dyDescent="0.3">
      <c r="A350" s="5">
        <v>344</v>
      </c>
      <c r="B350" s="5" t="str">
        <f>"1120008"</f>
        <v>1120008</v>
      </c>
      <c r="C350" s="5" t="str">
        <f>"693"</f>
        <v>693</v>
      </c>
      <c r="D350" s="5" t="s">
        <v>1967</v>
      </c>
      <c r="E350" s="5">
        <v>10175266637</v>
      </c>
      <c r="F350" s="5" t="s">
        <v>1968</v>
      </c>
      <c r="G350" s="5" t="s">
        <v>1969</v>
      </c>
      <c r="H350" s="5" t="s">
        <v>80</v>
      </c>
      <c r="I350" s="5" t="s">
        <v>192</v>
      </c>
      <c r="J350" s="5" t="s">
        <v>1970</v>
      </c>
      <c r="K350" s="5" t="s">
        <v>46</v>
      </c>
      <c r="L350" s="5"/>
      <c r="M350" s="5"/>
      <c r="N350" s="5"/>
      <c r="O350" s="5"/>
      <c r="P350" s="5"/>
      <c r="Q350" s="5"/>
      <c r="R350" s="5"/>
      <c r="S350" s="5"/>
      <c r="T350" s="5"/>
      <c r="U350" s="5">
        <v>3000</v>
      </c>
      <c r="V350" s="6">
        <v>36809</v>
      </c>
      <c r="W350" s="5" t="s">
        <v>31</v>
      </c>
      <c r="X350" s="5" t="s">
        <v>1971</v>
      </c>
    </row>
    <row r="351" spans="1:24" ht="27.95" x14ac:dyDescent="0.3">
      <c r="A351" s="3">
        <v>345</v>
      </c>
      <c r="B351" s="3" t="str">
        <f>"1669837"</f>
        <v>1669837</v>
      </c>
      <c r="C351" s="3" t="str">
        <f>"278"</f>
        <v>278</v>
      </c>
      <c r="D351" s="3" t="s">
        <v>1972</v>
      </c>
      <c r="E351" s="3">
        <v>20100113610</v>
      </c>
      <c r="F351" s="3" t="s">
        <v>1973</v>
      </c>
      <c r="G351" s="3" t="s">
        <v>1974</v>
      </c>
      <c r="H351" s="3" t="s">
        <v>36</v>
      </c>
      <c r="I351" s="3" t="s">
        <v>234</v>
      </c>
      <c r="J351" s="3" t="s">
        <v>234</v>
      </c>
      <c r="K351" s="3" t="s">
        <v>1975</v>
      </c>
      <c r="L351" s="3" t="s">
        <v>1976</v>
      </c>
      <c r="M351" s="3"/>
      <c r="N351" s="3"/>
      <c r="O351" s="3"/>
      <c r="P351" s="3"/>
      <c r="Q351" s="3"/>
      <c r="R351" s="3"/>
      <c r="S351" s="3"/>
      <c r="T351" s="3"/>
      <c r="U351" s="3">
        <v>63200</v>
      </c>
      <c r="V351" s="4">
        <v>39048</v>
      </c>
      <c r="W351" s="3" t="s">
        <v>31</v>
      </c>
      <c r="X351" s="3" t="s">
        <v>1977</v>
      </c>
    </row>
    <row r="352" spans="1:24" ht="27.95" x14ac:dyDescent="0.3">
      <c r="A352" s="5">
        <v>346</v>
      </c>
      <c r="B352" s="5" t="str">
        <f>"1120003"</f>
        <v>1120003</v>
      </c>
      <c r="C352" s="5" t="str">
        <f>"18681"</f>
        <v>18681</v>
      </c>
      <c r="D352" s="5" t="s">
        <v>1978</v>
      </c>
      <c r="E352" s="5">
        <v>20315925003</v>
      </c>
      <c r="F352" s="5" t="s">
        <v>1979</v>
      </c>
      <c r="G352" s="5" t="s">
        <v>1980</v>
      </c>
      <c r="H352" s="5" t="s">
        <v>80</v>
      </c>
      <c r="I352" s="5" t="s">
        <v>192</v>
      </c>
      <c r="J352" s="5" t="s">
        <v>192</v>
      </c>
      <c r="K352" s="5" t="s">
        <v>46</v>
      </c>
      <c r="L352" s="5"/>
      <c r="M352" s="5"/>
      <c r="N352" s="5"/>
      <c r="O352" s="5"/>
      <c r="P352" s="5"/>
      <c r="Q352" s="5"/>
      <c r="R352" s="5"/>
      <c r="S352" s="5"/>
      <c r="T352" s="5"/>
      <c r="U352" s="5">
        <v>3000</v>
      </c>
      <c r="V352" s="6">
        <v>36810</v>
      </c>
      <c r="W352" s="5" t="s">
        <v>31</v>
      </c>
      <c r="X352" s="5" t="s">
        <v>1981</v>
      </c>
    </row>
    <row r="353" spans="1:24" x14ac:dyDescent="0.3">
      <c r="A353" s="3">
        <v>347</v>
      </c>
      <c r="B353" s="3" t="str">
        <f>"201600123609"</f>
        <v>201600123609</v>
      </c>
      <c r="C353" s="3" t="str">
        <f>"16526"</f>
        <v>16526</v>
      </c>
      <c r="D353" s="3" t="s">
        <v>1982</v>
      </c>
      <c r="E353" s="3">
        <v>20440369082</v>
      </c>
      <c r="F353" s="3" t="s">
        <v>1983</v>
      </c>
      <c r="G353" s="3" t="s">
        <v>1984</v>
      </c>
      <c r="H353" s="3" t="s">
        <v>36</v>
      </c>
      <c r="I353" s="3" t="s">
        <v>234</v>
      </c>
      <c r="J353" s="3" t="s">
        <v>587</v>
      </c>
      <c r="K353" s="3" t="s">
        <v>1985</v>
      </c>
      <c r="L353" s="3"/>
      <c r="M353" s="3"/>
      <c r="N353" s="3"/>
      <c r="O353" s="3"/>
      <c r="P353" s="3"/>
      <c r="Q353" s="3"/>
      <c r="R353" s="3"/>
      <c r="S353" s="3"/>
      <c r="T353" s="3"/>
      <c r="U353" s="3">
        <v>6000</v>
      </c>
      <c r="V353" s="4">
        <v>42619</v>
      </c>
      <c r="W353" s="3" t="s">
        <v>31</v>
      </c>
      <c r="X353" s="3" t="s">
        <v>1986</v>
      </c>
    </row>
    <row r="354" spans="1:24" ht="27.95" x14ac:dyDescent="0.3">
      <c r="A354" s="5">
        <v>348</v>
      </c>
      <c r="B354" s="5" t="str">
        <f>"201600146701"</f>
        <v>201600146701</v>
      </c>
      <c r="C354" s="5" t="str">
        <f>"113349"</f>
        <v>113349</v>
      </c>
      <c r="D354" s="5" t="s">
        <v>1987</v>
      </c>
      <c r="E354" s="5">
        <v>20354091659</v>
      </c>
      <c r="F354" s="5" t="s">
        <v>1988</v>
      </c>
      <c r="G354" s="5" t="s">
        <v>1989</v>
      </c>
      <c r="H354" s="5" t="s">
        <v>36</v>
      </c>
      <c r="I354" s="5" t="s">
        <v>234</v>
      </c>
      <c r="J354" s="5" t="s">
        <v>1990</v>
      </c>
      <c r="K354" s="5" t="s">
        <v>1991</v>
      </c>
      <c r="L354" s="5"/>
      <c r="M354" s="5"/>
      <c r="N354" s="5"/>
      <c r="O354" s="5"/>
      <c r="P354" s="5"/>
      <c r="Q354" s="5"/>
      <c r="R354" s="5"/>
      <c r="S354" s="5"/>
      <c r="T354" s="5"/>
      <c r="U354" s="5">
        <v>3400</v>
      </c>
      <c r="V354" s="6">
        <v>42653</v>
      </c>
      <c r="W354" s="5" t="s">
        <v>31</v>
      </c>
      <c r="X354" s="5" t="s">
        <v>1992</v>
      </c>
    </row>
    <row r="355" spans="1:24" x14ac:dyDescent="0.3">
      <c r="A355" s="3">
        <v>349</v>
      </c>
      <c r="B355" s="3" t="str">
        <f>"1707915"</f>
        <v>1707915</v>
      </c>
      <c r="C355" s="3" t="str">
        <f>"824"</f>
        <v>824</v>
      </c>
      <c r="D355" s="3" t="s">
        <v>1993</v>
      </c>
      <c r="E355" s="3">
        <v>20126702737</v>
      </c>
      <c r="F355" s="3" t="s">
        <v>1994</v>
      </c>
      <c r="G355" s="3" t="s">
        <v>1995</v>
      </c>
      <c r="H355" s="3" t="s">
        <v>51</v>
      </c>
      <c r="I355" s="3" t="s">
        <v>316</v>
      </c>
      <c r="J355" s="3" t="s">
        <v>1996</v>
      </c>
      <c r="K355" s="3" t="s">
        <v>1997</v>
      </c>
      <c r="L355" s="3" t="s">
        <v>1997</v>
      </c>
      <c r="M355" s="3"/>
      <c r="N355" s="3"/>
      <c r="O355" s="3"/>
      <c r="P355" s="3"/>
      <c r="Q355" s="3"/>
      <c r="R355" s="3"/>
      <c r="S355" s="3"/>
      <c r="T355" s="3"/>
      <c r="U355" s="3">
        <v>14000</v>
      </c>
      <c r="V355" s="4">
        <v>39272</v>
      </c>
      <c r="W355" s="3" t="s">
        <v>31</v>
      </c>
      <c r="X355" s="3" t="s">
        <v>1998</v>
      </c>
    </row>
    <row r="356" spans="1:24" x14ac:dyDescent="0.3">
      <c r="A356" s="5">
        <v>350</v>
      </c>
      <c r="B356" s="5" t="str">
        <f>"201900161426"</f>
        <v>201900161426</v>
      </c>
      <c r="C356" s="5" t="str">
        <f>"126"</f>
        <v>126</v>
      </c>
      <c r="D356" s="5" t="s">
        <v>1999</v>
      </c>
      <c r="E356" s="5">
        <v>20600993926</v>
      </c>
      <c r="F356" s="5" t="s">
        <v>2000</v>
      </c>
      <c r="G356" s="5" t="s">
        <v>2001</v>
      </c>
      <c r="H356" s="5" t="s">
        <v>2002</v>
      </c>
      <c r="I356" s="5" t="s">
        <v>2002</v>
      </c>
      <c r="J356" s="5" t="s">
        <v>2003</v>
      </c>
      <c r="K356" s="5" t="s">
        <v>2004</v>
      </c>
      <c r="L356" s="5" t="s">
        <v>2005</v>
      </c>
      <c r="M356" s="5" t="s">
        <v>181</v>
      </c>
      <c r="N356" s="5" t="s">
        <v>181</v>
      </c>
      <c r="O356" s="5"/>
      <c r="P356" s="5"/>
      <c r="Q356" s="5"/>
      <c r="R356" s="5"/>
      <c r="S356" s="5"/>
      <c r="T356" s="5"/>
      <c r="U356" s="5">
        <v>17560</v>
      </c>
      <c r="V356" s="6">
        <v>43749</v>
      </c>
      <c r="W356" s="5" t="s">
        <v>31</v>
      </c>
      <c r="X356" s="5" t="s">
        <v>2006</v>
      </c>
    </row>
    <row r="357" spans="1:24" ht="27.95" x14ac:dyDescent="0.3">
      <c r="A357" s="3">
        <v>351</v>
      </c>
      <c r="B357" s="3" t="str">
        <f>"201800004172"</f>
        <v>201800004172</v>
      </c>
      <c r="C357" s="3" t="str">
        <f>"120725"</f>
        <v>120725</v>
      </c>
      <c r="D357" s="3" t="s">
        <v>2007</v>
      </c>
      <c r="E357" s="3">
        <v>20483885581</v>
      </c>
      <c r="F357" s="3" t="s">
        <v>2008</v>
      </c>
      <c r="G357" s="3" t="s">
        <v>2009</v>
      </c>
      <c r="H357" s="3" t="s">
        <v>80</v>
      </c>
      <c r="I357" s="3" t="s">
        <v>309</v>
      </c>
      <c r="J357" s="3" t="s">
        <v>309</v>
      </c>
      <c r="K357" s="3" t="s">
        <v>2010</v>
      </c>
      <c r="L357" s="3"/>
      <c r="M357" s="3"/>
      <c r="N357" s="3"/>
      <c r="O357" s="3"/>
      <c r="P357" s="3"/>
      <c r="Q357" s="3"/>
      <c r="R357" s="3"/>
      <c r="S357" s="3"/>
      <c r="T357" s="3"/>
      <c r="U357" s="3">
        <v>2750</v>
      </c>
      <c r="V357" s="4">
        <v>43116</v>
      </c>
      <c r="W357" s="3" t="s">
        <v>31</v>
      </c>
      <c r="X357" s="3" t="s">
        <v>2011</v>
      </c>
    </row>
    <row r="358" spans="1:24" ht="27.95" x14ac:dyDescent="0.3">
      <c r="A358" s="5">
        <v>352</v>
      </c>
      <c r="B358" s="5" t="str">
        <f>"201600121089"</f>
        <v>201600121089</v>
      </c>
      <c r="C358" s="5" t="str">
        <f>"44658"</f>
        <v>44658</v>
      </c>
      <c r="D358" s="5" t="s">
        <v>2012</v>
      </c>
      <c r="E358" s="5">
        <v>20137291313</v>
      </c>
      <c r="F358" s="5" t="s">
        <v>2013</v>
      </c>
      <c r="G358" s="5" t="s">
        <v>2014</v>
      </c>
      <c r="H358" s="5" t="s">
        <v>978</v>
      </c>
      <c r="I358" s="5" t="s">
        <v>978</v>
      </c>
      <c r="J358" s="5" t="s">
        <v>2015</v>
      </c>
      <c r="K358" s="5" t="s">
        <v>1260</v>
      </c>
      <c r="L358" s="5" t="s">
        <v>1260</v>
      </c>
      <c r="M358" s="5" t="s">
        <v>1260</v>
      </c>
      <c r="N358" s="5" t="s">
        <v>1260</v>
      </c>
      <c r="O358" s="5"/>
      <c r="P358" s="5"/>
      <c r="Q358" s="5"/>
      <c r="R358" s="5"/>
      <c r="S358" s="5"/>
      <c r="T358" s="5"/>
      <c r="U358" s="5">
        <v>6000</v>
      </c>
      <c r="V358" s="6">
        <v>42606</v>
      </c>
      <c r="W358" s="5" t="s">
        <v>31</v>
      </c>
      <c r="X358" s="5" t="s">
        <v>2016</v>
      </c>
    </row>
    <row r="359" spans="1:24" ht="27.95" x14ac:dyDescent="0.3">
      <c r="A359" s="3">
        <v>353</v>
      </c>
      <c r="B359" s="3" t="str">
        <f>"201600131426"</f>
        <v>201600131426</v>
      </c>
      <c r="C359" s="3" t="str">
        <f>"64173"</f>
        <v>64173</v>
      </c>
      <c r="D359" s="3" t="s">
        <v>2017</v>
      </c>
      <c r="E359" s="3">
        <v>20164264239</v>
      </c>
      <c r="F359" s="3" t="s">
        <v>2018</v>
      </c>
      <c r="G359" s="3" t="s">
        <v>2019</v>
      </c>
      <c r="H359" s="3" t="s">
        <v>36</v>
      </c>
      <c r="I359" s="3" t="s">
        <v>234</v>
      </c>
      <c r="J359" s="3" t="s">
        <v>587</v>
      </c>
      <c r="K359" s="3" t="s">
        <v>2020</v>
      </c>
      <c r="L359" s="3"/>
      <c r="M359" s="3"/>
      <c r="N359" s="3"/>
      <c r="O359" s="3"/>
      <c r="P359" s="3"/>
      <c r="Q359" s="3"/>
      <c r="R359" s="3"/>
      <c r="S359" s="3"/>
      <c r="T359" s="3"/>
      <c r="U359" s="3">
        <v>2500</v>
      </c>
      <c r="V359" s="4">
        <v>42626</v>
      </c>
      <c r="W359" s="3" t="s">
        <v>31</v>
      </c>
      <c r="X359" s="3" t="s">
        <v>2021</v>
      </c>
    </row>
    <row r="360" spans="1:24" x14ac:dyDescent="0.3">
      <c r="A360" s="5">
        <v>354</v>
      </c>
      <c r="B360" s="5" t="str">
        <f>"1984811"</f>
        <v>1984811</v>
      </c>
      <c r="C360" s="5" t="str">
        <f>"86163"</f>
        <v>86163</v>
      </c>
      <c r="D360" s="5" t="s">
        <v>2022</v>
      </c>
      <c r="E360" s="5">
        <v>20106076635</v>
      </c>
      <c r="F360" s="5" t="s">
        <v>2023</v>
      </c>
      <c r="G360" s="5" t="s">
        <v>2024</v>
      </c>
      <c r="H360" s="5" t="s">
        <v>28</v>
      </c>
      <c r="I360" s="5" t="s">
        <v>28</v>
      </c>
      <c r="J360" s="5" t="s">
        <v>266</v>
      </c>
      <c r="K360" s="5" t="s">
        <v>2025</v>
      </c>
      <c r="L360" s="5"/>
      <c r="M360" s="5"/>
      <c r="N360" s="5"/>
      <c r="O360" s="5"/>
      <c r="P360" s="5"/>
      <c r="Q360" s="5"/>
      <c r="R360" s="5"/>
      <c r="S360" s="5"/>
      <c r="T360" s="5"/>
      <c r="U360" s="5">
        <v>15000</v>
      </c>
      <c r="V360" s="6">
        <v>40298</v>
      </c>
      <c r="W360" s="5" t="s">
        <v>31</v>
      </c>
      <c r="X360" s="5" t="s">
        <v>2026</v>
      </c>
    </row>
    <row r="361" spans="1:24" x14ac:dyDescent="0.3">
      <c r="A361" s="3">
        <v>355</v>
      </c>
      <c r="B361" s="3" t="str">
        <f>"201300152269"</f>
        <v>201300152269</v>
      </c>
      <c r="C361" s="3" t="str">
        <f>"105440"</f>
        <v>105440</v>
      </c>
      <c r="D361" s="3" t="s">
        <v>2027</v>
      </c>
      <c r="E361" s="3">
        <v>20120599063</v>
      </c>
      <c r="F361" s="3" t="s">
        <v>2028</v>
      </c>
      <c r="G361" s="3" t="s">
        <v>2029</v>
      </c>
      <c r="H361" s="3" t="s">
        <v>28</v>
      </c>
      <c r="I361" s="3" t="s">
        <v>28</v>
      </c>
      <c r="J361" s="3" t="s">
        <v>91</v>
      </c>
      <c r="K361" s="3" t="s">
        <v>87</v>
      </c>
      <c r="L361" s="3"/>
      <c r="M361" s="3"/>
      <c r="N361" s="3"/>
      <c r="O361" s="3"/>
      <c r="P361" s="3"/>
      <c r="Q361" s="3"/>
      <c r="R361" s="3"/>
      <c r="S361" s="3"/>
      <c r="T361" s="3"/>
      <c r="U361" s="3">
        <v>6000</v>
      </c>
      <c r="V361" s="4">
        <v>41584</v>
      </c>
      <c r="W361" s="3" t="s">
        <v>31</v>
      </c>
      <c r="X361" s="3" t="s">
        <v>2030</v>
      </c>
    </row>
    <row r="362" spans="1:24" ht="27.95" x14ac:dyDescent="0.3">
      <c r="A362" s="5">
        <v>356</v>
      </c>
      <c r="B362" s="5" t="str">
        <f>"1113626"</f>
        <v>1113626</v>
      </c>
      <c r="C362" s="5" t="str">
        <f>"924"</f>
        <v>924</v>
      </c>
      <c r="D362" s="5">
        <v>1029428</v>
      </c>
      <c r="E362" s="5">
        <v>20156460045</v>
      </c>
      <c r="F362" s="5" t="s">
        <v>2031</v>
      </c>
      <c r="G362" s="5" t="s">
        <v>2032</v>
      </c>
      <c r="H362" s="5" t="s">
        <v>978</v>
      </c>
      <c r="I362" s="5" t="s">
        <v>978</v>
      </c>
      <c r="J362" s="5" t="s">
        <v>2015</v>
      </c>
      <c r="K362" s="5" t="s">
        <v>2033</v>
      </c>
      <c r="L362" s="5" t="s">
        <v>694</v>
      </c>
      <c r="M362" s="5" t="s">
        <v>694</v>
      </c>
      <c r="N362" s="5" t="s">
        <v>694</v>
      </c>
      <c r="O362" s="5" t="s">
        <v>329</v>
      </c>
      <c r="P362" s="5"/>
      <c r="Q362" s="5"/>
      <c r="R362" s="5"/>
      <c r="S362" s="5"/>
      <c r="T362" s="5"/>
      <c r="U362" s="5">
        <v>94608</v>
      </c>
      <c r="V362" s="6">
        <v>35529</v>
      </c>
      <c r="W362" s="5" t="s">
        <v>31</v>
      </c>
      <c r="X362" s="5" t="s">
        <v>2034</v>
      </c>
    </row>
    <row r="363" spans="1:24" ht="27.95" x14ac:dyDescent="0.3">
      <c r="A363" s="3">
        <v>357</v>
      </c>
      <c r="B363" s="3" t="str">
        <f>"1984817"</f>
        <v>1984817</v>
      </c>
      <c r="C363" s="3" t="str">
        <f>"85813"</f>
        <v>85813</v>
      </c>
      <c r="D363" s="3" t="s">
        <v>2035</v>
      </c>
      <c r="E363" s="3">
        <v>20513452153</v>
      </c>
      <c r="F363" s="3" t="s">
        <v>2036</v>
      </c>
      <c r="G363" s="3" t="s">
        <v>2037</v>
      </c>
      <c r="H363" s="3" t="s">
        <v>51</v>
      </c>
      <c r="I363" s="3" t="s">
        <v>2038</v>
      </c>
      <c r="J363" s="3" t="s">
        <v>2039</v>
      </c>
      <c r="K363" s="3" t="s">
        <v>2040</v>
      </c>
      <c r="L363" s="3" t="s">
        <v>2041</v>
      </c>
      <c r="M363" s="3"/>
      <c r="N363" s="3"/>
      <c r="O363" s="3"/>
      <c r="P363" s="3"/>
      <c r="Q363" s="3"/>
      <c r="R363" s="3"/>
      <c r="S363" s="3"/>
      <c r="T363" s="3"/>
      <c r="U363" s="3">
        <v>167719</v>
      </c>
      <c r="V363" s="4">
        <v>40288</v>
      </c>
      <c r="W363" s="3" t="s">
        <v>31</v>
      </c>
      <c r="X363" s="3" t="s">
        <v>2042</v>
      </c>
    </row>
    <row r="364" spans="1:24" x14ac:dyDescent="0.3">
      <c r="A364" s="5">
        <v>358</v>
      </c>
      <c r="B364" s="5" t="str">
        <f>"201500164768"</f>
        <v>201500164768</v>
      </c>
      <c r="C364" s="5" t="str">
        <f>"118930"</f>
        <v>118930</v>
      </c>
      <c r="D364" s="5" t="s">
        <v>2043</v>
      </c>
      <c r="E364" s="5">
        <v>20162197461</v>
      </c>
      <c r="F364" s="5" t="s">
        <v>2044</v>
      </c>
      <c r="G364" s="5" t="s">
        <v>2045</v>
      </c>
      <c r="H364" s="5" t="s">
        <v>28</v>
      </c>
      <c r="I364" s="5" t="s">
        <v>574</v>
      </c>
      <c r="J364" s="5" t="s">
        <v>575</v>
      </c>
      <c r="K364" s="5" t="s">
        <v>485</v>
      </c>
      <c r="L364" s="5" t="s">
        <v>485</v>
      </c>
      <c r="M364" s="5" t="s">
        <v>2046</v>
      </c>
      <c r="N364" s="5"/>
      <c r="O364" s="5"/>
      <c r="P364" s="5"/>
      <c r="Q364" s="5"/>
      <c r="R364" s="5"/>
      <c r="S364" s="5"/>
      <c r="T364" s="5"/>
      <c r="U364" s="5">
        <v>4400</v>
      </c>
      <c r="V364" s="6">
        <v>42380</v>
      </c>
      <c r="W364" s="5" t="s">
        <v>31</v>
      </c>
      <c r="X364" s="5" t="s">
        <v>2047</v>
      </c>
    </row>
    <row r="365" spans="1:24" ht="27.95" x14ac:dyDescent="0.3">
      <c r="A365" s="3">
        <v>359</v>
      </c>
      <c r="B365" s="3" t="str">
        <f>"201200194035"</f>
        <v>201200194035</v>
      </c>
      <c r="C365" s="3" t="str">
        <f>"98982"</f>
        <v>98982</v>
      </c>
      <c r="D365" s="3" t="s">
        <v>2048</v>
      </c>
      <c r="E365" s="3">
        <v>20334766714</v>
      </c>
      <c r="F365" s="3" t="s">
        <v>2049</v>
      </c>
      <c r="G365" s="3" t="s">
        <v>2050</v>
      </c>
      <c r="H365" s="3" t="s">
        <v>214</v>
      </c>
      <c r="I365" s="3" t="s">
        <v>214</v>
      </c>
      <c r="J365" s="3" t="s">
        <v>214</v>
      </c>
      <c r="K365" s="3" t="s">
        <v>193</v>
      </c>
      <c r="L365" s="3" t="s">
        <v>193</v>
      </c>
      <c r="M365" s="3"/>
      <c r="N365" s="3"/>
      <c r="O365" s="3"/>
      <c r="P365" s="3"/>
      <c r="Q365" s="3"/>
      <c r="R365" s="3"/>
      <c r="S365" s="3"/>
      <c r="T365" s="3"/>
      <c r="U365" s="3">
        <v>5000</v>
      </c>
      <c r="V365" s="4">
        <v>41222</v>
      </c>
      <c r="W365" s="3" t="s">
        <v>31</v>
      </c>
      <c r="X365" s="3" t="s">
        <v>2051</v>
      </c>
    </row>
    <row r="366" spans="1:24" x14ac:dyDescent="0.3">
      <c r="A366" s="5">
        <v>360</v>
      </c>
      <c r="B366" s="5" t="str">
        <f>"201900186121"</f>
        <v>201900186121</v>
      </c>
      <c r="C366" s="5" t="str">
        <f>"147710"</f>
        <v>147710</v>
      </c>
      <c r="D366" s="5" t="s">
        <v>2052</v>
      </c>
      <c r="E366" s="5">
        <v>20535690643</v>
      </c>
      <c r="F366" s="5" t="s">
        <v>2053</v>
      </c>
      <c r="G366" s="5" t="s">
        <v>2054</v>
      </c>
      <c r="H366" s="5" t="s">
        <v>28</v>
      </c>
      <c r="I366" s="5" t="s">
        <v>28</v>
      </c>
      <c r="J366" s="5" t="s">
        <v>28</v>
      </c>
      <c r="K366" s="5" t="s">
        <v>2055</v>
      </c>
      <c r="L366" s="5" t="s">
        <v>217</v>
      </c>
      <c r="M366" s="5" t="s">
        <v>217</v>
      </c>
      <c r="N366" s="5"/>
      <c r="O366" s="5"/>
      <c r="P366" s="5"/>
      <c r="Q366" s="5"/>
      <c r="R366" s="5"/>
      <c r="S366" s="5"/>
      <c r="T366" s="5"/>
      <c r="U366" s="5">
        <v>1220</v>
      </c>
      <c r="V366" s="6">
        <v>43787</v>
      </c>
      <c r="W366" s="5" t="s">
        <v>31</v>
      </c>
      <c r="X366" s="5" t="s">
        <v>2056</v>
      </c>
    </row>
    <row r="367" spans="1:24" ht="27.95" x14ac:dyDescent="0.3">
      <c r="A367" s="3">
        <v>361</v>
      </c>
      <c r="B367" s="3" t="str">
        <f>"202000079580"</f>
        <v>202000079580</v>
      </c>
      <c r="C367" s="3" t="str">
        <f>"1170"</f>
        <v>1170</v>
      </c>
      <c r="D367" s="3" t="s">
        <v>2057</v>
      </c>
      <c r="E367" s="3">
        <v>20100128218</v>
      </c>
      <c r="F367" s="3" t="s">
        <v>2058</v>
      </c>
      <c r="G367" s="3" t="s">
        <v>2059</v>
      </c>
      <c r="H367" s="3" t="s">
        <v>80</v>
      </c>
      <c r="I367" s="3" t="s">
        <v>2060</v>
      </c>
      <c r="J367" s="3" t="s">
        <v>2061</v>
      </c>
      <c r="K367" s="3" t="s">
        <v>2062</v>
      </c>
      <c r="L367" s="3"/>
      <c r="M367" s="3"/>
      <c r="N367" s="3"/>
      <c r="O367" s="3"/>
      <c r="P367" s="3"/>
      <c r="Q367" s="3"/>
      <c r="R367" s="3"/>
      <c r="S367" s="3"/>
      <c r="T367" s="3"/>
      <c r="U367" s="3">
        <v>892650</v>
      </c>
      <c r="V367" s="4">
        <v>44033</v>
      </c>
      <c r="W367" s="3" t="s">
        <v>31</v>
      </c>
      <c r="X367" s="3" t="s">
        <v>2063</v>
      </c>
    </row>
    <row r="368" spans="1:24" ht="27.95" x14ac:dyDescent="0.3">
      <c r="A368" s="5">
        <v>362</v>
      </c>
      <c r="B368" s="5" t="str">
        <f>"202000056604"</f>
        <v>202000056604</v>
      </c>
      <c r="C368" s="5" t="str">
        <f>"123312"</f>
        <v>123312</v>
      </c>
      <c r="D368" s="5" t="s">
        <v>2064</v>
      </c>
      <c r="E368" s="5">
        <v>20525413447</v>
      </c>
      <c r="F368" s="5" t="s">
        <v>2065</v>
      </c>
      <c r="G368" s="5" t="s">
        <v>2066</v>
      </c>
      <c r="H368" s="5" t="s">
        <v>80</v>
      </c>
      <c r="I368" s="5" t="s">
        <v>192</v>
      </c>
      <c r="J368" s="5" t="s">
        <v>192</v>
      </c>
      <c r="K368" s="5" t="s">
        <v>720</v>
      </c>
      <c r="L368" s="5" t="s">
        <v>2067</v>
      </c>
      <c r="M368" s="5"/>
      <c r="N368" s="5"/>
      <c r="O368" s="5"/>
      <c r="P368" s="5"/>
      <c r="Q368" s="5"/>
      <c r="R368" s="5"/>
      <c r="S368" s="5"/>
      <c r="T368" s="5"/>
      <c r="U368" s="5">
        <v>6500</v>
      </c>
      <c r="V368" s="6">
        <v>43971</v>
      </c>
      <c r="W368" s="5" t="s">
        <v>31</v>
      </c>
      <c r="X368" s="5" t="s">
        <v>2068</v>
      </c>
    </row>
    <row r="369" spans="1:24" x14ac:dyDescent="0.3">
      <c r="A369" s="3">
        <v>363</v>
      </c>
      <c r="B369" s="3" t="str">
        <f>"1123802"</f>
        <v>1123802</v>
      </c>
      <c r="C369" s="3" t="str">
        <f>"1179"</f>
        <v>1179</v>
      </c>
      <c r="D369" s="3">
        <v>1123802</v>
      </c>
      <c r="E369" s="3">
        <v>20325493811</v>
      </c>
      <c r="F369" s="3" t="s">
        <v>2069</v>
      </c>
      <c r="G369" s="3" t="s">
        <v>2070</v>
      </c>
      <c r="H369" s="3" t="s">
        <v>135</v>
      </c>
      <c r="I369" s="3" t="s">
        <v>673</v>
      </c>
      <c r="J369" s="3" t="s">
        <v>674</v>
      </c>
      <c r="K369" s="3" t="s">
        <v>2071</v>
      </c>
      <c r="L369" s="3"/>
      <c r="M369" s="3"/>
      <c r="N369" s="3"/>
      <c r="O369" s="3"/>
      <c r="P369" s="3"/>
      <c r="Q369" s="3"/>
      <c r="R369" s="3"/>
      <c r="S369" s="3"/>
      <c r="T369" s="3"/>
      <c r="U369" s="3">
        <v>9560000</v>
      </c>
      <c r="V369" s="4">
        <v>35613</v>
      </c>
      <c r="W369" s="3" t="s">
        <v>31</v>
      </c>
      <c r="X369" s="3" t="s">
        <v>2072</v>
      </c>
    </row>
    <row r="370" spans="1:24" ht="27.95" x14ac:dyDescent="0.3">
      <c r="A370" s="5">
        <v>364</v>
      </c>
      <c r="B370" s="5" t="str">
        <f>"202000056600"</f>
        <v>202000056600</v>
      </c>
      <c r="C370" s="5" t="str">
        <f>"119239"</f>
        <v>119239</v>
      </c>
      <c r="D370" s="5" t="s">
        <v>2073</v>
      </c>
      <c r="E370" s="5">
        <v>20356563833</v>
      </c>
      <c r="F370" s="5" t="s">
        <v>2074</v>
      </c>
      <c r="G370" s="5" t="s">
        <v>2075</v>
      </c>
      <c r="H370" s="5" t="s">
        <v>80</v>
      </c>
      <c r="I370" s="5" t="s">
        <v>80</v>
      </c>
      <c r="J370" s="5" t="s">
        <v>80</v>
      </c>
      <c r="K370" s="5" t="s">
        <v>746</v>
      </c>
      <c r="L370" s="5"/>
      <c r="M370" s="5"/>
      <c r="N370" s="5"/>
      <c r="O370" s="5"/>
      <c r="P370" s="5"/>
      <c r="Q370" s="5"/>
      <c r="R370" s="5"/>
      <c r="S370" s="5"/>
      <c r="T370" s="5"/>
      <c r="U370" s="5">
        <v>14000</v>
      </c>
      <c r="V370" s="6">
        <v>43969</v>
      </c>
      <c r="W370" s="5" t="s">
        <v>31</v>
      </c>
      <c r="X370" s="5" t="s">
        <v>2076</v>
      </c>
    </row>
    <row r="371" spans="1:24" x14ac:dyDescent="0.3">
      <c r="A371" s="3">
        <v>365</v>
      </c>
      <c r="B371" s="3" t="str">
        <f>"1156852"</f>
        <v>1156852</v>
      </c>
      <c r="C371" s="3" t="str">
        <f>"1334"</f>
        <v>1334</v>
      </c>
      <c r="D371" s="3">
        <v>1007871</v>
      </c>
      <c r="E371" s="3">
        <v>20325459710</v>
      </c>
      <c r="F371" s="3" t="s">
        <v>2077</v>
      </c>
      <c r="G371" s="3" t="s">
        <v>2078</v>
      </c>
      <c r="H371" s="3" t="s">
        <v>135</v>
      </c>
      <c r="I371" s="3" t="s">
        <v>943</v>
      </c>
      <c r="J371" s="3" t="s">
        <v>944</v>
      </c>
      <c r="K371" s="3" t="s">
        <v>1259</v>
      </c>
      <c r="L371" s="3"/>
      <c r="M371" s="3"/>
      <c r="N371" s="3"/>
      <c r="O371" s="3"/>
      <c r="P371" s="3"/>
      <c r="Q371" s="3"/>
      <c r="R371" s="3"/>
      <c r="S371" s="3"/>
      <c r="T371" s="3"/>
      <c r="U371" s="3">
        <v>1000</v>
      </c>
      <c r="V371" s="4">
        <v>35730</v>
      </c>
      <c r="W371" s="3" t="s">
        <v>31</v>
      </c>
      <c r="X371" s="3" t="s">
        <v>2079</v>
      </c>
    </row>
    <row r="372" spans="1:24" x14ac:dyDescent="0.3">
      <c r="A372" s="5">
        <v>366</v>
      </c>
      <c r="B372" s="5" t="str">
        <f>"201700069510"</f>
        <v>201700069510</v>
      </c>
      <c r="C372" s="5" t="str">
        <f>"124708"</f>
        <v>124708</v>
      </c>
      <c r="D372" s="5" t="s">
        <v>2080</v>
      </c>
      <c r="E372" s="5">
        <v>20400033391</v>
      </c>
      <c r="F372" s="5" t="s">
        <v>2081</v>
      </c>
      <c r="G372" s="5" t="s">
        <v>2082</v>
      </c>
      <c r="H372" s="5" t="s">
        <v>165</v>
      </c>
      <c r="I372" s="5" t="s">
        <v>166</v>
      </c>
      <c r="J372" s="5" t="s">
        <v>167</v>
      </c>
      <c r="K372" s="5" t="s">
        <v>2083</v>
      </c>
      <c r="L372" s="5" t="s">
        <v>2083</v>
      </c>
      <c r="M372" s="5"/>
      <c r="N372" s="5"/>
      <c r="O372" s="5"/>
      <c r="P372" s="5"/>
      <c r="Q372" s="5"/>
      <c r="R372" s="5"/>
      <c r="S372" s="5"/>
      <c r="T372" s="5"/>
      <c r="U372" s="5">
        <v>6800</v>
      </c>
      <c r="V372" s="6">
        <v>42912</v>
      </c>
      <c r="W372" s="5" t="s">
        <v>31</v>
      </c>
      <c r="X372" s="5" t="s">
        <v>2084</v>
      </c>
    </row>
    <row r="373" spans="1:24" x14ac:dyDescent="0.3">
      <c r="A373" s="3">
        <v>367</v>
      </c>
      <c r="B373" s="3" t="str">
        <f>"201500153234"</f>
        <v>201500153234</v>
      </c>
      <c r="C373" s="3" t="str">
        <f>"118544"</f>
        <v>118544</v>
      </c>
      <c r="D373" s="3" t="s">
        <v>2085</v>
      </c>
      <c r="E373" s="3">
        <v>20102427891</v>
      </c>
      <c r="F373" s="3" t="s">
        <v>2086</v>
      </c>
      <c r="G373" s="3" t="s">
        <v>2087</v>
      </c>
      <c r="H373" s="3" t="s">
        <v>28</v>
      </c>
      <c r="I373" s="3" t="s">
        <v>28</v>
      </c>
      <c r="J373" s="3" t="s">
        <v>28</v>
      </c>
      <c r="K373" s="3" t="s">
        <v>168</v>
      </c>
      <c r="L373" s="3"/>
      <c r="M373" s="3"/>
      <c r="N373" s="3"/>
      <c r="O373" s="3"/>
      <c r="P373" s="3"/>
      <c r="Q373" s="3"/>
      <c r="R373" s="3"/>
      <c r="S373" s="3"/>
      <c r="T373" s="3"/>
      <c r="U373" s="3">
        <v>10000</v>
      </c>
      <c r="V373" s="4">
        <v>42352</v>
      </c>
      <c r="W373" s="3" t="s">
        <v>31</v>
      </c>
      <c r="X373" s="3" t="s">
        <v>2088</v>
      </c>
    </row>
    <row r="374" spans="1:24" x14ac:dyDescent="0.3">
      <c r="A374" s="5">
        <v>368</v>
      </c>
      <c r="B374" s="5" t="str">
        <f>"202000079588"</f>
        <v>202000079588</v>
      </c>
      <c r="C374" s="5" t="str">
        <f>"1607"</f>
        <v>1607</v>
      </c>
      <c r="D374" s="5" t="s">
        <v>2089</v>
      </c>
      <c r="E374" s="5">
        <v>20100128218</v>
      </c>
      <c r="F374" s="5" t="s">
        <v>2090</v>
      </c>
      <c r="G374" s="5" t="s">
        <v>2091</v>
      </c>
      <c r="H374" s="5" t="s">
        <v>2092</v>
      </c>
      <c r="I374" s="5" t="s">
        <v>2093</v>
      </c>
      <c r="J374" s="5" t="s">
        <v>2094</v>
      </c>
      <c r="K374" s="5" t="s">
        <v>2095</v>
      </c>
      <c r="L374" s="5" t="s">
        <v>2096</v>
      </c>
      <c r="M374" s="5"/>
      <c r="N374" s="5"/>
      <c r="O374" s="5"/>
      <c r="P374" s="5"/>
      <c r="Q374" s="5"/>
      <c r="R374" s="5"/>
      <c r="S374" s="5"/>
      <c r="T374" s="5"/>
      <c r="U374" s="5">
        <v>7520</v>
      </c>
      <c r="V374" s="6">
        <v>44037</v>
      </c>
      <c r="W374" s="5" t="s">
        <v>31</v>
      </c>
      <c r="X374" s="5" t="s">
        <v>2097</v>
      </c>
    </row>
    <row r="375" spans="1:24" ht="27.95" x14ac:dyDescent="0.3">
      <c r="A375" s="3">
        <v>369</v>
      </c>
      <c r="B375" s="3" t="str">
        <f>"202000003316"</f>
        <v>202000003316</v>
      </c>
      <c r="C375" s="3" t="str">
        <f>"148652"</f>
        <v>148652</v>
      </c>
      <c r="D375" s="3" t="s">
        <v>2098</v>
      </c>
      <c r="E375" s="3">
        <v>20480943687</v>
      </c>
      <c r="F375" s="3" t="s">
        <v>2099</v>
      </c>
      <c r="G375" s="3" t="s">
        <v>2100</v>
      </c>
      <c r="H375" s="3" t="s">
        <v>36</v>
      </c>
      <c r="I375" s="3" t="s">
        <v>514</v>
      </c>
      <c r="J375" s="3" t="s">
        <v>2101</v>
      </c>
      <c r="K375" s="3" t="s">
        <v>1960</v>
      </c>
      <c r="L375" s="3" t="s">
        <v>2102</v>
      </c>
      <c r="M375" s="3" t="s">
        <v>2103</v>
      </c>
      <c r="N375" s="3"/>
      <c r="O375" s="3"/>
      <c r="P375" s="3"/>
      <c r="Q375" s="3"/>
      <c r="R375" s="3"/>
      <c r="S375" s="3"/>
      <c r="T375" s="3"/>
      <c r="U375" s="3">
        <v>1346</v>
      </c>
      <c r="V375" s="4">
        <v>43851</v>
      </c>
      <c r="W375" s="3" t="s">
        <v>31</v>
      </c>
      <c r="X375" s="3" t="s">
        <v>2104</v>
      </c>
    </row>
    <row r="376" spans="1:24" x14ac:dyDescent="0.3">
      <c r="A376" s="5">
        <v>370</v>
      </c>
      <c r="B376" s="5" t="str">
        <f>"201900030180"</f>
        <v>201900030180</v>
      </c>
      <c r="C376" s="5" t="str">
        <f>"141523"</f>
        <v>141523</v>
      </c>
      <c r="D376" s="5" t="s">
        <v>2105</v>
      </c>
      <c r="E376" s="5">
        <v>20232236273</v>
      </c>
      <c r="F376" s="5" t="s">
        <v>2106</v>
      </c>
      <c r="G376" s="5" t="s">
        <v>2107</v>
      </c>
      <c r="H376" s="5" t="s">
        <v>334</v>
      </c>
      <c r="I376" s="5" t="s">
        <v>2108</v>
      </c>
      <c r="J376" s="5" t="s">
        <v>2108</v>
      </c>
      <c r="K376" s="5" t="s">
        <v>1058</v>
      </c>
      <c r="L376" s="5"/>
      <c r="M376" s="5"/>
      <c r="N376" s="5"/>
      <c r="O376" s="5"/>
      <c r="P376" s="5"/>
      <c r="Q376" s="5"/>
      <c r="R376" s="5"/>
      <c r="S376" s="5"/>
      <c r="T376" s="5"/>
      <c r="U376" s="5">
        <v>4000</v>
      </c>
      <c r="V376" s="6">
        <v>43518</v>
      </c>
      <c r="W376" s="5" t="s">
        <v>31</v>
      </c>
      <c r="X376" s="5" t="s">
        <v>2109</v>
      </c>
    </row>
    <row r="377" spans="1:24" x14ac:dyDescent="0.3">
      <c r="A377" s="3">
        <v>371</v>
      </c>
      <c r="B377" s="3" t="str">
        <f>"202000079586"</f>
        <v>202000079586</v>
      </c>
      <c r="C377" s="3" t="str">
        <f>"1419"</f>
        <v>1419</v>
      </c>
      <c r="D377" s="3" t="s">
        <v>2110</v>
      </c>
      <c r="E377" s="3">
        <v>20100128218</v>
      </c>
      <c r="F377" s="3" t="s">
        <v>2090</v>
      </c>
      <c r="G377" s="3" t="s">
        <v>2111</v>
      </c>
      <c r="H377" s="3" t="s">
        <v>2092</v>
      </c>
      <c r="I377" s="3" t="s">
        <v>2112</v>
      </c>
      <c r="J377" s="3" t="s">
        <v>2113</v>
      </c>
      <c r="K377" s="3" t="s">
        <v>2114</v>
      </c>
      <c r="L377" s="3" t="s">
        <v>2115</v>
      </c>
      <c r="M377" s="3" t="s">
        <v>2116</v>
      </c>
      <c r="N377" s="3" t="s">
        <v>2117</v>
      </c>
      <c r="O377" s="3"/>
      <c r="P377" s="3"/>
      <c r="Q377" s="3"/>
      <c r="R377" s="3"/>
      <c r="S377" s="3"/>
      <c r="T377" s="3"/>
      <c r="U377" s="3">
        <v>66200</v>
      </c>
      <c r="V377" s="4">
        <v>44037</v>
      </c>
      <c r="W377" s="3" t="s">
        <v>31</v>
      </c>
      <c r="X377" s="3" t="s">
        <v>2097</v>
      </c>
    </row>
    <row r="378" spans="1:24" x14ac:dyDescent="0.3">
      <c r="A378" s="5">
        <v>372</v>
      </c>
      <c r="B378" s="5" t="str">
        <f>"1787534"</f>
        <v>1787534</v>
      </c>
      <c r="C378" s="5" t="str">
        <f>"20149"</f>
        <v>20149</v>
      </c>
      <c r="D378" s="5" t="s">
        <v>2118</v>
      </c>
      <c r="E378" s="5">
        <v>20419387658</v>
      </c>
      <c r="F378" s="5" t="s">
        <v>2119</v>
      </c>
      <c r="G378" s="5" t="s">
        <v>2120</v>
      </c>
      <c r="H378" s="5" t="s">
        <v>36</v>
      </c>
      <c r="I378" s="5" t="s">
        <v>465</v>
      </c>
      <c r="J378" s="5" t="s">
        <v>465</v>
      </c>
      <c r="K378" s="5" t="s">
        <v>2121</v>
      </c>
      <c r="L378" s="5" t="s">
        <v>2122</v>
      </c>
      <c r="M378" s="5" t="s">
        <v>2123</v>
      </c>
      <c r="N378" s="5" t="s">
        <v>2124</v>
      </c>
      <c r="O378" s="5" t="s">
        <v>2125</v>
      </c>
      <c r="P378" s="5" t="s">
        <v>2126</v>
      </c>
      <c r="Q378" s="5" t="s">
        <v>1316</v>
      </c>
      <c r="R378" s="5" t="s">
        <v>2127</v>
      </c>
      <c r="S378" s="5" t="s">
        <v>2128</v>
      </c>
      <c r="T378" s="5" t="s">
        <v>259</v>
      </c>
      <c r="U378" s="5">
        <v>1028677</v>
      </c>
      <c r="V378" s="6">
        <v>39568</v>
      </c>
      <c r="W378" s="5" t="s">
        <v>31</v>
      </c>
      <c r="X378" s="5" t="s">
        <v>2129</v>
      </c>
    </row>
    <row r="379" spans="1:24" x14ac:dyDescent="0.3">
      <c r="A379" s="3">
        <v>373</v>
      </c>
      <c r="B379" s="3" t="str">
        <f>"201600128816"</f>
        <v>201600128816</v>
      </c>
      <c r="C379" s="3" t="str">
        <f>"16467"</f>
        <v>16467</v>
      </c>
      <c r="D379" s="3" t="s">
        <v>2130</v>
      </c>
      <c r="E379" s="3">
        <v>20376303811</v>
      </c>
      <c r="F379" s="3" t="s">
        <v>2131</v>
      </c>
      <c r="G379" s="3" t="s">
        <v>2132</v>
      </c>
      <c r="H379" s="3" t="s">
        <v>2002</v>
      </c>
      <c r="I379" s="3" t="s">
        <v>2133</v>
      </c>
      <c r="J379" s="3" t="s">
        <v>2134</v>
      </c>
      <c r="K379" s="3" t="s">
        <v>2135</v>
      </c>
      <c r="L379" s="3" t="s">
        <v>2135</v>
      </c>
      <c r="M379" s="3" t="s">
        <v>2136</v>
      </c>
      <c r="N379" s="3" t="s">
        <v>2136</v>
      </c>
      <c r="O379" s="3" t="s">
        <v>2137</v>
      </c>
      <c r="P379" s="3" t="s">
        <v>2138</v>
      </c>
      <c r="Q379" s="3" t="s">
        <v>2139</v>
      </c>
      <c r="R379" s="3" t="s">
        <v>2140</v>
      </c>
      <c r="S379" s="3" t="s">
        <v>2141</v>
      </c>
      <c r="T379" s="3"/>
      <c r="U379" s="3">
        <v>173005</v>
      </c>
      <c r="V379" s="4">
        <v>42641</v>
      </c>
      <c r="W379" s="3" t="s">
        <v>31</v>
      </c>
      <c r="X379" s="3" t="s">
        <v>2142</v>
      </c>
    </row>
    <row r="380" spans="1:24" x14ac:dyDescent="0.3">
      <c r="A380" s="5">
        <v>374</v>
      </c>
      <c r="B380" s="5" t="str">
        <f>"201600162454"</f>
        <v>201600162454</v>
      </c>
      <c r="C380" s="5" t="str">
        <f>"103521"</f>
        <v>103521</v>
      </c>
      <c r="D380" s="5" t="s">
        <v>2143</v>
      </c>
      <c r="E380" s="5">
        <v>10048142431</v>
      </c>
      <c r="F380" s="5" t="s">
        <v>2144</v>
      </c>
      <c r="G380" s="5" t="s">
        <v>2145</v>
      </c>
      <c r="H380" s="5" t="s">
        <v>165</v>
      </c>
      <c r="I380" s="5" t="s">
        <v>166</v>
      </c>
      <c r="J380" s="5" t="s">
        <v>167</v>
      </c>
      <c r="K380" s="5" t="s">
        <v>198</v>
      </c>
      <c r="L380" s="5"/>
      <c r="M380" s="5"/>
      <c r="N380" s="5"/>
      <c r="O380" s="5"/>
      <c r="P380" s="5"/>
      <c r="Q380" s="5"/>
      <c r="R380" s="5"/>
      <c r="S380" s="5"/>
      <c r="T380" s="5"/>
      <c r="U380" s="5">
        <v>9000</v>
      </c>
      <c r="V380" s="6">
        <v>42682</v>
      </c>
      <c r="W380" s="5" t="s">
        <v>31</v>
      </c>
      <c r="X380" s="5" t="s">
        <v>2144</v>
      </c>
    </row>
    <row r="381" spans="1:24" x14ac:dyDescent="0.3">
      <c r="A381" s="3">
        <v>375</v>
      </c>
      <c r="B381" s="3" t="str">
        <f>"201700131885"</f>
        <v>201700131885</v>
      </c>
      <c r="C381" s="3" t="str">
        <f>"131227"</f>
        <v>131227</v>
      </c>
      <c r="D381" s="3" t="s">
        <v>2146</v>
      </c>
      <c r="E381" s="3">
        <v>20100297915</v>
      </c>
      <c r="F381" s="3" t="s">
        <v>2147</v>
      </c>
      <c r="G381" s="3" t="s">
        <v>2148</v>
      </c>
      <c r="H381" s="3" t="s">
        <v>51</v>
      </c>
      <c r="I381" s="3" t="s">
        <v>51</v>
      </c>
      <c r="J381" s="3" t="s">
        <v>2149</v>
      </c>
      <c r="K381" s="3" t="s">
        <v>2150</v>
      </c>
      <c r="L381" s="3"/>
      <c r="M381" s="3"/>
      <c r="N381" s="3"/>
      <c r="O381" s="3"/>
      <c r="P381" s="3"/>
      <c r="Q381" s="3"/>
      <c r="R381" s="3"/>
      <c r="S381" s="3"/>
      <c r="T381" s="3"/>
      <c r="U381" s="3">
        <v>10200</v>
      </c>
      <c r="V381" s="4">
        <v>42969</v>
      </c>
      <c r="W381" s="3" t="s">
        <v>31</v>
      </c>
      <c r="X381" s="3" t="s">
        <v>2151</v>
      </c>
    </row>
    <row r="382" spans="1:24" ht="27.95" x14ac:dyDescent="0.3">
      <c r="A382" s="5">
        <v>376</v>
      </c>
      <c r="B382" s="5" t="str">
        <f>"201600121079"</f>
        <v>201600121079</v>
      </c>
      <c r="C382" s="5" t="str">
        <f>"39293"</f>
        <v>39293</v>
      </c>
      <c r="D382" s="5" t="s">
        <v>2152</v>
      </c>
      <c r="E382" s="5">
        <v>20137291313</v>
      </c>
      <c r="F382" s="5" t="s">
        <v>2153</v>
      </c>
      <c r="G382" s="5" t="s">
        <v>2154</v>
      </c>
      <c r="H382" s="5" t="s">
        <v>978</v>
      </c>
      <c r="I382" s="5" t="s">
        <v>978</v>
      </c>
      <c r="J382" s="5" t="s">
        <v>2015</v>
      </c>
      <c r="K382" s="5" t="s">
        <v>2155</v>
      </c>
      <c r="L382" s="5" t="s">
        <v>2156</v>
      </c>
      <c r="M382" s="5"/>
      <c r="N382" s="5"/>
      <c r="O382" s="5"/>
      <c r="P382" s="5"/>
      <c r="Q382" s="5"/>
      <c r="R382" s="5"/>
      <c r="S382" s="5"/>
      <c r="T382" s="5"/>
      <c r="U382" s="5">
        <v>51345</v>
      </c>
      <c r="V382" s="6">
        <v>42606</v>
      </c>
      <c r="W382" s="5" t="s">
        <v>31</v>
      </c>
      <c r="X382" s="5" t="s">
        <v>2157</v>
      </c>
    </row>
    <row r="383" spans="1:24" x14ac:dyDescent="0.3">
      <c r="A383" s="3">
        <v>377</v>
      </c>
      <c r="B383" s="3" t="str">
        <f>"201600131413"</f>
        <v>201600131413</v>
      </c>
      <c r="C383" s="3" t="str">
        <f>"42501"</f>
        <v>42501</v>
      </c>
      <c r="D383" s="3" t="s">
        <v>2158</v>
      </c>
      <c r="E383" s="3">
        <v>20355950230</v>
      </c>
      <c r="F383" s="3" t="s">
        <v>2159</v>
      </c>
      <c r="G383" s="3" t="s">
        <v>2160</v>
      </c>
      <c r="H383" s="3" t="s">
        <v>36</v>
      </c>
      <c r="I383" s="3" t="s">
        <v>234</v>
      </c>
      <c r="J383" s="3" t="s">
        <v>1990</v>
      </c>
      <c r="K383" s="3" t="s">
        <v>2161</v>
      </c>
      <c r="L383" s="3"/>
      <c r="M383" s="3"/>
      <c r="N383" s="3"/>
      <c r="O383" s="3"/>
      <c r="P383" s="3"/>
      <c r="Q383" s="3"/>
      <c r="R383" s="3"/>
      <c r="S383" s="3"/>
      <c r="T383" s="3"/>
      <c r="U383" s="3">
        <v>3029</v>
      </c>
      <c r="V383" s="4">
        <v>42627</v>
      </c>
      <c r="W383" s="3" t="s">
        <v>31</v>
      </c>
      <c r="X383" s="3" t="s">
        <v>2162</v>
      </c>
    </row>
    <row r="384" spans="1:24" x14ac:dyDescent="0.3">
      <c r="A384" s="5">
        <v>378</v>
      </c>
      <c r="B384" s="5" t="str">
        <f>"201600121076"</f>
        <v>201600121076</v>
      </c>
      <c r="C384" s="5" t="str">
        <f>"44212"</f>
        <v>44212</v>
      </c>
      <c r="D384" s="5" t="s">
        <v>2163</v>
      </c>
      <c r="E384" s="5">
        <v>20137291313</v>
      </c>
      <c r="F384" s="5" t="s">
        <v>2013</v>
      </c>
      <c r="G384" s="5" t="s">
        <v>2164</v>
      </c>
      <c r="H384" s="5" t="s">
        <v>978</v>
      </c>
      <c r="I384" s="5" t="s">
        <v>978</v>
      </c>
      <c r="J384" s="5" t="s">
        <v>2015</v>
      </c>
      <c r="K384" s="5" t="s">
        <v>2165</v>
      </c>
      <c r="L384" s="5" t="s">
        <v>2166</v>
      </c>
      <c r="M384" s="5"/>
      <c r="N384" s="5"/>
      <c r="O384" s="5"/>
      <c r="P384" s="5"/>
      <c r="Q384" s="5"/>
      <c r="R384" s="5"/>
      <c r="S384" s="5"/>
      <c r="T384" s="5"/>
      <c r="U384" s="5">
        <v>3637</v>
      </c>
      <c r="V384" s="6">
        <v>42606</v>
      </c>
      <c r="W384" s="5" t="s">
        <v>31</v>
      </c>
      <c r="X384" s="5" t="s">
        <v>2167</v>
      </c>
    </row>
    <row r="385" spans="1:24" x14ac:dyDescent="0.3">
      <c r="A385" s="3">
        <v>379</v>
      </c>
      <c r="B385" s="3" t="str">
        <f>"1108506"</f>
        <v>1108506</v>
      </c>
      <c r="C385" s="3" t="str">
        <f>"540"</f>
        <v>540</v>
      </c>
      <c r="D385" s="3">
        <v>997496</v>
      </c>
      <c r="E385" s="3">
        <v>20101044328</v>
      </c>
      <c r="F385" s="3" t="s">
        <v>2168</v>
      </c>
      <c r="G385" s="3" t="s">
        <v>2169</v>
      </c>
      <c r="H385" s="3" t="s">
        <v>28</v>
      </c>
      <c r="I385" s="3" t="s">
        <v>28</v>
      </c>
      <c r="J385" s="3" t="s">
        <v>28</v>
      </c>
      <c r="K385" s="3" t="s">
        <v>329</v>
      </c>
      <c r="L385" s="3"/>
      <c r="M385" s="3"/>
      <c r="N385" s="3"/>
      <c r="O385" s="3"/>
      <c r="P385" s="3"/>
      <c r="Q385" s="3"/>
      <c r="R385" s="3"/>
      <c r="S385" s="3"/>
      <c r="T385" s="3"/>
      <c r="U385" s="3">
        <v>10000</v>
      </c>
      <c r="V385" s="4">
        <v>35482</v>
      </c>
      <c r="W385" s="3" t="s">
        <v>31</v>
      </c>
      <c r="X385" s="3" t="s">
        <v>2170</v>
      </c>
    </row>
    <row r="386" spans="1:24" x14ac:dyDescent="0.3">
      <c r="A386" s="5">
        <v>380</v>
      </c>
      <c r="B386" s="5" t="str">
        <f>"1554218"</f>
        <v>1554218</v>
      </c>
      <c r="C386" s="5" t="str">
        <f>"41625"</f>
        <v>41625</v>
      </c>
      <c r="D386" s="5" t="s">
        <v>2171</v>
      </c>
      <c r="E386" s="5">
        <v>20139278985</v>
      </c>
      <c r="F386" s="5" t="s">
        <v>2172</v>
      </c>
      <c r="G386" s="5" t="s">
        <v>2173</v>
      </c>
      <c r="H386" s="5" t="s">
        <v>28</v>
      </c>
      <c r="I386" s="5" t="s">
        <v>28</v>
      </c>
      <c r="J386" s="5" t="s">
        <v>91</v>
      </c>
      <c r="K386" s="5" t="s">
        <v>2174</v>
      </c>
      <c r="L386" s="5"/>
      <c r="M386" s="5"/>
      <c r="N386" s="5"/>
      <c r="O386" s="5"/>
      <c r="P386" s="5"/>
      <c r="Q386" s="5"/>
      <c r="R386" s="5"/>
      <c r="S386" s="5"/>
      <c r="T386" s="5"/>
      <c r="U386" s="5">
        <v>2400</v>
      </c>
      <c r="V386" s="6">
        <v>38587</v>
      </c>
      <c r="W386" s="5" t="s">
        <v>31</v>
      </c>
      <c r="X386" s="5" t="s">
        <v>2175</v>
      </c>
    </row>
    <row r="387" spans="1:24" x14ac:dyDescent="0.3">
      <c r="A387" s="3">
        <v>381</v>
      </c>
      <c r="B387" s="3" t="str">
        <f>"201400038842"</f>
        <v>201400038842</v>
      </c>
      <c r="C387" s="3" t="str">
        <f>"108683"</f>
        <v>108683</v>
      </c>
      <c r="D387" s="3" t="s">
        <v>2176</v>
      </c>
      <c r="E387" s="3">
        <v>20195968935</v>
      </c>
      <c r="F387" s="3" t="s">
        <v>2177</v>
      </c>
      <c r="G387" s="3" t="s">
        <v>2178</v>
      </c>
      <c r="H387" s="3" t="s">
        <v>373</v>
      </c>
      <c r="I387" s="3" t="s">
        <v>2179</v>
      </c>
      <c r="J387" s="3" t="s">
        <v>2179</v>
      </c>
      <c r="K387" s="3" t="s">
        <v>2180</v>
      </c>
      <c r="L387" s="3"/>
      <c r="M387" s="3"/>
      <c r="N387" s="3"/>
      <c r="O387" s="3"/>
      <c r="P387" s="3"/>
      <c r="Q387" s="3"/>
      <c r="R387" s="3"/>
      <c r="S387" s="3"/>
      <c r="T387" s="3"/>
      <c r="U387" s="3">
        <v>10000</v>
      </c>
      <c r="V387" s="4">
        <v>41752</v>
      </c>
      <c r="W387" s="3" t="s">
        <v>31</v>
      </c>
      <c r="X387" s="3" t="s">
        <v>2181</v>
      </c>
    </row>
    <row r="388" spans="1:24" x14ac:dyDescent="0.3">
      <c r="A388" s="5">
        <v>382</v>
      </c>
      <c r="B388" s="5" t="str">
        <f>"1139648"</f>
        <v>1139648</v>
      </c>
      <c r="C388" s="5" t="str">
        <f>"1231"</f>
        <v>1231</v>
      </c>
      <c r="D388" s="5">
        <v>1139648</v>
      </c>
      <c r="E388" s="5">
        <v>20131257750</v>
      </c>
      <c r="F388" s="5" t="s">
        <v>2182</v>
      </c>
      <c r="G388" s="5" t="s">
        <v>2183</v>
      </c>
      <c r="H388" s="5" t="s">
        <v>80</v>
      </c>
      <c r="I388" s="5" t="s">
        <v>80</v>
      </c>
      <c r="J388" s="5" t="s">
        <v>80</v>
      </c>
      <c r="K388" s="5" t="s">
        <v>871</v>
      </c>
      <c r="L388" s="5"/>
      <c r="M388" s="5"/>
      <c r="N388" s="5"/>
      <c r="O388" s="5"/>
      <c r="P388" s="5"/>
      <c r="Q388" s="5"/>
      <c r="R388" s="5"/>
      <c r="S388" s="5"/>
      <c r="T388" s="5"/>
      <c r="U388" s="5">
        <v>3500</v>
      </c>
      <c r="V388" s="6">
        <v>35671</v>
      </c>
      <c r="W388" s="5" t="s">
        <v>31</v>
      </c>
      <c r="X388" s="5" t="s">
        <v>1423</v>
      </c>
    </row>
    <row r="389" spans="1:24" ht="27.95" x14ac:dyDescent="0.3">
      <c r="A389" s="3">
        <v>383</v>
      </c>
      <c r="B389" s="3" t="str">
        <f>"201500140905"</f>
        <v>201500140905</v>
      </c>
      <c r="C389" s="3" t="str">
        <f>"118107"</f>
        <v>118107</v>
      </c>
      <c r="D389" s="3" t="s">
        <v>2184</v>
      </c>
      <c r="E389" s="3">
        <v>20517187551</v>
      </c>
      <c r="F389" s="3" t="s">
        <v>2185</v>
      </c>
      <c r="G389" s="3" t="s">
        <v>2186</v>
      </c>
      <c r="H389" s="3" t="s">
        <v>743</v>
      </c>
      <c r="I389" s="3" t="s">
        <v>2187</v>
      </c>
      <c r="J389" s="3" t="s">
        <v>2188</v>
      </c>
      <c r="K389" s="3" t="s">
        <v>168</v>
      </c>
      <c r="L389" s="3" t="s">
        <v>168</v>
      </c>
      <c r="M389" s="3" t="s">
        <v>168</v>
      </c>
      <c r="N389" s="3" t="s">
        <v>168</v>
      </c>
      <c r="O389" s="3" t="s">
        <v>168</v>
      </c>
      <c r="P389" s="3"/>
      <c r="Q389" s="3"/>
      <c r="R389" s="3"/>
      <c r="S389" s="3"/>
      <c r="T389" s="3"/>
      <c r="U389" s="3">
        <v>50000</v>
      </c>
      <c r="V389" s="4">
        <v>42324</v>
      </c>
      <c r="W389" s="3" t="s">
        <v>31</v>
      </c>
      <c r="X389" s="3" t="s">
        <v>2189</v>
      </c>
    </row>
    <row r="390" spans="1:24" x14ac:dyDescent="0.3">
      <c r="A390" s="5">
        <v>384</v>
      </c>
      <c r="B390" s="5" t="str">
        <f>"1625049"</f>
        <v>1625049</v>
      </c>
      <c r="C390" s="5" t="str">
        <f>"43892"</f>
        <v>43892</v>
      </c>
      <c r="D390" s="5" t="s">
        <v>2190</v>
      </c>
      <c r="E390" s="5">
        <v>20458050261</v>
      </c>
      <c r="F390" s="5" t="s">
        <v>2191</v>
      </c>
      <c r="G390" s="5" t="s">
        <v>2192</v>
      </c>
      <c r="H390" s="5" t="s">
        <v>28</v>
      </c>
      <c r="I390" s="5" t="s">
        <v>28</v>
      </c>
      <c r="J390" s="5" t="s">
        <v>29</v>
      </c>
      <c r="K390" s="5" t="s">
        <v>871</v>
      </c>
      <c r="L390" s="5"/>
      <c r="M390" s="5"/>
      <c r="N390" s="5"/>
      <c r="O390" s="5"/>
      <c r="P390" s="5"/>
      <c r="Q390" s="5"/>
      <c r="R390" s="5"/>
      <c r="S390" s="5"/>
      <c r="T390" s="5"/>
      <c r="U390" s="5">
        <v>3500</v>
      </c>
      <c r="V390" s="6">
        <v>38952</v>
      </c>
      <c r="W390" s="5" t="s">
        <v>31</v>
      </c>
      <c r="X390" s="5" t="s">
        <v>2193</v>
      </c>
    </row>
    <row r="391" spans="1:24" ht="27.95" x14ac:dyDescent="0.3">
      <c r="A391" s="3">
        <v>385</v>
      </c>
      <c r="B391" s="3" t="str">
        <f>"201600121084"</f>
        <v>201600121084</v>
      </c>
      <c r="C391" s="3" t="str">
        <f>"18252"</f>
        <v>18252</v>
      </c>
      <c r="D391" s="3" t="s">
        <v>2194</v>
      </c>
      <c r="E391" s="3">
        <v>20137291313</v>
      </c>
      <c r="F391" s="3" t="s">
        <v>2013</v>
      </c>
      <c r="G391" s="3" t="s">
        <v>2195</v>
      </c>
      <c r="H391" s="3" t="s">
        <v>978</v>
      </c>
      <c r="I391" s="3" t="s">
        <v>978</v>
      </c>
      <c r="J391" s="3" t="s">
        <v>2015</v>
      </c>
      <c r="K391" s="3" t="s">
        <v>694</v>
      </c>
      <c r="L391" s="3" t="s">
        <v>2196</v>
      </c>
      <c r="M391" s="3" t="s">
        <v>694</v>
      </c>
      <c r="N391" s="3" t="s">
        <v>2197</v>
      </c>
      <c r="O391" s="3" t="s">
        <v>2198</v>
      </c>
      <c r="P391" s="3"/>
      <c r="Q391" s="3"/>
      <c r="R391" s="3"/>
      <c r="S391" s="3"/>
      <c r="T391" s="3"/>
      <c r="U391" s="3">
        <v>140100</v>
      </c>
      <c r="V391" s="4">
        <v>42606</v>
      </c>
      <c r="W391" s="3" t="s">
        <v>31</v>
      </c>
      <c r="X391" s="3" t="s">
        <v>2016</v>
      </c>
    </row>
    <row r="392" spans="1:24" ht="27.95" x14ac:dyDescent="0.3">
      <c r="A392" s="5">
        <v>386</v>
      </c>
      <c r="B392" s="5" t="str">
        <f>"1928040"</f>
        <v>1928040</v>
      </c>
      <c r="C392" s="5" t="str">
        <f>"84259"</f>
        <v>84259</v>
      </c>
      <c r="D392" s="5" t="s">
        <v>2199</v>
      </c>
      <c r="E392" s="5">
        <v>20417378911</v>
      </c>
      <c r="F392" s="5" t="s">
        <v>2200</v>
      </c>
      <c r="G392" s="5" t="s">
        <v>2201</v>
      </c>
      <c r="H392" s="5" t="s">
        <v>28</v>
      </c>
      <c r="I392" s="5" t="s">
        <v>28</v>
      </c>
      <c r="J392" s="5" t="s">
        <v>180</v>
      </c>
      <c r="K392" s="5" t="s">
        <v>2202</v>
      </c>
      <c r="L392" s="5" t="s">
        <v>2203</v>
      </c>
      <c r="M392" s="5" t="s">
        <v>1554</v>
      </c>
      <c r="N392" s="5"/>
      <c r="O392" s="5"/>
      <c r="P392" s="5"/>
      <c r="Q392" s="5"/>
      <c r="R392" s="5"/>
      <c r="S392" s="5"/>
      <c r="T392" s="5"/>
      <c r="U392" s="5">
        <v>7315</v>
      </c>
      <c r="V392" s="6">
        <v>40099</v>
      </c>
      <c r="W392" s="5" t="s">
        <v>31</v>
      </c>
      <c r="X392" s="5" t="s">
        <v>105</v>
      </c>
    </row>
    <row r="393" spans="1:24" ht="27.95" x14ac:dyDescent="0.3">
      <c r="A393" s="3">
        <v>387</v>
      </c>
      <c r="B393" s="3" t="str">
        <f>"201900200547"</f>
        <v>201900200547</v>
      </c>
      <c r="C393" s="3" t="str">
        <f>"16447"</f>
        <v>16447</v>
      </c>
      <c r="D393" s="3" t="s">
        <v>2204</v>
      </c>
      <c r="E393" s="3">
        <v>20114915026</v>
      </c>
      <c r="F393" s="3" t="s">
        <v>2205</v>
      </c>
      <c r="G393" s="3" t="s">
        <v>2206</v>
      </c>
      <c r="H393" s="3" t="s">
        <v>214</v>
      </c>
      <c r="I393" s="3" t="s">
        <v>2207</v>
      </c>
      <c r="J393" s="3" t="s">
        <v>2207</v>
      </c>
      <c r="K393" s="3" t="s">
        <v>2208</v>
      </c>
      <c r="L393" s="3" t="s">
        <v>2208</v>
      </c>
      <c r="M393" s="3" t="s">
        <v>2209</v>
      </c>
      <c r="N393" s="3" t="s">
        <v>130</v>
      </c>
      <c r="O393" s="3" t="s">
        <v>2210</v>
      </c>
      <c r="P393" s="3" t="s">
        <v>2210</v>
      </c>
      <c r="Q393" s="3" t="s">
        <v>2211</v>
      </c>
      <c r="R393" s="3" t="s">
        <v>2211</v>
      </c>
      <c r="S393" s="3" t="s">
        <v>2212</v>
      </c>
      <c r="T393" s="3" t="s">
        <v>2212</v>
      </c>
      <c r="U393" s="3">
        <v>987320</v>
      </c>
      <c r="V393" s="4">
        <v>43810</v>
      </c>
      <c r="W393" s="3" t="s">
        <v>31</v>
      </c>
      <c r="X393" s="3" t="s">
        <v>2213</v>
      </c>
    </row>
    <row r="394" spans="1:24" x14ac:dyDescent="0.3">
      <c r="A394" s="5">
        <v>388</v>
      </c>
      <c r="B394" s="5" t="str">
        <f>"1156423"</f>
        <v>1156423</v>
      </c>
      <c r="C394" s="5" t="str">
        <f>"1332"</f>
        <v>1332</v>
      </c>
      <c r="D394" s="5">
        <v>1040816</v>
      </c>
      <c r="E394" s="5">
        <v>20122730370</v>
      </c>
      <c r="F394" s="5" t="s">
        <v>2214</v>
      </c>
      <c r="G394" s="5" t="s">
        <v>2215</v>
      </c>
      <c r="H394" s="5" t="s">
        <v>58</v>
      </c>
      <c r="I394" s="5" t="s">
        <v>59</v>
      </c>
      <c r="J394" s="5" t="s">
        <v>60</v>
      </c>
      <c r="K394" s="5" t="s">
        <v>2216</v>
      </c>
      <c r="L394" s="5"/>
      <c r="M394" s="5"/>
      <c r="N394" s="5"/>
      <c r="O394" s="5"/>
      <c r="P394" s="5"/>
      <c r="Q394" s="5"/>
      <c r="R394" s="5"/>
      <c r="S394" s="5"/>
      <c r="T394" s="5"/>
      <c r="U394" s="5">
        <v>61189.04</v>
      </c>
      <c r="V394" s="6">
        <v>35725</v>
      </c>
      <c r="W394" s="5" t="s">
        <v>31</v>
      </c>
      <c r="X394" s="5" t="s">
        <v>2217</v>
      </c>
    </row>
    <row r="395" spans="1:24" x14ac:dyDescent="0.3">
      <c r="A395" s="3">
        <v>389</v>
      </c>
      <c r="B395" s="3" t="str">
        <f>"202000002385"</f>
        <v>202000002385</v>
      </c>
      <c r="C395" s="3" t="str">
        <f>"138971"</f>
        <v>138971</v>
      </c>
      <c r="D395" s="3" t="s">
        <v>2218</v>
      </c>
      <c r="E395" s="3">
        <v>20522025071</v>
      </c>
      <c r="F395" s="3" t="s">
        <v>2219</v>
      </c>
      <c r="G395" s="3" t="s">
        <v>2220</v>
      </c>
      <c r="H395" s="3" t="s">
        <v>36</v>
      </c>
      <c r="I395" s="3" t="s">
        <v>366</v>
      </c>
      <c r="J395" s="3" t="s">
        <v>367</v>
      </c>
      <c r="K395" s="3" t="s">
        <v>168</v>
      </c>
      <c r="L395" s="3" t="s">
        <v>168</v>
      </c>
      <c r="M395" s="3" t="s">
        <v>168</v>
      </c>
      <c r="N395" s="3" t="s">
        <v>168</v>
      </c>
      <c r="O395" s="3" t="s">
        <v>168</v>
      </c>
      <c r="P395" s="3" t="s">
        <v>1089</v>
      </c>
      <c r="Q395" s="3" t="s">
        <v>1089</v>
      </c>
      <c r="R395" s="3"/>
      <c r="S395" s="3"/>
      <c r="T395" s="3"/>
      <c r="U395" s="3">
        <v>110000</v>
      </c>
      <c r="V395" s="4">
        <v>43840</v>
      </c>
      <c r="W395" s="3" t="s">
        <v>31</v>
      </c>
      <c r="X395" s="3" t="s">
        <v>2221</v>
      </c>
    </row>
    <row r="396" spans="1:24" ht="27.95" x14ac:dyDescent="0.3">
      <c r="A396" s="5">
        <v>390</v>
      </c>
      <c r="B396" s="5" t="str">
        <f>"201300094252"</f>
        <v>201300094252</v>
      </c>
      <c r="C396" s="5" t="str">
        <f>"83186"</f>
        <v>83186</v>
      </c>
      <c r="D396" s="5" t="s">
        <v>2222</v>
      </c>
      <c r="E396" s="5">
        <v>20390179465</v>
      </c>
      <c r="F396" s="5" t="s">
        <v>2223</v>
      </c>
      <c r="G396" s="5" t="s">
        <v>2224</v>
      </c>
      <c r="H396" s="5" t="s">
        <v>28</v>
      </c>
      <c r="I396" s="5" t="s">
        <v>28</v>
      </c>
      <c r="J396" s="5" t="s">
        <v>436</v>
      </c>
      <c r="K396" s="5" t="s">
        <v>2225</v>
      </c>
      <c r="L396" s="5"/>
      <c r="M396" s="5"/>
      <c r="N396" s="5"/>
      <c r="O396" s="5"/>
      <c r="P396" s="5"/>
      <c r="Q396" s="5"/>
      <c r="R396" s="5"/>
      <c r="S396" s="5"/>
      <c r="T396" s="5"/>
      <c r="U396" s="5">
        <v>6710</v>
      </c>
      <c r="V396" s="6">
        <v>41429</v>
      </c>
      <c r="W396" s="5" t="s">
        <v>31</v>
      </c>
      <c r="X396" s="5" t="s">
        <v>2226</v>
      </c>
    </row>
    <row r="397" spans="1:24" ht="41.95" x14ac:dyDescent="0.3">
      <c r="A397" s="3">
        <v>391</v>
      </c>
      <c r="B397" s="3" t="str">
        <f>"201900061573"</f>
        <v>201900061573</v>
      </c>
      <c r="C397" s="3" t="str">
        <f>"61947"</f>
        <v>61947</v>
      </c>
      <c r="D397" s="3" t="s">
        <v>2227</v>
      </c>
      <c r="E397" s="3">
        <v>20450693970</v>
      </c>
      <c r="F397" s="3" t="s">
        <v>2228</v>
      </c>
      <c r="G397" s="3" t="s">
        <v>2229</v>
      </c>
      <c r="H397" s="3" t="s">
        <v>214</v>
      </c>
      <c r="I397" s="3" t="s">
        <v>2230</v>
      </c>
      <c r="J397" s="3" t="s">
        <v>2230</v>
      </c>
      <c r="K397" s="3" t="s">
        <v>67</v>
      </c>
      <c r="L397" s="3"/>
      <c r="M397" s="3"/>
      <c r="N397" s="3"/>
      <c r="O397" s="3"/>
      <c r="P397" s="3"/>
      <c r="Q397" s="3"/>
      <c r="R397" s="3"/>
      <c r="S397" s="3"/>
      <c r="T397" s="3"/>
      <c r="U397" s="3">
        <v>1200</v>
      </c>
      <c r="V397" s="4">
        <v>43571</v>
      </c>
      <c r="W397" s="3" t="s">
        <v>31</v>
      </c>
      <c r="X397" s="3" t="s">
        <v>2231</v>
      </c>
    </row>
    <row r="398" spans="1:24" x14ac:dyDescent="0.3">
      <c r="A398" s="5">
        <v>392</v>
      </c>
      <c r="B398" s="5" t="str">
        <f>"1337678"</f>
        <v>1337678</v>
      </c>
      <c r="C398" s="5" t="str">
        <f>"16530"</f>
        <v>16530</v>
      </c>
      <c r="D398" s="5" t="s">
        <v>2232</v>
      </c>
      <c r="E398" s="5">
        <v>20471724620</v>
      </c>
      <c r="F398" s="5" t="s">
        <v>2233</v>
      </c>
      <c r="G398" s="5" t="s">
        <v>2234</v>
      </c>
      <c r="H398" s="5" t="s">
        <v>28</v>
      </c>
      <c r="I398" s="5" t="s">
        <v>28</v>
      </c>
      <c r="J398" s="5" t="s">
        <v>91</v>
      </c>
      <c r="K398" s="5" t="s">
        <v>323</v>
      </c>
      <c r="L398" s="5"/>
      <c r="M398" s="5"/>
      <c r="N398" s="5"/>
      <c r="O398" s="5"/>
      <c r="P398" s="5"/>
      <c r="Q398" s="5"/>
      <c r="R398" s="5"/>
      <c r="S398" s="5"/>
      <c r="T398" s="5"/>
      <c r="U398" s="5">
        <v>4000</v>
      </c>
      <c r="V398" s="6">
        <v>37173</v>
      </c>
      <c r="W398" s="5" t="s">
        <v>31</v>
      </c>
      <c r="X398" s="5" t="s">
        <v>2235</v>
      </c>
    </row>
    <row r="399" spans="1:24" ht="27.95" x14ac:dyDescent="0.3">
      <c r="A399" s="3">
        <v>393</v>
      </c>
      <c r="B399" s="3" t="str">
        <f>"201700012134"</f>
        <v>201700012134</v>
      </c>
      <c r="C399" s="3" t="str">
        <f>"120075"</f>
        <v>120075</v>
      </c>
      <c r="D399" s="3" t="s">
        <v>2236</v>
      </c>
      <c r="E399" s="3">
        <v>20132120821</v>
      </c>
      <c r="F399" s="3" t="s">
        <v>2237</v>
      </c>
      <c r="G399" s="3" t="s">
        <v>2238</v>
      </c>
      <c r="H399" s="3" t="s">
        <v>36</v>
      </c>
      <c r="I399" s="3" t="s">
        <v>234</v>
      </c>
      <c r="J399" s="3" t="s">
        <v>587</v>
      </c>
      <c r="K399" s="3" t="s">
        <v>2239</v>
      </c>
      <c r="L399" s="3" t="s">
        <v>2239</v>
      </c>
      <c r="M399" s="3"/>
      <c r="N399" s="3"/>
      <c r="O399" s="3"/>
      <c r="P399" s="3"/>
      <c r="Q399" s="3"/>
      <c r="R399" s="3"/>
      <c r="S399" s="3"/>
      <c r="T399" s="3"/>
      <c r="U399" s="3">
        <v>8000</v>
      </c>
      <c r="V399" s="4">
        <v>42770</v>
      </c>
      <c r="W399" s="3" t="s">
        <v>31</v>
      </c>
      <c r="X399" s="3" t="s">
        <v>2240</v>
      </c>
    </row>
    <row r="400" spans="1:24" ht="27.95" x14ac:dyDescent="0.3">
      <c r="A400" s="5">
        <v>394</v>
      </c>
      <c r="B400" s="5" t="str">
        <f>"201200058567"</f>
        <v>201200058567</v>
      </c>
      <c r="C400" s="5" t="str">
        <f>"96645"</f>
        <v>96645</v>
      </c>
      <c r="D400" s="5" t="s">
        <v>2241</v>
      </c>
      <c r="E400" s="5">
        <v>20450735729</v>
      </c>
      <c r="F400" s="5" t="s">
        <v>2242</v>
      </c>
      <c r="G400" s="5" t="s">
        <v>2243</v>
      </c>
      <c r="H400" s="5" t="s">
        <v>214</v>
      </c>
      <c r="I400" s="5" t="s">
        <v>797</v>
      </c>
      <c r="J400" s="5" t="s">
        <v>798</v>
      </c>
      <c r="K400" s="5" t="s">
        <v>2244</v>
      </c>
      <c r="L400" s="5" t="s">
        <v>2244</v>
      </c>
      <c r="M400" s="5"/>
      <c r="N400" s="5"/>
      <c r="O400" s="5"/>
      <c r="P400" s="5"/>
      <c r="Q400" s="5"/>
      <c r="R400" s="5"/>
      <c r="S400" s="5"/>
      <c r="T400" s="5"/>
      <c r="U400" s="5">
        <v>7400</v>
      </c>
      <c r="V400" s="6">
        <v>41030</v>
      </c>
      <c r="W400" s="5" t="s">
        <v>31</v>
      </c>
      <c r="X400" s="5" t="s">
        <v>2245</v>
      </c>
    </row>
    <row r="401" spans="1:24" ht="27.95" x14ac:dyDescent="0.3">
      <c r="A401" s="3">
        <v>395</v>
      </c>
      <c r="B401" s="3" t="str">
        <f>"201800002290"</f>
        <v>201800002290</v>
      </c>
      <c r="C401" s="3" t="str">
        <f>"132880"</f>
        <v>132880</v>
      </c>
      <c r="D401" s="3" t="s">
        <v>2246</v>
      </c>
      <c r="E401" s="3">
        <v>20490896351</v>
      </c>
      <c r="F401" s="3" t="s">
        <v>2247</v>
      </c>
      <c r="G401" s="3" t="s">
        <v>2248</v>
      </c>
      <c r="H401" s="3" t="s">
        <v>165</v>
      </c>
      <c r="I401" s="3" t="s">
        <v>166</v>
      </c>
      <c r="J401" s="3" t="s">
        <v>165</v>
      </c>
      <c r="K401" s="3" t="s">
        <v>2249</v>
      </c>
      <c r="L401" s="3" t="s">
        <v>2250</v>
      </c>
      <c r="M401" s="3" t="s">
        <v>2250</v>
      </c>
      <c r="N401" s="3"/>
      <c r="O401" s="3"/>
      <c r="P401" s="3"/>
      <c r="Q401" s="3"/>
      <c r="R401" s="3"/>
      <c r="S401" s="3"/>
      <c r="T401" s="3"/>
      <c r="U401" s="3">
        <v>11100</v>
      </c>
      <c r="V401" s="4">
        <v>43115</v>
      </c>
      <c r="W401" s="3" t="s">
        <v>31</v>
      </c>
      <c r="X401" s="3" t="s">
        <v>2251</v>
      </c>
    </row>
    <row r="402" spans="1:24" ht="27.95" x14ac:dyDescent="0.3">
      <c r="A402" s="5">
        <v>396</v>
      </c>
      <c r="B402" s="5" t="str">
        <f>"201600161790"</f>
        <v>201600161790</v>
      </c>
      <c r="C402" s="5" t="str">
        <f>"87678"</f>
        <v>87678</v>
      </c>
      <c r="D402" s="5" t="s">
        <v>2252</v>
      </c>
      <c r="E402" s="5">
        <v>20419387658</v>
      </c>
      <c r="F402" s="5" t="s">
        <v>2119</v>
      </c>
      <c r="G402" s="5" t="s">
        <v>2253</v>
      </c>
      <c r="H402" s="5" t="s">
        <v>978</v>
      </c>
      <c r="I402" s="5" t="s">
        <v>2254</v>
      </c>
      <c r="J402" s="5" t="s">
        <v>2255</v>
      </c>
      <c r="K402" s="5" t="s">
        <v>2256</v>
      </c>
      <c r="L402" s="5" t="s">
        <v>2257</v>
      </c>
      <c r="M402" s="5"/>
      <c r="N402" s="5"/>
      <c r="O402" s="5"/>
      <c r="P402" s="5"/>
      <c r="Q402" s="5"/>
      <c r="R402" s="5"/>
      <c r="S402" s="5"/>
      <c r="T402" s="5"/>
      <c r="U402" s="5">
        <v>19654</v>
      </c>
      <c r="V402" s="6">
        <v>42685</v>
      </c>
      <c r="W402" s="5" t="s">
        <v>31</v>
      </c>
      <c r="X402" s="5" t="s">
        <v>2258</v>
      </c>
    </row>
    <row r="403" spans="1:24" x14ac:dyDescent="0.3">
      <c r="A403" s="3">
        <v>397</v>
      </c>
      <c r="B403" s="3" t="str">
        <f>"1290782"</f>
        <v>1290782</v>
      </c>
      <c r="C403" s="3" t="str">
        <f>"19737"</f>
        <v>19737</v>
      </c>
      <c r="D403" s="3">
        <v>1290782</v>
      </c>
      <c r="E403" s="3">
        <v>20386303003</v>
      </c>
      <c r="F403" s="3" t="s">
        <v>2259</v>
      </c>
      <c r="G403" s="3" t="s">
        <v>2260</v>
      </c>
      <c r="H403" s="3" t="s">
        <v>28</v>
      </c>
      <c r="I403" s="3" t="s">
        <v>28</v>
      </c>
      <c r="J403" s="3" t="s">
        <v>1824</v>
      </c>
      <c r="K403" s="3" t="s">
        <v>2261</v>
      </c>
      <c r="L403" s="3" t="s">
        <v>2262</v>
      </c>
      <c r="M403" s="3"/>
      <c r="N403" s="3"/>
      <c r="O403" s="3"/>
      <c r="P403" s="3"/>
      <c r="Q403" s="3"/>
      <c r="R403" s="3"/>
      <c r="S403" s="3"/>
      <c r="T403" s="3"/>
      <c r="U403" s="3">
        <v>3750</v>
      </c>
      <c r="V403" s="4">
        <v>36747</v>
      </c>
      <c r="W403" s="3" t="s">
        <v>31</v>
      </c>
      <c r="X403" s="3" t="s">
        <v>2263</v>
      </c>
    </row>
    <row r="404" spans="1:24" x14ac:dyDescent="0.3">
      <c r="A404" s="5">
        <v>398</v>
      </c>
      <c r="B404" s="5" t="str">
        <f>"1395241"</f>
        <v>1395241</v>
      </c>
      <c r="C404" s="5" t="str">
        <f>"33648"</f>
        <v>33648</v>
      </c>
      <c r="D404" s="5" t="s">
        <v>2264</v>
      </c>
      <c r="E404" s="5">
        <v>20102728743</v>
      </c>
      <c r="F404" s="5" t="s">
        <v>2265</v>
      </c>
      <c r="G404" s="5" t="s">
        <v>2266</v>
      </c>
      <c r="H404" s="5" t="s">
        <v>80</v>
      </c>
      <c r="I404" s="5" t="s">
        <v>192</v>
      </c>
      <c r="J404" s="5" t="s">
        <v>192</v>
      </c>
      <c r="K404" s="5" t="s">
        <v>2267</v>
      </c>
      <c r="L404" s="5"/>
      <c r="M404" s="5"/>
      <c r="N404" s="5"/>
      <c r="O404" s="5"/>
      <c r="P404" s="5"/>
      <c r="Q404" s="5"/>
      <c r="R404" s="5"/>
      <c r="S404" s="5"/>
      <c r="T404" s="5"/>
      <c r="U404" s="5">
        <v>110000</v>
      </c>
      <c r="V404" s="6">
        <v>37649</v>
      </c>
      <c r="W404" s="5" t="s">
        <v>31</v>
      </c>
      <c r="X404" s="5" t="s">
        <v>2268</v>
      </c>
    </row>
    <row r="405" spans="1:24" ht="27.95" x14ac:dyDescent="0.3">
      <c r="A405" s="3">
        <v>399</v>
      </c>
      <c r="B405" s="3" t="str">
        <f>"201600135219"</f>
        <v>201600135219</v>
      </c>
      <c r="C405" s="3" t="str">
        <f>"121329"</f>
        <v>121329</v>
      </c>
      <c r="D405" s="3" t="s">
        <v>2269</v>
      </c>
      <c r="E405" s="3">
        <v>20458538701</v>
      </c>
      <c r="F405" s="3" t="s">
        <v>2270</v>
      </c>
      <c r="G405" s="3" t="s">
        <v>2271</v>
      </c>
      <c r="H405" s="3" t="s">
        <v>285</v>
      </c>
      <c r="I405" s="3" t="s">
        <v>2272</v>
      </c>
      <c r="J405" s="3" t="s">
        <v>2272</v>
      </c>
      <c r="K405" s="3" t="s">
        <v>30</v>
      </c>
      <c r="L405" s="3"/>
      <c r="M405" s="3"/>
      <c r="N405" s="3"/>
      <c r="O405" s="3"/>
      <c r="P405" s="3"/>
      <c r="Q405" s="3"/>
      <c r="R405" s="3"/>
      <c r="S405" s="3"/>
      <c r="T405" s="3"/>
      <c r="U405" s="3">
        <v>8000</v>
      </c>
      <c r="V405" s="4">
        <v>42660</v>
      </c>
      <c r="W405" s="3" t="s">
        <v>31</v>
      </c>
      <c r="X405" s="3" t="s">
        <v>2273</v>
      </c>
    </row>
    <row r="406" spans="1:24" x14ac:dyDescent="0.3">
      <c r="A406" s="5">
        <v>400</v>
      </c>
      <c r="B406" s="5" t="str">
        <f>"1642042"</f>
        <v>1642042</v>
      </c>
      <c r="C406" s="5" t="str">
        <f>"44280"</f>
        <v>44280</v>
      </c>
      <c r="D406" s="5" t="s">
        <v>2274</v>
      </c>
      <c r="E406" s="5">
        <v>20332907990</v>
      </c>
      <c r="F406" s="5" t="s">
        <v>1055</v>
      </c>
      <c r="G406" s="5" t="s">
        <v>2275</v>
      </c>
      <c r="H406" s="5" t="s">
        <v>28</v>
      </c>
      <c r="I406" s="5" t="s">
        <v>574</v>
      </c>
      <c r="J406" s="5" t="s">
        <v>2276</v>
      </c>
      <c r="K406" s="5" t="s">
        <v>2277</v>
      </c>
      <c r="L406" s="5"/>
      <c r="M406" s="5"/>
      <c r="N406" s="5"/>
      <c r="O406" s="5"/>
      <c r="P406" s="5"/>
      <c r="Q406" s="5"/>
      <c r="R406" s="5"/>
      <c r="S406" s="5"/>
      <c r="T406" s="5"/>
      <c r="U406" s="5">
        <v>3018</v>
      </c>
      <c r="V406" s="6">
        <v>39037</v>
      </c>
      <c r="W406" s="5" t="s">
        <v>31</v>
      </c>
      <c r="X406" s="5" t="s">
        <v>2278</v>
      </c>
    </row>
    <row r="407" spans="1:24" x14ac:dyDescent="0.3">
      <c r="A407" s="3">
        <v>401</v>
      </c>
      <c r="B407" s="3" t="str">
        <f>"1754784"</f>
        <v>1754784</v>
      </c>
      <c r="C407" s="3" t="str">
        <f>"1297"</f>
        <v>1297</v>
      </c>
      <c r="D407" s="3" t="s">
        <v>2279</v>
      </c>
      <c r="E407" s="3">
        <v>20100085225</v>
      </c>
      <c r="F407" s="3" t="s">
        <v>2280</v>
      </c>
      <c r="G407" s="3" t="s">
        <v>2281</v>
      </c>
      <c r="H407" s="3" t="s">
        <v>28</v>
      </c>
      <c r="I407" s="3" t="s">
        <v>28</v>
      </c>
      <c r="J407" s="3" t="s">
        <v>266</v>
      </c>
      <c r="K407" s="3" t="s">
        <v>229</v>
      </c>
      <c r="L407" s="3"/>
      <c r="M407" s="3"/>
      <c r="N407" s="3"/>
      <c r="O407" s="3"/>
      <c r="P407" s="3"/>
      <c r="Q407" s="3"/>
      <c r="R407" s="3"/>
      <c r="S407" s="3"/>
      <c r="T407" s="3"/>
      <c r="U407" s="3">
        <v>2000</v>
      </c>
      <c r="V407" s="4">
        <v>39518</v>
      </c>
      <c r="W407" s="3" t="s">
        <v>31</v>
      </c>
      <c r="X407" s="3" t="s">
        <v>2282</v>
      </c>
    </row>
    <row r="408" spans="1:24" x14ac:dyDescent="0.3">
      <c r="A408" s="5">
        <v>402</v>
      </c>
      <c r="B408" s="5" t="str">
        <f>"201600121055"</f>
        <v>201600121055</v>
      </c>
      <c r="C408" s="5" t="str">
        <f>"102565"</f>
        <v>102565</v>
      </c>
      <c r="D408" s="5" t="s">
        <v>2283</v>
      </c>
      <c r="E408" s="5">
        <v>20137291313</v>
      </c>
      <c r="F408" s="5" t="s">
        <v>2284</v>
      </c>
      <c r="G408" s="5" t="s">
        <v>2285</v>
      </c>
      <c r="H408" s="5" t="s">
        <v>978</v>
      </c>
      <c r="I408" s="5" t="s">
        <v>978</v>
      </c>
      <c r="J408" s="5" t="s">
        <v>978</v>
      </c>
      <c r="K408" s="5" t="s">
        <v>2286</v>
      </c>
      <c r="L408" s="5"/>
      <c r="M408" s="5"/>
      <c r="N408" s="5"/>
      <c r="O408" s="5"/>
      <c r="P408" s="5"/>
      <c r="Q408" s="5"/>
      <c r="R408" s="5"/>
      <c r="S408" s="5"/>
      <c r="T408" s="5"/>
      <c r="U408" s="5">
        <v>8717</v>
      </c>
      <c r="V408" s="6">
        <v>42606</v>
      </c>
      <c r="W408" s="5" t="s">
        <v>31</v>
      </c>
      <c r="X408" s="5" t="s">
        <v>2287</v>
      </c>
    </row>
    <row r="409" spans="1:24" ht="27.95" x14ac:dyDescent="0.3">
      <c r="A409" s="3">
        <v>403</v>
      </c>
      <c r="B409" s="3" t="str">
        <f>"201800170173"</f>
        <v>201800170173</v>
      </c>
      <c r="C409" s="3" t="str">
        <f>"139107"</f>
        <v>139107</v>
      </c>
      <c r="D409" s="3" t="s">
        <v>2288</v>
      </c>
      <c r="E409" s="3">
        <v>20490932179</v>
      </c>
      <c r="F409" s="3" t="s">
        <v>2289</v>
      </c>
      <c r="G409" s="3" t="s">
        <v>2290</v>
      </c>
      <c r="H409" s="3" t="s">
        <v>165</v>
      </c>
      <c r="I409" s="3" t="s">
        <v>166</v>
      </c>
      <c r="J409" s="3" t="s">
        <v>167</v>
      </c>
      <c r="K409" s="3" t="s">
        <v>756</v>
      </c>
      <c r="L409" s="3" t="s">
        <v>756</v>
      </c>
      <c r="M409" s="3"/>
      <c r="N409" s="3"/>
      <c r="O409" s="3"/>
      <c r="P409" s="3"/>
      <c r="Q409" s="3"/>
      <c r="R409" s="3"/>
      <c r="S409" s="3"/>
      <c r="T409" s="3"/>
      <c r="U409" s="3">
        <v>13000</v>
      </c>
      <c r="V409" s="4">
        <v>43389</v>
      </c>
      <c r="W409" s="3" t="s">
        <v>31</v>
      </c>
      <c r="X409" s="3" t="s">
        <v>2291</v>
      </c>
    </row>
    <row r="410" spans="1:24" x14ac:dyDescent="0.3">
      <c r="A410" s="5">
        <v>404</v>
      </c>
      <c r="B410" s="5" t="str">
        <f>"201600131436"</f>
        <v>201600131436</v>
      </c>
      <c r="C410" s="5" t="str">
        <f>"112374"</f>
        <v>112374</v>
      </c>
      <c r="D410" s="5" t="s">
        <v>2292</v>
      </c>
      <c r="E410" s="5">
        <v>20252814036</v>
      </c>
      <c r="F410" s="5" t="s">
        <v>2293</v>
      </c>
      <c r="G410" s="5" t="s">
        <v>2294</v>
      </c>
      <c r="H410" s="5" t="s">
        <v>28</v>
      </c>
      <c r="I410" s="5" t="s">
        <v>28</v>
      </c>
      <c r="J410" s="5" t="s">
        <v>545</v>
      </c>
      <c r="K410" s="5" t="s">
        <v>2295</v>
      </c>
      <c r="L410" s="5"/>
      <c r="M410" s="5"/>
      <c r="N410" s="5"/>
      <c r="O410" s="5"/>
      <c r="P410" s="5"/>
      <c r="Q410" s="5"/>
      <c r="R410" s="5"/>
      <c r="S410" s="5"/>
      <c r="T410" s="5"/>
      <c r="U410" s="5">
        <v>1375</v>
      </c>
      <c r="V410" s="6">
        <v>42691</v>
      </c>
      <c r="W410" s="5" t="s">
        <v>31</v>
      </c>
      <c r="X410" s="5" t="s">
        <v>2296</v>
      </c>
    </row>
    <row r="411" spans="1:24" x14ac:dyDescent="0.3">
      <c r="A411" s="3">
        <v>405</v>
      </c>
      <c r="B411" s="3" t="str">
        <f>"201500021063"</f>
        <v>201500021063</v>
      </c>
      <c r="C411" s="3" t="str">
        <f>"83151"</f>
        <v>83151</v>
      </c>
      <c r="D411" s="3" t="s">
        <v>2297</v>
      </c>
      <c r="E411" s="3">
        <v>20304177552</v>
      </c>
      <c r="F411" s="3" t="s">
        <v>2298</v>
      </c>
      <c r="G411" s="3" t="s">
        <v>2299</v>
      </c>
      <c r="H411" s="3" t="s">
        <v>214</v>
      </c>
      <c r="I411" s="3" t="s">
        <v>1668</v>
      </c>
      <c r="J411" s="3" t="s">
        <v>1669</v>
      </c>
      <c r="K411" s="3" t="s">
        <v>2300</v>
      </c>
      <c r="L411" s="3" t="s">
        <v>2300</v>
      </c>
      <c r="M411" s="3" t="s">
        <v>2300</v>
      </c>
      <c r="N411" s="3" t="s">
        <v>2301</v>
      </c>
      <c r="O411" s="3"/>
      <c r="P411" s="3"/>
      <c r="Q411" s="3"/>
      <c r="R411" s="3"/>
      <c r="S411" s="3"/>
      <c r="T411" s="3"/>
      <c r="U411" s="3">
        <v>1056720</v>
      </c>
      <c r="V411" s="4">
        <v>42073</v>
      </c>
      <c r="W411" s="3" t="s">
        <v>31</v>
      </c>
      <c r="X411" s="3" t="s">
        <v>2302</v>
      </c>
    </row>
    <row r="412" spans="1:24" ht="27.95" x14ac:dyDescent="0.3">
      <c r="A412" s="5">
        <v>406</v>
      </c>
      <c r="B412" s="5" t="str">
        <f>"1171375"</f>
        <v>1171375</v>
      </c>
      <c r="C412" s="5" t="str">
        <f>"1494"</f>
        <v>1494</v>
      </c>
      <c r="D412" s="5">
        <v>991264</v>
      </c>
      <c r="E412" s="5">
        <v>20131257750</v>
      </c>
      <c r="F412" s="5" t="s">
        <v>2303</v>
      </c>
      <c r="G412" s="5" t="s">
        <v>2304</v>
      </c>
      <c r="H412" s="5" t="s">
        <v>285</v>
      </c>
      <c r="I412" s="5" t="s">
        <v>286</v>
      </c>
      <c r="J412" s="5" t="s">
        <v>470</v>
      </c>
      <c r="K412" s="5" t="s">
        <v>1316</v>
      </c>
      <c r="L412" s="5"/>
      <c r="M412" s="5"/>
      <c r="N412" s="5"/>
      <c r="O412" s="5"/>
      <c r="P412" s="5"/>
      <c r="Q412" s="5"/>
      <c r="R412" s="5"/>
      <c r="S412" s="5"/>
      <c r="T412" s="5"/>
      <c r="U412" s="5">
        <v>12000</v>
      </c>
      <c r="V412" s="6">
        <v>35857</v>
      </c>
      <c r="W412" s="5" t="s">
        <v>31</v>
      </c>
      <c r="X412" s="5" t="s">
        <v>2305</v>
      </c>
    </row>
    <row r="413" spans="1:24" ht="27.95" x14ac:dyDescent="0.3">
      <c r="A413" s="3">
        <v>407</v>
      </c>
      <c r="B413" s="3" t="str">
        <f>"201400128455"</f>
        <v>201400128455</v>
      </c>
      <c r="C413" s="3" t="str">
        <f>"20740"</f>
        <v>20740</v>
      </c>
      <c r="D413" s="3" t="s">
        <v>2306</v>
      </c>
      <c r="E413" s="3">
        <v>20505412151</v>
      </c>
      <c r="F413" s="3" t="s">
        <v>2307</v>
      </c>
      <c r="G413" s="3" t="s">
        <v>2308</v>
      </c>
      <c r="H413" s="3" t="s">
        <v>28</v>
      </c>
      <c r="I413" s="3" t="s">
        <v>28</v>
      </c>
      <c r="J413" s="3" t="s">
        <v>91</v>
      </c>
      <c r="K413" s="3" t="s">
        <v>2309</v>
      </c>
      <c r="L413" s="3"/>
      <c r="M413" s="3"/>
      <c r="N413" s="3"/>
      <c r="O413" s="3"/>
      <c r="P413" s="3"/>
      <c r="Q413" s="3"/>
      <c r="R413" s="3"/>
      <c r="S413" s="3"/>
      <c r="T413" s="3"/>
      <c r="U413" s="3">
        <v>2200</v>
      </c>
      <c r="V413" s="4">
        <v>41930</v>
      </c>
      <c r="W413" s="3" t="s">
        <v>31</v>
      </c>
      <c r="X413" s="3" t="s">
        <v>2310</v>
      </c>
    </row>
    <row r="414" spans="1:24" x14ac:dyDescent="0.3">
      <c r="A414" s="5">
        <v>408</v>
      </c>
      <c r="B414" s="5" t="str">
        <f>"201400078048"</f>
        <v>201400078048</v>
      </c>
      <c r="C414" s="5" t="str">
        <f>"109561"</f>
        <v>109561</v>
      </c>
      <c r="D414" s="5" t="s">
        <v>2311</v>
      </c>
      <c r="E414" s="5">
        <v>20538837611</v>
      </c>
      <c r="F414" s="5" t="s">
        <v>2312</v>
      </c>
      <c r="G414" s="5" t="s">
        <v>2313</v>
      </c>
      <c r="H414" s="5" t="s">
        <v>51</v>
      </c>
      <c r="I414" s="5" t="s">
        <v>129</v>
      </c>
      <c r="J414" s="5" t="s">
        <v>2314</v>
      </c>
      <c r="K414" s="5" t="s">
        <v>130</v>
      </c>
      <c r="L414" s="5"/>
      <c r="M414" s="5"/>
      <c r="N414" s="5"/>
      <c r="O414" s="5"/>
      <c r="P414" s="5"/>
      <c r="Q414" s="5"/>
      <c r="R414" s="5"/>
      <c r="S414" s="5"/>
      <c r="T414" s="5"/>
      <c r="U414" s="5">
        <v>3000</v>
      </c>
      <c r="V414" s="6">
        <v>41841</v>
      </c>
      <c r="W414" s="5" t="s">
        <v>31</v>
      </c>
      <c r="X414" s="5" t="s">
        <v>2315</v>
      </c>
    </row>
    <row r="415" spans="1:24" x14ac:dyDescent="0.3">
      <c r="A415" s="3">
        <v>409</v>
      </c>
      <c r="B415" s="3" t="str">
        <f>"1974085"</f>
        <v>1974085</v>
      </c>
      <c r="C415" s="3" t="str">
        <f>"85629"</f>
        <v>85629</v>
      </c>
      <c r="D415" s="3" t="s">
        <v>2316</v>
      </c>
      <c r="E415" s="3">
        <v>20389173666</v>
      </c>
      <c r="F415" s="3" t="s">
        <v>2317</v>
      </c>
      <c r="G415" s="3" t="s">
        <v>2318</v>
      </c>
      <c r="H415" s="3" t="s">
        <v>28</v>
      </c>
      <c r="I415" s="3" t="s">
        <v>28</v>
      </c>
      <c r="J415" s="3" t="s">
        <v>102</v>
      </c>
      <c r="K415" s="3" t="s">
        <v>2319</v>
      </c>
      <c r="L415" s="3" t="s">
        <v>2320</v>
      </c>
      <c r="M415" s="3" t="s">
        <v>1232</v>
      </c>
      <c r="N415" s="3" t="s">
        <v>2321</v>
      </c>
      <c r="O415" s="3"/>
      <c r="P415" s="3"/>
      <c r="Q415" s="3"/>
      <c r="R415" s="3"/>
      <c r="S415" s="3"/>
      <c r="T415" s="3"/>
      <c r="U415" s="3">
        <v>550</v>
      </c>
      <c r="V415" s="4">
        <v>40260</v>
      </c>
      <c r="W415" s="3" t="s">
        <v>31</v>
      </c>
      <c r="X415" s="3" t="s">
        <v>2322</v>
      </c>
    </row>
    <row r="416" spans="1:24" x14ac:dyDescent="0.3">
      <c r="A416" s="5">
        <v>410</v>
      </c>
      <c r="B416" s="5" t="str">
        <f>"1768169"</f>
        <v>1768169</v>
      </c>
      <c r="C416" s="5" t="str">
        <f>"782"</f>
        <v>782</v>
      </c>
      <c r="D416" s="5" t="s">
        <v>2323</v>
      </c>
      <c r="E416" s="5">
        <v>20260568532</v>
      </c>
      <c r="F416" s="5" t="s">
        <v>2324</v>
      </c>
      <c r="G416" s="5" t="s">
        <v>2325</v>
      </c>
      <c r="H416" s="5" t="s">
        <v>115</v>
      </c>
      <c r="I416" s="5" t="s">
        <v>115</v>
      </c>
      <c r="J416" s="5" t="s">
        <v>159</v>
      </c>
      <c r="K416" s="5" t="s">
        <v>323</v>
      </c>
      <c r="L416" s="5"/>
      <c r="M416" s="5"/>
      <c r="N416" s="5"/>
      <c r="O416" s="5"/>
      <c r="P416" s="5"/>
      <c r="Q416" s="5"/>
      <c r="R416" s="5"/>
      <c r="S416" s="5"/>
      <c r="T416" s="5"/>
      <c r="U416" s="5">
        <v>4000</v>
      </c>
      <c r="V416" s="6">
        <v>39532</v>
      </c>
      <c r="W416" s="5" t="s">
        <v>31</v>
      </c>
      <c r="X416" s="5" t="s">
        <v>2326</v>
      </c>
    </row>
    <row r="417" spans="1:24" ht="27.95" x14ac:dyDescent="0.3">
      <c r="A417" s="3">
        <v>411</v>
      </c>
      <c r="B417" s="3" t="str">
        <f>"201800177328"</f>
        <v>201800177328</v>
      </c>
      <c r="C417" s="3" t="str">
        <f>"139289"</f>
        <v>139289</v>
      </c>
      <c r="D417" s="3" t="s">
        <v>2327</v>
      </c>
      <c r="E417" s="3">
        <v>20527030421</v>
      </c>
      <c r="F417" s="3" t="s">
        <v>2328</v>
      </c>
      <c r="G417" s="3" t="s">
        <v>2329</v>
      </c>
      <c r="H417" s="3" t="s">
        <v>165</v>
      </c>
      <c r="I417" s="3" t="s">
        <v>2330</v>
      </c>
      <c r="J417" s="3" t="s">
        <v>2331</v>
      </c>
      <c r="K417" s="3" t="s">
        <v>198</v>
      </c>
      <c r="L417" s="3" t="s">
        <v>2332</v>
      </c>
      <c r="M417" s="3"/>
      <c r="N417" s="3"/>
      <c r="O417" s="3"/>
      <c r="P417" s="3"/>
      <c r="Q417" s="3"/>
      <c r="R417" s="3"/>
      <c r="S417" s="3"/>
      <c r="T417" s="3"/>
      <c r="U417" s="3">
        <v>18000</v>
      </c>
      <c r="V417" s="4">
        <v>43398</v>
      </c>
      <c r="W417" s="3" t="s">
        <v>31</v>
      </c>
      <c r="X417" s="3" t="s">
        <v>2333</v>
      </c>
    </row>
    <row r="418" spans="1:24" x14ac:dyDescent="0.3">
      <c r="A418" s="5">
        <v>412</v>
      </c>
      <c r="B418" s="5" t="str">
        <f>"201800002683"</f>
        <v>201800002683</v>
      </c>
      <c r="C418" s="5" t="str">
        <f>"218"</f>
        <v>218</v>
      </c>
      <c r="D418" s="5" t="s">
        <v>2334</v>
      </c>
      <c r="E418" s="5">
        <v>20100142989</v>
      </c>
      <c r="F418" s="5" t="s">
        <v>2335</v>
      </c>
      <c r="G418" s="5" t="s">
        <v>2070</v>
      </c>
      <c r="H418" s="5" t="s">
        <v>135</v>
      </c>
      <c r="I418" s="5" t="s">
        <v>673</v>
      </c>
      <c r="J418" s="5" t="s">
        <v>674</v>
      </c>
      <c r="K418" s="5" t="s">
        <v>2336</v>
      </c>
      <c r="L418" s="5" t="s">
        <v>87</v>
      </c>
      <c r="M418" s="5" t="s">
        <v>181</v>
      </c>
      <c r="N418" s="5" t="s">
        <v>168</v>
      </c>
      <c r="O418" s="5" t="s">
        <v>181</v>
      </c>
      <c r="P418" s="5" t="s">
        <v>168</v>
      </c>
      <c r="Q418" s="5" t="s">
        <v>168</v>
      </c>
      <c r="R418" s="5" t="s">
        <v>168</v>
      </c>
      <c r="S418" s="5" t="s">
        <v>168</v>
      </c>
      <c r="T418" s="5" t="s">
        <v>168</v>
      </c>
      <c r="U418" s="5">
        <v>16282800</v>
      </c>
      <c r="V418" s="6">
        <v>43115</v>
      </c>
      <c r="W418" s="5" t="s">
        <v>31</v>
      </c>
      <c r="X418" s="5" t="s">
        <v>2337</v>
      </c>
    </row>
    <row r="419" spans="1:24" ht="27.95" x14ac:dyDescent="0.3">
      <c r="A419" s="3">
        <v>413</v>
      </c>
      <c r="B419" s="3" t="str">
        <f>"202000140819"</f>
        <v>202000140819</v>
      </c>
      <c r="C419" s="3" t="str">
        <f>"121846"</f>
        <v>121846</v>
      </c>
      <c r="D419" s="3" t="s">
        <v>2338</v>
      </c>
      <c r="E419" s="3">
        <v>20125516140</v>
      </c>
      <c r="F419" s="3" t="s">
        <v>2339</v>
      </c>
      <c r="G419" s="3" t="s">
        <v>2340</v>
      </c>
      <c r="H419" s="3" t="s">
        <v>28</v>
      </c>
      <c r="I419" s="3" t="s">
        <v>28</v>
      </c>
      <c r="J419" s="3" t="s">
        <v>1907</v>
      </c>
      <c r="K419" s="3" t="s">
        <v>2341</v>
      </c>
      <c r="L419" s="3" t="s">
        <v>2342</v>
      </c>
      <c r="M419" s="3" t="s">
        <v>2343</v>
      </c>
      <c r="N419" s="3" t="s">
        <v>2344</v>
      </c>
      <c r="O419" s="3" t="s">
        <v>2345</v>
      </c>
      <c r="P419" s="3" t="s">
        <v>2345</v>
      </c>
      <c r="Q419" s="3"/>
      <c r="R419" s="3"/>
      <c r="S419" s="3"/>
      <c r="T419" s="3"/>
      <c r="U419" s="3">
        <v>49432.5</v>
      </c>
      <c r="V419" s="4">
        <v>44129</v>
      </c>
      <c r="W419" s="3" t="s">
        <v>31</v>
      </c>
      <c r="X419" s="3" t="s">
        <v>2346</v>
      </c>
    </row>
    <row r="420" spans="1:24" ht="27.95" x14ac:dyDescent="0.3">
      <c r="A420" s="5">
        <v>414</v>
      </c>
      <c r="B420" s="5" t="str">
        <f>"1863546"</f>
        <v>1863546</v>
      </c>
      <c r="C420" s="5" t="str">
        <f>"82747"</f>
        <v>82747</v>
      </c>
      <c r="D420" s="5" t="s">
        <v>2347</v>
      </c>
      <c r="E420" s="5">
        <v>20358071440</v>
      </c>
      <c r="F420" s="5" t="s">
        <v>2348</v>
      </c>
      <c r="G420" s="5" t="s">
        <v>2349</v>
      </c>
      <c r="H420" s="5" t="s">
        <v>214</v>
      </c>
      <c r="I420" s="5" t="s">
        <v>214</v>
      </c>
      <c r="J420" s="5" t="s">
        <v>2350</v>
      </c>
      <c r="K420" s="5" t="s">
        <v>2351</v>
      </c>
      <c r="L420" s="5"/>
      <c r="M420" s="5"/>
      <c r="N420" s="5"/>
      <c r="O420" s="5"/>
      <c r="P420" s="5"/>
      <c r="Q420" s="5"/>
      <c r="R420" s="5"/>
      <c r="S420" s="5"/>
      <c r="T420" s="5"/>
      <c r="U420" s="5">
        <v>1700</v>
      </c>
      <c r="V420" s="6">
        <v>39867</v>
      </c>
      <c r="W420" s="5" t="s">
        <v>31</v>
      </c>
      <c r="X420" s="5" t="s">
        <v>2352</v>
      </c>
    </row>
    <row r="421" spans="1:24" x14ac:dyDescent="0.3">
      <c r="A421" s="3">
        <v>415</v>
      </c>
      <c r="B421" s="3" t="str">
        <f>"202000095130"</f>
        <v>202000095130</v>
      </c>
      <c r="C421" s="3" t="str">
        <f>"20200"</f>
        <v>20200</v>
      </c>
      <c r="D421" s="3" t="s">
        <v>2353</v>
      </c>
      <c r="E421" s="3">
        <v>20489174023</v>
      </c>
      <c r="F421" s="3" t="s">
        <v>2354</v>
      </c>
      <c r="G421" s="3" t="s">
        <v>2355</v>
      </c>
      <c r="H421" s="3" t="s">
        <v>373</v>
      </c>
      <c r="I421" s="3" t="s">
        <v>2179</v>
      </c>
      <c r="J421" s="3" t="s">
        <v>2356</v>
      </c>
      <c r="K421" s="3" t="s">
        <v>2357</v>
      </c>
      <c r="L421" s="3"/>
      <c r="M421" s="3"/>
      <c r="N421" s="3"/>
      <c r="O421" s="3"/>
      <c r="P421" s="3"/>
      <c r="Q421" s="3"/>
      <c r="R421" s="3"/>
      <c r="S421" s="3"/>
      <c r="T421" s="3"/>
      <c r="U421" s="3">
        <v>23000</v>
      </c>
      <c r="V421" s="4">
        <v>44046</v>
      </c>
      <c r="W421" s="3" t="s">
        <v>31</v>
      </c>
      <c r="X421" s="3" t="s">
        <v>2358</v>
      </c>
    </row>
    <row r="422" spans="1:24" ht="27.95" x14ac:dyDescent="0.3">
      <c r="A422" s="5">
        <v>416</v>
      </c>
      <c r="B422" s="5" t="str">
        <f>"202000058443"</f>
        <v>202000058443</v>
      </c>
      <c r="C422" s="5" t="str">
        <f>"118804"</f>
        <v>118804</v>
      </c>
      <c r="D422" s="5" t="s">
        <v>2359</v>
      </c>
      <c r="E422" s="5">
        <v>20101939589</v>
      </c>
      <c r="F422" s="5" t="s">
        <v>2360</v>
      </c>
      <c r="G422" s="5" t="s">
        <v>2361</v>
      </c>
      <c r="H422" s="5" t="s">
        <v>80</v>
      </c>
      <c r="I422" s="5" t="s">
        <v>192</v>
      </c>
      <c r="J422" s="5" t="s">
        <v>192</v>
      </c>
      <c r="K422" s="5" t="s">
        <v>110</v>
      </c>
      <c r="L422" s="5"/>
      <c r="M422" s="5"/>
      <c r="N422" s="5"/>
      <c r="O422" s="5"/>
      <c r="P422" s="5"/>
      <c r="Q422" s="5"/>
      <c r="R422" s="5"/>
      <c r="S422" s="5"/>
      <c r="T422" s="5"/>
      <c r="U422" s="5">
        <v>4000</v>
      </c>
      <c r="V422" s="6">
        <v>43973</v>
      </c>
      <c r="W422" s="5" t="s">
        <v>31</v>
      </c>
      <c r="X422" s="5" t="s">
        <v>2362</v>
      </c>
    </row>
    <row r="423" spans="1:24" x14ac:dyDescent="0.3">
      <c r="A423" s="3">
        <v>417</v>
      </c>
      <c r="B423" s="3" t="str">
        <f>"1529146"</f>
        <v>1529146</v>
      </c>
      <c r="C423" s="3" t="str">
        <f>"40986"</f>
        <v>40986</v>
      </c>
      <c r="D423" s="3" t="s">
        <v>2363</v>
      </c>
      <c r="E423" s="3">
        <v>20348511824</v>
      </c>
      <c r="F423" s="3" t="s">
        <v>2364</v>
      </c>
      <c r="G423" s="3" t="s">
        <v>2365</v>
      </c>
      <c r="H423" s="3" t="s">
        <v>28</v>
      </c>
      <c r="I423" s="3" t="s">
        <v>28</v>
      </c>
      <c r="J423" s="3" t="s">
        <v>102</v>
      </c>
      <c r="K423" s="3" t="s">
        <v>2366</v>
      </c>
      <c r="L423" s="3"/>
      <c r="M423" s="3"/>
      <c r="N423" s="3"/>
      <c r="O423" s="3"/>
      <c r="P423" s="3"/>
      <c r="Q423" s="3"/>
      <c r="R423" s="3"/>
      <c r="S423" s="3"/>
      <c r="T423" s="3"/>
      <c r="U423" s="3">
        <v>7000</v>
      </c>
      <c r="V423" s="4">
        <v>38477</v>
      </c>
      <c r="W423" s="3" t="s">
        <v>31</v>
      </c>
      <c r="X423" s="3" t="s">
        <v>2367</v>
      </c>
    </row>
    <row r="424" spans="1:24" x14ac:dyDescent="0.3">
      <c r="A424" s="5">
        <v>418</v>
      </c>
      <c r="B424" s="5" t="str">
        <f>"1307655"</f>
        <v>1307655</v>
      </c>
      <c r="C424" s="5" t="str">
        <f>"964"</f>
        <v>964</v>
      </c>
      <c r="D424" s="5" t="s">
        <v>2368</v>
      </c>
      <c r="E424" s="5">
        <v>20330998432</v>
      </c>
      <c r="F424" s="5" t="s">
        <v>2369</v>
      </c>
      <c r="G424" s="5" t="s">
        <v>2370</v>
      </c>
      <c r="H424" s="5" t="s">
        <v>135</v>
      </c>
      <c r="I424" s="5" t="s">
        <v>402</v>
      </c>
      <c r="J424" s="5" t="s">
        <v>403</v>
      </c>
      <c r="K424" s="5" t="s">
        <v>396</v>
      </c>
      <c r="L424" s="5" t="s">
        <v>2371</v>
      </c>
      <c r="M424" s="5"/>
      <c r="N424" s="5"/>
      <c r="O424" s="5"/>
      <c r="P424" s="5"/>
      <c r="Q424" s="5"/>
      <c r="R424" s="5"/>
      <c r="S424" s="5"/>
      <c r="T424" s="5"/>
      <c r="U424" s="5">
        <v>10540</v>
      </c>
      <c r="V424" s="6">
        <v>36802</v>
      </c>
      <c r="W424" s="5" t="s">
        <v>31</v>
      </c>
      <c r="X424" s="5" t="s">
        <v>2372</v>
      </c>
    </row>
    <row r="425" spans="1:24" x14ac:dyDescent="0.3">
      <c r="A425" s="3">
        <v>419</v>
      </c>
      <c r="B425" s="3" t="str">
        <f>"1310755"</f>
        <v>1310755</v>
      </c>
      <c r="C425" s="3" t="str">
        <f>"20182"</f>
        <v>20182</v>
      </c>
      <c r="D425" s="3" t="s">
        <v>2373</v>
      </c>
      <c r="E425" s="3">
        <v>20131368667</v>
      </c>
      <c r="F425" s="3" t="s">
        <v>2374</v>
      </c>
      <c r="G425" s="3" t="s">
        <v>2375</v>
      </c>
      <c r="H425" s="3" t="s">
        <v>28</v>
      </c>
      <c r="I425" s="3" t="s">
        <v>28</v>
      </c>
      <c r="J425" s="3" t="s">
        <v>436</v>
      </c>
      <c r="K425" s="3" t="s">
        <v>2121</v>
      </c>
      <c r="L425" s="3"/>
      <c r="M425" s="3"/>
      <c r="N425" s="3"/>
      <c r="O425" s="3"/>
      <c r="P425" s="3"/>
      <c r="Q425" s="3"/>
      <c r="R425" s="3"/>
      <c r="S425" s="3"/>
      <c r="T425" s="3"/>
      <c r="U425" s="3">
        <v>8000</v>
      </c>
      <c r="V425" s="4">
        <v>36935</v>
      </c>
      <c r="W425" s="3" t="s">
        <v>31</v>
      </c>
      <c r="X425" s="3" t="s">
        <v>2376</v>
      </c>
    </row>
    <row r="426" spans="1:24" x14ac:dyDescent="0.3">
      <c r="A426" s="5">
        <v>420</v>
      </c>
      <c r="B426" s="5" t="str">
        <f>"1848975"</f>
        <v>1848975</v>
      </c>
      <c r="C426" s="5" t="str">
        <f>"20140"</f>
        <v>20140</v>
      </c>
      <c r="D426" s="5" t="s">
        <v>2377</v>
      </c>
      <c r="E426" s="5">
        <v>20192779333</v>
      </c>
      <c r="F426" s="5" t="s">
        <v>1208</v>
      </c>
      <c r="G426" s="5" t="s">
        <v>2378</v>
      </c>
      <c r="H426" s="5" t="s">
        <v>978</v>
      </c>
      <c r="I426" s="5" t="s">
        <v>2379</v>
      </c>
      <c r="J426" s="5" t="s">
        <v>2380</v>
      </c>
      <c r="K426" s="5" t="s">
        <v>2381</v>
      </c>
      <c r="L426" s="5" t="s">
        <v>2382</v>
      </c>
      <c r="M426" s="5"/>
      <c r="N426" s="5"/>
      <c r="O426" s="5"/>
      <c r="P426" s="5"/>
      <c r="Q426" s="5"/>
      <c r="R426" s="5"/>
      <c r="S426" s="5"/>
      <c r="T426" s="5"/>
      <c r="U426" s="5">
        <v>58425</v>
      </c>
      <c r="V426" s="6">
        <v>39765</v>
      </c>
      <c r="W426" s="5" t="s">
        <v>31</v>
      </c>
      <c r="X426" s="5" t="s">
        <v>2383</v>
      </c>
    </row>
    <row r="427" spans="1:24" x14ac:dyDescent="0.3">
      <c r="A427" s="3">
        <v>421</v>
      </c>
      <c r="B427" s="3" t="str">
        <f>"1126178"</f>
        <v>1126178</v>
      </c>
      <c r="C427" s="3" t="str">
        <f>"345"</f>
        <v>345</v>
      </c>
      <c r="D427" s="3">
        <v>988543</v>
      </c>
      <c r="E427" s="3">
        <v>20132346985</v>
      </c>
      <c r="F427" s="3" t="s">
        <v>2384</v>
      </c>
      <c r="G427" s="3" t="s">
        <v>2385</v>
      </c>
      <c r="H427" s="3" t="s">
        <v>36</v>
      </c>
      <c r="I427" s="3" t="s">
        <v>234</v>
      </c>
      <c r="J427" s="3" t="s">
        <v>234</v>
      </c>
      <c r="K427" s="3" t="s">
        <v>46</v>
      </c>
      <c r="L427" s="3"/>
      <c r="M427" s="3"/>
      <c r="N427" s="3"/>
      <c r="O427" s="3"/>
      <c r="P427" s="3"/>
      <c r="Q427" s="3"/>
      <c r="R427" s="3"/>
      <c r="S427" s="3"/>
      <c r="T427" s="3"/>
      <c r="U427" s="3">
        <v>3000</v>
      </c>
      <c r="V427" s="4">
        <v>35647</v>
      </c>
      <c r="W427" s="3" t="s">
        <v>31</v>
      </c>
      <c r="X427" s="3" t="s">
        <v>2386</v>
      </c>
    </row>
    <row r="428" spans="1:24" ht="27.95" x14ac:dyDescent="0.3">
      <c r="A428" s="5">
        <v>422</v>
      </c>
      <c r="B428" s="5" t="str">
        <f>"1617583"</f>
        <v>1617583</v>
      </c>
      <c r="C428" s="5" t="str">
        <f>"40607"</f>
        <v>40607</v>
      </c>
      <c r="D428" s="5" t="s">
        <v>2387</v>
      </c>
      <c r="E428" s="5">
        <v>20231190644</v>
      </c>
      <c r="F428" s="5" t="s">
        <v>2388</v>
      </c>
      <c r="G428" s="5" t="s">
        <v>2389</v>
      </c>
      <c r="H428" s="5" t="s">
        <v>285</v>
      </c>
      <c r="I428" s="5" t="s">
        <v>286</v>
      </c>
      <c r="J428" s="5" t="s">
        <v>470</v>
      </c>
      <c r="K428" s="5" t="s">
        <v>2390</v>
      </c>
      <c r="L428" s="5"/>
      <c r="M428" s="5"/>
      <c r="N428" s="5"/>
      <c r="O428" s="5"/>
      <c r="P428" s="5"/>
      <c r="Q428" s="5"/>
      <c r="R428" s="5"/>
      <c r="S428" s="5"/>
      <c r="T428" s="5"/>
      <c r="U428" s="5">
        <v>3600</v>
      </c>
      <c r="V428" s="6">
        <v>38904</v>
      </c>
      <c r="W428" s="5" t="s">
        <v>31</v>
      </c>
      <c r="X428" s="5" t="s">
        <v>2391</v>
      </c>
    </row>
    <row r="429" spans="1:24" ht="41.95" x14ac:dyDescent="0.3">
      <c r="A429" s="3">
        <v>423</v>
      </c>
      <c r="B429" s="3" t="str">
        <f>"201500147250"</f>
        <v>201500147250</v>
      </c>
      <c r="C429" s="3" t="str">
        <f>"82819"</f>
        <v>82819</v>
      </c>
      <c r="D429" s="3" t="s">
        <v>2392</v>
      </c>
      <c r="E429" s="3">
        <v>20292391189</v>
      </c>
      <c r="F429" s="3" t="s">
        <v>2393</v>
      </c>
      <c r="G429" s="3" t="s">
        <v>2394</v>
      </c>
      <c r="H429" s="3" t="s">
        <v>115</v>
      </c>
      <c r="I429" s="3" t="s">
        <v>115</v>
      </c>
      <c r="J429" s="3" t="s">
        <v>116</v>
      </c>
      <c r="K429" s="3" t="s">
        <v>2395</v>
      </c>
      <c r="L429" s="3" t="s">
        <v>2396</v>
      </c>
      <c r="M429" s="3" t="s">
        <v>2397</v>
      </c>
      <c r="N429" s="3" t="s">
        <v>2398</v>
      </c>
      <c r="O429" s="3" t="s">
        <v>2399</v>
      </c>
      <c r="P429" s="3" t="s">
        <v>2400</v>
      </c>
      <c r="Q429" s="3"/>
      <c r="R429" s="3"/>
      <c r="S429" s="3"/>
      <c r="T429" s="3"/>
      <c r="U429" s="3">
        <v>48250</v>
      </c>
      <c r="V429" s="4">
        <v>42324</v>
      </c>
      <c r="W429" s="3" t="s">
        <v>31</v>
      </c>
      <c r="X429" s="3" t="s">
        <v>2401</v>
      </c>
    </row>
    <row r="430" spans="1:24" ht="27.95" x14ac:dyDescent="0.3">
      <c r="A430" s="5">
        <v>424</v>
      </c>
      <c r="B430" s="5" t="str">
        <f>"201500147597"</f>
        <v>201500147597</v>
      </c>
      <c r="C430" s="5" t="str">
        <f>"118336"</f>
        <v>118336</v>
      </c>
      <c r="D430" s="5" t="s">
        <v>2402</v>
      </c>
      <c r="E430" s="5">
        <v>20428696515</v>
      </c>
      <c r="F430" s="5" t="s">
        <v>1029</v>
      </c>
      <c r="G430" s="5" t="s">
        <v>2403</v>
      </c>
      <c r="H430" s="5" t="s">
        <v>970</v>
      </c>
      <c r="I430" s="5" t="s">
        <v>2404</v>
      </c>
      <c r="J430" s="5" t="s">
        <v>2405</v>
      </c>
      <c r="K430" s="5" t="s">
        <v>2406</v>
      </c>
      <c r="L430" s="5"/>
      <c r="M430" s="5"/>
      <c r="N430" s="5"/>
      <c r="O430" s="5"/>
      <c r="P430" s="5"/>
      <c r="Q430" s="5"/>
      <c r="R430" s="5"/>
      <c r="S430" s="5"/>
      <c r="T430" s="5"/>
      <c r="U430" s="5">
        <v>45000</v>
      </c>
      <c r="V430" s="6">
        <v>42327</v>
      </c>
      <c r="W430" s="5" t="s">
        <v>31</v>
      </c>
      <c r="X430" s="5" t="s">
        <v>1035</v>
      </c>
    </row>
    <row r="431" spans="1:24" x14ac:dyDescent="0.3">
      <c r="A431" s="3">
        <v>425</v>
      </c>
      <c r="B431" s="3" t="str">
        <f>"201400120452"</f>
        <v>201400120452</v>
      </c>
      <c r="C431" s="3" t="str">
        <f>"103820"</f>
        <v>103820</v>
      </c>
      <c r="D431" s="3" t="s">
        <v>2407</v>
      </c>
      <c r="E431" s="3">
        <v>20490952790</v>
      </c>
      <c r="F431" s="3" t="s">
        <v>2408</v>
      </c>
      <c r="G431" s="3" t="s">
        <v>2409</v>
      </c>
      <c r="H431" s="3" t="s">
        <v>165</v>
      </c>
      <c r="I431" s="3" t="s">
        <v>732</v>
      </c>
      <c r="J431" s="3" t="s">
        <v>1065</v>
      </c>
      <c r="K431" s="3" t="s">
        <v>2410</v>
      </c>
      <c r="L431" s="3" t="s">
        <v>2410</v>
      </c>
      <c r="M431" s="3"/>
      <c r="N431" s="3"/>
      <c r="O431" s="3"/>
      <c r="P431" s="3"/>
      <c r="Q431" s="3"/>
      <c r="R431" s="3"/>
      <c r="S431" s="3"/>
      <c r="T431" s="3"/>
      <c r="U431" s="3">
        <v>10400</v>
      </c>
      <c r="V431" s="4">
        <v>41920</v>
      </c>
      <c r="W431" s="3" t="s">
        <v>31</v>
      </c>
      <c r="X431" s="3" t="s">
        <v>2411</v>
      </c>
    </row>
    <row r="432" spans="1:24" ht="27.95" x14ac:dyDescent="0.3">
      <c r="A432" s="5">
        <v>426</v>
      </c>
      <c r="B432" s="5" t="str">
        <f>"1460019"</f>
        <v>1460019</v>
      </c>
      <c r="C432" s="5" t="str">
        <f>"33411"</f>
        <v>33411</v>
      </c>
      <c r="D432" s="5" t="s">
        <v>2412</v>
      </c>
      <c r="E432" s="5">
        <v>20331061655</v>
      </c>
      <c r="F432" s="5" t="s">
        <v>2413</v>
      </c>
      <c r="G432" s="5" t="s">
        <v>2414</v>
      </c>
      <c r="H432" s="5" t="s">
        <v>28</v>
      </c>
      <c r="I432" s="5" t="s">
        <v>28</v>
      </c>
      <c r="J432" s="5" t="s">
        <v>1432</v>
      </c>
      <c r="K432" s="5" t="s">
        <v>1760</v>
      </c>
      <c r="L432" s="5"/>
      <c r="M432" s="5"/>
      <c r="N432" s="5"/>
      <c r="O432" s="5"/>
      <c r="P432" s="5"/>
      <c r="Q432" s="5"/>
      <c r="R432" s="5"/>
      <c r="S432" s="5"/>
      <c r="T432" s="5"/>
      <c r="U432" s="5">
        <v>9000</v>
      </c>
      <c r="V432" s="6">
        <v>38077</v>
      </c>
      <c r="W432" s="5" t="s">
        <v>31</v>
      </c>
      <c r="X432" s="5" t="s">
        <v>1419</v>
      </c>
    </row>
    <row r="433" spans="1:24" ht="27.95" x14ac:dyDescent="0.3">
      <c r="A433" s="3">
        <v>427</v>
      </c>
      <c r="B433" s="3" t="str">
        <f>"201400075784"</f>
        <v>201400075784</v>
      </c>
      <c r="C433" s="3" t="str">
        <f>"41578"</f>
        <v>41578</v>
      </c>
      <c r="D433" s="3" t="s">
        <v>2415</v>
      </c>
      <c r="E433" s="3">
        <v>20106491292</v>
      </c>
      <c r="F433" s="3" t="s">
        <v>2416</v>
      </c>
      <c r="G433" s="3" t="s">
        <v>2417</v>
      </c>
      <c r="H433" s="3" t="s">
        <v>28</v>
      </c>
      <c r="I433" s="3" t="s">
        <v>72</v>
      </c>
      <c r="J433" s="3" t="s">
        <v>2418</v>
      </c>
      <c r="K433" s="3" t="s">
        <v>2419</v>
      </c>
      <c r="L433" s="3"/>
      <c r="M433" s="3"/>
      <c r="N433" s="3"/>
      <c r="O433" s="3"/>
      <c r="P433" s="3"/>
      <c r="Q433" s="3"/>
      <c r="R433" s="3"/>
      <c r="S433" s="3"/>
      <c r="T433" s="3"/>
      <c r="U433" s="3">
        <v>4900</v>
      </c>
      <c r="V433" s="4">
        <v>41809</v>
      </c>
      <c r="W433" s="3" t="s">
        <v>31</v>
      </c>
      <c r="X433" s="3" t="s">
        <v>2420</v>
      </c>
    </row>
    <row r="434" spans="1:24" x14ac:dyDescent="0.3">
      <c r="A434" s="5">
        <v>428</v>
      </c>
      <c r="B434" s="5" t="str">
        <f>"201200174609"</f>
        <v>201200174609</v>
      </c>
      <c r="C434" s="5" t="str">
        <f>"176"</f>
        <v>176</v>
      </c>
      <c r="D434" s="5" t="s">
        <v>2421</v>
      </c>
      <c r="E434" s="5">
        <v>20131257750</v>
      </c>
      <c r="F434" s="5" t="s">
        <v>2422</v>
      </c>
      <c r="G434" s="5" t="s">
        <v>2423</v>
      </c>
      <c r="H434" s="5" t="s">
        <v>28</v>
      </c>
      <c r="I434" s="5" t="s">
        <v>28</v>
      </c>
      <c r="J434" s="5" t="s">
        <v>1403</v>
      </c>
      <c r="K434" s="5" t="s">
        <v>2424</v>
      </c>
      <c r="L434" s="5" t="s">
        <v>2424</v>
      </c>
      <c r="M434" s="5" t="s">
        <v>2424</v>
      </c>
      <c r="N434" s="5" t="s">
        <v>2425</v>
      </c>
      <c r="O434" s="5"/>
      <c r="P434" s="5"/>
      <c r="Q434" s="5"/>
      <c r="R434" s="5"/>
      <c r="S434" s="5"/>
      <c r="T434" s="5"/>
      <c r="U434" s="5">
        <v>100000</v>
      </c>
      <c r="V434" s="6">
        <v>41228</v>
      </c>
      <c r="W434" s="5" t="s">
        <v>31</v>
      </c>
      <c r="X434" s="5" t="s">
        <v>2426</v>
      </c>
    </row>
    <row r="435" spans="1:24" x14ac:dyDescent="0.3">
      <c r="A435" s="3">
        <v>429</v>
      </c>
      <c r="B435" s="3" t="str">
        <f>"201500022820"</f>
        <v>201500022820</v>
      </c>
      <c r="C435" s="3" t="str">
        <f>"111375"</f>
        <v>111375</v>
      </c>
      <c r="D435" s="3" t="s">
        <v>2427</v>
      </c>
      <c r="E435" s="3">
        <v>20100120314</v>
      </c>
      <c r="F435" s="3" t="s">
        <v>2428</v>
      </c>
      <c r="G435" s="3" t="s">
        <v>2429</v>
      </c>
      <c r="H435" s="3" t="s">
        <v>285</v>
      </c>
      <c r="I435" s="3" t="s">
        <v>1473</v>
      </c>
      <c r="J435" s="3" t="s">
        <v>1474</v>
      </c>
      <c r="K435" s="3" t="s">
        <v>2430</v>
      </c>
      <c r="L435" s="3"/>
      <c r="M435" s="3"/>
      <c r="N435" s="3"/>
      <c r="O435" s="3"/>
      <c r="P435" s="3"/>
      <c r="Q435" s="3"/>
      <c r="R435" s="3"/>
      <c r="S435" s="3"/>
      <c r="T435" s="3"/>
      <c r="U435" s="3">
        <v>21380</v>
      </c>
      <c r="V435" s="4">
        <v>42093</v>
      </c>
      <c r="W435" s="3" t="s">
        <v>31</v>
      </c>
      <c r="X435" s="3" t="s">
        <v>2431</v>
      </c>
    </row>
    <row r="436" spans="1:24" x14ac:dyDescent="0.3">
      <c r="A436" s="5">
        <v>430</v>
      </c>
      <c r="B436" s="5" t="str">
        <f>"1888282"</f>
        <v>1888282</v>
      </c>
      <c r="C436" s="5" t="str">
        <f>"83149"</f>
        <v>83149</v>
      </c>
      <c r="D436" s="5" t="s">
        <v>2432</v>
      </c>
      <c r="E436" s="5">
        <v>20100047722</v>
      </c>
      <c r="F436" s="5" t="s">
        <v>2433</v>
      </c>
      <c r="G436" s="5" t="s">
        <v>2434</v>
      </c>
      <c r="H436" s="5" t="s">
        <v>28</v>
      </c>
      <c r="I436" s="5" t="s">
        <v>28</v>
      </c>
      <c r="J436" s="5" t="s">
        <v>28</v>
      </c>
      <c r="K436" s="5" t="s">
        <v>2435</v>
      </c>
      <c r="L436" s="5" t="s">
        <v>2436</v>
      </c>
      <c r="M436" s="5" t="s">
        <v>2437</v>
      </c>
      <c r="N436" s="5" t="s">
        <v>2438</v>
      </c>
      <c r="O436" s="5"/>
      <c r="P436" s="5"/>
      <c r="Q436" s="5"/>
      <c r="R436" s="5"/>
      <c r="S436" s="5"/>
      <c r="T436" s="5"/>
      <c r="U436" s="5">
        <v>37425</v>
      </c>
      <c r="V436" s="6">
        <v>39968</v>
      </c>
      <c r="W436" s="5" t="s">
        <v>31</v>
      </c>
      <c r="X436" s="5" t="s">
        <v>1555</v>
      </c>
    </row>
    <row r="437" spans="1:24" ht="27.95" x14ac:dyDescent="0.3">
      <c r="A437" s="3">
        <v>431</v>
      </c>
      <c r="B437" s="3" t="str">
        <f>"1572460"</f>
        <v>1572460</v>
      </c>
      <c r="C437" s="3" t="str">
        <f>"41829"</f>
        <v>41829</v>
      </c>
      <c r="D437" s="3" t="s">
        <v>2439</v>
      </c>
      <c r="E437" s="3">
        <v>20273841700</v>
      </c>
      <c r="F437" s="3" t="s">
        <v>2440</v>
      </c>
      <c r="G437" s="3" t="s">
        <v>2441</v>
      </c>
      <c r="H437" s="3" t="s">
        <v>51</v>
      </c>
      <c r="I437" s="3" t="s">
        <v>51</v>
      </c>
      <c r="J437" s="3" t="s">
        <v>241</v>
      </c>
      <c r="K437" s="3" t="s">
        <v>2442</v>
      </c>
      <c r="L437" s="3"/>
      <c r="M437" s="3"/>
      <c r="N437" s="3"/>
      <c r="O437" s="3"/>
      <c r="P437" s="3"/>
      <c r="Q437" s="3"/>
      <c r="R437" s="3"/>
      <c r="S437" s="3"/>
      <c r="T437" s="3"/>
      <c r="U437" s="3">
        <v>4390</v>
      </c>
      <c r="V437" s="4">
        <v>38665</v>
      </c>
      <c r="W437" s="3" t="s">
        <v>31</v>
      </c>
      <c r="X437" s="3" t="s">
        <v>2443</v>
      </c>
    </row>
    <row r="438" spans="1:24" x14ac:dyDescent="0.3">
      <c r="A438" s="5">
        <v>432</v>
      </c>
      <c r="B438" s="5" t="str">
        <f>"201200129303"</f>
        <v>201200129303</v>
      </c>
      <c r="C438" s="5" t="str">
        <f>"97344"</f>
        <v>97344</v>
      </c>
      <c r="D438" s="5" t="s">
        <v>2444</v>
      </c>
      <c r="E438" s="5">
        <v>20536903519</v>
      </c>
      <c r="F438" s="5" t="s">
        <v>2445</v>
      </c>
      <c r="G438" s="5" t="s">
        <v>2446</v>
      </c>
      <c r="H438" s="5" t="s">
        <v>28</v>
      </c>
      <c r="I438" s="5" t="s">
        <v>28</v>
      </c>
      <c r="J438" s="5" t="s">
        <v>180</v>
      </c>
      <c r="K438" s="5" t="s">
        <v>2447</v>
      </c>
      <c r="L438" s="5"/>
      <c r="M438" s="5"/>
      <c r="N438" s="5"/>
      <c r="O438" s="5"/>
      <c r="P438" s="5"/>
      <c r="Q438" s="5"/>
      <c r="R438" s="5"/>
      <c r="S438" s="5"/>
      <c r="T438" s="5"/>
      <c r="U438" s="5">
        <v>1620</v>
      </c>
      <c r="V438" s="6">
        <v>41122</v>
      </c>
      <c r="W438" s="5" t="s">
        <v>31</v>
      </c>
      <c r="X438" s="5" t="s">
        <v>2448</v>
      </c>
    </row>
    <row r="439" spans="1:24" ht="27.95" x14ac:dyDescent="0.3">
      <c r="A439" s="3">
        <v>433</v>
      </c>
      <c r="B439" s="3" t="str">
        <f>"201600051788"</f>
        <v>201600051788</v>
      </c>
      <c r="C439" s="3" t="str">
        <f>"1257"</f>
        <v>1257</v>
      </c>
      <c r="D439" s="3" t="s">
        <v>2449</v>
      </c>
      <c r="E439" s="3">
        <v>20529771429</v>
      </c>
      <c r="F439" s="3" t="s">
        <v>2450</v>
      </c>
      <c r="G439" s="3" t="s">
        <v>2451</v>
      </c>
      <c r="H439" s="3" t="s">
        <v>80</v>
      </c>
      <c r="I439" s="3" t="s">
        <v>309</v>
      </c>
      <c r="J439" s="3" t="s">
        <v>309</v>
      </c>
      <c r="K439" s="3" t="s">
        <v>2452</v>
      </c>
      <c r="L439" s="3"/>
      <c r="M439" s="3"/>
      <c r="N439" s="3"/>
      <c r="O439" s="3"/>
      <c r="P439" s="3"/>
      <c r="Q439" s="3"/>
      <c r="R439" s="3"/>
      <c r="S439" s="3"/>
      <c r="T439" s="3"/>
      <c r="U439" s="3">
        <v>6500</v>
      </c>
      <c r="V439" s="4">
        <v>42472</v>
      </c>
      <c r="W439" s="3" t="s">
        <v>31</v>
      </c>
      <c r="X439" s="3" t="s">
        <v>2453</v>
      </c>
    </row>
    <row r="440" spans="1:24" x14ac:dyDescent="0.3">
      <c r="A440" s="5">
        <v>434</v>
      </c>
      <c r="B440" s="5" t="str">
        <f>"201700198044"</f>
        <v>201700198044</v>
      </c>
      <c r="C440" s="5" t="str">
        <f>"97675"</f>
        <v>97675</v>
      </c>
      <c r="D440" s="5" t="s">
        <v>2454</v>
      </c>
      <c r="E440" s="5">
        <v>20601605385</v>
      </c>
      <c r="F440" s="5" t="s">
        <v>2455</v>
      </c>
      <c r="G440" s="5" t="s">
        <v>2456</v>
      </c>
      <c r="H440" s="5" t="s">
        <v>334</v>
      </c>
      <c r="I440" s="5" t="s">
        <v>335</v>
      </c>
      <c r="J440" s="5" t="s">
        <v>950</v>
      </c>
      <c r="K440" s="5" t="s">
        <v>2457</v>
      </c>
      <c r="L440" s="5"/>
      <c r="M440" s="5"/>
      <c r="N440" s="5"/>
      <c r="O440" s="5"/>
      <c r="P440" s="5"/>
      <c r="Q440" s="5"/>
      <c r="R440" s="5"/>
      <c r="S440" s="5"/>
      <c r="T440" s="5"/>
      <c r="U440" s="5">
        <v>2200</v>
      </c>
      <c r="V440" s="6">
        <v>43070</v>
      </c>
      <c r="W440" s="5" t="s">
        <v>31</v>
      </c>
      <c r="X440" s="5" t="s">
        <v>2458</v>
      </c>
    </row>
    <row r="441" spans="1:24" ht="27.95" x14ac:dyDescent="0.3">
      <c r="A441" s="3">
        <v>435</v>
      </c>
      <c r="B441" s="3" t="str">
        <f>"201200066597"</f>
        <v>201200066597</v>
      </c>
      <c r="C441" s="3" t="str">
        <f>"96494"</f>
        <v>96494</v>
      </c>
      <c r="D441" s="3" t="s">
        <v>2459</v>
      </c>
      <c r="E441" s="3">
        <v>20491760665</v>
      </c>
      <c r="F441" s="3" t="s">
        <v>2460</v>
      </c>
      <c r="G441" s="3" t="s">
        <v>2461</v>
      </c>
      <c r="H441" s="3" t="s">
        <v>978</v>
      </c>
      <c r="I441" s="3" t="s">
        <v>978</v>
      </c>
      <c r="J441" s="3" t="s">
        <v>978</v>
      </c>
      <c r="K441" s="3" t="s">
        <v>2462</v>
      </c>
      <c r="L441" s="3"/>
      <c r="M441" s="3"/>
      <c r="N441" s="3"/>
      <c r="O441" s="3"/>
      <c r="P441" s="3"/>
      <c r="Q441" s="3"/>
      <c r="R441" s="3"/>
      <c r="S441" s="3"/>
      <c r="T441" s="3"/>
      <c r="U441" s="3">
        <v>3145</v>
      </c>
      <c r="V441" s="4">
        <v>41041</v>
      </c>
      <c r="W441" s="3" t="s">
        <v>31</v>
      </c>
      <c r="X441" s="3" t="s">
        <v>2463</v>
      </c>
    </row>
    <row r="442" spans="1:24" x14ac:dyDescent="0.3">
      <c r="A442" s="5">
        <v>436</v>
      </c>
      <c r="B442" s="5" t="str">
        <f>"1582150"</f>
        <v>1582150</v>
      </c>
      <c r="C442" s="5" t="str">
        <f>"42290"</f>
        <v>42290</v>
      </c>
      <c r="D442" s="5" t="s">
        <v>2464</v>
      </c>
      <c r="E442" s="5">
        <v>20138144578</v>
      </c>
      <c r="F442" s="5" t="s">
        <v>2465</v>
      </c>
      <c r="G442" s="5" t="s">
        <v>2466</v>
      </c>
      <c r="H442" s="5" t="s">
        <v>28</v>
      </c>
      <c r="I442" s="5" t="s">
        <v>28</v>
      </c>
      <c r="J442" s="5" t="s">
        <v>91</v>
      </c>
      <c r="K442" s="5" t="s">
        <v>421</v>
      </c>
      <c r="L442" s="5"/>
      <c r="M442" s="5"/>
      <c r="N442" s="5"/>
      <c r="O442" s="5"/>
      <c r="P442" s="5"/>
      <c r="Q442" s="5"/>
      <c r="R442" s="5"/>
      <c r="S442" s="5"/>
      <c r="T442" s="5"/>
      <c r="U442" s="5">
        <v>5000</v>
      </c>
      <c r="V442" s="6">
        <v>38733</v>
      </c>
      <c r="W442" s="5" t="s">
        <v>31</v>
      </c>
      <c r="X442" s="5" t="s">
        <v>2467</v>
      </c>
    </row>
    <row r="443" spans="1:24" ht="27.95" x14ac:dyDescent="0.3">
      <c r="A443" s="3">
        <v>437</v>
      </c>
      <c r="B443" s="3" t="str">
        <f>"1406295"</f>
        <v>1406295</v>
      </c>
      <c r="C443" s="3" t="str">
        <f>"1533"</f>
        <v>1533</v>
      </c>
      <c r="D443" s="3" t="s">
        <v>2468</v>
      </c>
      <c r="E443" s="3">
        <v>20101088295</v>
      </c>
      <c r="F443" s="3" t="s">
        <v>2469</v>
      </c>
      <c r="G443" s="3" t="s">
        <v>2470</v>
      </c>
      <c r="H443" s="3" t="s">
        <v>115</v>
      </c>
      <c r="I443" s="3" t="s">
        <v>115</v>
      </c>
      <c r="J443" s="3" t="s">
        <v>116</v>
      </c>
      <c r="K443" s="3" t="s">
        <v>2471</v>
      </c>
      <c r="L443" s="3" t="s">
        <v>75</v>
      </c>
      <c r="M443" s="3"/>
      <c r="N443" s="3"/>
      <c r="O443" s="3"/>
      <c r="P443" s="3"/>
      <c r="Q443" s="3"/>
      <c r="R443" s="3"/>
      <c r="S443" s="3"/>
      <c r="T443" s="3"/>
      <c r="U443" s="3">
        <v>5200</v>
      </c>
      <c r="V443" s="4">
        <v>40430</v>
      </c>
      <c r="W443" s="3" t="s">
        <v>31</v>
      </c>
      <c r="X443" s="3" t="s">
        <v>2472</v>
      </c>
    </row>
    <row r="444" spans="1:24" x14ac:dyDescent="0.3">
      <c r="A444" s="5">
        <v>438</v>
      </c>
      <c r="B444" s="5" t="str">
        <f>"201800024281"</f>
        <v>201800024281</v>
      </c>
      <c r="C444" s="5" t="str">
        <f>"64503"</f>
        <v>64503</v>
      </c>
      <c r="D444" s="5" t="s">
        <v>2473</v>
      </c>
      <c r="E444" s="5">
        <v>20600130898</v>
      </c>
      <c r="F444" s="5" t="s">
        <v>2474</v>
      </c>
      <c r="G444" s="5" t="s">
        <v>2475</v>
      </c>
      <c r="H444" s="5" t="s">
        <v>51</v>
      </c>
      <c r="I444" s="5" t="s">
        <v>51</v>
      </c>
      <c r="J444" s="5" t="s">
        <v>241</v>
      </c>
      <c r="K444" s="5" t="s">
        <v>130</v>
      </c>
      <c r="L444" s="5"/>
      <c r="M444" s="5"/>
      <c r="N444" s="5"/>
      <c r="O444" s="5"/>
      <c r="P444" s="5"/>
      <c r="Q444" s="5"/>
      <c r="R444" s="5"/>
      <c r="S444" s="5"/>
      <c r="T444" s="5"/>
      <c r="U444" s="5">
        <v>3000</v>
      </c>
      <c r="V444" s="6">
        <v>43150</v>
      </c>
      <c r="W444" s="5" t="s">
        <v>31</v>
      </c>
      <c r="X444" s="5" t="s">
        <v>2476</v>
      </c>
    </row>
    <row r="445" spans="1:24" x14ac:dyDescent="0.3">
      <c r="A445" s="3">
        <v>439</v>
      </c>
      <c r="B445" s="3" t="str">
        <f>"1118278"</f>
        <v>1118278</v>
      </c>
      <c r="C445" s="3" t="str">
        <f>"253"</f>
        <v>253</v>
      </c>
      <c r="D445" s="3" t="s">
        <v>2477</v>
      </c>
      <c r="E445" s="3">
        <v>20141948947</v>
      </c>
      <c r="F445" s="3" t="s">
        <v>2478</v>
      </c>
      <c r="G445" s="3" t="s">
        <v>2479</v>
      </c>
      <c r="H445" s="3" t="s">
        <v>36</v>
      </c>
      <c r="I445" s="3" t="s">
        <v>234</v>
      </c>
      <c r="J445" s="3" t="s">
        <v>234</v>
      </c>
      <c r="K445" s="3" t="s">
        <v>1422</v>
      </c>
      <c r="L445" s="3"/>
      <c r="M445" s="3"/>
      <c r="N445" s="3"/>
      <c r="O445" s="3"/>
      <c r="P445" s="3"/>
      <c r="Q445" s="3"/>
      <c r="R445" s="3"/>
      <c r="S445" s="3"/>
      <c r="T445" s="3"/>
      <c r="U445" s="3">
        <v>6500</v>
      </c>
      <c r="V445" s="4">
        <v>36802</v>
      </c>
      <c r="W445" s="3" t="s">
        <v>31</v>
      </c>
      <c r="X445" s="3" t="s">
        <v>2480</v>
      </c>
    </row>
    <row r="446" spans="1:24" ht="27.95" x14ac:dyDescent="0.3">
      <c r="A446" s="5">
        <v>440</v>
      </c>
      <c r="B446" s="5" t="str">
        <f>"201200226494"</f>
        <v>201200226494</v>
      </c>
      <c r="C446" s="5" t="str">
        <f>"100143"</f>
        <v>100143</v>
      </c>
      <c r="D446" s="5" t="s">
        <v>2481</v>
      </c>
      <c r="E446" s="5">
        <v>20448420508</v>
      </c>
      <c r="F446" s="5" t="s">
        <v>2482</v>
      </c>
      <c r="G446" s="5" t="s">
        <v>2483</v>
      </c>
      <c r="H446" s="5" t="s">
        <v>550</v>
      </c>
      <c r="I446" s="5" t="s">
        <v>1780</v>
      </c>
      <c r="J446" s="5" t="s">
        <v>1781</v>
      </c>
      <c r="K446" s="5" t="s">
        <v>2484</v>
      </c>
      <c r="L446" s="5"/>
      <c r="M446" s="5"/>
      <c r="N446" s="5"/>
      <c r="O446" s="5"/>
      <c r="P446" s="5"/>
      <c r="Q446" s="5"/>
      <c r="R446" s="5"/>
      <c r="S446" s="5"/>
      <c r="T446" s="5"/>
      <c r="U446" s="5">
        <v>5268</v>
      </c>
      <c r="V446" s="6">
        <v>41287</v>
      </c>
      <c r="W446" s="5" t="s">
        <v>31</v>
      </c>
      <c r="X446" s="5" t="s">
        <v>2485</v>
      </c>
    </row>
    <row r="447" spans="1:24" ht="27.95" x14ac:dyDescent="0.3">
      <c r="A447" s="3">
        <v>441</v>
      </c>
      <c r="B447" s="3" t="str">
        <f>"201600137435"</f>
        <v>201600137435</v>
      </c>
      <c r="C447" s="3" t="str">
        <f>"18683"</f>
        <v>18683</v>
      </c>
      <c r="D447" s="3" t="s">
        <v>2486</v>
      </c>
      <c r="E447" s="3">
        <v>20333363900</v>
      </c>
      <c r="F447" s="3" t="s">
        <v>2487</v>
      </c>
      <c r="G447" s="3" t="s">
        <v>2488</v>
      </c>
      <c r="H447" s="3" t="s">
        <v>1147</v>
      </c>
      <c r="I447" s="3" t="s">
        <v>1148</v>
      </c>
      <c r="J447" s="3" t="s">
        <v>1148</v>
      </c>
      <c r="K447" s="3" t="s">
        <v>2489</v>
      </c>
      <c r="L447" s="3" t="s">
        <v>2490</v>
      </c>
      <c r="M447" s="3" t="s">
        <v>2491</v>
      </c>
      <c r="N447" s="3" t="s">
        <v>2491</v>
      </c>
      <c r="O447" s="3" t="s">
        <v>2491</v>
      </c>
      <c r="P447" s="3" t="s">
        <v>2492</v>
      </c>
      <c r="Q447" s="3" t="s">
        <v>2492</v>
      </c>
      <c r="R447" s="3" t="s">
        <v>2492</v>
      </c>
      <c r="S447" s="3" t="s">
        <v>2492</v>
      </c>
      <c r="T447" s="3" t="s">
        <v>2492</v>
      </c>
      <c r="U447" s="3">
        <v>27046292</v>
      </c>
      <c r="V447" s="4">
        <v>42654</v>
      </c>
      <c r="W447" s="3" t="s">
        <v>31</v>
      </c>
      <c r="X447" s="3" t="s">
        <v>2493</v>
      </c>
    </row>
    <row r="448" spans="1:24" ht="27.95" x14ac:dyDescent="0.3">
      <c r="A448" s="5">
        <v>442</v>
      </c>
      <c r="B448" s="5" t="str">
        <f>"1855120"</f>
        <v>1855120</v>
      </c>
      <c r="C448" s="5" t="str">
        <f>"41633"</f>
        <v>41633</v>
      </c>
      <c r="D448" s="5" t="s">
        <v>2494</v>
      </c>
      <c r="E448" s="5">
        <v>20341717699</v>
      </c>
      <c r="F448" s="5" t="s">
        <v>2495</v>
      </c>
      <c r="G448" s="5" t="s">
        <v>2496</v>
      </c>
      <c r="H448" s="5" t="s">
        <v>28</v>
      </c>
      <c r="I448" s="5" t="s">
        <v>28</v>
      </c>
      <c r="J448" s="5" t="s">
        <v>172</v>
      </c>
      <c r="K448" s="5" t="s">
        <v>1182</v>
      </c>
      <c r="L448" s="5"/>
      <c r="M448" s="5"/>
      <c r="N448" s="5"/>
      <c r="O448" s="5"/>
      <c r="P448" s="5"/>
      <c r="Q448" s="5"/>
      <c r="R448" s="5"/>
      <c r="S448" s="5"/>
      <c r="T448" s="5"/>
      <c r="U448" s="5">
        <v>4000</v>
      </c>
      <c r="V448" s="6">
        <v>39848</v>
      </c>
      <c r="W448" s="5" t="s">
        <v>31</v>
      </c>
      <c r="X448" s="5" t="s">
        <v>2497</v>
      </c>
    </row>
    <row r="449" spans="1:24" ht="27.95" x14ac:dyDescent="0.3">
      <c r="A449" s="3">
        <v>443</v>
      </c>
      <c r="B449" s="3" t="str">
        <f>"1116108"</f>
        <v>1116108</v>
      </c>
      <c r="C449" s="3" t="str">
        <f>"1526"</f>
        <v>1526</v>
      </c>
      <c r="D449" s="3">
        <v>959845</v>
      </c>
      <c r="E449" s="3">
        <v>20260789971</v>
      </c>
      <c r="F449" s="3" t="s">
        <v>270</v>
      </c>
      <c r="G449" s="3" t="s">
        <v>2498</v>
      </c>
      <c r="H449" s="3" t="s">
        <v>28</v>
      </c>
      <c r="I449" s="3" t="s">
        <v>574</v>
      </c>
      <c r="J449" s="3" t="s">
        <v>2499</v>
      </c>
      <c r="K449" s="3" t="s">
        <v>1316</v>
      </c>
      <c r="L449" s="3"/>
      <c r="M449" s="3"/>
      <c r="N449" s="3"/>
      <c r="O449" s="3"/>
      <c r="P449" s="3"/>
      <c r="Q449" s="3"/>
      <c r="R449" s="3"/>
      <c r="S449" s="3"/>
      <c r="T449" s="3"/>
      <c r="U449" s="3">
        <v>12000</v>
      </c>
      <c r="V449" s="4">
        <v>35605</v>
      </c>
      <c r="W449" s="3" t="s">
        <v>31</v>
      </c>
      <c r="X449" s="3" t="s">
        <v>2500</v>
      </c>
    </row>
    <row r="450" spans="1:24" x14ac:dyDescent="0.3">
      <c r="A450" s="5">
        <v>444</v>
      </c>
      <c r="B450" s="5" t="str">
        <f>"201200211183"</f>
        <v>201200211183</v>
      </c>
      <c r="C450" s="5" t="str">
        <f>"88280"</f>
        <v>88280</v>
      </c>
      <c r="D450" s="5" t="s">
        <v>2501</v>
      </c>
      <c r="E450" s="5">
        <v>20144364059</v>
      </c>
      <c r="F450" s="5" t="s">
        <v>2502</v>
      </c>
      <c r="G450" s="5" t="s">
        <v>2503</v>
      </c>
      <c r="H450" s="5" t="s">
        <v>28</v>
      </c>
      <c r="I450" s="5" t="s">
        <v>28</v>
      </c>
      <c r="J450" s="5" t="s">
        <v>1706</v>
      </c>
      <c r="K450" s="5" t="s">
        <v>2504</v>
      </c>
      <c r="L450" s="5" t="s">
        <v>2505</v>
      </c>
      <c r="M450" s="5" t="s">
        <v>2506</v>
      </c>
      <c r="N450" s="5" t="s">
        <v>2507</v>
      </c>
      <c r="O450" s="5" t="s">
        <v>2508</v>
      </c>
      <c r="P450" s="5"/>
      <c r="Q450" s="5"/>
      <c r="R450" s="5"/>
      <c r="S450" s="5"/>
      <c r="T450" s="5"/>
      <c r="U450" s="5">
        <v>49490</v>
      </c>
      <c r="V450" s="6">
        <v>42009</v>
      </c>
      <c r="W450" s="5" t="s">
        <v>31</v>
      </c>
      <c r="X450" s="5" t="s">
        <v>2509</v>
      </c>
    </row>
    <row r="451" spans="1:24" x14ac:dyDescent="0.3">
      <c r="A451" s="3">
        <v>445</v>
      </c>
      <c r="B451" s="3" t="str">
        <f>"201600119529"</f>
        <v>201600119529</v>
      </c>
      <c r="C451" s="3" t="str">
        <f>"82473"</f>
        <v>82473</v>
      </c>
      <c r="D451" s="3" t="s">
        <v>2510</v>
      </c>
      <c r="E451" s="3">
        <v>20170040938</v>
      </c>
      <c r="F451" s="3" t="s">
        <v>526</v>
      </c>
      <c r="G451" s="3" t="s">
        <v>2511</v>
      </c>
      <c r="H451" s="3" t="s">
        <v>51</v>
      </c>
      <c r="I451" s="3" t="s">
        <v>815</v>
      </c>
      <c r="J451" s="3" t="s">
        <v>816</v>
      </c>
      <c r="K451" s="3" t="s">
        <v>2512</v>
      </c>
      <c r="L451" s="3"/>
      <c r="M451" s="3"/>
      <c r="N451" s="3"/>
      <c r="O451" s="3"/>
      <c r="P451" s="3"/>
      <c r="Q451" s="3"/>
      <c r="R451" s="3"/>
      <c r="S451" s="3"/>
      <c r="T451" s="3"/>
      <c r="U451" s="3">
        <v>10000</v>
      </c>
      <c r="V451" s="4">
        <v>42625</v>
      </c>
      <c r="W451" s="3" t="s">
        <v>31</v>
      </c>
      <c r="X451" s="3" t="s">
        <v>2513</v>
      </c>
    </row>
    <row r="452" spans="1:24" x14ac:dyDescent="0.3">
      <c r="A452" s="5">
        <v>446</v>
      </c>
      <c r="B452" s="5" t="str">
        <f>"1587441"</f>
        <v>1587441</v>
      </c>
      <c r="C452" s="5" t="str">
        <f>"342"</f>
        <v>342</v>
      </c>
      <c r="D452" s="5" t="s">
        <v>2514</v>
      </c>
      <c r="E452" s="5">
        <v>20109346722</v>
      </c>
      <c r="F452" s="5" t="s">
        <v>2515</v>
      </c>
      <c r="G452" s="5" t="s">
        <v>2516</v>
      </c>
      <c r="H452" s="5" t="s">
        <v>28</v>
      </c>
      <c r="I452" s="5" t="s">
        <v>28</v>
      </c>
      <c r="J452" s="5" t="s">
        <v>545</v>
      </c>
      <c r="K452" s="5" t="s">
        <v>46</v>
      </c>
      <c r="L452" s="5"/>
      <c r="M452" s="5"/>
      <c r="N452" s="5"/>
      <c r="O452" s="5"/>
      <c r="P452" s="5"/>
      <c r="Q452" s="5"/>
      <c r="R452" s="5"/>
      <c r="S452" s="5"/>
      <c r="T452" s="5"/>
      <c r="U452" s="5">
        <v>3000</v>
      </c>
      <c r="V452" s="6">
        <v>38755</v>
      </c>
      <c r="W452" s="5" t="s">
        <v>31</v>
      </c>
      <c r="X452" s="5" t="s">
        <v>2517</v>
      </c>
    </row>
    <row r="453" spans="1:24" x14ac:dyDescent="0.3">
      <c r="A453" s="3">
        <v>447</v>
      </c>
      <c r="B453" s="3" t="str">
        <f>"1107489"</f>
        <v>1107489</v>
      </c>
      <c r="C453" s="3" t="str">
        <f>"28"</f>
        <v>28</v>
      </c>
      <c r="D453" s="3" t="s">
        <v>2518</v>
      </c>
      <c r="E453" s="3">
        <v>20126539721</v>
      </c>
      <c r="F453" s="3" t="s">
        <v>2519</v>
      </c>
      <c r="G453" s="3" t="s">
        <v>2520</v>
      </c>
      <c r="H453" s="3" t="s">
        <v>28</v>
      </c>
      <c r="I453" s="3" t="s">
        <v>122</v>
      </c>
      <c r="J453" s="3" t="s">
        <v>2521</v>
      </c>
      <c r="K453" s="3" t="s">
        <v>1550</v>
      </c>
      <c r="L453" s="3"/>
      <c r="M453" s="3"/>
      <c r="N453" s="3"/>
      <c r="O453" s="3"/>
      <c r="P453" s="3"/>
      <c r="Q453" s="3"/>
      <c r="R453" s="3"/>
      <c r="S453" s="3"/>
      <c r="T453" s="3"/>
      <c r="U453" s="3">
        <v>3000</v>
      </c>
      <c r="V453" s="4">
        <v>39976</v>
      </c>
      <c r="W453" s="3" t="s">
        <v>31</v>
      </c>
      <c r="X453" s="3" t="s">
        <v>2522</v>
      </c>
    </row>
    <row r="454" spans="1:24" ht="27.95" x14ac:dyDescent="0.3">
      <c r="A454" s="5">
        <v>448</v>
      </c>
      <c r="B454" s="5" t="str">
        <f>"1572176"</f>
        <v>1572176</v>
      </c>
      <c r="C454" s="5" t="str">
        <f>"16536"</f>
        <v>16536</v>
      </c>
      <c r="D454" s="5" t="s">
        <v>2523</v>
      </c>
      <c r="E454" s="5">
        <v>20109105288</v>
      </c>
      <c r="F454" s="5" t="s">
        <v>2524</v>
      </c>
      <c r="G454" s="5" t="s">
        <v>2525</v>
      </c>
      <c r="H454" s="5" t="s">
        <v>28</v>
      </c>
      <c r="I454" s="5" t="s">
        <v>28</v>
      </c>
      <c r="J454" s="5" t="s">
        <v>208</v>
      </c>
      <c r="K454" s="5" t="s">
        <v>649</v>
      </c>
      <c r="L454" s="5"/>
      <c r="M454" s="5"/>
      <c r="N454" s="5"/>
      <c r="O454" s="5"/>
      <c r="P454" s="5"/>
      <c r="Q454" s="5"/>
      <c r="R454" s="5"/>
      <c r="S454" s="5"/>
      <c r="T454" s="5"/>
      <c r="U454" s="5">
        <v>6500</v>
      </c>
      <c r="V454" s="6">
        <v>38673</v>
      </c>
      <c r="W454" s="5" t="s">
        <v>31</v>
      </c>
      <c r="X454" s="5" t="s">
        <v>2526</v>
      </c>
    </row>
    <row r="455" spans="1:24" x14ac:dyDescent="0.3">
      <c r="A455" s="3">
        <v>449</v>
      </c>
      <c r="B455" s="3" t="str">
        <f>"1568433"</f>
        <v>1568433</v>
      </c>
      <c r="C455" s="3" t="str">
        <f>"41913"</f>
        <v>41913</v>
      </c>
      <c r="D455" s="3" t="s">
        <v>2527</v>
      </c>
      <c r="E455" s="3">
        <v>20137007534</v>
      </c>
      <c r="F455" s="3" t="s">
        <v>2528</v>
      </c>
      <c r="G455" s="3" t="s">
        <v>2529</v>
      </c>
      <c r="H455" s="3" t="s">
        <v>115</v>
      </c>
      <c r="I455" s="3" t="s">
        <v>115</v>
      </c>
      <c r="J455" s="3" t="s">
        <v>159</v>
      </c>
      <c r="K455" s="3" t="s">
        <v>46</v>
      </c>
      <c r="L455" s="3"/>
      <c r="M455" s="3"/>
      <c r="N455" s="3"/>
      <c r="O455" s="3"/>
      <c r="P455" s="3"/>
      <c r="Q455" s="3"/>
      <c r="R455" s="3"/>
      <c r="S455" s="3"/>
      <c r="T455" s="3"/>
      <c r="U455" s="3">
        <v>3000</v>
      </c>
      <c r="V455" s="4">
        <v>38670</v>
      </c>
      <c r="W455" s="3" t="s">
        <v>31</v>
      </c>
      <c r="X455" s="3" t="s">
        <v>2530</v>
      </c>
    </row>
    <row r="456" spans="1:24" ht="27.95" x14ac:dyDescent="0.3">
      <c r="A456" s="5">
        <v>450</v>
      </c>
      <c r="B456" s="5" t="str">
        <f>"1572177"</f>
        <v>1572177</v>
      </c>
      <c r="C456" s="5" t="str">
        <f>"20168"</f>
        <v>20168</v>
      </c>
      <c r="D456" s="5" t="s">
        <v>2531</v>
      </c>
      <c r="E456" s="5">
        <v>20109105288</v>
      </c>
      <c r="F456" s="5" t="s">
        <v>2532</v>
      </c>
      <c r="G456" s="5" t="s">
        <v>2533</v>
      </c>
      <c r="H456" s="5" t="s">
        <v>28</v>
      </c>
      <c r="I456" s="5" t="s">
        <v>28</v>
      </c>
      <c r="J456" s="5" t="s">
        <v>1907</v>
      </c>
      <c r="K456" s="5" t="s">
        <v>649</v>
      </c>
      <c r="L456" s="5"/>
      <c r="M456" s="5"/>
      <c r="N456" s="5"/>
      <c r="O456" s="5"/>
      <c r="P456" s="5"/>
      <c r="Q456" s="5"/>
      <c r="R456" s="5"/>
      <c r="S456" s="5"/>
      <c r="T456" s="5"/>
      <c r="U456" s="5">
        <v>6250</v>
      </c>
      <c r="V456" s="6">
        <v>38673</v>
      </c>
      <c r="W456" s="5" t="s">
        <v>31</v>
      </c>
      <c r="X456" s="5" t="s">
        <v>2526</v>
      </c>
    </row>
    <row r="457" spans="1:24" ht="27.95" x14ac:dyDescent="0.3">
      <c r="A457" s="3">
        <v>451</v>
      </c>
      <c r="B457" s="3" t="str">
        <f>"1134657"</f>
        <v>1134657</v>
      </c>
      <c r="C457" s="3" t="str">
        <f>"1253"</f>
        <v>1253</v>
      </c>
      <c r="D457" s="3">
        <v>991338</v>
      </c>
      <c r="E457" s="3">
        <v>20100101107</v>
      </c>
      <c r="F457" s="3" t="s">
        <v>2534</v>
      </c>
      <c r="G457" s="3" t="s">
        <v>2535</v>
      </c>
      <c r="H457" s="3" t="s">
        <v>28</v>
      </c>
      <c r="I457" s="3" t="s">
        <v>28</v>
      </c>
      <c r="J457" s="3" t="s">
        <v>91</v>
      </c>
      <c r="K457" s="3" t="s">
        <v>2536</v>
      </c>
      <c r="L457" s="3"/>
      <c r="M457" s="3"/>
      <c r="N457" s="3"/>
      <c r="O457" s="3"/>
      <c r="P457" s="3"/>
      <c r="Q457" s="3"/>
      <c r="R457" s="3"/>
      <c r="S457" s="3"/>
      <c r="T457" s="3"/>
      <c r="U457" s="3">
        <v>5536</v>
      </c>
      <c r="V457" s="4">
        <v>35688</v>
      </c>
      <c r="W457" s="3" t="s">
        <v>31</v>
      </c>
      <c r="X457" s="3" t="s">
        <v>2537</v>
      </c>
    </row>
    <row r="458" spans="1:24" ht="27.95" x14ac:dyDescent="0.3">
      <c r="A458" s="5">
        <v>452</v>
      </c>
      <c r="B458" s="5" t="str">
        <f>"201900128349"</f>
        <v>201900128349</v>
      </c>
      <c r="C458" s="5" t="str">
        <f>"145725"</f>
        <v>145725</v>
      </c>
      <c r="D458" s="5" t="s">
        <v>2538</v>
      </c>
      <c r="E458" s="5">
        <v>10238580841</v>
      </c>
      <c r="F458" s="5" t="s">
        <v>2539</v>
      </c>
      <c r="G458" s="5" t="s">
        <v>2540</v>
      </c>
      <c r="H458" s="5" t="s">
        <v>165</v>
      </c>
      <c r="I458" s="5" t="s">
        <v>732</v>
      </c>
      <c r="J458" s="5" t="s">
        <v>1065</v>
      </c>
      <c r="K458" s="5" t="s">
        <v>2541</v>
      </c>
      <c r="L458" s="5" t="s">
        <v>2542</v>
      </c>
      <c r="M458" s="5"/>
      <c r="N458" s="5"/>
      <c r="O458" s="5"/>
      <c r="P458" s="5"/>
      <c r="Q458" s="5"/>
      <c r="R458" s="5"/>
      <c r="S458" s="5"/>
      <c r="T458" s="5"/>
      <c r="U458" s="5">
        <v>17468</v>
      </c>
      <c r="V458" s="6">
        <v>43688</v>
      </c>
      <c r="W458" s="5" t="s">
        <v>31</v>
      </c>
      <c r="X458" s="5" t="s">
        <v>2539</v>
      </c>
    </row>
    <row r="459" spans="1:24" x14ac:dyDescent="0.3">
      <c r="A459" s="3">
        <v>453</v>
      </c>
      <c r="B459" s="3" t="str">
        <f>"1220937"</f>
        <v>1220937</v>
      </c>
      <c r="C459" s="3" t="str">
        <f>"15675"</f>
        <v>15675</v>
      </c>
      <c r="D459" s="3">
        <v>959560</v>
      </c>
      <c r="E459" s="3">
        <v>20418453177</v>
      </c>
      <c r="F459" s="3" t="s">
        <v>2543</v>
      </c>
      <c r="G459" s="3" t="s">
        <v>2544</v>
      </c>
      <c r="H459" s="3" t="s">
        <v>36</v>
      </c>
      <c r="I459" s="3" t="s">
        <v>1269</v>
      </c>
      <c r="J459" s="3" t="s">
        <v>2545</v>
      </c>
      <c r="K459" s="3" t="s">
        <v>2546</v>
      </c>
      <c r="L459" s="3"/>
      <c r="M459" s="3"/>
      <c r="N459" s="3"/>
      <c r="O459" s="3"/>
      <c r="P459" s="3"/>
      <c r="Q459" s="3"/>
      <c r="R459" s="3"/>
      <c r="S459" s="3"/>
      <c r="T459" s="3"/>
      <c r="U459" s="3">
        <v>1320000</v>
      </c>
      <c r="V459" s="4">
        <v>36203</v>
      </c>
      <c r="W459" s="3" t="s">
        <v>31</v>
      </c>
      <c r="X459" s="3" t="s">
        <v>2547</v>
      </c>
    </row>
    <row r="460" spans="1:24" ht="27.95" x14ac:dyDescent="0.3">
      <c r="A460" s="5">
        <v>454</v>
      </c>
      <c r="B460" s="5" t="str">
        <f>"201400120478"</f>
        <v>201400120478</v>
      </c>
      <c r="C460" s="5" t="str">
        <f>"111613"</f>
        <v>111613</v>
      </c>
      <c r="D460" s="5" t="s">
        <v>2548</v>
      </c>
      <c r="E460" s="5">
        <v>20285848491</v>
      </c>
      <c r="F460" s="5" t="s">
        <v>2549</v>
      </c>
      <c r="G460" s="5" t="s">
        <v>2550</v>
      </c>
      <c r="H460" s="5" t="s">
        <v>1147</v>
      </c>
      <c r="I460" s="5" t="s">
        <v>1148</v>
      </c>
      <c r="J460" s="5" t="s">
        <v>1148</v>
      </c>
      <c r="K460" s="5" t="s">
        <v>2551</v>
      </c>
      <c r="L460" s="5"/>
      <c r="M460" s="5"/>
      <c r="N460" s="5"/>
      <c r="O460" s="5"/>
      <c r="P460" s="5"/>
      <c r="Q460" s="5"/>
      <c r="R460" s="5"/>
      <c r="S460" s="5"/>
      <c r="T460" s="5"/>
      <c r="U460" s="5">
        <v>3290</v>
      </c>
      <c r="V460" s="6">
        <v>41934</v>
      </c>
      <c r="W460" s="5" t="s">
        <v>31</v>
      </c>
      <c r="X460" s="5" t="s">
        <v>2552</v>
      </c>
    </row>
    <row r="461" spans="1:24" x14ac:dyDescent="0.3">
      <c r="A461" s="3">
        <v>455</v>
      </c>
      <c r="B461" s="3" t="str">
        <f>"201500112875"</f>
        <v>201500112875</v>
      </c>
      <c r="C461" s="3" t="str">
        <f>"117125"</f>
        <v>117125</v>
      </c>
      <c r="D461" s="3" t="s">
        <v>2553</v>
      </c>
      <c r="E461" s="3">
        <v>20306205855</v>
      </c>
      <c r="F461" s="3" t="s">
        <v>2554</v>
      </c>
      <c r="G461" s="3" t="s">
        <v>2555</v>
      </c>
      <c r="H461" s="3" t="s">
        <v>28</v>
      </c>
      <c r="I461" s="3" t="s">
        <v>28</v>
      </c>
      <c r="J461" s="3" t="s">
        <v>208</v>
      </c>
      <c r="K461" s="3" t="s">
        <v>706</v>
      </c>
      <c r="L461" s="3" t="s">
        <v>705</v>
      </c>
      <c r="M461" s="3"/>
      <c r="N461" s="3"/>
      <c r="O461" s="3"/>
      <c r="P461" s="3"/>
      <c r="Q461" s="3"/>
      <c r="R461" s="3"/>
      <c r="S461" s="3"/>
      <c r="T461" s="3"/>
      <c r="U461" s="3">
        <v>4800</v>
      </c>
      <c r="V461" s="4">
        <v>42327</v>
      </c>
      <c r="W461" s="3" t="s">
        <v>31</v>
      </c>
      <c r="X461" s="3" t="s">
        <v>709</v>
      </c>
    </row>
    <row r="462" spans="1:24" ht="27.95" x14ac:dyDescent="0.3">
      <c r="A462" s="5">
        <v>456</v>
      </c>
      <c r="B462" s="5" t="str">
        <f>"201500064079"</f>
        <v>201500064079</v>
      </c>
      <c r="C462" s="5" t="str">
        <f>"115469"</f>
        <v>115469</v>
      </c>
      <c r="D462" s="5" t="s">
        <v>2556</v>
      </c>
      <c r="E462" s="5">
        <v>20431871808</v>
      </c>
      <c r="F462" s="5" t="s">
        <v>152</v>
      </c>
      <c r="G462" s="5" t="s">
        <v>2557</v>
      </c>
      <c r="H462" s="5" t="s">
        <v>214</v>
      </c>
      <c r="I462" s="5" t="s">
        <v>214</v>
      </c>
      <c r="J462" s="5" t="s">
        <v>2558</v>
      </c>
      <c r="K462" s="5" t="s">
        <v>130</v>
      </c>
      <c r="L462" s="5"/>
      <c r="M462" s="5"/>
      <c r="N462" s="5"/>
      <c r="O462" s="5"/>
      <c r="P462" s="5"/>
      <c r="Q462" s="5"/>
      <c r="R462" s="5"/>
      <c r="S462" s="5"/>
      <c r="T462" s="5"/>
      <c r="U462" s="5">
        <v>3000</v>
      </c>
      <c r="V462" s="6">
        <v>42185</v>
      </c>
      <c r="W462" s="5" t="s">
        <v>31</v>
      </c>
      <c r="X462" s="5" t="s">
        <v>2559</v>
      </c>
    </row>
    <row r="463" spans="1:24" ht="27.95" x14ac:dyDescent="0.3">
      <c r="A463" s="3">
        <v>457</v>
      </c>
      <c r="B463" s="3" t="str">
        <f>"1804438"</f>
        <v>1804438</v>
      </c>
      <c r="C463" s="3" t="str">
        <f>"39607"</f>
        <v>39607</v>
      </c>
      <c r="D463" s="3" t="s">
        <v>2560</v>
      </c>
      <c r="E463" s="3">
        <v>20131257750</v>
      </c>
      <c r="F463" s="3" t="s">
        <v>2561</v>
      </c>
      <c r="G463" s="3" t="s">
        <v>2562</v>
      </c>
      <c r="H463" s="3" t="s">
        <v>51</v>
      </c>
      <c r="I463" s="3" t="s">
        <v>51</v>
      </c>
      <c r="J463" s="3" t="s">
        <v>2563</v>
      </c>
      <c r="K463" s="3" t="s">
        <v>46</v>
      </c>
      <c r="L463" s="3" t="s">
        <v>46</v>
      </c>
      <c r="M463" s="3"/>
      <c r="N463" s="3"/>
      <c r="O463" s="3"/>
      <c r="P463" s="3"/>
      <c r="Q463" s="3"/>
      <c r="R463" s="3"/>
      <c r="S463" s="3"/>
      <c r="T463" s="3"/>
      <c r="U463" s="3">
        <v>6000</v>
      </c>
      <c r="V463" s="4">
        <v>39630</v>
      </c>
      <c r="W463" s="3" t="s">
        <v>31</v>
      </c>
      <c r="X463" s="3" t="s">
        <v>2564</v>
      </c>
    </row>
    <row r="464" spans="1:24" x14ac:dyDescent="0.3">
      <c r="A464" s="5">
        <v>458</v>
      </c>
      <c r="B464" s="5" t="str">
        <f>"201400114709"</f>
        <v>201400114709</v>
      </c>
      <c r="C464" s="5" t="str">
        <f>"111349"</f>
        <v>111349</v>
      </c>
      <c r="D464" s="5" t="s">
        <v>2565</v>
      </c>
      <c r="E464" s="5">
        <v>20512436090</v>
      </c>
      <c r="F464" s="5" t="s">
        <v>2566</v>
      </c>
      <c r="G464" s="5" t="s">
        <v>2567</v>
      </c>
      <c r="H464" s="5" t="s">
        <v>115</v>
      </c>
      <c r="I464" s="5" t="s">
        <v>115</v>
      </c>
      <c r="J464" s="5" t="s">
        <v>159</v>
      </c>
      <c r="K464" s="5" t="s">
        <v>2568</v>
      </c>
      <c r="L464" s="5" t="s">
        <v>2569</v>
      </c>
      <c r="M464" s="5"/>
      <c r="N464" s="5"/>
      <c r="O464" s="5"/>
      <c r="P464" s="5"/>
      <c r="Q464" s="5"/>
      <c r="R464" s="5"/>
      <c r="S464" s="5"/>
      <c r="T464" s="5"/>
      <c r="U464" s="5">
        <v>118890</v>
      </c>
      <c r="V464" s="6">
        <v>41904</v>
      </c>
      <c r="W464" s="5" t="s">
        <v>31</v>
      </c>
      <c r="X464" s="5" t="s">
        <v>2570</v>
      </c>
    </row>
    <row r="465" spans="1:24" x14ac:dyDescent="0.3">
      <c r="A465" s="3">
        <v>459</v>
      </c>
      <c r="B465" s="3" t="str">
        <f>"1173549"</f>
        <v>1173549</v>
      </c>
      <c r="C465" s="3" t="str">
        <f>"1430"</f>
        <v>1430</v>
      </c>
      <c r="D465" s="3">
        <v>1173549</v>
      </c>
      <c r="E465" s="3">
        <v>20103934266</v>
      </c>
      <c r="F465" s="3" t="s">
        <v>2571</v>
      </c>
      <c r="G465" s="3" t="s">
        <v>2572</v>
      </c>
      <c r="H465" s="3" t="s">
        <v>58</v>
      </c>
      <c r="I465" s="3" t="s">
        <v>59</v>
      </c>
      <c r="J465" s="3" t="s">
        <v>2573</v>
      </c>
      <c r="K465" s="3" t="s">
        <v>323</v>
      </c>
      <c r="L465" s="3"/>
      <c r="M465" s="3"/>
      <c r="N465" s="3"/>
      <c r="O465" s="3"/>
      <c r="P465" s="3"/>
      <c r="Q465" s="3"/>
      <c r="R465" s="3"/>
      <c r="S465" s="3"/>
      <c r="T465" s="3"/>
      <c r="U465" s="3">
        <v>4000</v>
      </c>
      <c r="V465" s="4">
        <v>35856</v>
      </c>
      <c r="W465" s="3" t="s">
        <v>31</v>
      </c>
      <c r="X465" s="3" t="s">
        <v>2574</v>
      </c>
    </row>
    <row r="466" spans="1:24" ht="27.95" x14ac:dyDescent="0.3">
      <c r="A466" s="5">
        <v>460</v>
      </c>
      <c r="B466" s="5" t="str">
        <f>"201900002836"</f>
        <v>201900002836</v>
      </c>
      <c r="C466" s="5" t="str">
        <f>"140659"</f>
        <v>140659</v>
      </c>
      <c r="D466" s="5" t="s">
        <v>2575</v>
      </c>
      <c r="E466" s="5">
        <v>20516908930</v>
      </c>
      <c r="F466" s="5" t="s">
        <v>2576</v>
      </c>
      <c r="G466" s="5" t="s">
        <v>2577</v>
      </c>
      <c r="H466" s="5" t="s">
        <v>970</v>
      </c>
      <c r="I466" s="5" t="s">
        <v>2578</v>
      </c>
      <c r="J466" s="5" t="s">
        <v>2579</v>
      </c>
      <c r="K466" s="5" t="s">
        <v>2580</v>
      </c>
      <c r="L466" s="5"/>
      <c r="M466" s="5"/>
      <c r="N466" s="5"/>
      <c r="O466" s="5"/>
      <c r="P466" s="5"/>
      <c r="Q466" s="5"/>
      <c r="R466" s="5"/>
      <c r="S466" s="5"/>
      <c r="T466" s="5"/>
      <c r="U466" s="5">
        <v>21000</v>
      </c>
      <c r="V466" s="6">
        <v>43474</v>
      </c>
      <c r="W466" s="5" t="s">
        <v>31</v>
      </c>
      <c r="X466" s="5" t="s">
        <v>2581</v>
      </c>
    </row>
    <row r="467" spans="1:24" x14ac:dyDescent="0.3">
      <c r="A467" s="3">
        <v>461</v>
      </c>
      <c r="B467" s="3" t="str">
        <f>"202000071554"</f>
        <v>202000071554</v>
      </c>
      <c r="C467" s="3" t="str">
        <f>"16453"</f>
        <v>16453</v>
      </c>
      <c r="D467" s="3" t="s">
        <v>2582</v>
      </c>
      <c r="E467" s="3">
        <v>20293755770</v>
      </c>
      <c r="F467" s="3" t="s">
        <v>2583</v>
      </c>
      <c r="G467" s="3" t="s">
        <v>2584</v>
      </c>
      <c r="H467" s="3" t="s">
        <v>80</v>
      </c>
      <c r="I467" s="3" t="s">
        <v>309</v>
      </c>
      <c r="J467" s="3" t="s">
        <v>309</v>
      </c>
      <c r="K467" s="3" t="s">
        <v>2585</v>
      </c>
      <c r="L467" s="3"/>
      <c r="M467" s="3"/>
      <c r="N467" s="3"/>
      <c r="O467" s="3"/>
      <c r="P467" s="3"/>
      <c r="Q467" s="3"/>
      <c r="R467" s="3"/>
      <c r="S467" s="3"/>
      <c r="T467" s="3"/>
      <c r="U467" s="3">
        <v>5600</v>
      </c>
      <c r="V467" s="4">
        <v>44009</v>
      </c>
      <c r="W467" s="3" t="s">
        <v>31</v>
      </c>
      <c r="X467" s="3" t="s">
        <v>2586</v>
      </c>
    </row>
    <row r="468" spans="1:24" ht="27.95" x14ac:dyDescent="0.3">
      <c r="A468" s="5">
        <v>462</v>
      </c>
      <c r="B468" s="5" t="str">
        <f>"202000056640"</f>
        <v>202000056640</v>
      </c>
      <c r="C468" s="5" t="str">
        <f>"133611"</f>
        <v>133611</v>
      </c>
      <c r="D468" s="5" t="s">
        <v>2587</v>
      </c>
      <c r="E468" s="5">
        <v>20340584237</v>
      </c>
      <c r="F468" s="5" t="s">
        <v>1319</v>
      </c>
      <c r="G468" s="5" t="s">
        <v>2588</v>
      </c>
      <c r="H468" s="5" t="s">
        <v>80</v>
      </c>
      <c r="I468" s="5" t="s">
        <v>80</v>
      </c>
      <c r="J468" s="5" t="s">
        <v>1023</v>
      </c>
      <c r="K468" s="5" t="s">
        <v>2589</v>
      </c>
      <c r="L468" s="5"/>
      <c r="M468" s="5"/>
      <c r="N468" s="5"/>
      <c r="O468" s="5"/>
      <c r="P468" s="5"/>
      <c r="Q468" s="5"/>
      <c r="R468" s="5"/>
      <c r="S468" s="5"/>
      <c r="T468" s="5"/>
      <c r="U468" s="5">
        <v>3000</v>
      </c>
      <c r="V468" s="6">
        <v>43966</v>
      </c>
      <c r="W468" s="5" t="s">
        <v>31</v>
      </c>
      <c r="X468" s="5" t="s">
        <v>1409</v>
      </c>
    </row>
    <row r="469" spans="1:24" ht="27.95" x14ac:dyDescent="0.3">
      <c r="A469" s="3">
        <v>463</v>
      </c>
      <c r="B469" s="3" t="str">
        <f>"201500064093"</f>
        <v>201500064093</v>
      </c>
      <c r="C469" s="3" t="str">
        <f>"115468"</f>
        <v>115468</v>
      </c>
      <c r="D469" s="3" t="s">
        <v>2590</v>
      </c>
      <c r="E469" s="3">
        <v>20431871808</v>
      </c>
      <c r="F469" s="3" t="s">
        <v>152</v>
      </c>
      <c r="G469" s="3" t="s">
        <v>2591</v>
      </c>
      <c r="H469" s="3" t="s">
        <v>214</v>
      </c>
      <c r="I469" s="3" t="s">
        <v>215</v>
      </c>
      <c r="J469" s="3" t="s">
        <v>2592</v>
      </c>
      <c r="K469" s="3" t="s">
        <v>130</v>
      </c>
      <c r="L469" s="3"/>
      <c r="M469" s="3"/>
      <c r="N469" s="3"/>
      <c r="O469" s="3"/>
      <c r="P469" s="3"/>
      <c r="Q469" s="3"/>
      <c r="R469" s="3"/>
      <c r="S469" s="3"/>
      <c r="T469" s="3"/>
      <c r="U469" s="3">
        <v>3000</v>
      </c>
      <c r="V469" s="4">
        <v>42185</v>
      </c>
      <c r="W469" s="3" t="s">
        <v>31</v>
      </c>
      <c r="X469" s="3" t="s">
        <v>2559</v>
      </c>
    </row>
    <row r="470" spans="1:24" ht="27.95" x14ac:dyDescent="0.3">
      <c r="A470" s="5">
        <v>464</v>
      </c>
      <c r="B470" s="5" t="str">
        <f>"202000079568"</f>
        <v>202000079568</v>
      </c>
      <c r="C470" s="5" t="str">
        <f>"1167"</f>
        <v>1167</v>
      </c>
      <c r="D470" s="5" t="s">
        <v>2593</v>
      </c>
      <c r="E470" s="5">
        <v>20100128218</v>
      </c>
      <c r="F470" s="5" t="s">
        <v>2594</v>
      </c>
      <c r="G470" s="5" t="s">
        <v>2595</v>
      </c>
      <c r="H470" s="5" t="s">
        <v>80</v>
      </c>
      <c r="I470" s="5" t="s">
        <v>228</v>
      </c>
      <c r="J470" s="5" t="s">
        <v>228</v>
      </c>
      <c r="K470" s="5" t="s">
        <v>2596</v>
      </c>
      <c r="L470" s="5" t="s">
        <v>2597</v>
      </c>
      <c r="M470" s="5" t="s">
        <v>2598</v>
      </c>
      <c r="N470" s="5"/>
      <c r="O470" s="5"/>
      <c r="P470" s="5"/>
      <c r="Q470" s="5"/>
      <c r="R470" s="5"/>
      <c r="S470" s="5"/>
      <c r="T470" s="5"/>
      <c r="U470" s="5">
        <v>800580</v>
      </c>
      <c r="V470" s="6">
        <v>44033</v>
      </c>
      <c r="W470" s="5" t="s">
        <v>31</v>
      </c>
      <c r="X470" s="5" t="s">
        <v>2063</v>
      </c>
    </row>
    <row r="471" spans="1:24" x14ac:dyDescent="0.3">
      <c r="A471" s="3">
        <v>465</v>
      </c>
      <c r="B471" s="3" t="str">
        <f>"202000003313"</f>
        <v>202000003313</v>
      </c>
      <c r="C471" s="3" t="str">
        <f>"148650"</f>
        <v>148650</v>
      </c>
      <c r="D471" s="3" t="s">
        <v>2599</v>
      </c>
      <c r="E471" s="3">
        <v>20131565659</v>
      </c>
      <c r="F471" s="3" t="s">
        <v>2600</v>
      </c>
      <c r="G471" s="3" t="s">
        <v>2601</v>
      </c>
      <c r="H471" s="3" t="s">
        <v>36</v>
      </c>
      <c r="I471" s="3" t="s">
        <v>514</v>
      </c>
      <c r="J471" s="3" t="s">
        <v>514</v>
      </c>
      <c r="K471" s="3" t="s">
        <v>1960</v>
      </c>
      <c r="L471" s="3" t="s">
        <v>1960</v>
      </c>
      <c r="M471" s="3" t="s">
        <v>2602</v>
      </c>
      <c r="N471" s="3"/>
      <c r="O471" s="3"/>
      <c r="P471" s="3"/>
      <c r="Q471" s="3"/>
      <c r="R471" s="3"/>
      <c r="S471" s="3"/>
      <c r="T471" s="3"/>
      <c r="U471" s="3">
        <v>1346</v>
      </c>
      <c r="V471" s="4">
        <v>43847</v>
      </c>
      <c r="W471" s="3" t="s">
        <v>31</v>
      </c>
      <c r="X471" s="3" t="s">
        <v>2104</v>
      </c>
    </row>
    <row r="472" spans="1:24" x14ac:dyDescent="0.3">
      <c r="A472" s="5">
        <v>466</v>
      </c>
      <c r="B472" s="5" t="str">
        <f>"1863916"</f>
        <v>1863916</v>
      </c>
      <c r="C472" s="5" t="str">
        <f>"230"</f>
        <v>230</v>
      </c>
      <c r="D472" s="5" t="s">
        <v>2603</v>
      </c>
      <c r="E472" s="5">
        <v>20515540271</v>
      </c>
      <c r="F472" s="5" t="s">
        <v>2604</v>
      </c>
      <c r="G472" s="5" t="s">
        <v>2605</v>
      </c>
      <c r="H472" s="5" t="s">
        <v>285</v>
      </c>
      <c r="I472" s="5" t="s">
        <v>286</v>
      </c>
      <c r="J472" s="5" t="s">
        <v>470</v>
      </c>
      <c r="K472" s="5" t="s">
        <v>2606</v>
      </c>
      <c r="L472" s="5"/>
      <c r="M472" s="5"/>
      <c r="N472" s="5"/>
      <c r="O472" s="5"/>
      <c r="P472" s="5"/>
      <c r="Q472" s="5"/>
      <c r="R472" s="5"/>
      <c r="S472" s="5"/>
      <c r="T472" s="5"/>
      <c r="U472" s="5">
        <v>7480</v>
      </c>
      <c r="V472" s="6">
        <v>39864</v>
      </c>
      <c r="W472" s="5" t="s">
        <v>31</v>
      </c>
      <c r="X472" s="5" t="s">
        <v>2607</v>
      </c>
    </row>
    <row r="473" spans="1:24" x14ac:dyDescent="0.3">
      <c r="A473" s="3">
        <v>467</v>
      </c>
      <c r="B473" s="3" t="str">
        <f>"201600090146"</f>
        <v>201600090146</v>
      </c>
      <c r="C473" s="3" t="str">
        <f>"122135"</f>
        <v>122135</v>
      </c>
      <c r="D473" s="3" t="s">
        <v>2608</v>
      </c>
      <c r="E473" s="3">
        <v>20562692313</v>
      </c>
      <c r="F473" s="3" t="s">
        <v>2609</v>
      </c>
      <c r="G473" s="3" t="s">
        <v>2610</v>
      </c>
      <c r="H473" s="3" t="s">
        <v>28</v>
      </c>
      <c r="I473" s="3" t="s">
        <v>28</v>
      </c>
      <c r="J473" s="3" t="s">
        <v>1432</v>
      </c>
      <c r="K473" s="3" t="s">
        <v>110</v>
      </c>
      <c r="L473" s="3"/>
      <c r="M473" s="3"/>
      <c r="N473" s="3"/>
      <c r="O473" s="3"/>
      <c r="P473" s="3"/>
      <c r="Q473" s="3"/>
      <c r="R473" s="3"/>
      <c r="S473" s="3"/>
      <c r="T473" s="3"/>
      <c r="U473" s="3">
        <v>4000</v>
      </c>
      <c r="V473" s="4">
        <v>42593</v>
      </c>
      <c r="W473" s="3" t="s">
        <v>31</v>
      </c>
      <c r="X473" s="3" t="s">
        <v>2611</v>
      </c>
    </row>
    <row r="474" spans="1:24" x14ac:dyDescent="0.3">
      <c r="A474" s="5">
        <v>468</v>
      </c>
      <c r="B474" s="5" t="str">
        <f>"1113630"</f>
        <v>1113630</v>
      </c>
      <c r="C474" s="5" t="str">
        <f>"954"</f>
        <v>954</v>
      </c>
      <c r="D474" s="5">
        <v>1035924</v>
      </c>
      <c r="E474" s="5">
        <v>20100151546</v>
      </c>
      <c r="F474" s="5" t="s">
        <v>2612</v>
      </c>
      <c r="G474" s="5" t="s">
        <v>2613</v>
      </c>
      <c r="H474" s="5" t="s">
        <v>28</v>
      </c>
      <c r="I474" s="5" t="s">
        <v>28</v>
      </c>
      <c r="J474" s="5" t="s">
        <v>251</v>
      </c>
      <c r="K474" s="5" t="s">
        <v>2614</v>
      </c>
      <c r="L474" s="5" t="s">
        <v>2615</v>
      </c>
      <c r="M474" s="5"/>
      <c r="N474" s="5"/>
      <c r="O474" s="5"/>
      <c r="P474" s="5"/>
      <c r="Q474" s="5"/>
      <c r="R474" s="5"/>
      <c r="S474" s="5"/>
      <c r="T474" s="5"/>
      <c r="U474" s="5">
        <v>10000</v>
      </c>
      <c r="V474" s="6">
        <v>35528</v>
      </c>
      <c r="W474" s="5" t="s">
        <v>31</v>
      </c>
      <c r="X474" s="5" t="s">
        <v>2616</v>
      </c>
    </row>
    <row r="475" spans="1:24" x14ac:dyDescent="0.3">
      <c r="A475" s="3">
        <v>469</v>
      </c>
      <c r="B475" s="3" t="str">
        <f>"1124987"</f>
        <v>1124987</v>
      </c>
      <c r="C475" s="3" t="str">
        <f>"530"</f>
        <v>530</v>
      </c>
      <c r="D475" s="3">
        <v>997204</v>
      </c>
      <c r="E475" s="3">
        <v>20128847881</v>
      </c>
      <c r="F475" s="3" t="s">
        <v>2617</v>
      </c>
      <c r="G475" s="3" t="s">
        <v>2618</v>
      </c>
      <c r="H475" s="3" t="s">
        <v>334</v>
      </c>
      <c r="I475" s="3" t="s">
        <v>335</v>
      </c>
      <c r="J475" s="3" t="s">
        <v>336</v>
      </c>
      <c r="K475" s="3" t="s">
        <v>1259</v>
      </c>
      <c r="L475" s="3" t="s">
        <v>2619</v>
      </c>
      <c r="M475" s="3" t="s">
        <v>2620</v>
      </c>
      <c r="N475" s="3" t="s">
        <v>870</v>
      </c>
      <c r="O475" s="3"/>
      <c r="P475" s="3"/>
      <c r="Q475" s="3"/>
      <c r="R475" s="3"/>
      <c r="S475" s="3"/>
      <c r="T475" s="3"/>
      <c r="U475" s="3">
        <v>6600</v>
      </c>
      <c r="V475" s="4">
        <v>35642</v>
      </c>
      <c r="W475" s="3" t="s">
        <v>31</v>
      </c>
      <c r="X475" s="3" t="s">
        <v>2621</v>
      </c>
    </row>
    <row r="476" spans="1:24" ht="27.95" x14ac:dyDescent="0.3">
      <c r="A476" s="5">
        <v>470</v>
      </c>
      <c r="B476" s="5" t="str">
        <f>"201600139404"</f>
        <v>201600139404</v>
      </c>
      <c r="C476" s="5" t="str">
        <f>"1531"</f>
        <v>1531</v>
      </c>
      <c r="D476" s="5" t="s">
        <v>2622</v>
      </c>
      <c r="E476" s="5">
        <v>20132153591</v>
      </c>
      <c r="F476" s="5" t="s">
        <v>2623</v>
      </c>
      <c r="G476" s="5" t="s">
        <v>2624</v>
      </c>
      <c r="H476" s="5" t="s">
        <v>36</v>
      </c>
      <c r="I476" s="5" t="s">
        <v>234</v>
      </c>
      <c r="J476" s="5" t="s">
        <v>1990</v>
      </c>
      <c r="K476" s="5" t="s">
        <v>2625</v>
      </c>
      <c r="L476" s="5"/>
      <c r="M476" s="5"/>
      <c r="N476" s="5"/>
      <c r="O476" s="5"/>
      <c r="P476" s="5"/>
      <c r="Q476" s="5"/>
      <c r="R476" s="5"/>
      <c r="S476" s="5"/>
      <c r="T476" s="5"/>
      <c r="U476" s="5">
        <v>5000</v>
      </c>
      <c r="V476" s="6">
        <v>42653</v>
      </c>
      <c r="W476" s="5" t="s">
        <v>31</v>
      </c>
      <c r="X476" s="5" t="s">
        <v>2626</v>
      </c>
    </row>
    <row r="477" spans="1:24" ht="27.95" x14ac:dyDescent="0.3">
      <c r="A477" s="3">
        <v>471</v>
      </c>
      <c r="B477" s="3" t="str">
        <f>"201500147585"</f>
        <v>201500147585</v>
      </c>
      <c r="C477" s="3" t="str">
        <f>"118334"</f>
        <v>118334</v>
      </c>
      <c r="D477" s="3" t="s">
        <v>2627</v>
      </c>
      <c r="E477" s="3">
        <v>20428696515</v>
      </c>
      <c r="F477" s="3" t="s">
        <v>1139</v>
      </c>
      <c r="G477" s="3" t="s">
        <v>2628</v>
      </c>
      <c r="H477" s="3" t="s">
        <v>214</v>
      </c>
      <c r="I477" s="3" t="s">
        <v>1668</v>
      </c>
      <c r="J477" s="3" t="s">
        <v>2629</v>
      </c>
      <c r="K477" s="3" t="s">
        <v>2630</v>
      </c>
      <c r="L477" s="3"/>
      <c r="M477" s="3"/>
      <c r="N477" s="3"/>
      <c r="O477" s="3"/>
      <c r="P477" s="3"/>
      <c r="Q477" s="3"/>
      <c r="R477" s="3"/>
      <c r="S477" s="3"/>
      <c r="T477" s="3"/>
      <c r="U477" s="3">
        <v>20000</v>
      </c>
      <c r="V477" s="4">
        <v>42327</v>
      </c>
      <c r="W477" s="3" t="s">
        <v>31</v>
      </c>
      <c r="X477" s="3" t="s">
        <v>1035</v>
      </c>
    </row>
    <row r="478" spans="1:24" ht="27.95" x14ac:dyDescent="0.3">
      <c r="A478" s="5">
        <v>472</v>
      </c>
      <c r="B478" s="5" t="str">
        <f>"201100165468"</f>
        <v>201100165468</v>
      </c>
      <c r="C478" s="5" t="str">
        <f>"95055"</f>
        <v>95055</v>
      </c>
      <c r="D478" s="5" t="s">
        <v>2631</v>
      </c>
      <c r="E478" s="5">
        <v>20108918331</v>
      </c>
      <c r="F478" s="5" t="s">
        <v>2632</v>
      </c>
      <c r="G478" s="5" t="s">
        <v>2633</v>
      </c>
      <c r="H478" s="5" t="s">
        <v>28</v>
      </c>
      <c r="I478" s="5" t="s">
        <v>28</v>
      </c>
      <c r="J478" s="5" t="s">
        <v>172</v>
      </c>
      <c r="K478" s="5" t="s">
        <v>2634</v>
      </c>
      <c r="L478" s="5"/>
      <c r="M478" s="5"/>
      <c r="N478" s="5"/>
      <c r="O478" s="5"/>
      <c r="P478" s="5"/>
      <c r="Q478" s="5"/>
      <c r="R478" s="5"/>
      <c r="S478" s="5"/>
      <c r="T478" s="5"/>
      <c r="U478" s="5">
        <v>6600</v>
      </c>
      <c r="V478" s="6">
        <v>40891</v>
      </c>
      <c r="W478" s="5" t="s">
        <v>31</v>
      </c>
      <c r="X478" s="5" t="s">
        <v>2635</v>
      </c>
    </row>
    <row r="479" spans="1:24" ht="41.95" x14ac:dyDescent="0.3">
      <c r="A479" s="3">
        <v>473</v>
      </c>
      <c r="B479" s="3" t="str">
        <f>"201300152603"</f>
        <v>201300152603</v>
      </c>
      <c r="C479" s="3" t="str">
        <f>"105472"</f>
        <v>105472</v>
      </c>
      <c r="D479" s="3" t="s">
        <v>2636</v>
      </c>
      <c r="E479" s="3">
        <v>20132023540</v>
      </c>
      <c r="F479" s="3" t="s">
        <v>2637</v>
      </c>
      <c r="G479" s="3" t="s">
        <v>2638</v>
      </c>
      <c r="H479" s="3" t="s">
        <v>285</v>
      </c>
      <c r="I479" s="3" t="s">
        <v>1083</v>
      </c>
      <c r="J479" s="3" t="s">
        <v>186</v>
      </c>
      <c r="K479" s="3" t="s">
        <v>2639</v>
      </c>
      <c r="L479" s="3"/>
      <c r="M479" s="3"/>
      <c r="N479" s="3"/>
      <c r="O479" s="3"/>
      <c r="P479" s="3"/>
      <c r="Q479" s="3"/>
      <c r="R479" s="3"/>
      <c r="S479" s="3"/>
      <c r="T479" s="3"/>
      <c r="U479" s="3">
        <v>50000</v>
      </c>
      <c r="V479" s="4">
        <v>41564</v>
      </c>
      <c r="W479" s="3" t="s">
        <v>31</v>
      </c>
      <c r="X479" s="3" t="s">
        <v>2640</v>
      </c>
    </row>
    <row r="480" spans="1:24" ht="27.95" x14ac:dyDescent="0.3">
      <c r="A480" s="5">
        <v>474</v>
      </c>
      <c r="B480" s="5" t="str">
        <f>"1251898"</f>
        <v>1251898</v>
      </c>
      <c r="C480" s="5" t="str">
        <f>"16535"</f>
        <v>16535</v>
      </c>
      <c r="D480" s="5">
        <v>1251898</v>
      </c>
      <c r="E480" s="5">
        <v>20101032150</v>
      </c>
      <c r="F480" s="5" t="s">
        <v>2641</v>
      </c>
      <c r="G480" s="5" t="s">
        <v>2642</v>
      </c>
      <c r="H480" s="5" t="s">
        <v>285</v>
      </c>
      <c r="I480" s="5" t="s">
        <v>1473</v>
      </c>
      <c r="J480" s="5" t="s">
        <v>2643</v>
      </c>
      <c r="K480" s="5" t="s">
        <v>2644</v>
      </c>
      <c r="L480" s="5"/>
      <c r="M480" s="5"/>
      <c r="N480" s="5"/>
      <c r="O480" s="5"/>
      <c r="P480" s="5"/>
      <c r="Q480" s="5"/>
      <c r="R480" s="5"/>
      <c r="S480" s="5"/>
      <c r="T480" s="5"/>
      <c r="U480" s="5">
        <v>21100</v>
      </c>
      <c r="V480" s="6">
        <v>36413</v>
      </c>
      <c r="W480" s="5" t="s">
        <v>31</v>
      </c>
      <c r="X480" s="5" t="s">
        <v>2645</v>
      </c>
    </row>
    <row r="481" spans="1:24" ht="27.95" x14ac:dyDescent="0.3">
      <c r="A481" s="3">
        <v>475</v>
      </c>
      <c r="B481" s="3" t="str">
        <f>"1400802"</f>
        <v>1400802</v>
      </c>
      <c r="C481" s="3" t="str">
        <f>"1198"</f>
        <v>1198</v>
      </c>
      <c r="D481" s="3" t="s">
        <v>2646</v>
      </c>
      <c r="E481" s="3">
        <v>20262221335</v>
      </c>
      <c r="F481" s="3" t="s">
        <v>2647</v>
      </c>
      <c r="G481" s="3" t="s">
        <v>2648</v>
      </c>
      <c r="H481" s="3" t="s">
        <v>550</v>
      </c>
      <c r="I481" s="3" t="s">
        <v>2649</v>
      </c>
      <c r="J481" s="3" t="s">
        <v>2650</v>
      </c>
      <c r="K481" s="3" t="s">
        <v>2651</v>
      </c>
      <c r="L481" s="3" t="s">
        <v>2651</v>
      </c>
      <c r="M481" s="3" t="s">
        <v>2651</v>
      </c>
      <c r="N481" s="3" t="s">
        <v>2651</v>
      </c>
      <c r="O481" s="3"/>
      <c r="P481" s="3"/>
      <c r="Q481" s="3"/>
      <c r="R481" s="3"/>
      <c r="S481" s="3"/>
      <c r="T481" s="3"/>
      <c r="U481" s="3">
        <v>84000</v>
      </c>
      <c r="V481" s="4">
        <v>37672</v>
      </c>
      <c r="W481" s="3" t="s">
        <v>31</v>
      </c>
      <c r="X481" s="3" t="s">
        <v>2652</v>
      </c>
    </row>
    <row r="482" spans="1:24" ht="27.95" x14ac:dyDescent="0.3">
      <c r="A482" s="5">
        <v>476</v>
      </c>
      <c r="B482" s="5" t="str">
        <f>"1506548"</f>
        <v>1506548</v>
      </c>
      <c r="C482" s="5" t="str">
        <f>"91436"</f>
        <v>91436</v>
      </c>
      <c r="D482" s="5" t="s">
        <v>2653</v>
      </c>
      <c r="E482" s="5">
        <v>20100047218</v>
      </c>
      <c r="F482" s="5" t="s">
        <v>2654</v>
      </c>
      <c r="G482" s="5" t="s">
        <v>2655</v>
      </c>
      <c r="H482" s="5" t="s">
        <v>28</v>
      </c>
      <c r="I482" s="5" t="s">
        <v>28</v>
      </c>
      <c r="J482" s="5" t="s">
        <v>102</v>
      </c>
      <c r="K482" s="5" t="s">
        <v>2656</v>
      </c>
      <c r="L482" s="5" t="s">
        <v>2656</v>
      </c>
      <c r="M482" s="5" t="s">
        <v>2656</v>
      </c>
      <c r="N482" s="5" t="s">
        <v>2656</v>
      </c>
      <c r="O482" s="5" t="s">
        <v>2656</v>
      </c>
      <c r="P482" s="5"/>
      <c r="Q482" s="5"/>
      <c r="R482" s="5"/>
      <c r="S482" s="5"/>
      <c r="T482" s="5"/>
      <c r="U482" s="5">
        <v>45880</v>
      </c>
      <c r="V482" s="6">
        <v>40828</v>
      </c>
      <c r="W482" s="5" t="s">
        <v>31</v>
      </c>
      <c r="X482" s="5" t="s">
        <v>2657</v>
      </c>
    </row>
    <row r="483" spans="1:24" x14ac:dyDescent="0.3">
      <c r="A483" s="3">
        <v>477</v>
      </c>
      <c r="B483" s="3" t="str">
        <f>"201500010808"</f>
        <v>201500010808</v>
      </c>
      <c r="C483" s="3" t="str">
        <f>"265"</f>
        <v>265</v>
      </c>
      <c r="D483" s="3" t="s">
        <v>2658</v>
      </c>
      <c r="E483" s="3">
        <v>20100055237</v>
      </c>
      <c r="F483" s="3" t="s">
        <v>2659</v>
      </c>
      <c r="G483" s="3" t="s">
        <v>2660</v>
      </c>
      <c r="H483" s="3" t="s">
        <v>115</v>
      </c>
      <c r="I483" s="3" t="s">
        <v>115</v>
      </c>
      <c r="J483" s="3" t="s">
        <v>222</v>
      </c>
      <c r="K483" s="3" t="s">
        <v>2661</v>
      </c>
      <c r="L483" s="3"/>
      <c r="M483" s="3"/>
      <c r="N483" s="3"/>
      <c r="O483" s="3"/>
      <c r="P483" s="3"/>
      <c r="Q483" s="3"/>
      <c r="R483" s="3"/>
      <c r="S483" s="3"/>
      <c r="T483" s="3"/>
      <c r="U483" s="3">
        <v>65907</v>
      </c>
      <c r="V483" s="4">
        <v>42063</v>
      </c>
      <c r="W483" s="3" t="s">
        <v>31</v>
      </c>
      <c r="X483" s="3" t="s">
        <v>2662</v>
      </c>
    </row>
    <row r="484" spans="1:24" ht="27.95" x14ac:dyDescent="0.3">
      <c r="A484" s="5">
        <v>478</v>
      </c>
      <c r="B484" s="5" t="str">
        <f>"201900155140"</f>
        <v>201900155140</v>
      </c>
      <c r="C484" s="5" t="str">
        <f>"45735"</f>
        <v>45735</v>
      </c>
      <c r="D484" s="5" t="s">
        <v>2663</v>
      </c>
      <c r="E484" s="5">
        <v>20100110513</v>
      </c>
      <c r="F484" s="5" t="s">
        <v>2664</v>
      </c>
      <c r="G484" s="5" t="s">
        <v>2665</v>
      </c>
      <c r="H484" s="5" t="s">
        <v>135</v>
      </c>
      <c r="I484" s="5" t="s">
        <v>402</v>
      </c>
      <c r="J484" s="5" t="s">
        <v>2666</v>
      </c>
      <c r="K484" s="5" t="s">
        <v>181</v>
      </c>
      <c r="L484" s="5" t="s">
        <v>181</v>
      </c>
      <c r="M484" s="5" t="s">
        <v>181</v>
      </c>
      <c r="N484" s="5" t="s">
        <v>181</v>
      </c>
      <c r="O484" s="5"/>
      <c r="P484" s="5"/>
      <c r="Q484" s="5"/>
      <c r="R484" s="5"/>
      <c r="S484" s="5"/>
      <c r="T484" s="5"/>
      <c r="U484" s="5">
        <v>20000</v>
      </c>
      <c r="V484" s="6">
        <v>43731</v>
      </c>
      <c r="W484" s="5" t="s">
        <v>31</v>
      </c>
      <c r="X484" s="5" t="s">
        <v>2667</v>
      </c>
    </row>
    <row r="485" spans="1:24" x14ac:dyDescent="0.3">
      <c r="A485" s="3">
        <v>479</v>
      </c>
      <c r="B485" s="3" t="str">
        <f>"1766899"</f>
        <v>1766899</v>
      </c>
      <c r="C485" s="3" t="str">
        <f>"39367"</f>
        <v>39367</v>
      </c>
      <c r="D485" s="3" t="s">
        <v>2668</v>
      </c>
      <c r="E485" s="3">
        <v>20507845500</v>
      </c>
      <c r="F485" s="3" t="s">
        <v>2669</v>
      </c>
      <c r="G485" s="3" t="s">
        <v>2670</v>
      </c>
      <c r="H485" s="3" t="s">
        <v>566</v>
      </c>
      <c r="I485" s="3" t="s">
        <v>2671</v>
      </c>
      <c r="J485" s="3" t="s">
        <v>2672</v>
      </c>
      <c r="K485" s="3" t="s">
        <v>259</v>
      </c>
      <c r="L485" s="3" t="s">
        <v>259</v>
      </c>
      <c r="M485" s="3" t="s">
        <v>259</v>
      </c>
      <c r="N485" s="3"/>
      <c r="O485" s="3"/>
      <c r="P485" s="3"/>
      <c r="Q485" s="3"/>
      <c r="R485" s="3"/>
      <c r="S485" s="3"/>
      <c r="T485" s="3"/>
      <c r="U485" s="3">
        <v>18000</v>
      </c>
      <c r="V485" s="4">
        <v>39478</v>
      </c>
      <c r="W485" s="3" t="s">
        <v>31</v>
      </c>
      <c r="X485" s="3" t="s">
        <v>2673</v>
      </c>
    </row>
    <row r="486" spans="1:24" ht="27.95" x14ac:dyDescent="0.3">
      <c r="A486" s="5">
        <v>480</v>
      </c>
      <c r="B486" s="5" t="str">
        <f>"201200053616"</f>
        <v>201200053616</v>
      </c>
      <c r="C486" s="5" t="str">
        <f>"96322"</f>
        <v>96322</v>
      </c>
      <c r="D486" s="5" t="s">
        <v>2674</v>
      </c>
      <c r="E486" s="5">
        <v>20264167109</v>
      </c>
      <c r="F486" s="5" t="s">
        <v>2675</v>
      </c>
      <c r="G486" s="5" t="s">
        <v>2676</v>
      </c>
      <c r="H486" s="5" t="s">
        <v>28</v>
      </c>
      <c r="I486" s="5" t="s">
        <v>28</v>
      </c>
      <c r="J486" s="5" t="s">
        <v>91</v>
      </c>
      <c r="K486" s="5" t="s">
        <v>181</v>
      </c>
      <c r="L486" s="5"/>
      <c r="M486" s="5"/>
      <c r="N486" s="5"/>
      <c r="O486" s="5"/>
      <c r="P486" s="5"/>
      <c r="Q486" s="5"/>
      <c r="R486" s="5"/>
      <c r="S486" s="5"/>
      <c r="T486" s="5"/>
      <c r="U486" s="5">
        <v>5000</v>
      </c>
      <c r="V486" s="6">
        <v>41019</v>
      </c>
      <c r="W486" s="5" t="s">
        <v>31</v>
      </c>
      <c r="X486" s="5" t="s">
        <v>2677</v>
      </c>
    </row>
    <row r="487" spans="1:24" ht="27.95" x14ac:dyDescent="0.3">
      <c r="A487" s="3">
        <v>481</v>
      </c>
      <c r="B487" s="3" t="str">
        <f>"201900041267"</f>
        <v>201900041267</v>
      </c>
      <c r="C487" s="3" t="str">
        <f>"141995"</f>
        <v>141995</v>
      </c>
      <c r="D487" s="3" t="s">
        <v>2678</v>
      </c>
      <c r="E487" s="3">
        <v>20490604325</v>
      </c>
      <c r="F487" s="3" t="s">
        <v>2679</v>
      </c>
      <c r="G487" s="3" t="s">
        <v>2680</v>
      </c>
      <c r="H487" s="3" t="s">
        <v>165</v>
      </c>
      <c r="I487" s="3" t="s">
        <v>166</v>
      </c>
      <c r="J487" s="3" t="s">
        <v>167</v>
      </c>
      <c r="K487" s="3" t="s">
        <v>181</v>
      </c>
      <c r="L487" s="3"/>
      <c r="M487" s="3"/>
      <c r="N487" s="3"/>
      <c r="O487" s="3"/>
      <c r="P487" s="3"/>
      <c r="Q487" s="3"/>
      <c r="R487" s="3"/>
      <c r="S487" s="3"/>
      <c r="T487" s="3"/>
      <c r="U487" s="3">
        <v>5000</v>
      </c>
      <c r="V487" s="4">
        <v>43544</v>
      </c>
      <c r="W487" s="3" t="s">
        <v>31</v>
      </c>
      <c r="X487" s="3" t="s">
        <v>2681</v>
      </c>
    </row>
    <row r="488" spans="1:24" x14ac:dyDescent="0.3">
      <c r="A488" s="5">
        <v>482</v>
      </c>
      <c r="B488" s="5" t="str">
        <f>"201500147594"</f>
        <v>201500147594</v>
      </c>
      <c r="C488" s="5" t="str">
        <f>"118335"</f>
        <v>118335</v>
      </c>
      <c r="D488" s="5" t="s">
        <v>2682</v>
      </c>
      <c r="E488" s="5">
        <v>20428696515</v>
      </c>
      <c r="F488" s="5" t="s">
        <v>1029</v>
      </c>
      <c r="G488" s="5" t="s">
        <v>2683</v>
      </c>
      <c r="H488" s="5" t="s">
        <v>292</v>
      </c>
      <c r="I488" s="5" t="s">
        <v>1688</v>
      </c>
      <c r="J488" s="5" t="s">
        <v>2684</v>
      </c>
      <c r="K488" s="5" t="s">
        <v>2630</v>
      </c>
      <c r="L488" s="5"/>
      <c r="M488" s="5"/>
      <c r="N488" s="5"/>
      <c r="O488" s="5"/>
      <c r="P488" s="5"/>
      <c r="Q488" s="5"/>
      <c r="R488" s="5"/>
      <c r="S488" s="5"/>
      <c r="T488" s="5"/>
      <c r="U488" s="5">
        <v>20000</v>
      </c>
      <c r="V488" s="6">
        <v>42327</v>
      </c>
      <c r="W488" s="5" t="s">
        <v>31</v>
      </c>
      <c r="X488" s="5" t="s">
        <v>1035</v>
      </c>
    </row>
    <row r="489" spans="1:24" x14ac:dyDescent="0.3">
      <c r="A489" s="3">
        <v>483</v>
      </c>
      <c r="B489" s="3" t="str">
        <f>"201200216493"</f>
        <v>201200216493</v>
      </c>
      <c r="C489" s="3" t="str">
        <f>"99686"</f>
        <v>99686</v>
      </c>
      <c r="D489" s="3" t="s">
        <v>2685</v>
      </c>
      <c r="E489" s="3">
        <v>20486209063</v>
      </c>
      <c r="F489" s="3" t="s">
        <v>2686</v>
      </c>
      <c r="G489" s="3" t="s">
        <v>2687</v>
      </c>
      <c r="H489" s="3" t="s">
        <v>566</v>
      </c>
      <c r="I489" s="3" t="s">
        <v>657</v>
      </c>
      <c r="J489" s="3" t="s">
        <v>657</v>
      </c>
      <c r="K489" s="3" t="s">
        <v>2688</v>
      </c>
      <c r="L489" s="3"/>
      <c r="M489" s="3"/>
      <c r="N489" s="3"/>
      <c r="O489" s="3"/>
      <c r="P489" s="3"/>
      <c r="Q489" s="3"/>
      <c r="R489" s="3"/>
      <c r="S489" s="3"/>
      <c r="T489" s="3"/>
      <c r="U489" s="3">
        <v>4750</v>
      </c>
      <c r="V489" s="4">
        <v>41256</v>
      </c>
      <c r="W489" s="3" t="s">
        <v>31</v>
      </c>
      <c r="X489" s="3" t="s">
        <v>2689</v>
      </c>
    </row>
    <row r="490" spans="1:24" x14ac:dyDescent="0.3">
      <c r="A490" s="5">
        <v>484</v>
      </c>
      <c r="B490" s="5" t="str">
        <f>"201500147576"</f>
        <v>201500147576</v>
      </c>
      <c r="C490" s="5" t="str">
        <f>"110092"</f>
        <v>110092</v>
      </c>
      <c r="D490" s="5" t="s">
        <v>2690</v>
      </c>
      <c r="E490" s="5">
        <v>20101026001</v>
      </c>
      <c r="F490" s="5" t="s">
        <v>1485</v>
      </c>
      <c r="G490" s="5" t="s">
        <v>2691</v>
      </c>
      <c r="H490" s="5" t="s">
        <v>28</v>
      </c>
      <c r="I490" s="5" t="s">
        <v>28</v>
      </c>
      <c r="J490" s="5" t="s">
        <v>409</v>
      </c>
      <c r="K490" s="5" t="s">
        <v>181</v>
      </c>
      <c r="L490" s="5"/>
      <c r="M490" s="5"/>
      <c r="N490" s="5"/>
      <c r="O490" s="5"/>
      <c r="P490" s="5"/>
      <c r="Q490" s="5"/>
      <c r="R490" s="5"/>
      <c r="S490" s="5"/>
      <c r="T490" s="5"/>
      <c r="U490" s="5">
        <v>5000</v>
      </c>
      <c r="V490" s="6">
        <v>42328</v>
      </c>
      <c r="W490" s="5" t="s">
        <v>31</v>
      </c>
      <c r="X490" s="5" t="s">
        <v>1487</v>
      </c>
    </row>
    <row r="491" spans="1:24" x14ac:dyDescent="0.3">
      <c r="A491" s="3">
        <v>485</v>
      </c>
      <c r="B491" s="3" t="str">
        <f>"1487866"</f>
        <v>1487866</v>
      </c>
      <c r="C491" s="3" t="str">
        <f>"92830"</f>
        <v>92830</v>
      </c>
      <c r="D491" s="3" t="s">
        <v>2692</v>
      </c>
      <c r="E491" s="3">
        <v>20438637380</v>
      </c>
      <c r="F491" s="3" t="s">
        <v>2693</v>
      </c>
      <c r="G491" s="3" t="s">
        <v>2694</v>
      </c>
      <c r="H491" s="3" t="s">
        <v>264</v>
      </c>
      <c r="I491" s="3" t="s">
        <v>265</v>
      </c>
      <c r="J491" s="3" t="s">
        <v>265</v>
      </c>
      <c r="K491" s="3" t="s">
        <v>2695</v>
      </c>
      <c r="L491" s="3" t="s">
        <v>2695</v>
      </c>
      <c r="M491" s="3"/>
      <c r="N491" s="3"/>
      <c r="O491" s="3"/>
      <c r="P491" s="3"/>
      <c r="Q491" s="3"/>
      <c r="R491" s="3"/>
      <c r="S491" s="3"/>
      <c r="T491" s="3"/>
      <c r="U491" s="3">
        <v>9000</v>
      </c>
      <c r="V491" s="4">
        <v>40703</v>
      </c>
      <c r="W491" s="3" t="s">
        <v>31</v>
      </c>
      <c r="X491" s="3" t="s">
        <v>2696</v>
      </c>
    </row>
    <row r="492" spans="1:24" ht="27.95" x14ac:dyDescent="0.3">
      <c r="A492" s="5">
        <v>486</v>
      </c>
      <c r="B492" s="5" t="str">
        <f>"1762928"</f>
        <v>1762928</v>
      </c>
      <c r="C492" s="5" t="str">
        <f>"62251"</f>
        <v>62251</v>
      </c>
      <c r="D492" s="5" t="s">
        <v>2697</v>
      </c>
      <c r="E492" s="5">
        <v>20107882694</v>
      </c>
      <c r="F492" s="5" t="s">
        <v>2698</v>
      </c>
      <c r="G492" s="5" t="s">
        <v>2699</v>
      </c>
      <c r="H492" s="5" t="s">
        <v>28</v>
      </c>
      <c r="I492" s="5" t="s">
        <v>28</v>
      </c>
      <c r="J492" s="5" t="s">
        <v>687</v>
      </c>
      <c r="K492" s="5" t="s">
        <v>2700</v>
      </c>
      <c r="L492" s="5"/>
      <c r="M492" s="5"/>
      <c r="N492" s="5"/>
      <c r="O492" s="5"/>
      <c r="P492" s="5"/>
      <c r="Q492" s="5"/>
      <c r="R492" s="5"/>
      <c r="S492" s="5"/>
      <c r="T492" s="5"/>
      <c r="U492" s="5">
        <v>5300</v>
      </c>
      <c r="V492" s="6">
        <v>39511</v>
      </c>
      <c r="W492" s="5" t="s">
        <v>31</v>
      </c>
      <c r="X492" s="5" t="s">
        <v>2701</v>
      </c>
    </row>
    <row r="493" spans="1:24" ht="27.95" x14ac:dyDescent="0.3">
      <c r="A493" s="3">
        <v>487</v>
      </c>
      <c r="B493" s="3" t="str">
        <f>"201600130253"</f>
        <v>201600130253</v>
      </c>
      <c r="C493" s="3" t="str">
        <f>"1165"</f>
        <v>1165</v>
      </c>
      <c r="D493" s="3" t="s">
        <v>2702</v>
      </c>
      <c r="E493" s="3">
        <v>20100128218</v>
      </c>
      <c r="F493" s="3" t="s">
        <v>2594</v>
      </c>
      <c r="G493" s="3" t="s">
        <v>2703</v>
      </c>
      <c r="H493" s="3" t="s">
        <v>58</v>
      </c>
      <c r="I493" s="3" t="s">
        <v>58</v>
      </c>
      <c r="J493" s="3" t="s">
        <v>2704</v>
      </c>
      <c r="K493" s="3" t="s">
        <v>2705</v>
      </c>
      <c r="L493" s="3" t="s">
        <v>2706</v>
      </c>
      <c r="M493" s="3" t="s">
        <v>2707</v>
      </c>
      <c r="N493" s="3" t="s">
        <v>2708</v>
      </c>
      <c r="O493" s="3"/>
      <c r="P493" s="3"/>
      <c r="Q493" s="3"/>
      <c r="R493" s="3"/>
      <c r="S493" s="3"/>
      <c r="T493" s="3"/>
      <c r="U493" s="3">
        <v>151727</v>
      </c>
      <c r="V493" s="4">
        <v>42639</v>
      </c>
      <c r="W493" s="3" t="s">
        <v>31</v>
      </c>
      <c r="X493" s="3" t="s">
        <v>2063</v>
      </c>
    </row>
    <row r="494" spans="1:24" ht="27.95" x14ac:dyDescent="0.3">
      <c r="A494" s="5">
        <v>488</v>
      </c>
      <c r="B494" s="5" t="str">
        <f>"201700192303"</f>
        <v>201700192303</v>
      </c>
      <c r="C494" s="5" t="str">
        <f>"132912"</f>
        <v>132912</v>
      </c>
      <c r="D494" s="5" t="s">
        <v>2709</v>
      </c>
      <c r="E494" s="5">
        <v>20109565017</v>
      </c>
      <c r="F494" s="5" t="s">
        <v>531</v>
      </c>
      <c r="G494" s="5" t="s">
        <v>2710</v>
      </c>
      <c r="H494" s="5" t="s">
        <v>970</v>
      </c>
      <c r="I494" s="5" t="s">
        <v>2711</v>
      </c>
      <c r="J494" s="5" t="s">
        <v>2712</v>
      </c>
      <c r="K494" s="5" t="s">
        <v>198</v>
      </c>
      <c r="L494" s="5"/>
      <c r="M494" s="5"/>
      <c r="N494" s="5"/>
      <c r="O494" s="5"/>
      <c r="P494" s="5"/>
      <c r="Q494" s="5"/>
      <c r="R494" s="5"/>
      <c r="S494" s="5"/>
      <c r="T494" s="5"/>
      <c r="U494" s="5">
        <v>9000</v>
      </c>
      <c r="V494" s="6">
        <v>43057</v>
      </c>
      <c r="W494" s="5" t="s">
        <v>31</v>
      </c>
      <c r="X494" s="5" t="s">
        <v>2713</v>
      </c>
    </row>
    <row r="495" spans="1:24" x14ac:dyDescent="0.3">
      <c r="A495" s="3">
        <v>489</v>
      </c>
      <c r="B495" s="3" t="str">
        <f>"1736182"</f>
        <v>1736182</v>
      </c>
      <c r="C495" s="3" t="str">
        <f>"34937"</f>
        <v>34937</v>
      </c>
      <c r="D495" s="3" t="s">
        <v>2714</v>
      </c>
      <c r="E495" s="3">
        <v>20100873681</v>
      </c>
      <c r="F495" s="3" t="s">
        <v>2715</v>
      </c>
      <c r="G495" s="3" t="s">
        <v>2716</v>
      </c>
      <c r="H495" s="3" t="s">
        <v>28</v>
      </c>
      <c r="I495" s="3" t="s">
        <v>28</v>
      </c>
      <c r="J495" s="3" t="s">
        <v>1432</v>
      </c>
      <c r="K495" s="3" t="s">
        <v>46</v>
      </c>
      <c r="L495" s="3"/>
      <c r="M495" s="3"/>
      <c r="N495" s="3"/>
      <c r="O495" s="3"/>
      <c r="P495" s="3"/>
      <c r="Q495" s="3"/>
      <c r="R495" s="3"/>
      <c r="S495" s="3"/>
      <c r="T495" s="3"/>
      <c r="U495" s="3">
        <v>3000</v>
      </c>
      <c r="V495" s="4">
        <v>39412</v>
      </c>
      <c r="W495" s="3" t="s">
        <v>31</v>
      </c>
      <c r="X495" s="3" t="s">
        <v>2717</v>
      </c>
    </row>
    <row r="496" spans="1:24" x14ac:dyDescent="0.3">
      <c r="A496" s="5">
        <v>490</v>
      </c>
      <c r="B496" s="5" t="str">
        <f>"201800002830"</f>
        <v>201800002830</v>
      </c>
      <c r="C496" s="5" t="str">
        <f>"392"</f>
        <v>392</v>
      </c>
      <c r="D496" s="5" t="s">
        <v>2718</v>
      </c>
      <c r="E496" s="5">
        <v>20136437331</v>
      </c>
      <c r="F496" s="5" t="s">
        <v>2719</v>
      </c>
      <c r="G496" s="5" t="s">
        <v>2720</v>
      </c>
      <c r="H496" s="5" t="s">
        <v>28</v>
      </c>
      <c r="I496" s="5" t="s">
        <v>490</v>
      </c>
      <c r="J496" s="5" t="s">
        <v>2721</v>
      </c>
      <c r="K496" s="5" t="s">
        <v>2722</v>
      </c>
      <c r="L496" s="5" t="s">
        <v>2723</v>
      </c>
      <c r="M496" s="5"/>
      <c r="N496" s="5"/>
      <c r="O496" s="5"/>
      <c r="P496" s="5"/>
      <c r="Q496" s="5"/>
      <c r="R496" s="5"/>
      <c r="S496" s="5"/>
      <c r="T496" s="5"/>
      <c r="U496" s="5">
        <v>178580</v>
      </c>
      <c r="V496" s="6">
        <v>43111</v>
      </c>
      <c r="W496" s="5" t="s">
        <v>31</v>
      </c>
      <c r="X496" s="5" t="s">
        <v>2724</v>
      </c>
    </row>
    <row r="497" spans="1:24" ht="27.95" x14ac:dyDescent="0.3">
      <c r="A497" s="3">
        <v>491</v>
      </c>
      <c r="B497" s="3" t="str">
        <f>"201800165228"</f>
        <v>201800165228</v>
      </c>
      <c r="C497" s="3" t="str">
        <f>"138967"</f>
        <v>138967</v>
      </c>
      <c r="D497" s="3" t="s">
        <v>2725</v>
      </c>
      <c r="E497" s="3">
        <v>20547999691</v>
      </c>
      <c r="F497" s="3" t="s">
        <v>2726</v>
      </c>
      <c r="G497" s="3" t="s">
        <v>2727</v>
      </c>
      <c r="H497" s="3" t="s">
        <v>264</v>
      </c>
      <c r="I497" s="3" t="s">
        <v>264</v>
      </c>
      <c r="J497" s="3" t="s">
        <v>647</v>
      </c>
      <c r="K497" s="3" t="s">
        <v>168</v>
      </c>
      <c r="L497" s="3"/>
      <c r="M497" s="3"/>
      <c r="N497" s="3"/>
      <c r="O497" s="3"/>
      <c r="P497" s="3"/>
      <c r="Q497" s="3"/>
      <c r="R497" s="3"/>
      <c r="S497" s="3"/>
      <c r="T497" s="3"/>
      <c r="U497" s="3">
        <v>10000</v>
      </c>
      <c r="V497" s="4">
        <v>43391</v>
      </c>
      <c r="W497" s="3" t="s">
        <v>31</v>
      </c>
      <c r="X497" s="3" t="s">
        <v>2728</v>
      </c>
    </row>
    <row r="498" spans="1:24" x14ac:dyDescent="0.3">
      <c r="A498" s="5">
        <v>492</v>
      </c>
      <c r="B498" s="5" t="str">
        <f>"1910456"</f>
        <v>1910456</v>
      </c>
      <c r="C498" s="5" t="str">
        <f>"82853"</f>
        <v>82853</v>
      </c>
      <c r="D498" s="5" t="s">
        <v>2729</v>
      </c>
      <c r="E498" s="5">
        <v>20512076379</v>
      </c>
      <c r="F498" s="5" t="s">
        <v>2730</v>
      </c>
      <c r="G498" s="5" t="s">
        <v>2731</v>
      </c>
      <c r="H498" s="5" t="s">
        <v>28</v>
      </c>
      <c r="I498" s="5" t="s">
        <v>28</v>
      </c>
      <c r="J498" s="5" t="s">
        <v>426</v>
      </c>
      <c r="K498" s="5" t="s">
        <v>2732</v>
      </c>
      <c r="L498" s="5" t="s">
        <v>2732</v>
      </c>
      <c r="M498" s="5" t="s">
        <v>2732</v>
      </c>
      <c r="N498" s="5"/>
      <c r="O498" s="5"/>
      <c r="P498" s="5"/>
      <c r="Q498" s="5"/>
      <c r="R498" s="5"/>
      <c r="S498" s="5"/>
      <c r="T498" s="5"/>
      <c r="U498" s="5">
        <v>7500</v>
      </c>
      <c r="V498" s="6">
        <v>40052</v>
      </c>
      <c r="W498" s="5" t="s">
        <v>31</v>
      </c>
      <c r="X498" s="5" t="s">
        <v>2733</v>
      </c>
    </row>
    <row r="499" spans="1:24" x14ac:dyDescent="0.3">
      <c r="A499" s="3">
        <v>493</v>
      </c>
      <c r="B499" s="3" t="str">
        <f>"1202467"</f>
        <v>1202467</v>
      </c>
      <c r="C499" s="3" t="str">
        <f>"14625"</f>
        <v>14625</v>
      </c>
      <c r="D499" s="3">
        <v>1202467</v>
      </c>
      <c r="E499" s="3">
        <v>20264592497</v>
      </c>
      <c r="F499" s="3" t="s">
        <v>2734</v>
      </c>
      <c r="G499" s="3" t="s">
        <v>2735</v>
      </c>
      <c r="H499" s="3" t="s">
        <v>28</v>
      </c>
      <c r="I499" s="3" t="s">
        <v>28</v>
      </c>
      <c r="J499" s="3" t="s">
        <v>91</v>
      </c>
      <c r="K499" s="3" t="s">
        <v>259</v>
      </c>
      <c r="L499" s="3" t="s">
        <v>2736</v>
      </c>
      <c r="M499" s="3"/>
      <c r="N499" s="3"/>
      <c r="O499" s="3"/>
      <c r="P499" s="3"/>
      <c r="Q499" s="3"/>
      <c r="R499" s="3"/>
      <c r="S499" s="3"/>
      <c r="T499" s="3"/>
      <c r="U499" s="3">
        <v>6000</v>
      </c>
      <c r="V499" s="4">
        <v>36052</v>
      </c>
      <c r="W499" s="3" t="s">
        <v>31</v>
      </c>
      <c r="X499" s="3" t="s">
        <v>2737</v>
      </c>
    </row>
    <row r="500" spans="1:24" ht="27.95" x14ac:dyDescent="0.3">
      <c r="A500" s="5">
        <v>494</v>
      </c>
      <c r="B500" s="5" t="str">
        <f>"201900008175"</f>
        <v>201900008175</v>
      </c>
      <c r="C500" s="5" t="str">
        <f>"14785"</f>
        <v>14785</v>
      </c>
      <c r="D500" s="5" t="s">
        <v>2738</v>
      </c>
      <c r="E500" s="5">
        <v>20100147514</v>
      </c>
      <c r="F500" s="5" t="s">
        <v>2739</v>
      </c>
      <c r="G500" s="5" t="s">
        <v>2740</v>
      </c>
      <c r="H500" s="5" t="s">
        <v>1147</v>
      </c>
      <c r="I500" s="5" t="s">
        <v>1148</v>
      </c>
      <c r="J500" s="5" t="s">
        <v>2741</v>
      </c>
      <c r="K500" s="5" t="s">
        <v>2742</v>
      </c>
      <c r="L500" s="5" t="s">
        <v>2743</v>
      </c>
      <c r="M500" s="5" t="s">
        <v>2744</v>
      </c>
      <c r="N500" s="5"/>
      <c r="O500" s="5"/>
      <c r="P500" s="5"/>
      <c r="Q500" s="5"/>
      <c r="R500" s="5"/>
      <c r="S500" s="5"/>
      <c r="T500" s="5"/>
      <c r="U500" s="5">
        <v>12600000</v>
      </c>
      <c r="V500" s="6">
        <v>43487</v>
      </c>
      <c r="W500" s="5" t="s">
        <v>31</v>
      </c>
      <c r="X500" s="5" t="s">
        <v>781</v>
      </c>
    </row>
    <row r="501" spans="1:24" ht="41.95" x14ac:dyDescent="0.3">
      <c r="A501" s="3">
        <v>495</v>
      </c>
      <c r="B501" s="3" t="str">
        <f>"202000112333"</f>
        <v>202000112333</v>
      </c>
      <c r="C501" s="3" t="str">
        <f>"150862"</f>
        <v>150862</v>
      </c>
      <c r="D501" s="3" t="s">
        <v>2745</v>
      </c>
      <c r="E501" s="3">
        <v>20457920050</v>
      </c>
      <c r="F501" s="3" t="s">
        <v>899</v>
      </c>
      <c r="G501" s="3" t="s">
        <v>2746</v>
      </c>
      <c r="H501" s="3" t="s">
        <v>28</v>
      </c>
      <c r="I501" s="3" t="s">
        <v>72</v>
      </c>
      <c r="J501" s="3" t="s">
        <v>322</v>
      </c>
      <c r="K501" s="3" t="s">
        <v>2747</v>
      </c>
      <c r="L501" s="3"/>
      <c r="M501" s="3"/>
      <c r="N501" s="3"/>
      <c r="O501" s="3"/>
      <c r="P501" s="3"/>
      <c r="Q501" s="3"/>
      <c r="R501" s="3"/>
      <c r="S501" s="3"/>
      <c r="T501" s="3"/>
      <c r="U501" s="3">
        <v>3204</v>
      </c>
      <c r="V501" s="4">
        <v>44075</v>
      </c>
      <c r="W501" s="3" t="s">
        <v>31</v>
      </c>
      <c r="X501" s="3" t="s">
        <v>2748</v>
      </c>
    </row>
    <row r="502" spans="1:24" x14ac:dyDescent="0.3">
      <c r="A502" s="5">
        <v>496</v>
      </c>
      <c r="B502" s="5" t="str">
        <f>"202000059528"</f>
        <v>202000059528</v>
      </c>
      <c r="C502" s="5" t="str">
        <f>"96060"</f>
        <v>96060</v>
      </c>
      <c r="D502" s="5" t="s">
        <v>2749</v>
      </c>
      <c r="E502" s="5">
        <v>10242831310</v>
      </c>
      <c r="F502" s="5" t="s">
        <v>2750</v>
      </c>
      <c r="G502" s="5" t="s">
        <v>2751</v>
      </c>
      <c r="H502" s="5" t="s">
        <v>165</v>
      </c>
      <c r="I502" s="5" t="s">
        <v>732</v>
      </c>
      <c r="J502" s="5" t="s">
        <v>733</v>
      </c>
      <c r="K502" s="5" t="s">
        <v>2083</v>
      </c>
      <c r="L502" s="5" t="s">
        <v>181</v>
      </c>
      <c r="M502" s="5" t="s">
        <v>181</v>
      </c>
      <c r="N502" s="5" t="s">
        <v>181</v>
      </c>
      <c r="O502" s="5" t="s">
        <v>734</v>
      </c>
      <c r="P502" s="5"/>
      <c r="Q502" s="5"/>
      <c r="R502" s="5"/>
      <c r="S502" s="5"/>
      <c r="T502" s="5"/>
      <c r="U502" s="5">
        <v>26400</v>
      </c>
      <c r="V502" s="6">
        <v>43979</v>
      </c>
      <c r="W502" s="5" t="s">
        <v>31</v>
      </c>
      <c r="X502" s="5" t="s">
        <v>2750</v>
      </c>
    </row>
    <row r="503" spans="1:24" ht="41.95" x14ac:dyDescent="0.3">
      <c r="A503" s="3">
        <v>497</v>
      </c>
      <c r="B503" s="3" t="str">
        <f>"1753378"</f>
        <v>1753378</v>
      </c>
      <c r="C503" s="3" t="str">
        <f>"62440"</f>
        <v>62440</v>
      </c>
      <c r="D503" s="3" t="s">
        <v>2752</v>
      </c>
      <c r="E503" s="3">
        <v>20110876395</v>
      </c>
      <c r="F503" s="3" t="s">
        <v>2753</v>
      </c>
      <c r="G503" s="3" t="s">
        <v>2754</v>
      </c>
      <c r="H503" s="3" t="s">
        <v>28</v>
      </c>
      <c r="I503" s="3" t="s">
        <v>28</v>
      </c>
      <c r="J503" s="3" t="s">
        <v>29</v>
      </c>
      <c r="K503" s="3" t="s">
        <v>2121</v>
      </c>
      <c r="L503" s="3"/>
      <c r="M503" s="3"/>
      <c r="N503" s="3"/>
      <c r="O503" s="3"/>
      <c r="P503" s="3"/>
      <c r="Q503" s="3"/>
      <c r="R503" s="3"/>
      <c r="S503" s="3"/>
      <c r="T503" s="3"/>
      <c r="U503" s="3">
        <v>8000</v>
      </c>
      <c r="V503" s="4">
        <v>39499</v>
      </c>
      <c r="W503" s="3" t="s">
        <v>31</v>
      </c>
      <c r="X503" s="3" t="s">
        <v>2755</v>
      </c>
    </row>
    <row r="504" spans="1:24" ht="27.95" x14ac:dyDescent="0.3">
      <c r="A504" s="5">
        <v>498</v>
      </c>
      <c r="B504" s="5" t="str">
        <f>"202000060061"</f>
        <v>202000060061</v>
      </c>
      <c r="C504" s="5" t="str">
        <f>"149608"</f>
        <v>149608</v>
      </c>
      <c r="D504" s="5" t="s">
        <v>2756</v>
      </c>
      <c r="E504" s="5">
        <v>20509093521</v>
      </c>
      <c r="F504" s="5" t="s">
        <v>1767</v>
      </c>
      <c r="G504" s="5" t="s">
        <v>2757</v>
      </c>
      <c r="H504" s="5" t="s">
        <v>264</v>
      </c>
      <c r="I504" s="5" t="s">
        <v>264</v>
      </c>
      <c r="J504" s="5" t="s">
        <v>1216</v>
      </c>
      <c r="K504" s="5" t="s">
        <v>2758</v>
      </c>
      <c r="L504" s="5"/>
      <c r="M504" s="5"/>
      <c r="N504" s="5"/>
      <c r="O504" s="5"/>
      <c r="P504" s="5"/>
      <c r="Q504" s="5"/>
      <c r="R504" s="5"/>
      <c r="S504" s="5"/>
      <c r="T504" s="5"/>
      <c r="U504" s="5">
        <v>1162</v>
      </c>
      <c r="V504" s="6">
        <v>43991</v>
      </c>
      <c r="W504" s="5" t="s">
        <v>31</v>
      </c>
      <c r="X504" s="5" t="s">
        <v>2759</v>
      </c>
    </row>
    <row r="505" spans="1:24" ht="27.95" x14ac:dyDescent="0.3">
      <c r="A505" s="3">
        <v>499</v>
      </c>
      <c r="B505" s="3" t="str">
        <f>"201900006424"</f>
        <v>201900006424</v>
      </c>
      <c r="C505" s="3" t="str">
        <f>"140750"</f>
        <v>140750</v>
      </c>
      <c r="D505" s="3" t="s">
        <v>2760</v>
      </c>
      <c r="E505" s="3">
        <v>20100070970</v>
      </c>
      <c r="F505" s="3" t="s">
        <v>2761</v>
      </c>
      <c r="G505" s="3" t="s">
        <v>2762</v>
      </c>
      <c r="H505" s="3" t="s">
        <v>373</v>
      </c>
      <c r="I505" s="3" t="s">
        <v>373</v>
      </c>
      <c r="J505" s="3" t="s">
        <v>2763</v>
      </c>
      <c r="K505" s="3" t="s">
        <v>535</v>
      </c>
      <c r="L505" s="3"/>
      <c r="M505" s="3"/>
      <c r="N505" s="3"/>
      <c r="O505" s="3"/>
      <c r="P505" s="3"/>
      <c r="Q505" s="3"/>
      <c r="R505" s="3"/>
      <c r="S505" s="3"/>
      <c r="T505" s="3"/>
      <c r="U505" s="3">
        <v>500</v>
      </c>
      <c r="V505" s="4">
        <v>43478</v>
      </c>
      <c r="W505" s="3" t="s">
        <v>31</v>
      </c>
      <c r="X505" s="3" t="s">
        <v>2764</v>
      </c>
    </row>
    <row r="506" spans="1:24" x14ac:dyDescent="0.3">
      <c r="A506" s="5">
        <v>500</v>
      </c>
      <c r="B506" s="5" t="str">
        <f>"201400136304"</f>
        <v>201400136304</v>
      </c>
      <c r="C506" s="5" t="str">
        <f>"90348"</f>
        <v>90348</v>
      </c>
      <c r="D506" s="5" t="s">
        <v>2765</v>
      </c>
      <c r="E506" s="5">
        <v>20482763007</v>
      </c>
      <c r="F506" s="5" t="s">
        <v>2766</v>
      </c>
      <c r="G506" s="5" t="s">
        <v>2767</v>
      </c>
      <c r="H506" s="5" t="s">
        <v>36</v>
      </c>
      <c r="I506" s="5" t="s">
        <v>234</v>
      </c>
      <c r="J506" s="5" t="s">
        <v>235</v>
      </c>
      <c r="K506" s="5" t="s">
        <v>2768</v>
      </c>
      <c r="L506" s="5"/>
      <c r="M506" s="5"/>
      <c r="N506" s="5"/>
      <c r="O506" s="5"/>
      <c r="P506" s="5"/>
      <c r="Q506" s="5"/>
      <c r="R506" s="5"/>
      <c r="S506" s="5"/>
      <c r="T506" s="5"/>
      <c r="U506" s="5">
        <v>7000</v>
      </c>
      <c r="V506" s="6">
        <v>41946</v>
      </c>
      <c r="W506" s="5" t="s">
        <v>31</v>
      </c>
      <c r="X506" s="5" t="s">
        <v>2769</v>
      </c>
    </row>
    <row r="507" spans="1:24" x14ac:dyDescent="0.3">
      <c r="A507" s="3">
        <v>501</v>
      </c>
      <c r="B507" s="3" t="str">
        <f>"201500147569"</f>
        <v>201500147569</v>
      </c>
      <c r="C507" s="3" t="str">
        <f>"118333"</f>
        <v>118333</v>
      </c>
      <c r="D507" s="3" t="s">
        <v>2770</v>
      </c>
      <c r="E507" s="3">
        <v>20428696515</v>
      </c>
      <c r="F507" s="3" t="s">
        <v>1139</v>
      </c>
      <c r="G507" s="3" t="s">
        <v>2771</v>
      </c>
      <c r="H507" s="3" t="s">
        <v>165</v>
      </c>
      <c r="I507" s="3" t="s">
        <v>732</v>
      </c>
      <c r="J507" s="3" t="s">
        <v>1065</v>
      </c>
      <c r="K507" s="3" t="s">
        <v>2772</v>
      </c>
      <c r="L507" s="3"/>
      <c r="M507" s="3"/>
      <c r="N507" s="3"/>
      <c r="O507" s="3"/>
      <c r="P507" s="3"/>
      <c r="Q507" s="3"/>
      <c r="R507" s="3"/>
      <c r="S507" s="3"/>
      <c r="T507" s="3"/>
      <c r="U507" s="3">
        <v>10000</v>
      </c>
      <c r="V507" s="4">
        <v>42327</v>
      </c>
      <c r="W507" s="3" t="s">
        <v>31</v>
      </c>
      <c r="X507" s="3" t="s">
        <v>1035</v>
      </c>
    </row>
    <row r="508" spans="1:24" ht="27.95" x14ac:dyDescent="0.3">
      <c r="A508" s="5">
        <v>502</v>
      </c>
      <c r="B508" s="5" t="str">
        <f>"201600126747"</f>
        <v>201600126747</v>
      </c>
      <c r="C508" s="5" t="str">
        <f>"45660"</f>
        <v>45660</v>
      </c>
      <c r="D508" s="5" t="s">
        <v>2773</v>
      </c>
      <c r="E508" s="5">
        <v>20480952830</v>
      </c>
      <c r="F508" s="5" t="s">
        <v>2774</v>
      </c>
      <c r="G508" s="5" t="s">
        <v>2775</v>
      </c>
      <c r="H508" s="5" t="s">
        <v>36</v>
      </c>
      <c r="I508" s="5" t="s">
        <v>234</v>
      </c>
      <c r="J508" s="5" t="s">
        <v>235</v>
      </c>
      <c r="K508" s="5" t="s">
        <v>2776</v>
      </c>
      <c r="L508" s="5"/>
      <c r="M508" s="5"/>
      <c r="N508" s="5"/>
      <c r="O508" s="5"/>
      <c r="P508" s="5"/>
      <c r="Q508" s="5"/>
      <c r="R508" s="5"/>
      <c r="S508" s="5"/>
      <c r="T508" s="5"/>
      <c r="U508" s="5">
        <v>3500</v>
      </c>
      <c r="V508" s="6">
        <v>42620</v>
      </c>
      <c r="W508" s="5" t="s">
        <v>31</v>
      </c>
      <c r="X508" s="5" t="s">
        <v>2777</v>
      </c>
    </row>
    <row r="509" spans="1:24" ht="27.95" x14ac:dyDescent="0.3">
      <c r="A509" s="3">
        <v>503</v>
      </c>
      <c r="B509" s="3" t="str">
        <f>"201700004014"</f>
        <v>201700004014</v>
      </c>
      <c r="C509" s="3" t="str">
        <f>"18763"</f>
        <v>18763</v>
      </c>
      <c r="D509" s="3" t="s">
        <v>2778</v>
      </c>
      <c r="E509" s="3">
        <v>20338054115</v>
      </c>
      <c r="F509" s="3" t="s">
        <v>941</v>
      </c>
      <c r="G509" s="3" t="s">
        <v>2779</v>
      </c>
      <c r="H509" s="3" t="s">
        <v>1147</v>
      </c>
      <c r="I509" s="3" t="s">
        <v>1148</v>
      </c>
      <c r="J509" s="3" t="s">
        <v>2741</v>
      </c>
      <c r="K509" s="3" t="s">
        <v>2780</v>
      </c>
      <c r="L509" s="3" t="s">
        <v>2781</v>
      </c>
      <c r="M509" s="3"/>
      <c r="N509" s="3"/>
      <c r="O509" s="3"/>
      <c r="P509" s="3"/>
      <c r="Q509" s="3"/>
      <c r="R509" s="3"/>
      <c r="S509" s="3"/>
      <c r="T509" s="3"/>
      <c r="U509" s="3">
        <v>226000</v>
      </c>
      <c r="V509" s="4">
        <v>42751</v>
      </c>
      <c r="W509" s="3" t="s">
        <v>31</v>
      </c>
      <c r="X509" s="3" t="s">
        <v>2782</v>
      </c>
    </row>
    <row r="510" spans="1:24" x14ac:dyDescent="0.3">
      <c r="A510" s="5">
        <v>504</v>
      </c>
      <c r="B510" s="5" t="str">
        <f>"201800015979"</f>
        <v>201800015979</v>
      </c>
      <c r="C510" s="5" t="str">
        <f>"109104"</f>
        <v>109104</v>
      </c>
      <c r="D510" s="5" t="s">
        <v>2783</v>
      </c>
      <c r="E510" s="5">
        <v>20548632766</v>
      </c>
      <c r="F510" s="5" t="s">
        <v>2784</v>
      </c>
      <c r="G510" s="5" t="s">
        <v>2785</v>
      </c>
      <c r="H510" s="5" t="s">
        <v>28</v>
      </c>
      <c r="I510" s="5" t="s">
        <v>28</v>
      </c>
      <c r="J510" s="5" t="s">
        <v>687</v>
      </c>
      <c r="K510" s="5" t="s">
        <v>2786</v>
      </c>
      <c r="L510" s="5"/>
      <c r="M510" s="5"/>
      <c r="N510" s="5"/>
      <c r="O510" s="5"/>
      <c r="P510" s="5"/>
      <c r="Q510" s="5"/>
      <c r="R510" s="5"/>
      <c r="S510" s="5"/>
      <c r="T510" s="5"/>
      <c r="U510" s="5">
        <v>5214</v>
      </c>
      <c r="V510" s="6">
        <v>43132</v>
      </c>
      <c r="W510" s="5" t="s">
        <v>31</v>
      </c>
      <c r="X510" s="5" t="s">
        <v>2787</v>
      </c>
    </row>
    <row r="511" spans="1:24" ht="27.95" x14ac:dyDescent="0.3">
      <c r="A511" s="3">
        <v>505</v>
      </c>
      <c r="B511" s="3" t="str">
        <f>"202000066620"</f>
        <v>202000066620</v>
      </c>
      <c r="C511" s="3" t="str">
        <f>"149729"</f>
        <v>149729</v>
      </c>
      <c r="D511" s="3" t="s">
        <v>2788</v>
      </c>
      <c r="E511" s="3">
        <v>20396427789</v>
      </c>
      <c r="F511" s="3" t="s">
        <v>2789</v>
      </c>
      <c r="G511" s="3" t="s">
        <v>2790</v>
      </c>
      <c r="H511" s="3" t="s">
        <v>36</v>
      </c>
      <c r="I511" s="3" t="s">
        <v>234</v>
      </c>
      <c r="J511" s="3" t="s">
        <v>235</v>
      </c>
      <c r="K511" s="3" t="s">
        <v>2791</v>
      </c>
      <c r="L511" s="3"/>
      <c r="M511" s="3"/>
      <c r="N511" s="3"/>
      <c r="O511" s="3"/>
      <c r="P511" s="3"/>
      <c r="Q511" s="3"/>
      <c r="R511" s="3"/>
      <c r="S511" s="3"/>
      <c r="T511" s="3"/>
      <c r="U511" s="3">
        <v>6384</v>
      </c>
      <c r="V511" s="4">
        <v>44006</v>
      </c>
      <c r="W511" s="3" t="s">
        <v>31</v>
      </c>
      <c r="X511" s="3" t="s">
        <v>2792</v>
      </c>
    </row>
    <row r="512" spans="1:24" ht="27.95" x14ac:dyDescent="0.3">
      <c r="A512" s="5">
        <v>506</v>
      </c>
      <c r="B512" s="5" t="str">
        <f>"1621144"</f>
        <v>1621144</v>
      </c>
      <c r="C512" s="5" t="str">
        <f>"44172"</f>
        <v>44172</v>
      </c>
      <c r="D512" s="5" t="s">
        <v>2793</v>
      </c>
      <c r="E512" s="5">
        <v>20100190797</v>
      </c>
      <c r="F512" s="5" t="s">
        <v>2794</v>
      </c>
      <c r="G512" s="5" t="s">
        <v>2795</v>
      </c>
      <c r="H512" s="5" t="s">
        <v>978</v>
      </c>
      <c r="I512" s="5" t="s">
        <v>978</v>
      </c>
      <c r="J512" s="5" t="s">
        <v>2796</v>
      </c>
      <c r="K512" s="5" t="s">
        <v>342</v>
      </c>
      <c r="L512" s="5" t="s">
        <v>46</v>
      </c>
      <c r="M512" s="5" t="s">
        <v>2797</v>
      </c>
      <c r="N512" s="5"/>
      <c r="O512" s="5"/>
      <c r="P512" s="5"/>
      <c r="Q512" s="5"/>
      <c r="R512" s="5"/>
      <c r="S512" s="5"/>
      <c r="T512" s="5"/>
      <c r="U512" s="5">
        <v>16030</v>
      </c>
      <c r="V512" s="6">
        <v>38918</v>
      </c>
      <c r="W512" s="5" t="s">
        <v>31</v>
      </c>
      <c r="X512" s="5" t="s">
        <v>2798</v>
      </c>
    </row>
    <row r="513" spans="1:24" ht="27.95" x14ac:dyDescent="0.3">
      <c r="A513" s="3">
        <v>507</v>
      </c>
      <c r="B513" s="3" t="str">
        <f>"201800036735"</f>
        <v>201800036735</v>
      </c>
      <c r="C513" s="3" t="str">
        <f>"131570"</f>
        <v>131570</v>
      </c>
      <c r="D513" s="3" t="s">
        <v>2799</v>
      </c>
      <c r="E513" s="3">
        <v>20601064058</v>
      </c>
      <c r="F513" s="3" t="s">
        <v>2800</v>
      </c>
      <c r="G513" s="3" t="s">
        <v>2801</v>
      </c>
      <c r="H513" s="3" t="s">
        <v>28</v>
      </c>
      <c r="I513" s="3" t="s">
        <v>28</v>
      </c>
      <c r="J513" s="3" t="s">
        <v>91</v>
      </c>
      <c r="K513" s="3" t="s">
        <v>181</v>
      </c>
      <c r="L513" s="3"/>
      <c r="M513" s="3"/>
      <c r="N513" s="3"/>
      <c r="O513" s="3"/>
      <c r="P513" s="3"/>
      <c r="Q513" s="3"/>
      <c r="R513" s="3"/>
      <c r="S513" s="3"/>
      <c r="T513" s="3"/>
      <c r="U513" s="3">
        <v>5000</v>
      </c>
      <c r="V513" s="4">
        <v>43164</v>
      </c>
      <c r="W513" s="3" t="s">
        <v>31</v>
      </c>
      <c r="X513" s="3" t="s">
        <v>2802</v>
      </c>
    </row>
    <row r="514" spans="1:24" x14ac:dyDescent="0.3">
      <c r="A514" s="5">
        <v>508</v>
      </c>
      <c r="B514" s="5" t="str">
        <f>"1575419"</f>
        <v>1575419</v>
      </c>
      <c r="C514" s="5" t="str">
        <f>"34163"</f>
        <v>34163</v>
      </c>
      <c r="D514" s="5" t="s">
        <v>2803</v>
      </c>
      <c r="E514" s="5">
        <v>20101024645</v>
      </c>
      <c r="F514" s="5" t="s">
        <v>2804</v>
      </c>
      <c r="G514" s="5" t="s">
        <v>2805</v>
      </c>
      <c r="H514" s="5" t="s">
        <v>51</v>
      </c>
      <c r="I514" s="5" t="s">
        <v>51</v>
      </c>
      <c r="J514" s="5" t="s">
        <v>2806</v>
      </c>
      <c r="K514" s="5" t="s">
        <v>421</v>
      </c>
      <c r="L514" s="5"/>
      <c r="M514" s="5"/>
      <c r="N514" s="5"/>
      <c r="O514" s="5"/>
      <c r="P514" s="5"/>
      <c r="Q514" s="5"/>
      <c r="R514" s="5"/>
      <c r="S514" s="5"/>
      <c r="T514" s="5"/>
      <c r="U514" s="5">
        <v>5000</v>
      </c>
      <c r="V514" s="6">
        <v>38671</v>
      </c>
      <c r="W514" s="5" t="s">
        <v>31</v>
      </c>
      <c r="X514" s="5" t="s">
        <v>2807</v>
      </c>
    </row>
    <row r="515" spans="1:24" x14ac:dyDescent="0.3">
      <c r="A515" s="3">
        <v>509</v>
      </c>
      <c r="B515" s="3" t="str">
        <f>"1450708"</f>
        <v>1450708</v>
      </c>
      <c r="C515" s="3" t="str">
        <f>"198"</f>
        <v>198</v>
      </c>
      <c r="D515" s="3" t="s">
        <v>2808</v>
      </c>
      <c r="E515" s="3">
        <v>20114050025</v>
      </c>
      <c r="F515" s="3" t="s">
        <v>2809</v>
      </c>
      <c r="G515" s="3" t="s">
        <v>2810</v>
      </c>
      <c r="H515" s="3" t="s">
        <v>58</v>
      </c>
      <c r="I515" s="3" t="s">
        <v>59</v>
      </c>
      <c r="J515" s="3" t="s">
        <v>60</v>
      </c>
      <c r="K515" s="3" t="s">
        <v>46</v>
      </c>
      <c r="L515" s="3"/>
      <c r="M515" s="3"/>
      <c r="N515" s="3"/>
      <c r="O515" s="3"/>
      <c r="P515" s="3"/>
      <c r="Q515" s="3"/>
      <c r="R515" s="3"/>
      <c r="S515" s="3"/>
      <c r="T515" s="3"/>
      <c r="U515" s="3">
        <v>3000</v>
      </c>
      <c r="V515" s="4">
        <v>37946</v>
      </c>
      <c r="W515" s="3" t="s">
        <v>31</v>
      </c>
      <c r="X515" s="3" t="s">
        <v>2811</v>
      </c>
    </row>
    <row r="516" spans="1:24" x14ac:dyDescent="0.3">
      <c r="A516" s="5">
        <v>510</v>
      </c>
      <c r="B516" s="5" t="str">
        <f>"201700005154"</f>
        <v>201700005154</v>
      </c>
      <c r="C516" s="5" t="str">
        <f>"98201"</f>
        <v>98201</v>
      </c>
      <c r="D516" s="5" t="s">
        <v>2812</v>
      </c>
      <c r="E516" s="5">
        <v>20333931304</v>
      </c>
      <c r="F516" s="5" t="s">
        <v>2813</v>
      </c>
      <c r="G516" s="5" t="s">
        <v>2814</v>
      </c>
      <c r="H516" s="5" t="s">
        <v>28</v>
      </c>
      <c r="I516" s="5" t="s">
        <v>28</v>
      </c>
      <c r="J516" s="5" t="s">
        <v>436</v>
      </c>
      <c r="K516" s="5" t="s">
        <v>2815</v>
      </c>
      <c r="L516" s="5" t="s">
        <v>2816</v>
      </c>
      <c r="M516" s="5" t="s">
        <v>2817</v>
      </c>
      <c r="N516" s="5"/>
      <c r="O516" s="5"/>
      <c r="P516" s="5"/>
      <c r="Q516" s="5"/>
      <c r="R516" s="5"/>
      <c r="S516" s="5"/>
      <c r="T516" s="5"/>
      <c r="U516" s="5">
        <v>5000</v>
      </c>
      <c r="V516" s="6">
        <v>42752</v>
      </c>
      <c r="W516" s="5" t="s">
        <v>31</v>
      </c>
      <c r="X516" s="5" t="s">
        <v>2818</v>
      </c>
    </row>
    <row r="517" spans="1:24" x14ac:dyDescent="0.3">
      <c r="A517" s="3">
        <v>511</v>
      </c>
      <c r="B517" s="3" t="str">
        <f>"1113574"</f>
        <v>1113574</v>
      </c>
      <c r="C517" s="3" t="str">
        <f>"980"</f>
        <v>980</v>
      </c>
      <c r="D517" s="3">
        <v>1046439</v>
      </c>
      <c r="E517" s="3">
        <v>20100037689</v>
      </c>
      <c r="F517" s="3" t="s">
        <v>2819</v>
      </c>
      <c r="G517" s="3" t="s">
        <v>2820</v>
      </c>
      <c r="H517" s="3" t="s">
        <v>28</v>
      </c>
      <c r="I517" s="3" t="s">
        <v>28</v>
      </c>
      <c r="J517" s="3" t="s">
        <v>436</v>
      </c>
      <c r="K517" s="3" t="s">
        <v>2121</v>
      </c>
      <c r="L517" s="3" t="s">
        <v>2821</v>
      </c>
      <c r="M517" s="3" t="s">
        <v>2822</v>
      </c>
      <c r="N517" s="3" t="s">
        <v>2822</v>
      </c>
      <c r="O517" s="3" t="s">
        <v>2823</v>
      </c>
      <c r="P517" s="3" t="s">
        <v>2823</v>
      </c>
      <c r="Q517" s="3" t="s">
        <v>421</v>
      </c>
      <c r="R517" s="3"/>
      <c r="S517" s="3"/>
      <c r="T517" s="3"/>
      <c r="U517" s="3">
        <v>54950</v>
      </c>
      <c r="V517" s="4">
        <v>35524</v>
      </c>
      <c r="W517" s="3" t="s">
        <v>31</v>
      </c>
      <c r="X517" s="3" t="s">
        <v>2824</v>
      </c>
    </row>
    <row r="518" spans="1:24" ht="27.95" x14ac:dyDescent="0.3">
      <c r="A518" s="5">
        <v>512</v>
      </c>
      <c r="B518" s="5" t="str">
        <f>"1937107"</f>
        <v>1937107</v>
      </c>
      <c r="C518" s="5" t="str">
        <f>"64516"</f>
        <v>64516</v>
      </c>
      <c r="D518" s="5" t="s">
        <v>2825</v>
      </c>
      <c r="E518" s="5">
        <v>20100073723</v>
      </c>
      <c r="F518" s="5" t="s">
        <v>2826</v>
      </c>
      <c r="G518" s="5" t="s">
        <v>2827</v>
      </c>
      <c r="H518" s="5" t="s">
        <v>28</v>
      </c>
      <c r="I518" s="5" t="s">
        <v>28</v>
      </c>
      <c r="J518" s="5" t="s">
        <v>328</v>
      </c>
      <c r="K518" s="5" t="s">
        <v>2828</v>
      </c>
      <c r="L518" s="5" t="s">
        <v>2829</v>
      </c>
      <c r="M518" s="5" t="s">
        <v>2830</v>
      </c>
      <c r="N518" s="5" t="s">
        <v>2830</v>
      </c>
      <c r="O518" s="5" t="s">
        <v>2831</v>
      </c>
      <c r="P518" s="5" t="s">
        <v>2832</v>
      </c>
      <c r="Q518" s="5" t="s">
        <v>2833</v>
      </c>
      <c r="R518" s="5" t="s">
        <v>2834</v>
      </c>
      <c r="S518" s="5"/>
      <c r="T518" s="5"/>
      <c r="U518" s="5">
        <v>199381</v>
      </c>
      <c r="V518" s="6">
        <v>40163</v>
      </c>
      <c r="W518" s="5" t="s">
        <v>31</v>
      </c>
      <c r="X518" s="5" t="s">
        <v>2835</v>
      </c>
    </row>
    <row r="519" spans="1:24" x14ac:dyDescent="0.3">
      <c r="A519" s="3">
        <v>513</v>
      </c>
      <c r="B519" s="3" t="str">
        <f>"201400003134"</f>
        <v>201400003134</v>
      </c>
      <c r="C519" s="3" t="str">
        <f>"33679"</f>
        <v>33679</v>
      </c>
      <c r="D519" s="3" t="s">
        <v>2836</v>
      </c>
      <c r="E519" s="3">
        <v>20297566866</v>
      </c>
      <c r="F519" s="3" t="s">
        <v>2837</v>
      </c>
      <c r="G519" s="3" t="s">
        <v>2838</v>
      </c>
      <c r="H519" s="3" t="s">
        <v>28</v>
      </c>
      <c r="I519" s="3" t="s">
        <v>72</v>
      </c>
      <c r="J519" s="3" t="s">
        <v>322</v>
      </c>
      <c r="K519" s="3" t="s">
        <v>30</v>
      </c>
      <c r="L519" s="3" t="s">
        <v>30</v>
      </c>
      <c r="M519" s="3"/>
      <c r="N519" s="3"/>
      <c r="O519" s="3"/>
      <c r="P519" s="3"/>
      <c r="Q519" s="3"/>
      <c r="R519" s="3"/>
      <c r="S519" s="3"/>
      <c r="T519" s="3"/>
      <c r="U519" s="3">
        <v>16000</v>
      </c>
      <c r="V519" s="4">
        <v>41661</v>
      </c>
      <c r="W519" s="3" t="s">
        <v>31</v>
      </c>
      <c r="X519" s="3" t="s">
        <v>2839</v>
      </c>
    </row>
    <row r="520" spans="1:24" ht="27.95" x14ac:dyDescent="0.3">
      <c r="A520" s="5">
        <v>514</v>
      </c>
      <c r="B520" s="5" t="str">
        <f>"201800010238"</f>
        <v>201800010238</v>
      </c>
      <c r="C520" s="5" t="str">
        <f>"133738"</f>
        <v>133738</v>
      </c>
      <c r="D520" s="5" t="s">
        <v>2840</v>
      </c>
      <c r="E520" s="5">
        <v>20512311122</v>
      </c>
      <c r="F520" s="5" t="s">
        <v>2841</v>
      </c>
      <c r="G520" s="5" t="s">
        <v>2842</v>
      </c>
      <c r="H520" s="5" t="s">
        <v>28</v>
      </c>
      <c r="I520" s="5" t="s">
        <v>28</v>
      </c>
      <c r="J520" s="5" t="s">
        <v>501</v>
      </c>
      <c r="K520" s="5" t="s">
        <v>1168</v>
      </c>
      <c r="L520" s="5" t="s">
        <v>1168</v>
      </c>
      <c r="M520" s="5"/>
      <c r="N520" s="5"/>
      <c r="O520" s="5"/>
      <c r="P520" s="5"/>
      <c r="Q520" s="5"/>
      <c r="R520" s="5"/>
      <c r="S520" s="5"/>
      <c r="T520" s="5"/>
      <c r="U520" s="5">
        <v>3000</v>
      </c>
      <c r="V520" s="6">
        <v>43126</v>
      </c>
      <c r="W520" s="5" t="s">
        <v>31</v>
      </c>
      <c r="X520" s="5" t="s">
        <v>2843</v>
      </c>
    </row>
    <row r="521" spans="1:24" ht="27.95" x14ac:dyDescent="0.3">
      <c r="A521" s="3">
        <v>515</v>
      </c>
      <c r="B521" s="3" t="str">
        <f>"1908253"</f>
        <v>1908253</v>
      </c>
      <c r="C521" s="3" t="str">
        <f>"37489"</f>
        <v>37489</v>
      </c>
      <c r="D521" s="3" t="s">
        <v>2844</v>
      </c>
      <c r="E521" s="3">
        <v>20506475288</v>
      </c>
      <c r="F521" s="3" t="s">
        <v>2845</v>
      </c>
      <c r="G521" s="3" t="s">
        <v>2846</v>
      </c>
      <c r="H521" s="3" t="s">
        <v>51</v>
      </c>
      <c r="I521" s="3" t="s">
        <v>815</v>
      </c>
      <c r="J521" s="3" t="s">
        <v>816</v>
      </c>
      <c r="K521" s="3" t="s">
        <v>2847</v>
      </c>
      <c r="L521" s="3" t="s">
        <v>2848</v>
      </c>
      <c r="M521" s="3"/>
      <c r="N521" s="3"/>
      <c r="O521" s="3"/>
      <c r="P521" s="3"/>
      <c r="Q521" s="3"/>
      <c r="R521" s="3"/>
      <c r="S521" s="3"/>
      <c r="T521" s="3"/>
      <c r="U521" s="3">
        <v>60000</v>
      </c>
      <c r="V521" s="4">
        <v>40016</v>
      </c>
      <c r="W521" s="3" t="s">
        <v>31</v>
      </c>
      <c r="X521" s="3" t="s">
        <v>2849</v>
      </c>
    </row>
    <row r="522" spans="1:24" x14ac:dyDescent="0.3">
      <c r="A522" s="5">
        <v>516</v>
      </c>
      <c r="B522" s="5" t="str">
        <f>"1124430"</f>
        <v>1124430</v>
      </c>
      <c r="C522" s="5" t="str">
        <f>"808"</f>
        <v>808</v>
      </c>
      <c r="D522" s="5">
        <v>1011921</v>
      </c>
      <c r="E522" s="5">
        <v>20100114853</v>
      </c>
      <c r="F522" s="5" t="s">
        <v>2850</v>
      </c>
      <c r="G522" s="5" t="s">
        <v>2851</v>
      </c>
      <c r="H522" s="5" t="s">
        <v>28</v>
      </c>
      <c r="I522" s="5" t="s">
        <v>574</v>
      </c>
      <c r="J522" s="5" t="s">
        <v>574</v>
      </c>
      <c r="K522" s="5" t="s">
        <v>341</v>
      </c>
      <c r="L522" s="5"/>
      <c r="M522" s="5"/>
      <c r="N522" s="5"/>
      <c r="O522" s="5"/>
      <c r="P522" s="5"/>
      <c r="Q522" s="5"/>
      <c r="R522" s="5"/>
      <c r="S522" s="5"/>
      <c r="T522" s="5"/>
      <c r="U522" s="5">
        <v>7000</v>
      </c>
      <c r="V522" s="6">
        <v>35599</v>
      </c>
      <c r="W522" s="5" t="s">
        <v>31</v>
      </c>
      <c r="X522" s="5" t="s">
        <v>2852</v>
      </c>
    </row>
    <row r="523" spans="1:24" ht="27.95" x14ac:dyDescent="0.3">
      <c r="A523" s="3">
        <v>517</v>
      </c>
      <c r="B523" s="3" t="str">
        <f>"201200029625"</f>
        <v>201200029625</v>
      </c>
      <c r="C523" s="3" t="str">
        <f>"95883"</f>
        <v>95883</v>
      </c>
      <c r="D523" s="3" t="s">
        <v>2853</v>
      </c>
      <c r="E523" s="3">
        <v>20483849606</v>
      </c>
      <c r="F523" s="3" t="s">
        <v>2854</v>
      </c>
      <c r="G523" s="3" t="s">
        <v>2855</v>
      </c>
      <c r="H523" s="3" t="s">
        <v>808</v>
      </c>
      <c r="I523" s="3" t="s">
        <v>808</v>
      </c>
      <c r="J523" s="3" t="s">
        <v>808</v>
      </c>
      <c r="K523" s="3" t="s">
        <v>2856</v>
      </c>
      <c r="L523" s="3"/>
      <c r="M523" s="3"/>
      <c r="N523" s="3"/>
      <c r="O523" s="3"/>
      <c r="P523" s="3"/>
      <c r="Q523" s="3"/>
      <c r="R523" s="3"/>
      <c r="S523" s="3"/>
      <c r="T523" s="3"/>
      <c r="U523" s="3">
        <v>3000</v>
      </c>
      <c r="V523" s="4">
        <v>40973</v>
      </c>
      <c r="W523" s="3" t="s">
        <v>31</v>
      </c>
      <c r="X523" s="3" t="s">
        <v>2857</v>
      </c>
    </row>
    <row r="524" spans="1:24" ht="27.95" x14ac:dyDescent="0.3">
      <c r="A524" s="5">
        <v>518</v>
      </c>
      <c r="B524" s="5" t="str">
        <f>"202000066635"</f>
        <v>202000066635</v>
      </c>
      <c r="C524" s="5" t="str">
        <f>"911"</f>
        <v>911</v>
      </c>
      <c r="D524" s="5" t="s">
        <v>2858</v>
      </c>
      <c r="E524" s="5">
        <v>20222335052</v>
      </c>
      <c r="F524" s="5" t="s">
        <v>2859</v>
      </c>
      <c r="G524" s="5" t="s">
        <v>2860</v>
      </c>
      <c r="H524" s="5" t="s">
        <v>36</v>
      </c>
      <c r="I524" s="5" t="s">
        <v>1269</v>
      </c>
      <c r="J524" s="5" t="s">
        <v>2545</v>
      </c>
      <c r="K524" s="5" t="s">
        <v>2861</v>
      </c>
      <c r="L524" s="5" t="s">
        <v>2862</v>
      </c>
      <c r="M524" s="5" t="s">
        <v>2863</v>
      </c>
      <c r="N524" s="5"/>
      <c r="O524" s="5"/>
      <c r="P524" s="5"/>
      <c r="Q524" s="5"/>
      <c r="R524" s="5"/>
      <c r="S524" s="5"/>
      <c r="T524" s="5"/>
      <c r="U524" s="5">
        <v>45752</v>
      </c>
      <c r="V524" s="6">
        <v>44000</v>
      </c>
      <c r="W524" s="5" t="s">
        <v>31</v>
      </c>
      <c r="X524" s="5" t="s">
        <v>2864</v>
      </c>
    </row>
    <row r="525" spans="1:24" x14ac:dyDescent="0.3">
      <c r="A525" s="3">
        <v>519</v>
      </c>
      <c r="B525" s="3" t="str">
        <f>"201500091291"</f>
        <v>201500091291</v>
      </c>
      <c r="C525" s="3" t="str">
        <f>"106240"</f>
        <v>106240</v>
      </c>
      <c r="D525" s="3" t="s">
        <v>2865</v>
      </c>
      <c r="E525" s="3">
        <v>20100009472</v>
      </c>
      <c r="F525" s="3" t="s">
        <v>2866</v>
      </c>
      <c r="G525" s="3" t="s">
        <v>2867</v>
      </c>
      <c r="H525" s="3" t="s">
        <v>28</v>
      </c>
      <c r="I525" s="3" t="s">
        <v>28</v>
      </c>
      <c r="J525" s="3" t="s">
        <v>28</v>
      </c>
      <c r="K525" s="3" t="s">
        <v>2634</v>
      </c>
      <c r="L525" s="3" t="s">
        <v>2868</v>
      </c>
      <c r="M525" s="3" t="s">
        <v>2634</v>
      </c>
      <c r="N525" s="3" t="s">
        <v>2869</v>
      </c>
      <c r="O525" s="3"/>
      <c r="P525" s="3"/>
      <c r="Q525" s="3"/>
      <c r="R525" s="3"/>
      <c r="S525" s="3"/>
      <c r="T525" s="3"/>
      <c r="U525" s="3">
        <v>20250</v>
      </c>
      <c r="V525" s="4">
        <v>42243</v>
      </c>
      <c r="W525" s="3" t="s">
        <v>31</v>
      </c>
      <c r="X525" s="3" t="s">
        <v>2870</v>
      </c>
    </row>
    <row r="526" spans="1:24" ht="27.95" x14ac:dyDescent="0.3">
      <c r="A526" s="5">
        <v>520</v>
      </c>
      <c r="B526" s="5" t="str">
        <f>"201900148770"</f>
        <v>201900148770</v>
      </c>
      <c r="C526" s="5" t="str">
        <f>"146513"</f>
        <v>146513</v>
      </c>
      <c r="D526" s="5" t="s">
        <v>2871</v>
      </c>
      <c r="E526" s="5">
        <v>20506377600</v>
      </c>
      <c r="F526" s="5" t="s">
        <v>2872</v>
      </c>
      <c r="G526" s="5" t="s">
        <v>2873</v>
      </c>
      <c r="H526" s="5" t="s">
        <v>115</v>
      </c>
      <c r="I526" s="5" t="s">
        <v>115</v>
      </c>
      <c r="J526" s="5" t="s">
        <v>159</v>
      </c>
      <c r="K526" s="5" t="s">
        <v>130</v>
      </c>
      <c r="L526" s="5" t="s">
        <v>130</v>
      </c>
      <c r="M526" s="5"/>
      <c r="N526" s="5"/>
      <c r="O526" s="5"/>
      <c r="P526" s="5"/>
      <c r="Q526" s="5"/>
      <c r="R526" s="5"/>
      <c r="S526" s="5"/>
      <c r="T526" s="5"/>
      <c r="U526" s="5">
        <v>6000</v>
      </c>
      <c r="V526" s="6">
        <v>43726</v>
      </c>
      <c r="W526" s="5" t="s">
        <v>31</v>
      </c>
      <c r="X526" s="5" t="s">
        <v>2874</v>
      </c>
    </row>
    <row r="527" spans="1:24" ht="27.95" x14ac:dyDescent="0.3">
      <c r="A527" s="3">
        <v>521</v>
      </c>
      <c r="B527" s="3" t="str">
        <f>"1973650"</f>
        <v>1973650</v>
      </c>
      <c r="C527" s="3" t="str">
        <f>"85282"</f>
        <v>85282</v>
      </c>
      <c r="D527" s="3" t="s">
        <v>2875</v>
      </c>
      <c r="E527" s="3">
        <v>20132373958</v>
      </c>
      <c r="F527" s="3" t="s">
        <v>2876</v>
      </c>
      <c r="G527" s="3" t="s">
        <v>2877</v>
      </c>
      <c r="H527" s="3" t="s">
        <v>80</v>
      </c>
      <c r="I527" s="3" t="s">
        <v>192</v>
      </c>
      <c r="J527" s="3" t="s">
        <v>192</v>
      </c>
      <c r="K527" s="3" t="s">
        <v>2878</v>
      </c>
      <c r="L527" s="3"/>
      <c r="M527" s="3"/>
      <c r="N527" s="3"/>
      <c r="O527" s="3"/>
      <c r="P527" s="3"/>
      <c r="Q527" s="3"/>
      <c r="R527" s="3"/>
      <c r="S527" s="3"/>
      <c r="T527" s="3"/>
      <c r="U527" s="3">
        <v>4900</v>
      </c>
      <c r="V527" s="4">
        <v>40245</v>
      </c>
      <c r="W527" s="3" t="s">
        <v>31</v>
      </c>
      <c r="X527" s="3" t="s">
        <v>2879</v>
      </c>
    </row>
    <row r="528" spans="1:24" ht="41.95" x14ac:dyDescent="0.3">
      <c r="A528" s="5">
        <v>522</v>
      </c>
      <c r="B528" s="5" t="str">
        <f>"201200220937"</f>
        <v>201200220937</v>
      </c>
      <c r="C528" s="5" t="str">
        <f>"95199"</f>
        <v>95199</v>
      </c>
      <c r="D528" s="5" t="s">
        <v>2880</v>
      </c>
      <c r="E528" s="5">
        <v>20160521326</v>
      </c>
      <c r="F528" s="5" t="s">
        <v>2881</v>
      </c>
      <c r="G528" s="5" t="s">
        <v>2882</v>
      </c>
      <c r="H528" s="5" t="s">
        <v>28</v>
      </c>
      <c r="I528" s="5" t="s">
        <v>667</v>
      </c>
      <c r="J528" s="5" t="s">
        <v>667</v>
      </c>
      <c r="K528" s="5" t="s">
        <v>2883</v>
      </c>
      <c r="L528" s="5" t="s">
        <v>2883</v>
      </c>
      <c r="M528" s="5"/>
      <c r="N528" s="5"/>
      <c r="O528" s="5"/>
      <c r="P528" s="5"/>
      <c r="Q528" s="5"/>
      <c r="R528" s="5"/>
      <c r="S528" s="5"/>
      <c r="T528" s="5"/>
      <c r="U528" s="5">
        <v>7600</v>
      </c>
      <c r="V528" s="6">
        <v>41299</v>
      </c>
      <c r="W528" s="5" t="s">
        <v>31</v>
      </c>
      <c r="X528" s="5" t="s">
        <v>2884</v>
      </c>
    </row>
    <row r="529" spans="1:24" x14ac:dyDescent="0.3">
      <c r="A529" s="3">
        <v>523</v>
      </c>
      <c r="B529" s="3" t="str">
        <f>"1740297"</f>
        <v>1740297</v>
      </c>
      <c r="C529" s="3" t="str">
        <f>"43294"</f>
        <v>43294</v>
      </c>
      <c r="D529" s="3" t="s">
        <v>2885</v>
      </c>
      <c r="E529" s="3">
        <v>20334885560</v>
      </c>
      <c r="F529" s="3" t="s">
        <v>2886</v>
      </c>
      <c r="G529" s="3" t="s">
        <v>2887</v>
      </c>
      <c r="H529" s="3" t="s">
        <v>135</v>
      </c>
      <c r="I529" s="3" t="s">
        <v>135</v>
      </c>
      <c r="J529" s="3" t="s">
        <v>135</v>
      </c>
      <c r="K529" s="3" t="s">
        <v>2888</v>
      </c>
      <c r="L529" s="3" t="s">
        <v>2889</v>
      </c>
      <c r="M529" s="3"/>
      <c r="N529" s="3"/>
      <c r="O529" s="3"/>
      <c r="P529" s="3"/>
      <c r="Q529" s="3"/>
      <c r="R529" s="3"/>
      <c r="S529" s="3"/>
      <c r="T529" s="3"/>
      <c r="U529" s="3">
        <v>4947</v>
      </c>
      <c r="V529" s="4">
        <v>39415</v>
      </c>
      <c r="W529" s="3" t="s">
        <v>31</v>
      </c>
      <c r="X529" s="3" t="s">
        <v>2890</v>
      </c>
    </row>
    <row r="530" spans="1:24" x14ac:dyDescent="0.3">
      <c r="A530" s="5">
        <v>524</v>
      </c>
      <c r="B530" s="5" t="str">
        <f>"201500147560"</f>
        <v>201500147560</v>
      </c>
      <c r="C530" s="5" t="str">
        <f>"118332"</f>
        <v>118332</v>
      </c>
      <c r="D530" s="5" t="s">
        <v>2891</v>
      </c>
      <c r="E530" s="5">
        <v>20428696515</v>
      </c>
      <c r="F530" s="5" t="s">
        <v>1139</v>
      </c>
      <c r="G530" s="5" t="s">
        <v>2892</v>
      </c>
      <c r="H530" s="5" t="s">
        <v>334</v>
      </c>
      <c r="I530" s="5" t="s">
        <v>335</v>
      </c>
      <c r="J530" s="5" t="s">
        <v>950</v>
      </c>
      <c r="K530" s="5" t="s">
        <v>2893</v>
      </c>
      <c r="L530" s="5" t="s">
        <v>2894</v>
      </c>
      <c r="M530" s="5"/>
      <c r="N530" s="5"/>
      <c r="O530" s="5"/>
      <c r="P530" s="5"/>
      <c r="Q530" s="5"/>
      <c r="R530" s="5"/>
      <c r="S530" s="5"/>
      <c r="T530" s="5"/>
      <c r="U530" s="5">
        <v>43500</v>
      </c>
      <c r="V530" s="6">
        <v>42324</v>
      </c>
      <c r="W530" s="5" t="s">
        <v>31</v>
      </c>
      <c r="X530" s="5" t="s">
        <v>1035</v>
      </c>
    </row>
    <row r="531" spans="1:24" x14ac:dyDescent="0.3">
      <c r="A531" s="3">
        <v>525</v>
      </c>
      <c r="B531" s="3" t="str">
        <f>"201900155158"</f>
        <v>201900155158</v>
      </c>
      <c r="C531" s="3" t="str">
        <f>"155"</f>
        <v>155</v>
      </c>
      <c r="D531" s="3" t="s">
        <v>2895</v>
      </c>
      <c r="E531" s="3">
        <v>20492744833</v>
      </c>
      <c r="F531" s="3" t="s">
        <v>2896</v>
      </c>
      <c r="G531" s="3" t="s">
        <v>2897</v>
      </c>
      <c r="H531" s="3" t="s">
        <v>921</v>
      </c>
      <c r="I531" s="3" t="s">
        <v>921</v>
      </c>
      <c r="J531" s="3" t="s">
        <v>2898</v>
      </c>
      <c r="K531" s="3" t="s">
        <v>1089</v>
      </c>
      <c r="L531" s="3" t="s">
        <v>1089</v>
      </c>
      <c r="M531" s="3" t="s">
        <v>130</v>
      </c>
      <c r="N531" s="3" t="s">
        <v>130</v>
      </c>
      <c r="O531" s="3" t="s">
        <v>130</v>
      </c>
      <c r="P531" s="3" t="s">
        <v>2899</v>
      </c>
      <c r="Q531" s="3" t="s">
        <v>2900</v>
      </c>
      <c r="R531" s="3" t="s">
        <v>2900</v>
      </c>
      <c r="S531" s="3" t="s">
        <v>2900</v>
      </c>
      <c r="T531" s="3" t="s">
        <v>2900</v>
      </c>
      <c r="U531" s="3">
        <v>90000</v>
      </c>
      <c r="V531" s="4">
        <v>43859</v>
      </c>
      <c r="W531" s="3" t="s">
        <v>31</v>
      </c>
      <c r="X531" s="3" t="s">
        <v>2667</v>
      </c>
    </row>
    <row r="532" spans="1:24" ht="27.95" x14ac:dyDescent="0.3">
      <c r="A532" s="5">
        <v>526</v>
      </c>
      <c r="B532" s="5" t="str">
        <f>"201800182552"</f>
        <v>201800182552</v>
      </c>
      <c r="C532" s="5" t="str">
        <f>"139452"</f>
        <v>139452</v>
      </c>
      <c r="D532" s="5" t="s">
        <v>2901</v>
      </c>
      <c r="E532" s="5">
        <v>20490912739</v>
      </c>
      <c r="F532" s="5" t="s">
        <v>2902</v>
      </c>
      <c r="G532" s="5" t="s">
        <v>2903</v>
      </c>
      <c r="H532" s="5" t="s">
        <v>165</v>
      </c>
      <c r="I532" s="5" t="s">
        <v>166</v>
      </c>
      <c r="J532" s="5" t="s">
        <v>167</v>
      </c>
      <c r="K532" s="5" t="s">
        <v>734</v>
      </c>
      <c r="L532" s="5"/>
      <c r="M532" s="5"/>
      <c r="N532" s="5"/>
      <c r="O532" s="5"/>
      <c r="P532" s="5"/>
      <c r="Q532" s="5"/>
      <c r="R532" s="5"/>
      <c r="S532" s="5"/>
      <c r="T532" s="5"/>
      <c r="U532" s="5">
        <v>7000</v>
      </c>
      <c r="V532" s="6">
        <v>43410</v>
      </c>
      <c r="W532" s="5" t="s">
        <v>31</v>
      </c>
      <c r="X532" s="5" t="s">
        <v>2904</v>
      </c>
    </row>
    <row r="533" spans="1:24" x14ac:dyDescent="0.3">
      <c r="A533" s="3">
        <v>527</v>
      </c>
      <c r="B533" s="3" t="str">
        <f>"1839583"</f>
        <v>1839583</v>
      </c>
      <c r="C533" s="3" t="str">
        <f>"64464"</f>
        <v>64464</v>
      </c>
      <c r="D533" s="3" t="s">
        <v>2905</v>
      </c>
      <c r="E533" s="3">
        <v>20153408191</v>
      </c>
      <c r="F533" s="3" t="s">
        <v>2906</v>
      </c>
      <c r="G533" s="3" t="s">
        <v>2907</v>
      </c>
      <c r="H533" s="3" t="s">
        <v>28</v>
      </c>
      <c r="I533" s="3" t="s">
        <v>28</v>
      </c>
      <c r="J533" s="3" t="s">
        <v>1403</v>
      </c>
      <c r="K533" s="3" t="s">
        <v>2908</v>
      </c>
      <c r="L533" s="3" t="s">
        <v>2908</v>
      </c>
      <c r="M533" s="3" t="s">
        <v>2909</v>
      </c>
      <c r="N533" s="3" t="s">
        <v>2910</v>
      </c>
      <c r="O533" s="3"/>
      <c r="P533" s="3"/>
      <c r="Q533" s="3"/>
      <c r="R533" s="3"/>
      <c r="S533" s="3"/>
      <c r="T533" s="3"/>
      <c r="U533" s="3">
        <v>22520</v>
      </c>
      <c r="V533" s="4">
        <v>39784</v>
      </c>
      <c r="W533" s="3" t="s">
        <v>31</v>
      </c>
      <c r="X533" s="3" t="s">
        <v>2911</v>
      </c>
    </row>
    <row r="534" spans="1:24" ht="27.95" x14ac:dyDescent="0.3">
      <c r="A534" s="5">
        <v>528</v>
      </c>
      <c r="B534" s="5" t="str">
        <f>"201900206007"</f>
        <v>201900206007</v>
      </c>
      <c r="C534" s="5" t="str">
        <f>"567"</f>
        <v>567</v>
      </c>
      <c r="D534" s="5" t="s">
        <v>2912</v>
      </c>
      <c r="E534" s="5">
        <v>20521645831</v>
      </c>
      <c r="F534" s="5" t="s">
        <v>2913</v>
      </c>
      <c r="G534" s="5" t="s">
        <v>2914</v>
      </c>
      <c r="H534" s="5" t="s">
        <v>115</v>
      </c>
      <c r="I534" s="5" t="s">
        <v>115</v>
      </c>
      <c r="J534" s="5" t="s">
        <v>116</v>
      </c>
      <c r="K534" s="5" t="s">
        <v>168</v>
      </c>
      <c r="L534" s="5"/>
      <c r="M534" s="5"/>
      <c r="N534" s="5"/>
      <c r="O534" s="5"/>
      <c r="P534" s="5"/>
      <c r="Q534" s="5"/>
      <c r="R534" s="5"/>
      <c r="S534" s="5"/>
      <c r="T534" s="5"/>
      <c r="U534" s="5">
        <v>10000</v>
      </c>
      <c r="V534" s="6">
        <v>43818</v>
      </c>
      <c r="W534" s="5" t="s">
        <v>31</v>
      </c>
      <c r="X534" s="5" t="s">
        <v>2915</v>
      </c>
    </row>
    <row r="535" spans="1:24" x14ac:dyDescent="0.3">
      <c r="A535" s="3">
        <v>529</v>
      </c>
      <c r="B535" s="3" t="str">
        <f>"201200131096"</f>
        <v>201200131096</v>
      </c>
      <c r="C535" s="3" t="str">
        <f>"84110"</f>
        <v>84110</v>
      </c>
      <c r="D535" s="3" t="s">
        <v>2916</v>
      </c>
      <c r="E535" s="3">
        <v>20100302421</v>
      </c>
      <c r="F535" s="3" t="s">
        <v>2917</v>
      </c>
      <c r="G535" s="3" t="s">
        <v>2918</v>
      </c>
      <c r="H535" s="3" t="s">
        <v>28</v>
      </c>
      <c r="I535" s="3" t="s">
        <v>28</v>
      </c>
      <c r="J535" s="3" t="s">
        <v>91</v>
      </c>
      <c r="K535" s="3" t="s">
        <v>2919</v>
      </c>
      <c r="L535" s="3" t="s">
        <v>2920</v>
      </c>
      <c r="M535" s="3"/>
      <c r="N535" s="3"/>
      <c r="O535" s="3"/>
      <c r="P535" s="3"/>
      <c r="Q535" s="3"/>
      <c r="R535" s="3"/>
      <c r="S535" s="3"/>
      <c r="T535" s="3"/>
      <c r="U535" s="3">
        <v>3500</v>
      </c>
      <c r="V535" s="4">
        <v>41101</v>
      </c>
      <c r="W535" s="3" t="s">
        <v>31</v>
      </c>
      <c r="X535" s="3" t="s">
        <v>2921</v>
      </c>
    </row>
    <row r="536" spans="1:24" x14ac:dyDescent="0.3">
      <c r="A536" s="5">
        <v>530</v>
      </c>
      <c r="B536" s="5" t="str">
        <f>"1119584"</f>
        <v>1119584</v>
      </c>
      <c r="C536" s="5" t="str">
        <f>"514"</f>
        <v>514</v>
      </c>
      <c r="D536" s="5" t="s">
        <v>2922</v>
      </c>
      <c r="E536" s="5">
        <v>20103795631</v>
      </c>
      <c r="F536" s="5" t="s">
        <v>2923</v>
      </c>
      <c r="G536" s="5" t="s">
        <v>2924</v>
      </c>
      <c r="H536" s="5" t="s">
        <v>58</v>
      </c>
      <c r="I536" s="5" t="s">
        <v>507</v>
      </c>
      <c r="J536" s="5" t="s">
        <v>508</v>
      </c>
      <c r="K536" s="5" t="s">
        <v>2925</v>
      </c>
      <c r="L536" s="5"/>
      <c r="M536" s="5"/>
      <c r="N536" s="5"/>
      <c r="O536" s="5"/>
      <c r="P536" s="5"/>
      <c r="Q536" s="5"/>
      <c r="R536" s="5"/>
      <c r="S536" s="5"/>
      <c r="T536" s="5"/>
      <c r="U536" s="5">
        <v>37000</v>
      </c>
      <c r="V536" s="6">
        <v>36816</v>
      </c>
      <c r="W536" s="5" t="s">
        <v>31</v>
      </c>
      <c r="X536" s="5" t="s">
        <v>2926</v>
      </c>
    </row>
    <row r="537" spans="1:24" ht="27.95" x14ac:dyDescent="0.3">
      <c r="A537" s="3">
        <v>531</v>
      </c>
      <c r="B537" s="3" t="str">
        <f>"1110583"</f>
        <v>1110583</v>
      </c>
      <c r="C537" s="3" t="str">
        <f>"544"</f>
        <v>544</v>
      </c>
      <c r="D537" s="3" t="s">
        <v>2927</v>
      </c>
      <c r="E537" s="3">
        <v>20100592089</v>
      </c>
      <c r="F537" s="3" t="s">
        <v>2928</v>
      </c>
      <c r="G537" s="3" t="s">
        <v>2929</v>
      </c>
      <c r="H537" s="3" t="s">
        <v>115</v>
      </c>
      <c r="I537" s="3" t="s">
        <v>115</v>
      </c>
      <c r="J537" s="3" t="s">
        <v>159</v>
      </c>
      <c r="K537" s="3" t="s">
        <v>1550</v>
      </c>
      <c r="L537" s="3"/>
      <c r="M537" s="3"/>
      <c r="N537" s="3"/>
      <c r="O537" s="3"/>
      <c r="P537" s="3"/>
      <c r="Q537" s="3"/>
      <c r="R537" s="3"/>
      <c r="S537" s="3"/>
      <c r="T537" s="3"/>
      <c r="U537" s="3">
        <v>3000</v>
      </c>
      <c r="V537" s="4">
        <v>39976</v>
      </c>
      <c r="W537" s="3" t="s">
        <v>31</v>
      </c>
      <c r="X537" s="3" t="s">
        <v>2930</v>
      </c>
    </row>
    <row r="538" spans="1:24" x14ac:dyDescent="0.3">
      <c r="A538" s="5">
        <v>532</v>
      </c>
      <c r="B538" s="5" t="str">
        <f>"1158816"</f>
        <v>1158816</v>
      </c>
      <c r="C538" s="5" t="str">
        <f>"1349"</f>
        <v>1349</v>
      </c>
      <c r="D538" s="5">
        <v>1158816</v>
      </c>
      <c r="E538" s="5">
        <v>20129646099</v>
      </c>
      <c r="F538" s="5" t="s">
        <v>2931</v>
      </c>
      <c r="G538" s="5" t="s">
        <v>2932</v>
      </c>
      <c r="H538" s="5" t="s">
        <v>566</v>
      </c>
      <c r="I538" s="5" t="s">
        <v>1522</v>
      </c>
      <c r="J538" s="5" t="s">
        <v>1522</v>
      </c>
      <c r="K538" s="5" t="s">
        <v>951</v>
      </c>
      <c r="L538" s="5"/>
      <c r="M538" s="5"/>
      <c r="N538" s="5"/>
      <c r="O538" s="5"/>
      <c r="P538" s="5"/>
      <c r="Q538" s="5"/>
      <c r="R538" s="5"/>
      <c r="S538" s="5"/>
      <c r="T538" s="5"/>
      <c r="U538" s="5">
        <v>40000</v>
      </c>
      <c r="V538" s="6">
        <v>35747</v>
      </c>
      <c r="W538" s="5" t="s">
        <v>31</v>
      </c>
      <c r="X538" s="5" t="s">
        <v>2933</v>
      </c>
    </row>
    <row r="539" spans="1:24" ht="27.95" x14ac:dyDescent="0.3">
      <c r="A539" s="3">
        <v>533</v>
      </c>
      <c r="B539" s="3" t="str">
        <f>"1925279"</f>
        <v>1925279</v>
      </c>
      <c r="C539" s="3" t="str">
        <f>"720"</f>
        <v>720</v>
      </c>
      <c r="D539" s="3" t="s">
        <v>2934</v>
      </c>
      <c r="E539" s="3">
        <v>20342347950</v>
      </c>
      <c r="F539" s="3" t="s">
        <v>2935</v>
      </c>
      <c r="G539" s="3" t="s">
        <v>2936</v>
      </c>
      <c r="H539" s="3" t="s">
        <v>115</v>
      </c>
      <c r="I539" s="3" t="s">
        <v>115</v>
      </c>
      <c r="J539" s="3" t="s">
        <v>116</v>
      </c>
      <c r="K539" s="3" t="s">
        <v>2937</v>
      </c>
      <c r="L539" s="3" t="s">
        <v>2938</v>
      </c>
      <c r="M539" s="3" t="s">
        <v>2939</v>
      </c>
      <c r="N539" s="3" t="s">
        <v>2940</v>
      </c>
      <c r="O539" s="3" t="s">
        <v>2941</v>
      </c>
      <c r="P539" s="3" t="s">
        <v>1233</v>
      </c>
      <c r="Q539" s="3" t="s">
        <v>2942</v>
      </c>
      <c r="R539" s="3" t="s">
        <v>2938</v>
      </c>
      <c r="S539" s="3" t="s">
        <v>2202</v>
      </c>
      <c r="T539" s="3"/>
      <c r="U539" s="3">
        <v>12450</v>
      </c>
      <c r="V539" s="4">
        <v>40106</v>
      </c>
      <c r="W539" s="3" t="s">
        <v>31</v>
      </c>
      <c r="X539" s="3" t="s">
        <v>2943</v>
      </c>
    </row>
    <row r="540" spans="1:24" ht="27.95" x14ac:dyDescent="0.3">
      <c r="A540" s="5">
        <v>534</v>
      </c>
      <c r="B540" s="5" t="str">
        <f>"1175179"</f>
        <v>1175179</v>
      </c>
      <c r="C540" s="5" t="str">
        <f>"1513"</f>
        <v>1513</v>
      </c>
      <c r="D540" s="5">
        <v>1175179</v>
      </c>
      <c r="E540" s="5">
        <v>20147893591</v>
      </c>
      <c r="F540" s="5" t="s">
        <v>2944</v>
      </c>
      <c r="G540" s="5" t="s">
        <v>2945</v>
      </c>
      <c r="H540" s="5" t="s">
        <v>28</v>
      </c>
      <c r="I540" s="5" t="s">
        <v>28</v>
      </c>
      <c r="J540" s="5" t="s">
        <v>172</v>
      </c>
      <c r="K540" s="5" t="s">
        <v>2946</v>
      </c>
      <c r="L540" s="5" t="s">
        <v>877</v>
      </c>
      <c r="M540" s="5"/>
      <c r="N540" s="5"/>
      <c r="O540" s="5"/>
      <c r="P540" s="5"/>
      <c r="Q540" s="5"/>
      <c r="R540" s="5"/>
      <c r="S540" s="5"/>
      <c r="T540" s="5"/>
      <c r="U540" s="5">
        <v>5800</v>
      </c>
      <c r="V540" s="6">
        <v>35866</v>
      </c>
      <c r="W540" s="5" t="s">
        <v>31</v>
      </c>
      <c r="X540" s="5" t="s">
        <v>2947</v>
      </c>
    </row>
    <row r="541" spans="1:24" x14ac:dyDescent="0.3">
      <c r="A541" s="3">
        <v>535</v>
      </c>
      <c r="B541" s="3" t="str">
        <f>"1113594"</f>
        <v>1113594</v>
      </c>
      <c r="C541" s="3" t="str">
        <f>"701"</f>
        <v>701</v>
      </c>
      <c r="D541" s="3" t="s">
        <v>2948</v>
      </c>
      <c r="E541" s="3">
        <v>20330791501</v>
      </c>
      <c r="F541" s="3" t="s">
        <v>1257</v>
      </c>
      <c r="G541" s="3" t="s">
        <v>2949</v>
      </c>
      <c r="H541" s="3" t="s">
        <v>115</v>
      </c>
      <c r="I541" s="3" t="s">
        <v>115</v>
      </c>
      <c r="J541" s="3" t="s">
        <v>116</v>
      </c>
      <c r="K541" s="3" t="s">
        <v>2950</v>
      </c>
      <c r="L541" s="3"/>
      <c r="M541" s="3"/>
      <c r="N541" s="3"/>
      <c r="O541" s="3"/>
      <c r="P541" s="3"/>
      <c r="Q541" s="3"/>
      <c r="R541" s="3"/>
      <c r="S541" s="3"/>
      <c r="T541" s="3"/>
      <c r="U541" s="3">
        <v>29300</v>
      </c>
      <c r="V541" s="4">
        <v>36826</v>
      </c>
      <c r="W541" s="3" t="s">
        <v>31</v>
      </c>
      <c r="X541" s="3" t="s">
        <v>2951</v>
      </c>
    </row>
    <row r="542" spans="1:24" x14ac:dyDescent="0.3">
      <c r="A542" s="5">
        <v>536</v>
      </c>
      <c r="B542" s="5" t="str">
        <f>"1689164"</f>
        <v>1689164</v>
      </c>
      <c r="C542" s="5" t="str">
        <f>"45147"</f>
        <v>45147</v>
      </c>
      <c r="D542" s="5" t="s">
        <v>2952</v>
      </c>
      <c r="E542" s="5">
        <v>20265815830</v>
      </c>
      <c r="F542" s="5" t="s">
        <v>2953</v>
      </c>
      <c r="G542" s="5" t="s">
        <v>2954</v>
      </c>
      <c r="H542" s="5" t="s">
        <v>28</v>
      </c>
      <c r="I542" s="5" t="s">
        <v>28</v>
      </c>
      <c r="J542" s="5" t="s">
        <v>426</v>
      </c>
      <c r="K542" s="5" t="s">
        <v>323</v>
      </c>
      <c r="L542" s="5"/>
      <c r="M542" s="5"/>
      <c r="N542" s="5"/>
      <c r="O542" s="5"/>
      <c r="P542" s="5"/>
      <c r="Q542" s="5"/>
      <c r="R542" s="5"/>
      <c r="S542" s="5"/>
      <c r="T542" s="5"/>
      <c r="U542" s="5">
        <v>4000</v>
      </c>
      <c r="V542" s="6">
        <v>39217</v>
      </c>
      <c r="W542" s="5" t="s">
        <v>31</v>
      </c>
      <c r="X542" s="5" t="s">
        <v>2955</v>
      </c>
    </row>
    <row r="543" spans="1:24" x14ac:dyDescent="0.3">
      <c r="A543" s="3">
        <v>537</v>
      </c>
      <c r="B543" s="3" t="str">
        <f>"201500141935"</f>
        <v>201500141935</v>
      </c>
      <c r="C543" s="3" t="str">
        <f>"118148"</f>
        <v>118148</v>
      </c>
      <c r="D543" s="3" t="s">
        <v>2956</v>
      </c>
      <c r="E543" s="3">
        <v>20538379302</v>
      </c>
      <c r="F543" s="3" t="s">
        <v>2957</v>
      </c>
      <c r="G543" s="3" t="s">
        <v>2958</v>
      </c>
      <c r="H543" s="3" t="s">
        <v>28</v>
      </c>
      <c r="I543" s="3" t="s">
        <v>122</v>
      </c>
      <c r="J543" s="3" t="s">
        <v>123</v>
      </c>
      <c r="K543" s="3" t="s">
        <v>397</v>
      </c>
      <c r="L543" s="3"/>
      <c r="M543" s="3"/>
      <c r="N543" s="3"/>
      <c r="O543" s="3"/>
      <c r="P543" s="3"/>
      <c r="Q543" s="3"/>
      <c r="R543" s="3"/>
      <c r="S543" s="3"/>
      <c r="T543" s="3"/>
      <c r="U543" s="3">
        <v>2000</v>
      </c>
      <c r="V543" s="4">
        <v>42341</v>
      </c>
      <c r="W543" s="3" t="s">
        <v>31</v>
      </c>
      <c r="X543" s="3" t="s">
        <v>2959</v>
      </c>
    </row>
    <row r="544" spans="1:24" x14ac:dyDescent="0.3">
      <c r="A544" s="5">
        <v>538</v>
      </c>
      <c r="B544" s="5" t="str">
        <f>"201100167561"</f>
        <v>201100167561</v>
      </c>
      <c r="C544" s="5" t="str">
        <f>"94855"</f>
        <v>94855</v>
      </c>
      <c r="D544" s="5" t="s">
        <v>2960</v>
      </c>
      <c r="E544" s="5">
        <v>20484294756</v>
      </c>
      <c r="F544" s="5" t="s">
        <v>2961</v>
      </c>
      <c r="G544" s="5" t="s">
        <v>2962</v>
      </c>
      <c r="H544" s="5" t="s">
        <v>80</v>
      </c>
      <c r="I544" s="5" t="s">
        <v>309</v>
      </c>
      <c r="J544" s="5" t="s">
        <v>309</v>
      </c>
      <c r="K544" s="5" t="s">
        <v>341</v>
      </c>
      <c r="L544" s="5" t="s">
        <v>341</v>
      </c>
      <c r="M544" s="5"/>
      <c r="N544" s="5"/>
      <c r="O544" s="5"/>
      <c r="P544" s="5"/>
      <c r="Q544" s="5"/>
      <c r="R544" s="5"/>
      <c r="S544" s="5"/>
      <c r="T544" s="5"/>
      <c r="U544" s="5">
        <v>14000</v>
      </c>
      <c r="V544" s="6">
        <v>40896</v>
      </c>
      <c r="W544" s="5" t="s">
        <v>31</v>
      </c>
      <c r="X544" s="5" t="s">
        <v>2963</v>
      </c>
    </row>
    <row r="545" spans="1:24" x14ac:dyDescent="0.3">
      <c r="A545" s="3">
        <v>539</v>
      </c>
      <c r="B545" s="3" t="str">
        <f>"1910488"</f>
        <v>1910488</v>
      </c>
      <c r="C545" s="3" t="str">
        <f>"1333"</f>
        <v>1333</v>
      </c>
      <c r="D545" s="3" t="s">
        <v>2964</v>
      </c>
      <c r="E545" s="3">
        <v>20131895365</v>
      </c>
      <c r="F545" s="3" t="s">
        <v>2965</v>
      </c>
      <c r="G545" s="3" t="s">
        <v>2966</v>
      </c>
      <c r="H545" s="3" t="s">
        <v>36</v>
      </c>
      <c r="I545" s="3" t="s">
        <v>234</v>
      </c>
      <c r="J545" s="3" t="s">
        <v>234</v>
      </c>
      <c r="K545" s="3" t="s">
        <v>2967</v>
      </c>
      <c r="L545" s="3"/>
      <c r="M545" s="3"/>
      <c r="N545" s="3"/>
      <c r="O545" s="3"/>
      <c r="P545" s="3"/>
      <c r="Q545" s="3"/>
      <c r="R545" s="3"/>
      <c r="S545" s="3"/>
      <c r="T545" s="3"/>
      <c r="U545" s="3">
        <v>3700</v>
      </c>
      <c r="V545" s="4">
        <v>40025</v>
      </c>
      <c r="W545" s="3" t="s">
        <v>31</v>
      </c>
      <c r="X545" s="3" t="s">
        <v>2968</v>
      </c>
    </row>
    <row r="546" spans="1:24" ht="27.95" x14ac:dyDescent="0.3">
      <c r="A546" s="5">
        <v>540</v>
      </c>
      <c r="B546" s="5" t="str">
        <f>"201400011231"</f>
        <v>201400011231</v>
      </c>
      <c r="C546" s="5" t="str">
        <f>"61153"</f>
        <v>61153</v>
      </c>
      <c r="D546" s="5" t="s">
        <v>2969</v>
      </c>
      <c r="E546" s="5">
        <v>20132120821</v>
      </c>
      <c r="F546" s="5" t="s">
        <v>2237</v>
      </c>
      <c r="G546" s="5" t="s">
        <v>2970</v>
      </c>
      <c r="H546" s="5" t="s">
        <v>28</v>
      </c>
      <c r="I546" s="5" t="s">
        <v>28</v>
      </c>
      <c r="J546" s="5" t="s">
        <v>208</v>
      </c>
      <c r="K546" s="5" t="s">
        <v>1074</v>
      </c>
      <c r="L546" s="5" t="s">
        <v>1074</v>
      </c>
      <c r="M546" s="5"/>
      <c r="N546" s="5"/>
      <c r="O546" s="5"/>
      <c r="P546" s="5"/>
      <c r="Q546" s="5"/>
      <c r="R546" s="5"/>
      <c r="S546" s="5"/>
      <c r="T546" s="5"/>
      <c r="U546" s="5">
        <v>7000</v>
      </c>
      <c r="V546" s="6">
        <v>41703</v>
      </c>
      <c r="W546" s="5" t="s">
        <v>31</v>
      </c>
      <c r="X546" s="5" t="s">
        <v>2240</v>
      </c>
    </row>
    <row r="547" spans="1:24" ht="27.95" x14ac:dyDescent="0.3">
      <c r="A547" s="3">
        <v>541</v>
      </c>
      <c r="B547" s="3" t="str">
        <f>"201700159208"</f>
        <v>201700159208</v>
      </c>
      <c r="C547" s="3" t="str">
        <f>"132069"</f>
        <v>132069</v>
      </c>
      <c r="D547" s="3" t="s">
        <v>2971</v>
      </c>
      <c r="E547" s="3">
        <v>20146569871</v>
      </c>
      <c r="F547" s="3" t="s">
        <v>2972</v>
      </c>
      <c r="G547" s="3" t="s">
        <v>2973</v>
      </c>
      <c r="H547" s="3" t="s">
        <v>566</v>
      </c>
      <c r="I547" s="3" t="s">
        <v>657</v>
      </c>
      <c r="J547" s="3" t="s">
        <v>657</v>
      </c>
      <c r="K547" s="3" t="s">
        <v>2634</v>
      </c>
      <c r="L547" s="3"/>
      <c r="M547" s="3"/>
      <c r="N547" s="3"/>
      <c r="O547" s="3"/>
      <c r="P547" s="3"/>
      <c r="Q547" s="3"/>
      <c r="R547" s="3"/>
      <c r="S547" s="3"/>
      <c r="T547" s="3"/>
      <c r="U547" s="3">
        <v>6600</v>
      </c>
      <c r="V547" s="4">
        <v>43011</v>
      </c>
      <c r="W547" s="3" t="s">
        <v>31</v>
      </c>
      <c r="X547" s="3" t="s">
        <v>2974</v>
      </c>
    </row>
    <row r="548" spans="1:24" ht="27.95" x14ac:dyDescent="0.3">
      <c r="A548" s="5">
        <v>542</v>
      </c>
      <c r="B548" s="5" t="str">
        <f>"1155469"</f>
        <v>1155469</v>
      </c>
      <c r="C548" s="5" t="str">
        <f>"1326"</f>
        <v>1326</v>
      </c>
      <c r="D548" s="5">
        <v>1155469</v>
      </c>
      <c r="E548" s="5">
        <v>20167237119</v>
      </c>
      <c r="F548" s="5" t="s">
        <v>2975</v>
      </c>
      <c r="G548" s="5" t="s">
        <v>2976</v>
      </c>
      <c r="H548" s="5" t="s">
        <v>51</v>
      </c>
      <c r="I548" s="5" t="s">
        <v>51</v>
      </c>
      <c r="J548" s="5" t="s">
        <v>2977</v>
      </c>
      <c r="K548" s="5" t="s">
        <v>2978</v>
      </c>
      <c r="L548" s="5" t="s">
        <v>323</v>
      </c>
      <c r="M548" s="5"/>
      <c r="N548" s="5"/>
      <c r="O548" s="5"/>
      <c r="P548" s="5"/>
      <c r="Q548" s="5"/>
      <c r="R548" s="5"/>
      <c r="S548" s="5"/>
      <c r="T548" s="5"/>
      <c r="U548" s="5">
        <v>8000</v>
      </c>
      <c r="V548" s="6">
        <v>35719</v>
      </c>
      <c r="W548" s="5" t="s">
        <v>31</v>
      </c>
      <c r="X548" s="5" t="s">
        <v>2979</v>
      </c>
    </row>
    <row r="549" spans="1:24" x14ac:dyDescent="0.3">
      <c r="A549" s="3">
        <v>543</v>
      </c>
      <c r="B549" s="3" t="str">
        <f>"1965393"</f>
        <v>1965393</v>
      </c>
      <c r="C549" s="3" t="str">
        <f>"44790"</f>
        <v>44790</v>
      </c>
      <c r="D549" s="3" t="s">
        <v>2980</v>
      </c>
      <c r="E549" s="3">
        <v>20512025464</v>
      </c>
      <c r="F549" s="3" t="s">
        <v>2981</v>
      </c>
      <c r="G549" s="3" t="s">
        <v>2982</v>
      </c>
      <c r="H549" s="3" t="s">
        <v>28</v>
      </c>
      <c r="I549" s="3" t="s">
        <v>28</v>
      </c>
      <c r="J549" s="3" t="s">
        <v>1432</v>
      </c>
      <c r="K549" s="3" t="s">
        <v>707</v>
      </c>
      <c r="L549" s="3" t="s">
        <v>2983</v>
      </c>
      <c r="M549" s="3" t="s">
        <v>2984</v>
      </c>
      <c r="N549" s="3"/>
      <c r="O549" s="3"/>
      <c r="P549" s="3"/>
      <c r="Q549" s="3"/>
      <c r="R549" s="3"/>
      <c r="S549" s="3"/>
      <c r="T549" s="3"/>
      <c r="U549" s="3">
        <v>19200</v>
      </c>
      <c r="V549" s="4">
        <v>40232</v>
      </c>
      <c r="W549" s="3" t="s">
        <v>31</v>
      </c>
      <c r="X549" s="3" t="s">
        <v>2985</v>
      </c>
    </row>
    <row r="550" spans="1:24" x14ac:dyDescent="0.3">
      <c r="A550" s="5">
        <v>544</v>
      </c>
      <c r="B550" s="5" t="str">
        <f>"1294256"</f>
        <v>1294256</v>
      </c>
      <c r="C550" s="5" t="str">
        <f>"19430"</f>
        <v>19430</v>
      </c>
      <c r="D550" s="5">
        <v>1294256</v>
      </c>
      <c r="E550" s="5">
        <v>20100063761</v>
      </c>
      <c r="F550" s="5" t="s">
        <v>2986</v>
      </c>
      <c r="G550" s="5" t="s">
        <v>2987</v>
      </c>
      <c r="H550" s="5" t="s">
        <v>28</v>
      </c>
      <c r="I550" s="5" t="s">
        <v>28</v>
      </c>
      <c r="J550" s="5" t="s">
        <v>91</v>
      </c>
      <c r="K550" s="5" t="s">
        <v>46</v>
      </c>
      <c r="L550" s="5"/>
      <c r="M550" s="5"/>
      <c r="N550" s="5"/>
      <c r="O550" s="5"/>
      <c r="P550" s="5"/>
      <c r="Q550" s="5"/>
      <c r="R550" s="5"/>
      <c r="S550" s="5"/>
      <c r="T550" s="5"/>
      <c r="U550" s="5">
        <v>3000</v>
      </c>
      <c r="V550" s="6">
        <v>36782</v>
      </c>
      <c r="W550" s="5" t="s">
        <v>31</v>
      </c>
      <c r="X550" s="5" t="s">
        <v>2988</v>
      </c>
    </row>
    <row r="551" spans="1:24" x14ac:dyDescent="0.3">
      <c r="A551" s="3">
        <v>545</v>
      </c>
      <c r="B551" s="3" t="str">
        <f>"201500159490"</f>
        <v>201500159490</v>
      </c>
      <c r="C551" s="3" t="str">
        <f>"118768"</f>
        <v>118768</v>
      </c>
      <c r="D551" s="3" t="s">
        <v>2989</v>
      </c>
      <c r="E551" s="3">
        <v>20537698889</v>
      </c>
      <c r="F551" s="3" t="s">
        <v>2990</v>
      </c>
      <c r="G551" s="3" t="s">
        <v>2991</v>
      </c>
      <c r="H551" s="3" t="s">
        <v>51</v>
      </c>
      <c r="I551" s="3" t="s">
        <v>52</v>
      </c>
      <c r="J551" s="3" t="s">
        <v>1050</v>
      </c>
      <c r="K551" s="3" t="s">
        <v>2992</v>
      </c>
      <c r="L551" s="3" t="s">
        <v>2992</v>
      </c>
      <c r="M551" s="3" t="s">
        <v>2992</v>
      </c>
      <c r="N551" s="3" t="s">
        <v>2992</v>
      </c>
      <c r="O551" s="3" t="s">
        <v>2992</v>
      </c>
      <c r="P551" s="3"/>
      <c r="Q551" s="3"/>
      <c r="R551" s="3"/>
      <c r="S551" s="3"/>
      <c r="T551" s="3"/>
      <c r="U551" s="3">
        <v>15982415</v>
      </c>
      <c r="V551" s="4">
        <v>42339</v>
      </c>
      <c r="W551" s="3" t="s">
        <v>31</v>
      </c>
      <c r="X551" s="3" t="s">
        <v>2993</v>
      </c>
    </row>
    <row r="552" spans="1:24" ht="27.95" x14ac:dyDescent="0.3">
      <c r="A552" s="5">
        <v>546</v>
      </c>
      <c r="B552" s="5" t="str">
        <f>"201600141524"</f>
        <v>201600141524</v>
      </c>
      <c r="C552" s="5" t="str">
        <f>"103314"</f>
        <v>103314</v>
      </c>
      <c r="D552" s="5" t="s">
        <v>2994</v>
      </c>
      <c r="E552" s="5">
        <v>20479729141</v>
      </c>
      <c r="F552" s="5" t="s">
        <v>2995</v>
      </c>
      <c r="G552" s="5" t="s">
        <v>2996</v>
      </c>
      <c r="H552" s="5" t="s">
        <v>36</v>
      </c>
      <c r="I552" s="5" t="s">
        <v>465</v>
      </c>
      <c r="J552" s="5" t="s">
        <v>465</v>
      </c>
      <c r="K552" s="5" t="s">
        <v>2180</v>
      </c>
      <c r="L552" s="5"/>
      <c r="M552" s="5"/>
      <c r="N552" s="5"/>
      <c r="O552" s="5"/>
      <c r="P552" s="5"/>
      <c r="Q552" s="5"/>
      <c r="R552" s="5"/>
      <c r="S552" s="5"/>
      <c r="T552" s="5"/>
      <c r="U552" s="5">
        <v>10000</v>
      </c>
      <c r="V552" s="6">
        <v>42642</v>
      </c>
      <c r="W552" s="5" t="s">
        <v>31</v>
      </c>
      <c r="X552" s="5" t="s">
        <v>2997</v>
      </c>
    </row>
    <row r="553" spans="1:24" x14ac:dyDescent="0.3">
      <c r="A553" s="3">
        <v>547</v>
      </c>
      <c r="B553" s="3" t="str">
        <f>"1306500"</f>
        <v>1306500</v>
      </c>
      <c r="C553" s="3" t="str">
        <f>"20170"</f>
        <v>20170</v>
      </c>
      <c r="D553" s="3" t="s">
        <v>2998</v>
      </c>
      <c r="E553" s="3">
        <v>20100403294</v>
      </c>
      <c r="F553" s="3" t="s">
        <v>2999</v>
      </c>
      <c r="G553" s="3" t="s">
        <v>3000</v>
      </c>
      <c r="H553" s="3" t="s">
        <v>115</v>
      </c>
      <c r="I553" s="3" t="s">
        <v>115</v>
      </c>
      <c r="J553" s="3" t="s">
        <v>159</v>
      </c>
      <c r="K553" s="3" t="s">
        <v>3001</v>
      </c>
      <c r="L553" s="3"/>
      <c r="M553" s="3"/>
      <c r="N553" s="3"/>
      <c r="O553" s="3"/>
      <c r="P553" s="3"/>
      <c r="Q553" s="3"/>
      <c r="R553" s="3"/>
      <c r="S553" s="3"/>
      <c r="T553" s="3"/>
      <c r="U553" s="3">
        <v>4500</v>
      </c>
      <c r="V553" s="4">
        <v>36910</v>
      </c>
      <c r="W553" s="3" t="s">
        <v>31</v>
      </c>
      <c r="X553" s="3" t="s">
        <v>3002</v>
      </c>
    </row>
    <row r="554" spans="1:24" x14ac:dyDescent="0.3">
      <c r="A554" s="5">
        <v>548</v>
      </c>
      <c r="B554" s="5" t="str">
        <f>"201400066144"</f>
        <v>201400066144</v>
      </c>
      <c r="C554" s="5" t="str">
        <f>"45390"</f>
        <v>45390</v>
      </c>
      <c r="D554" s="5" t="s">
        <v>3003</v>
      </c>
      <c r="E554" s="5">
        <v>20466327612</v>
      </c>
      <c r="F554" s="5" t="s">
        <v>3004</v>
      </c>
      <c r="G554" s="5" t="s">
        <v>3005</v>
      </c>
      <c r="H554" s="5" t="s">
        <v>550</v>
      </c>
      <c r="I554" s="5" t="s">
        <v>1804</v>
      </c>
      <c r="J554" s="5" t="s">
        <v>3006</v>
      </c>
      <c r="K554" s="5" t="s">
        <v>746</v>
      </c>
      <c r="L554" s="5" t="s">
        <v>746</v>
      </c>
      <c r="M554" s="5" t="s">
        <v>746</v>
      </c>
      <c r="N554" s="5" t="s">
        <v>746</v>
      </c>
      <c r="O554" s="5" t="s">
        <v>746</v>
      </c>
      <c r="P554" s="5" t="s">
        <v>746</v>
      </c>
      <c r="Q554" s="5"/>
      <c r="R554" s="5"/>
      <c r="S554" s="5"/>
      <c r="T554" s="5"/>
      <c r="U554" s="5">
        <v>84000</v>
      </c>
      <c r="V554" s="6">
        <v>41809</v>
      </c>
      <c r="W554" s="5" t="s">
        <v>31</v>
      </c>
      <c r="X554" s="5" t="s">
        <v>3007</v>
      </c>
    </row>
    <row r="555" spans="1:24" ht="27.95" x14ac:dyDescent="0.3">
      <c r="A555" s="3">
        <v>549</v>
      </c>
      <c r="B555" s="3" t="str">
        <f>"1110984"</f>
        <v>1110984</v>
      </c>
      <c r="C555" s="3" t="str">
        <f>"397"</f>
        <v>397</v>
      </c>
      <c r="D555" s="3">
        <v>990279</v>
      </c>
      <c r="E555" s="3">
        <v>20100032962</v>
      </c>
      <c r="F555" s="3" t="s">
        <v>3008</v>
      </c>
      <c r="G555" s="3" t="s">
        <v>3009</v>
      </c>
      <c r="H555" s="3" t="s">
        <v>115</v>
      </c>
      <c r="I555" s="3" t="s">
        <v>115</v>
      </c>
      <c r="J555" s="3" t="s">
        <v>159</v>
      </c>
      <c r="K555" s="3" t="s">
        <v>3010</v>
      </c>
      <c r="L555" s="3"/>
      <c r="M555" s="3"/>
      <c r="N555" s="3"/>
      <c r="O555" s="3"/>
      <c r="P555" s="3"/>
      <c r="Q555" s="3"/>
      <c r="R555" s="3"/>
      <c r="S555" s="3"/>
      <c r="T555" s="3"/>
      <c r="U555" s="3">
        <v>20000</v>
      </c>
      <c r="V555" s="4">
        <v>35506</v>
      </c>
      <c r="W555" s="3" t="s">
        <v>31</v>
      </c>
      <c r="X555" s="3" t="s">
        <v>3011</v>
      </c>
    </row>
    <row r="556" spans="1:24" ht="27.95" x14ac:dyDescent="0.3">
      <c r="A556" s="5">
        <v>550</v>
      </c>
      <c r="B556" s="5" t="str">
        <f>"201300178337"</f>
        <v>201300178337</v>
      </c>
      <c r="C556" s="5" t="str">
        <f>"106487"</f>
        <v>106487</v>
      </c>
      <c r="D556" s="5" t="s">
        <v>3012</v>
      </c>
      <c r="E556" s="5">
        <v>20143236197</v>
      </c>
      <c r="F556" s="5" t="s">
        <v>3013</v>
      </c>
      <c r="G556" s="5" t="s">
        <v>3014</v>
      </c>
      <c r="H556" s="5" t="s">
        <v>28</v>
      </c>
      <c r="I556" s="5" t="s">
        <v>28</v>
      </c>
      <c r="J556" s="5" t="s">
        <v>1432</v>
      </c>
      <c r="K556" s="5" t="s">
        <v>3015</v>
      </c>
      <c r="L556" s="5"/>
      <c r="M556" s="5"/>
      <c r="N556" s="5"/>
      <c r="O556" s="5"/>
      <c r="P556" s="5"/>
      <c r="Q556" s="5"/>
      <c r="R556" s="5"/>
      <c r="S556" s="5"/>
      <c r="T556" s="5"/>
      <c r="U556" s="5">
        <v>4011</v>
      </c>
      <c r="V556" s="6">
        <v>41642</v>
      </c>
      <c r="W556" s="5" t="s">
        <v>31</v>
      </c>
      <c r="X556" s="5" t="s">
        <v>3016</v>
      </c>
    </row>
    <row r="557" spans="1:24" x14ac:dyDescent="0.3">
      <c r="A557" s="3">
        <v>551</v>
      </c>
      <c r="B557" s="3" t="str">
        <f>"202000132015"</f>
        <v>202000132015</v>
      </c>
      <c r="C557" s="3" t="str">
        <f>"151608"</f>
        <v>151608</v>
      </c>
      <c r="D557" s="3" t="s">
        <v>3017</v>
      </c>
      <c r="E557" s="3">
        <v>20601229201</v>
      </c>
      <c r="F557" s="3" t="s">
        <v>3018</v>
      </c>
      <c r="G557" s="3" t="s">
        <v>3019</v>
      </c>
      <c r="H557" s="3" t="s">
        <v>334</v>
      </c>
      <c r="I557" s="3" t="s">
        <v>335</v>
      </c>
      <c r="J557" s="3" t="s">
        <v>3020</v>
      </c>
      <c r="K557" s="3" t="s">
        <v>3021</v>
      </c>
      <c r="L557" s="3" t="s">
        <v>3022</v>
      </c>
      <c r="M557" s="3"/>
      <c r="N557" s="3"/>
      <c r="O557" s="3"/>
      <c r="P557" s="3"/>
      <c r="Q557" s="3"/>
      <c r="R557" s="3"/>
      <c r="S557" s="3"/>
      <c r="T557" s="3"/>
      <c r="U557" s="3">
        <v>10700</v>
      </c>
      <c r="V557" s="4">
        <v>44127</v>
      </c>
      <c r="W557" s="3" t="s">
        <v>31</v>
      </c>
      <c r="X557" s="3" t="s">
        <v>3023</v>
      </c>
    </row>
    <row r="558" spans="1:24" ht="27.95" x14ac:dyDescent="0.3">
      <c r="A558" s="5">
        <v>552</v>
      </c>
      <c r="B558" s="5" t="str">
        <f>"201800169365"</f>
        <v>201800169365</v>
      </c>
      <c r="C558" s="5" t="str">
        <f>"139086"</f>
        <v>139086</v>
      </c>
      <c r="D558" s="5" t="s">
        <v>3024</v>
      </c>
      <c r="E558" s="5">
        <v>20163646499</v>
      </c>
      <c r="F558" s="5" t="s">
        <v>3025</v>
      </c>
      <c r="G558" s="5" t="s">
        <v>3026</v>
      </c>
      <c r="H558" s="5" t="s">
        <v>51</v>
      </c>
      <c r="I558" s="5" t="s">
        <v>51</v>
      </c>
      <c r="J558" s="5" t="s">
        <v>51</v>
      </c>
      <c r="K558" s="5" t="s">
        <v>3027</v>
      </c>
      <c r="L558" s="5"/>
      <c r="M558" s="5"/>
      <c r="N558" s="5"/>
      <c r="O558" s="5"/>
      <c r="P558" s="5"/>
      <c r="Q558" s="5"/>
      <c r="R558" s="5"/>
      <c r="S558" s="5"/>
      <c r="T558" s="5"/>
      <c r="U558" s="5">
        <v>980</v>
      </c>
      <c r="V558" s="6">
        <v>43389</v>
      </c>
      <c r="W558" s="5" t="s">
        <v>31</v>
      </c>
      <c r="X558" s="5" t="s">
        <v>3028</v>
      </c>
    </row>
    <row r="559" spans="1:24" x14ac:dyDescent="0.3">
      <c r="A559" s="3">
        <v>553</v>
      </c>
      <c r="B559" s="3" t="str">
        <f>"201400016214"</f>
        <v>201400016214</v>
      </c>
      <c r="C559" s="3" t="str">
        <f>"107885"</f>
        <v>107885</v>
      </c>
      <c r="D559" s="3" t="s">
        <v>3029</v>
      </c>
      <c r="E559" s="3">
        <v>20293718220</v>
      </c>
      <c r="F559" s="3" t="s">
        <v>3030</v>
      </c>
      <c r="G559" s="3" t="s">
        <v>3031</v>
      </c>
      <c r="H559" s="3" t="s">
        <v>135</v>
      </c>
      <c r="I559" s="3" t="s">
        <v>135</v>
      </c>
      <c r="J559" s="3" t="s">
        <v>3032</v>
      </c>
      <c r="K559" s="3" t="s">
        <v>3033</v>
      </c>
      <c r="L559" s="3"/>
      <c r="M559" s="3"/>
      <c r="N559" s="3"/>
      <c r="O559" s="3"/>
      <c r="P559" s="3"/>
      <c r="Q559" s="3"/>
      <c r="R559" s="3"/>
      <c r="S559" s="3"/>
      <c r="T559" s="3"/>
      <c r="U559" s="3">
        <v>1750</v>
      </c>
      <c r="V559" s="4">
        <v>41737</v>
      </c>
      <c r="W559" s="3" t="s">
        <v>31</v>
      </c>
      <c r="X559" s="3" t="s">
        <v>3034</v>
      </c>
    </row>
    <row r="560" spans="1:24" ht="27.95" x14ac:dyDescent="0.3">
      <c r="A560" s="5">
        <v>554</v>
      </c>
      <c r="B560" s="5" t="str">
        <f>"1110986"</f>
        <v>1110986</v>
      </c>
      <c r="C560" s="5" t="str">
        <f>"398"</f>
        <v>398</v>
      </c>
      <c r="D560" s="5">
        <v>990280</v>
      </c>
      <c r="E560" s="5">
        <v>20100032962</v>
      </c>
      <c r="F560" s="5" t="s">
        <v>3035</v>
      </c>
      <c r="G560" s="5" t="s">
        <v>3036</v>
      </c>
      <c r="H560" s="5" t="s">
        <v>115</v>
      </c>
      <c r="I560" s="5" t="s">
        <v>115</v>
      </c>
      <c r="J560" s="5" t="s">
        <v>159</v>
      </c>
      <c r="K560" s="5" t="s">
        <v>3037</v>
      </c>
      <c r="L560" s="5" t="s">
        <v>3037</v>
      </c>
      <c r="M560" s="5" t="s">
        <v>3037</v>
      </c>
      <c r="N560" s="5"/>
      <c r="O560" s="5"/>
      <c r="P560" s="5"/>
      <c r="Q560" s="5"/>
      <c r="R560" s="5"/>
      <c r="S560" s="5"/>
      <c r="T560" s="5"/>
      <c r="U560" s="5">
        <v>45000</v>
      </c>
      <c r="V560" s="6">
        <v>35506</v>
      </c>
      <c r="W560" s="5" t="s">
        <v>31</v>
      </c>
      <c r="X560" s="5" t="s">
        <v>3038</v>
      </c>
    </row>
    <row r="561" spans="1:24" ht="27.95" x14ac:dyDescent="0.3">
      <c r="A561" s="3">
        <v>555</v>
      </c>
      <c r="B561" s="3" t="str">
        <f>"1915081"</f>
        <v>1915081</v>
      </c>
      <c r="C561" s="3" t="str">
        <f>"18745"</f>
        <v>18745</v>
      </c>
      <c r="D561" s="3" t="s">
        <v>3039</v>
      </c>
      <c r="E561" s="3">
        <v>20262221335</v>
      </c>
      <c r="F561" s="3" t="s">
        <v>2647</v>
      </c>
      <c r="G561" s="3" t="s">
        <v>3040</v>
      </c>
      <c r="H561" s="3" t="s">
        <v>550</v>
      </c>
      <c r="I561" s="3" t="s">
        <v>550</v>
      </c>
      <c r="J561" s="3" t="s">
        <v>550</v>
      </c>
      <c r="K561" s="3" t="s">
        <v>3041</v>
      </c>
      <c r="L561" s="3"/>
      <c r="M561" s="3"/>
      <c r="N561" s="3"/>
      <c r="O561" s="3"/>
      <c r="P561" s="3"/>
      <c r="Q561" s="3"/>
      <c r="R561" s="3"/>
      <c r="S561" s="3"/>
      <c r="T561" s="3"/>
      <c r="U561" s="3">
        <v>85000</v>
      </c>
      <c r="V561" s="4">
        <v>40035</v>
      </c>
      <c r="W561" s="3" t="s">
        <v>31</v>
      </c>
      <c r="X561" s="3" t="s">
        <v>3042</v>
      </c>
    </row>
    <row r="562" spans="1:24" x14ac:dyDescent="0.3">
      <c r="A562" s="5">
        <v>556</v>
      </c>
      <c r="B562" s="5" t="str">
        <f>"1293989"</f>
        <v>1293989</v>
      </c>
      <c r="C562" s="5" t="str">
        <f>"1249"</f>
        <v>1249</v>
      </c>
      <c r="D562" s="5" t="s">
        <v>3043</v>
      </c>
      <c r="E562" s="5">
        <v>20418184257</v>
      </c>
      <c r="F562" s="5" t="s">
        <v>3044</v>
      </c>
      <c r="G562" s="5" t="s">
        <v>3045</v>
      </c>
      <c r="H562" s="5" t="s">
        <v>80</v>
      </c>
      <c r="I562" s="5" t="s">
        <v>309</v>
      </c>
      <c r="J562" s="5" t="s">
        <v>309</v>
      </c>
      <c r="K562" s="5" t="s">
        <v>3046</v>
      </c>
      <c r="L562" s="5"/>
      <c r="M562" s="5"/>
      <c r="N562" s="5"/>
      <c r="O562" s="5"/>
      <c r="P562" s="5"/>
      <c r="Q562" s="5"/>
      <c r="R562" s="5"/>
      <c r="S562" s="5"/>
      <c r="T562" s="5"/>
      <c r="U562" s="5">
        <v>88571</v>
      </c>
      <c r="V562" s="6">
        <v>36761</v>
      </c>
      <c r="W562" s="5" t="s">
        <v>31</v>
      </c>
      <c r="X562" s="5" t="s">
        <v>3047</v>
      </c>
    </row>
    <row r="563" spans="1:24" x14ac:dyDescent="0.3">
      <c r="A563" s="3">
        <v>557</v>
      </c>
      <c r="B563" s="3" t="str">
        <f>"201700011661"</f>
        <v>201700011661</v>
      </c>
      <c r="C563" s="3" t="str">
        <f>"1554"</f>
        <v>1554</v>
      </c>
      <c r="D563" s="3" t="s">
        <v>3048</v>
      </c>
      <c r="E563" s="3">
        <v>20600676041</v>
      </c>
      <c r="F563" s="3" t="s">
        <v>3049</v>
      </c>
      <c r="G563" s="3" t="s">
        <v>3050</v>
      </c>
      <c r="H563" s="3" t="s">
        <v>51</v>
      </c>
      <c r="I563" s="3" t="s">
        <v>1198</v>
      </c>
      <c r="J563" s="3" t="s">
        <v>1199</v>
      </c>
      <c r="K563" s="3" t="s">
        <v>1513</v>
      </c>
      <c r="L563" s="3" t="s">
        <v>2249</v>
      </c>
      <c r="M563" s="3" t="s">
        <v>3051</v>
      </c>
      <c r="N563" s="3" t="s">
        <v>2410</v>
      </c>
      <c r="O563" s="3"/>
      <c r="P563" s="3"/>
      <c r="Q563" s="3"/>
      <c r="R563" s="3"/>
      <c r="S563" s="3"/>
      <c r="T563" s="3"/>
      <c r="U563" s="3">
        <v>26500</v>
      </c>
      <c r="V563" s="4">
        <v>42765</v>
      </c>
      <c r="W563" s="3" t="s">
        <v>31</v>
      </c>
      <c r="X563" s="3" t="s">
        <v>3052</v>
      </c>
    </row>
    <row r="564" spans="1:24" ht="27.95" x14ac:dyDescent="0.3">
      <c r="A564" s="5">
        <v>558</v>
      </c>
      <c r="B564" s="5" t="str">
        <f>"1116861"</f>
        <v>1116861</v>
      </c>
      <c r="C564" s="5" t="str">
        <f>"1604"</f>
        <v>1604</v>
      </c>
      <c r="D564" s="5">
        <v>1070964</v>
      </c>
      <c r="E564" s="5">
        <v>20100028931</v>
      </c>
      <c r="F564" s="5" t="s">
        <v>3053</v>
      </c>
      <c r="G564" s="5" t="s">
        <v>3054</v>
      </c>
      <c r="H564" s="5" t="s">
        <v>28</v>
      </c>
      <c r="I564" s="5" t="s">
        <v>28</v>
      </c>
      <c r="J564" s="5" t="s">
        <v>28</v>
      </c>
      <c r="K564" s="5" t="s">
        <v>421</v>
      </c>
      <c r="L564" s="5" t="s">
        <v>421</v>
      </c>
      <c r="M564" s="5" t="s">
        <v>1872</v>
      </c>
      <c r="N564" s="5"/>
      <c r="O564" s="5"/>
      <c r="P564" s="5"/>
      <c r="Q564" s="5"/>
      <c r="R564" s="5"/>
      <c r="S564" s="5"/>
      <c r="T564" s="5"/>
      <c r="U564" s="5">
        <v>15000</v>
      </c>
      <c r="V564" s="6">
        <v>35550</v>
      </c>
      <c r="W564" s="5" t="s">
        <v>31</v>
      </c>
      <c r="X564" s="5" t="s">
        <v>3055</v>
      </c>
    </row>
    <row r="565" spans="1:24" ht="41.95" x14ac:dyDescent="0.3">
      <c r="A565" s="3">
        <v>559</v>
      </c>
      <c r="B565" s="3" t="str">
        <f>"201800032563"</f>
        <v>201800032563</v>
      </c>
      <c r="C565" s="3" t="str">
        <f>"134727"</f>
        <v>134727</v>
      </c>
      <c r="D565" s="3" t="s">
        <v>3056</v>
      </c>
      <c r="E565" s="3">
        <v>20339035930</v>
      </c>
      <c r="F565" s="3" t="s">
        <v>3057</v>
      </c>
      <c r="G565" s="3" t="s">
        <v>3058</v>
      </c>
      <c r="H565" s="3" t="s">
        <v>28</v>
      </c>
      <c r="I565" s="3" t="s">
        <v>28</v>
      </c>
      <c r="J565" s="3" t="s">
        <v>1907</v>
      </c>
      <c r="K565" s="3" t="s">
        <v>3059</v>
      </c>
      <c r="L565" s="3"/>
      <c r="M565" s="3"/>
      <c r="N565" s="3"/>
      <c r="O565" s="3"/>
      <c r="P565" s="3"/>
      <c r="Q565" s="3"/>
      <c r="R565" s="3"/>
      <c r="S565" s="3"/>
      <c r="T565" s="3"/>
      <c r="U565" s="3">
        <v>2900</v>
      </c>
      <c r="V565" s="4">
        <v>43158</v>
      </c>
      <c r="W565" s="3" t="s">
        <v>31</v>
      </c>
      <c r="X565" s="3" t="s">
        <v>3060</v>
      </c>
    </row>
    <row r="566" spans="1:24" x14ac:dyDescent="0.3">
      <c r="A566" s="5">
        <v>560</v>
      </c>
      <c r="B566" s="5" t="str">
        <f>"201800164151"</f>
        <v>201800164151</v>
      </c>
      <c r="C566" s="5" t="str">
        <f>"223"</f>
        <v>223</v>
      </c>
      <c r="D566" s="5" t="s">
        <v>3061</v>
      </c>
      <c r="E566" s="5">
        <v>20261677955</v>
      </c>
      <c r="F566" s="5" t="s">
        <v>3062</v>
      </c>
      <c r="G566" s="5" t="s">
        <v>3063</v>
      </c>
      <c r="H566" s="5" t="s">
        <v>28</v>
      </c>
      <c r="I566" s="5" t="s">
        <v>28</v>
      </c>
      <c r="J566" s="5" t="s">
        <v>1432</v>
      </c>
      <c r="K566" s="5" t="s">
        <v>3064</v>
      </c>
      <c r="L566" s="5" t="s">
        <v>1089</v>
      </c>
      <c r="M566" s="5" t="s">
        <v>1060</v>
      </c>
      <c r="N566" s="5"/>
      <c r="O566" s="5"/>
      <c r="P566" s="5"/>
      <c r="Q566" s="5"/>
      <c r="R566" s="5"/>
      <c r="S566" s="5"/>
      <c r="T566" s="5"/>
      <c r="U566" s="5">
        <v>145095</v>
      </c>
      <c r="V566" s="6">
        <v>43377</v>
      </c>
      <c r="W566" s="5" t="s">
        <v>31</v>
      </c>
      <c r="X566" s="5" t="s">
        <v>3065</v>
      </c>
    </row>
    <row r="567" spans="1:24" x14ac:dyDescent="0.3">
      <c r="A567" s="3">
        <v>561</v>
      </c>
      <c r="B567" s="3" t="str">
        <f>"1121539"</f>
        <v>1121539</v>
      </c>
      <c r="C567" s="3" t="str">
        <f>"465"</f>
        <v>465</v>
      </c>
      <c r="D567" s="3" t="s">
        <v>3066</v>
      </c>
      <c r="E567" s="3">
        <v>20132720852</v>
      </c>
      <c r="F567" s="3" t="s">
        <v>3067</v>
      </c>
      <c r="G567" s="3" t="s">
        <v>3068</v>
      </c>
      <c r="H567" s="3" t="s">
        <v>808</v>
      </c>
      <c r="I567" s="3" t="s">
        <v>808</v>
      </c>
      <c r="J567" s="3" t="s">
        <v>808</v>
      </c>
      <c r="K567" s="3" t="s">
        <v>3069</v>
      </c>
      <c r="L567" s="3"/>
      <c r="M567" s="3"/>
      <c r="N567" s="3"/>
      <c r="O567" s="3"/>
      <c r="P567" s="3"/>
      <c r="Q567" s="3"/>
      <c r="R567" s="3"/>
      <c r="S567" s="3"/>
      <c r="T567" s="3"/>
      <c r="U567" s="3">
        <v>7800</v>
      </c>
      <c r="V567" s="4">
        <v>36805</v>
      </c>
      <c r="W567" s="3" t="s">
        <v>31</v>
      </c>
      <c r="X567" s="3" t="s">
        <v>3070</v>
      </c>
    </row>
    <row r="568" spans="1:24" x14ac:dyDescent="0.3">
      <c r="A568" s="5">
        <v>562</v>
      </c>
      <c r="B568" s="5" t="str">
        <f>"1832219"</f>
        <v>1832219</v>
      </c>
      <c r="C568" s="5" t="str">
        <f>"64468"</f>
        <v>64468</v>
      </c>
      <c r="D568" s="5" t="s">
        <v>3071</v>
      </c>
      <c r="E568" s="5">
        <v>20508867949</v>
      </c>
      <c r="F568" s="5" t="s">
        <v>3072</v>
      </c>
      <c r="G568" s="5" t="s">
        <v>3073</v>
      </c>
      <c r="H568" s="5" t="s">
        <v>28</v>
      </c>
      <c r="I568" s="5" t="s">
        <v>28</v>
      </c>
      <c r="J568" s="5" t="s">
        <v>1432</v>
      </c>
      <c r="K568" s="5" t="s">
        <v>857</v>
      </c>
      <c r="L568" s="5"/>
      <c r="M568" s="5"/>
      <c r="N568" s="5"/>
      <c r="O568" s="5"/>
      <c r="P568" s="5"/>
      <c r="Q568" s="5"/>
      <c r="R568" s="5"/>
      <c r="S568" s="5"/>
      <c r="T568" s="5"/>
      <c r="U568" s="5">
        <v>4500</v>
      </c>
      <c r="V568" s="6">
        <v>39755</v>
      </c>
      <c r="W568" s="5" t="s">
        <v>31</v>
      </c>
      <c r="X568" s="5" t="s">
        <v>3074</v>
      </c>
    </row>
    <row r="569" spans="1:24" ht="27.95" x14ac:dyDescent="0.3">
      <c r="A569" s="3">
        <v>563</v>
      </c>
      <c r="B569" s="3" t="str">
        <f>"1478791"</f>
        <v>1478791</v>
      </c>
      <c r="C569" s="3" t="str">
        <f>"31646"</f>
        <v>31646</v>
      </c>
      <c r="D569" s="3" t="s">
        <v>3075</v>
      </c>
      <c r="E569" s="3">
        <v>20107789139</v>
      </c>
      <c r="F569" s="3" t="s">
        <v>3076</v>
      </c>
      <c r="G569" s="3" t="s">
        <v>3077</v>
      </c>
      <c r="H569" s="3" t="s">
        <v>28</v>
      </c>
      <c r="I569" s="3" t="s">
        <v>28</v>
      </c>
      <c r="J569" s="3" t="s">
        <v>409</v>
      </c>
      <c r="K569" s="3" t="s">
        <v>110</v>
      </c>
      <c r="L569" s="3"/>
      <c r="M569" s="3"/>
      <c r="N569" s="3"/>
      <c r="O569" s="3"/>
      <c r="P569" s="3"/>
      <c r="Q569" s="3"/>
      <c r="R569" s="3"/>
      <c r="S569" s="3"/>
      <c r="T569" s="3"/>
      <c r="U569" s="3">
        <v>4000</v>
      </c>
      <c r="V569" s="4">
        <v>40661</v>
      </c>
      <c r="W569" s="3" t="s">
        <v>31</v>
      </c>
      <c r="X569" s="3" t="s">
        <v>3078</v>
      </c>
    </row>
    <row r="570" spans="1:24" ht="41.95" x14ac:dyDescent="0.3">
      <c r="A570" s="5">
        <v>564</v>
      </c>
      <c r="B570" s="5" t="str">
        <f>"1982319"</f>
        <v>1982319</v>
      </c>
      <c r="C570" s="5" t="str">
        <f>"85893"</f>
        <v>85893</v>
      </c>
      <c r="D570" s="5" t="s">
        <v>3079</v>
      </c>
      <c r="E570" s="5">
        <v>20372081831</v>
      </c>
      <c r="F570" s="5" t="s">
        <v>3080</v>
      </c>
      <c r="G570" s="5" t="s">
        <v>3081</v>
      </c>
      <c r="H570" s="5" t="s">
        <v>135</v>
      </c>
      <c r="I570" s="5" t="s">
        <v>135</v>
      </c>
      <c r="J570" s="5" t="s">
        <v>3082</v>
      </c>
      <c r="K570" s="5" t="s">
        <v>3083</v>
      </c>
      <c r="L570" s="5"/>
      <c r="M570" s="5"/>
      <c r="N570" s="5"/>
      <c r="O570" s="5"/>
      <c r="P570" s="5"/>
      <c r="Q570" s="5"/>
      <c r="R570" s="5"/>
      <c r="S570" s="5"/>
      <c r="T570" s="5"/>
      <c r="U570" s="5">
        <v>2200</v>
      </c>
      <c r="V570" s="6">
        <v>40277</v>
      </c>
      <c r="W570" s="5" t="s">
        <v>31</v>
      </c>
      <c r="X570" s="5" t="s">
        <v>3084</v>
      </c>
    </row>
    <row r="571" spans="1:24" x14ac:dyDescent="0.3">
      <c r="A571" s="3">
        <v>565</v>
      </c>
      <c r="B571" s="3" t="str">
        <f>"1116478"</f>
        <v>1116478</v>
      </c>
      <c r="C571" s="3" t="str">
        <f>"1408"</f>
        <v>1408</v>
      </c>
      <c r="D571" s="3">
        <v>1006405</v>
      </c>
      <c r="E571" s="3">
        <v>20100303311</v>
      </c>
      <c r="F571" s="3" t="s">
        <v>3085</v>
      </c>
      <c r="G571" s="3" t="s">
        <v>3086</v>
      </c>
      <c r="H571" s="3" t="s">
        <v>28</v>
      </c>
      <c r="I571" s="3" t="s">
        <v>28</v>
      </c>
      <c r="J571" s="3" t="s">
        <v>91</v>
      </c>
      <c r="K571" s="3" t="s">
        <v>1259</v>
      </c>
      <c r="L571" s="3" t="s">
        <v>972</v>
      </c>
      <c r="M571" s="3" t="s">
        <v>3087</v>
      </c>
      <c r="N571" s="3" t="s">
        <v>323</v>
      </c>
      <c r="O571" s="3"/>
      <c r="P571" s="3"/>
      <c r="Q571" s="3"/>
      <c r="R571" s="3"/>
      <c r="S571" s="3"/>
      <c r="T571" s="3"/>
      <c r="U571" s="3">
        <v>31000</v>
      </c>
      <c r="V571" s="4">
        <v>35562</v>
      </c>
      <c r="W571" s="3" t="s">
        <v>31</v>
      </c>
      <c r="X571" s="3" t="s">
        <v>3088</v>
      </c>
    </row>
    <row r="572" spans="1:24" x14ac:dyDescent="0.3">
      <c r="A572" s="5">
        <v>566</v>
      </c>
      <c r="B572" s="5" t="str">
        <f>"1121534"</f>
        <v>1121534</v>
      </c>
      <c r="C572" s="5" t="str">
        <f>"463"</f>
        <v>463</v>
      </c>
      <c r="D572" s="5" t="s">
        <v>3089</v>
      </c>
      <c r="E572" s="5">
        <v>20231843117</v>
      </c>
      <c r="F572" s="5" t="s">
        <v>3090</v>
      </c>
      <c r="G572" s="5" t="s">
        <v>3091</v>
      </c>
      <c r="H572" s="5" t="s">
        <v>808</v>
      </c>
      <c r="I572" s="5" t="s">
        <v>3092</v>
      </c>
      <c r="J572" s="5" t="s">
        <v>3093</v>
      </c>
      <c r="K572" s="5" t="s">
        <v>329</v>
      </c>
      <c r="L572" s="5"/>
      <c r="M572" s="5"/>
      <c r="N572" s="5"/>
      <c r="O572" s="5"/>
      <c r="P572" s="5"/>
      <c r="Q572" s="5"/>
      <c r="R572" s="5"/>
      <c r="S572" s="5"/>
      <c r="T572" s="5"/>
      <c r="U572" s="5">
        <v>10000</v>
      </c>
      <c r="V572" s="6">
        <v>36805</v>
      </c>
      <c r="W572" s="5" t="s">
        <v>31</v>
      </c>
      <c r="X572" s="5" t="s">
        <v>3094</v>
      </c>
    </row>
    <row r="573" spans="1:24" ht="27.95" x14ac:dyDescent="0.3">
      <c r="A573" s="3">
        <v>567</v>
      </c>
      <c r="B573" s="3" t="str">
        <f>"1122665"</f>
        <v>1122665</v>
      </c>
      <c r="C573" s="3" t="str">
        <f>"726"</f>
        <v>726</v>
      </c>
      <c r="D573" s="3">
        <v>1008042</v>
      </c>
      <c r="E573" s="3">
        <v>20160272784</v>
      </c>
      <c r="F573" s="3" t="s">
        <v>3095</v>
      </c>
      <c r="G573" s="3" t="s">
        <v>3096</v>
      </c>
      <c r="H573" s="3" t="s">
        <v>80</v>
      </c>
      <c r="I573" s="3" t="s">
        <v>309</v>
      </c>
      <c r="J573" s="3" t="s">
        <v>309</v>
      </c>
      <c r="K573" s="3" t="s">
        <v>1694</v>
      </c>
      <c r="L573" s="3" t="s">
        <v>1694</v>
      </c>
      <c r="M573" s="3"/>
      <c r="N573" s="3"/>
      <c r="O573" s="3"/>
      <c r="P573" s="3"/>
      <c r="Q573" s="3"/>
      <c r="R573" s="3"/>
      <c r="S573" s="3"/>
      <c r="T573" s="3"/>
      <c r="U573" s="3">
        <v>40000</v>
      </c>
      <c r="V573" s="4">
        <v>35629</v>
      </c>
      <c r="W573" s="3" t="s">
        <v>31</v>
      </c>
      <c r="X573" s="3" t="s">
        <v>3097</v>
      </c>
    </row>
    <row r="574" spans="1:24" x14ac:dyDescent="0.3">
      <c r="A574" s="5">
        <v>568</v>
      </c>
      <c r="B574" s="5" t="str">
        <f>"1121533"</f>
        <v>1121533</v>
      </c>
      <c r="C574" s="5" t="str">
        <f>"466"</f>
        <v>466</v>
      </c>
      <c r="D574" s="5" t="s">
        <v>3098</v>
      </c>
      <c r="E574" s="5">
        <v>20132727601</v>
      </c>
      <c r="F574" s="5" t="s">
        <v>3099</v>
      </c>
      <c r="G574" s="5" t="s">
        <v>3100</v>
      </c>
      <c r="H574" s="5" t="s">
        <v>808</v>
      </c>
      <c r="I574" s="5" t="s">
        <v>808</v>
      </c>
      <c r="J574" s="5" t="s">
        <v>808</v>
      </c>
      <c r="K574" s="5" t="s">
        <v>46</v>
      </c>
      <c r="L574" s="5"/>
      <c r="M574" s="5"/>
      <c r="N574" s="5"/>
      <c r="O574" s="5"/>
      <c r="P574" s="5"/>
      <c r="Q574" s="5"/>
      <c r="R574" s="5"/>
      <c r="S574" s="5"/>
      <c r="T574" s="5"/>
      <c r="U574" s="5">
        <v>3000</v>
      </c>
      <c r="V574" s="6">
        <v>36804</v>
      </c>
      <c r="W574" s="5" t="s">
        <v>31</v>
      </c>
      <c r="X574" s="5" t="s">
        <v>3070</v>
      </c>
    </row>
    <row r="575" spans="1:24" ht="27.95" x14ac:dyDescent="0.3">
      <c r="A575" s="3">
        <v>569</v>
      </c>
      <c r="B575" s="3" t="str">
        <f>"1642802"</f>
        <v>1642802</v>
      </c>
      <c r="C575" s="3" t="str">
        <f>"773"</f>
        <v>773</v>
      </c>
      <c r="D575" s="3" t="s">
        <v>3101</v>
      </c>
      <c r="E575" s="3">
        <v>20100079501</v>
      </c>
      <c r="F575" s="3" t="s">
        <v>833</v>
      </c>
      <c r="G575" s="3" t="s">
        <v>3102</v>
      </c>
      <c r="H575" s="3" t="s">
        <v>51</v>
      </c>
      <c r="I575" s="3" t="s">
        <v>129</v>
      </c>
      <c r="J575" s="3" t="s">
        <v>3103</v>
      </c>
      <c r="K575" s="3" t="s">
        <v>3104</v>
      </c>
      <c r="L575" s="3" t="s">
        <v>3104</v>
      </c>
      <c r="M575" s="3" t="s">
        <v>3104</v>
      </c>
      <c r="N575" s="3" t="s">
        <v>3104</v>
      </c>
      <c r="O575" s="3" t="s">
        <v>3104</v>
      </c>
      <c r="P575" s="3" t="s">
        <v>3104</v>
      </c>
      <c r="Q575" s="3"/>
      <c r="R575" s="3"/>
      <c r="S575" s="3"/>
      <c r="T575" s="3"/>
      <c r="U575" s="3">
        <v>83370</v>
      </c>
      <c r="V575" s="4">
        <v>38994</v>
      </c>
      <c r="W575" s="3" t="s">
        <v>31</v>
      </c>
      <c r="X575" s="3" t="s">
        <v>3105</v>
      </c>
    </row>
    <row r="576" spans="1:24" ht="27.95" x14ac:dyDescent="0.3">
      <c r="A576" s="5">
        <v>570</v>
      </c>
      <c r="B576" s="5" t="str">
        <f>"201700189322"</f>
        <v>201700189322</v>
      </c>
      <c r="C576" s="5" t="str">
        <f>"16482"</f>
        <v>16482</v>
      </c>
      <c r="D576" s="5" t="s">
        <v>3106</v>
      </c>
      <c r="E576" s="5">
        <v>20512868046</v>
      </c>
      <c r="F576" s="5" t="s">
        <v>1455</v>
      </c>
      <c r="G576" s="5" t="s">
        <v>3107</v>
      </c>
      <c r="H576" s="5" t="s">
        <v>135</v>
      </c>
      <c r="I576" s="5" t="s">
        <v>402</v>
      </c>
      <c r="J576" s="5" t="s">
        <v>862</v>
      </c>
      <c r="K576" s="5" t="s">
        <v>3108</v>
      </c>
      <c r="L576" s="5" t="s">
        <v>3108</v>
      </c>
      <c r="M576" s="5" t="s">
        <v>3109</v>
      </c>
      <c r="N576" s="5"/>
      <c r="O576" s="5"/>
      <c r="P576" s="5"/>
      <c r="Q576" s="5"/>
      <c r="R576" s="5"/>
      <c r="S576" s="5"/>
      <c r="T576" s="5"/>
      <c r="U576" s="5">
        <v>91568</v>
      </c>
      <c r="V576" s="6">
        <v>43068</v>
      </c>
      <c r="W576" s="5" t="s">
        <v>31</v>
      </c>
      <c r="X576" s="5" t="s">
        <v>1461</v>
      </c>
    </row>
    <row r="577" spans="1:24" ht="27.95" x14ac:dyDescent="0.3">
      <c r="A577" s="3">
        <v>571</v>
      </c>
      <c r="B577" s="3" t="str">
        <f>"1110971"</f>
        <v>1110971</v>
      </c>
      <c r="C577" s="3" t="str">
        <f>"388"</f>
        <v>388</v>
      </c>
      <c r="D577" s="3">
        <v>990270</v>
      </c>
      <c r="E577" s="3"/>
      <c r="F577" s="3" t="s">
        <v>3110</v>
      </c>
      <c r="G577" s="3" t="s">
        <v>3111</v>
      </c>
      <c r="H577" s="3" t="s">
        <v>285</v>
      </c>
      <c r="I577" s="3" t="s">
        <v>286</v>
      </c>
      <c r="J577" s="3" t="s">
        <v>470</v>
      </c>
      <c r="K577" s="3" t="s">
        <v>3112</v>
      </c>
      <c r="L577" s="3"/>
      <c r="M577" s="3"/>
      <c r="N577" s="3"/>
      <c r="O577" s="3"/>
      <c r="P577" s="3"/>
      <c r="Q577" s="3"/>
      <c r="R577" s="3"/>
      <c r="S577" s="3"/>
      <c r="T577" s="3"/>
      <c r="U577" s="3">
        <v>16421</v>
      </c>
      <c r="V577" s="4">
        <v>35506</v>
      </c>
      <c r="W577" s="3" t="s">
        <v>31</v>
      </c>
      <c r="X577" s="3" t="s">
        <v>3113</v>
      </c>
    </row>
    <row r="578" spans="1:24" ht="41.95" x14ac:dyDescent="0.3">
      <c r="A578" s="5">
        <v>572</v>
      </c>
      <c r="B578" s="5" t="str">
        <f>"1789208"</f>
        <v>1789208</v>
      </c>
      <c r="C578" s="5" t="str">
        <f>"62964"</f>
        <v>62964</v>
      </c>
      <c r="D578" s="5" t="s">
        <v>3114</v>
      </c>
      <c r="E578" s="5">
        <v>20460352674</v>
      </c>
      <c r="F578" s="5" t="s">
        <v>3115</v>
      </c>
      <c r="G578" s="5" t="s">
        <v>3116</v>
      </c>
      <c r="H578" s="5" t="s">
        <v>51</v>
      </c>
      <c r="I578" s="5" t="s">
        <v>316</v>
      </c>
      <c r="J578" s="5" t="s">
        <v>317</v>
      </c>
      <c r="K578" s="5" t="s">
        <v>329</v>
      </c>
      <c r="L578" s="5"/>
      <c r="M578" s="5"/>
      <c r="N578" s="5"/>
      <c r="O578" s="5"/>
      <c r="P578" s="5"/>
      <c r="Q578" s="5"/>
      <c r="R578" s="5"/>
      <c r="S578" s="5"/>
      <c r="T578" s="5"/>
      <c r="U578" s="5">
        <v>10000</v>
      </c>
      <c r="V578" s="6">
        <v>39596</v>
      </c>
      <c r="W578" s="5" t="s">
        <v>31</v>
      </c>
      <c r="X578" s="5" t="s">
        <v>3117</v>
      </c>
    </row>
    <row r="579" spans="1:24" x14ac:dyDescent="0.3">
      <c r="A579" s="3">
        <v>573</v>
      </c>
      <c r="B579" s="3" t="str">
        <f>"1119595"</f>
        <v>1119595</v>
      </c>
      <c r="C579" s="3" t="str">
        <f>"515"</f>
        <v>515</v>
      </c>
      <c r="D579" s="3" t="s">
        <v>3118</v>
      </c>
      <c r="E579" s="3">
        <v>20103795631</v>
      </c>
      <c r="F579" s="3" t="s">
        <v>3119</v>
      </c>
      <c r="G579" s="3" t="s">
        <v>3120</v>
      </c>
      <c r="H579" s="3" t="s">
        <v>58</v>
      </c>
      <c r="I579" s="3" t="s">
        <v>59</v>
      </c>
      <c r="J579" s="3" t="s">
        <v>60</v>
      </c>
      <c r="K579" s="3" t="s">
        <v>3121</v>
      </c>
      <c r="L579" s="3"/>
      <c r="M579" s="3"/>
      <c r="N579" s="3"/>
      <c r="O579" s="3"/>
      <c r="P579" s="3"/>
      <c r="Q579" s="3"/>
      <c r="R579" s="3"/>
      <c r="S579" s="3"/>
      <c r="T579" s="3"/>
      <c r="U579" s="3">
        <v>286343</v>
      </c>
      <c r="V579" s="4">
        <v>36816</v>
      </c>
      <c r="W579" s="3" t="s">
        <v>31</v>
      </c>
      <c r="X579" s="3" t="s">
        <v>2926</v>
      </c>
    </row>
    <row r="580" spans="1:24" ht="27.95" x14ac:dyDescent="0.3">
      <c r="A580" s="5">
        <v>574</v>
      </c>
      <c r="B580" s="5" t="str">
        <f>"201500144956"</f>
        <v>201500144956</v>
      </c>
      <c r="C580" s="5" t="str">
        <f>"118239"</f>
        <v>118239</v>
      </c>
      <c r="D580" s="5" t="s">
        <v>3122</v>
      </c>
      <c r="E580" s="5">
        <v>20538848060</v>
      </c>
      <c r="F580" s="5" t="s">
        <v>3123</v>
      </c>
      <c r="G580" s="5" t="s">
        <v>3124</v>
      </c>
      <c r="H580" s="5" t="s">
        <v>921</v>
      </c>
      <c r="I580" s="5" t="s">
        <v>921</v>
      </c>
      <c r="J580" s="5" t="s">
        <v>3125</v>
      </c>
      <c r="K580" s="5" t="s">
        <v>1058</v>
      </c>
      <c r="L580" s="5"/>
      <c r="M580" s="5"/>
      <c r="N580" s="5"/>
      <c r="O580" s="5"/>
      <c r="P580" s="5"/>
      <c r="Q580" s="5"/>
      <c r="R580" s="5"/>
      <c r="S580" s="5"/>
      <c r="T580" s="5"/>
      <c r="U580" s="5">
        <v>4000</v>
      </c>
      <c r="V580" s="6">
        <v>42417</v>
      </c>
      <c r="W580" s="5" t="s">
        <v>31</v>
      </c>
      <c r="X580" s="5" t="s">
        <v>3126</v>
      </c>
    </row>
    <row r="581" spans="1:24" x14ac:dyDescent="0.3">
      <c r="A581" s="3">
        <v>575</v>
      </c>
      <c r="B581" s="3" t="str">
        <f>"1344189"</f>
        <v>1344189</v>
      </c>
      <c r="C581" s="3" t="str">
        <f>"16514"</f>
        <v>16514</v>
      </c>
      <c r="D581" s="3" t="s">
        <v>3127</v>
      </c>
      <c r="E581" s="3">
        <v>20100192650</v>
      </c>
      <c r="F581" s="3" t="s">
        <v>3128</v>
      </c>
      <c r="G581" s="3" t="s">
        <v>3129</v>
      </c>
      <c r="H581" s="3" t="s">
        <v>51</v>
      </c>
      <c r="I581" s="3" t="s">
        <v>51</v>
      </c>
      <c r="J581" s="3" t="s">
        <v>51</v>
      </c>
      <c r="K581" s="3" t="s">
        <v>351</v>
      </c>
      <c r="L581" s="3" t="s">
        <v>351</v>
      </c>
      <c r="M581" s="3"/>
      <c r="N581" s="3"/>
      <c r="O581" s="3"/>
      <c r="P581" s="3"/>
      <c r="Q581" s="3"/>
      <c r="R581" s="3"/>
      <c r="S581" s="3"/>
      <c r="T581" s="3"/>
      <c r="U581" s="3">
        <v>9000</v>
      </c>
      <c r="V581" s="4">
        <v>37221</v>
      </c>
      <c r="W581" s="3" t="s">
        <v>31</v>
      </c>
      <c r="X581" s="3" t="s">
        <v>3130</v>
      </c>
    </row>
    <row r="582" spans="1:24" ht="27.95" x14ac:dyDescent="0.3">
      <c r="A582" s="5">
        <v>576</v>
      </c>
      <c r="B582" s="5" t="str">
        <f>"201800138042"</f>
        <v>201800138042</v>
      </c>
      <c r="C582" s="5" t="str">
        <f>"55986"</f>
        <v>55986</v>
      </c>
      <c r="D582" s="5" t="s">
        <v>3131</v>
      </c>
      <c r="E582" s="5">
        <v>20100112214</v>
      </c>
      <c r="F582" s="5" t="s">
        <v>3132</v>
      </c>
      <c r="G582" s="5" t="s">
        <v>3133</v>
      </c>
      <c r="H582" s="5" t="s">
        <v>28</v>
      </c>
      <c r="I582" s="5" t="s">
        <v>667</v>
      </c>
      <c r="J582" s="5" t="s">
        <v>1340</v>
      </c>
      <c r="K582" s="5" t="s">
        <v>397</v>
      </c>
      <c r="L582" s="5" t="s">
        <v>515</v>
      </c>
      <c r="M582" s="5" t="s">
        <v>515</v>
      </c>
      <c r="N582" s="5" t="s">
        <v>3134</v>
      </c>
      <c r="O582" s="5" t="s">
        <v>397</v>
      </c>
      <c r="P582" s="5" t="s">
        <v>110</v>
      </c>
      <c r="Q582" s="5" t="s">
        <v>3135</v>
      </c>
      <c r="R582" s="5" t="s">
        <v>110</v>
      </c>
      <c r="S582" s="5" t="s">
        <v>3135</v>
      </c>
      <c r="T582" s="5"/>
      <c r="U582" s="5">
        <v>55300</v>
      </c>
      <c r="V582" s="6">
        <v>43336</v>
      </c>
      <c r="W582" s="5" t="s">
        <v>31</v>
      </c>
      <c r="X582" s="5" t="s">
        <v>3136</v>
      </c>
    </row>
    <row r="583" spans="1:24" ht="27.95" x14ac:dyDescent="0.3">
      <c r="A583" s="3">
        <v>577</v>
      </c>
      <c r="B583" s="3" t="str">
        <f>"201900158990"</f>
        <v>201900158990</v>
      </c>
      <c r="C583" s="3" t="str">
        <f>"41549"</f>
        <v>41549</v>
      </c>
      <c r="D583" s="3" t="s">
        <v>3137</v>
      </c>
      <c r="E583" s="3">
        <v>20219774207</v>
      </c>
      <c r="F583" s="3" t="s">
        <v>3138</v>
      </c>
      <c r="G583" s="3" t="s">
        <v>3139</v>
      </c>
      <c r="H583" s="3" t="s">
        <v>28</v>
      </c>
      <c r="I583" s="3" t="s">
        <v>28</v>
      </c>
      <c r="J583" s="3" t="s">
        <v>266</v>
      </c>
      <c r="K583" s="3" t="s">
        <v>2419</v>
      </c>
      <c r="L583" s="3"/>
      <c r="M583" s="3"/>
      <c r="N583" s="3"/>
      <c r="O583" s="3"/>
      <c r="P583" s="3"/>
      <c r="Q583" s="3"/>
      <c r="R583" s="3"/>
      <c r="S583" s="3"/>
      <c r="T583" s="3"/>
      <c r="U583" s="3">
        <v>4900</v>
      </c>
      <c r="V583" s="4">
        <v>43739</v>
      </c>
      <c r="W583" s="3" t="s">
        <v>31</v>
      </c>
      <c r="X583" s="3" t="s">
        <v>3140</v>
      </c>
    </row>
    <row r="584" spans="1:24" ht="27.95" x14ac:dyDescent="0.3">
      <c r="A584" s="5">
        <v>578</v>
      </c>
      <c r="B584" s="5" t="str">
        <f>"1106480"</f>
        <v>1106480</v>
      </c>
      <c r="C584" s="5" t="str">
        <f>"1142"</f>
        <v>1142</v>
      </c>
      <c r="D584" s="5">
        <v>1106480</v>
      </c>
      <c r="E584" s="5">
        <v>20332167856</v>
      </c>
      <c r="F584" s="5" t="s">
        <v>3141</v>
      </c>
      <c r="G584" s="5" t="s">
        <v>3142</v>
      </c>
      <c r="H584" s="5" t="s">
        <v>550</v>
      </c>
      <c r="I584" s="5" t="s">
        <v>3143</v>
      </c>
      <c r="J584" s="5" t="s">
        <v>3144</v>
      </c>
      <c r="K584" s="5" t="s">
        <v>259</v>
      </c>
      <c r="L584" s="5" t="s">
        <v>323</v>
      </c>
      <c r="M584" s="5"/>
      <c r="N584" s="5"/>
      <c r="O584" s="5"/>
      <c r="P584" s="5"/>
      <c r="Q584" s="5"/>
      <c r="R584" s="5"/>
      <c r="S584" s="5"/>
      <c r="T584" s="5"/>
      <c r="U584" s="5">
        <v>10000</v>
      </c>
      <c r="V584" s="6">
        <v>35473</v>
      </c>
      <c r="W584" s="5" t="s">
        <v>31</v>
      </c>
      <c r="X584" s="5" t="s">
        <v>3145</v>
      </c>
    </row>
    <row r="585" spans="1:24" ht="27.95" x14ac:dyDescent="0.3">
      <c r="A585" s="3">
        <v>579</v>
      </c>
      <c r="B585" s="3" t="str">
        <f>"201600133994"</f>
        <v>201600133994</v>
      </c>
      <c r="C585" s="3" t="str">
        <f>"121782"</f>
        <v>121782</v>
      </c>
      <c r="D585" s="3" t="s">
        <v>3146</v>
      </c>
      <c r="E585" s="3">
        <v>20393826879</v>
      </c>
      <c r="F585" s="3" t="s">
        <v>3147</v>
      </c>
      <c r="G585" s="3" t="s">
        <v>3148</v>
      </c>
      <c r="H585" s="3" t="s">
        <v>165</v>
      </c>
      <c r="I585" s="3" t="s">
        <v>732</v>
      </c>
      <c r="J585" s="3" t="s">
        <v>732</v>
      </c>
      <c r="K585" s="3" t="s">
        <v>3149</v>
      </c>
      <c r="L585" s="3" t="s">
        <v>3149</v>
      </c>
      <c r="M585" s="3" t="s">
        <v>3150</v>
      </c>
      <c r="N585" s="3"/>
      <c r="O585" s="3"/>
      <c r="P585" s="3"/>
      <c r="Q585" s="3"/>
      <c r="R585" s="3"/>
      <c r="S585" s="3"/>
      <c r="T585" s="3"/>
      <c r="U585" s="3">
        <v>386000</v>
      </c>
      <c r="V585" s="4">
        <v>42628</v>
      </c>
      <c r="W585" s="3" t="s">
        <v>31</v>
      </c>
      <c r="X585" s="3" t="s">
        <v>3151</v>
      </c>
    </row>
    <row r="586" spans="1:24" x14ac:dyDescent="0.3">
      <c r="A586" s="5">
        <v>580</v>
      </c>
      <c r="B586" s="5" t="str">
        <f>"1110195"</f>
        <v>1110195</v>
      </c>
      <c r="C586" s="5" t="str">
        <f>"482"</f>
        <v>482</v>
      </c>
      <c r="D586" s="5">
        <v>992123</v>
      </c>
      <c r="E586" s="5">
        <v>20100010217</v>
      </c>
      <c r="F586" s="5" t="s">
        <v>725</v>
      </c>
      <c r="G586" s="5" t="s">
        <v>3152</v>
      </c>
      <c r="H586" s="5" t="s">
        <v>115</v>
      </c>
      <c r="I586" s="5" t="s">
        <v>115</v>
      </c>
      <c r="J586" s="5" t="s">
        <v>159</v>
      </c>
      <c r="K586" s="5" t="s">
        <v>2700</v>
      </c>
      <c r="L586" s="5"/>
      <c r="M586" s="5"/>
      <c r="N586" s="5"/>
      <c r="O586" s="5"/>
      <c r="P586" s="5"/>
      <c r="Q586" s="5"/>
      <c r="R586" s="5"/>
      <c r="S586" s="5"/>
      <c r="T586" s="5"/>
      <c r="U586" s="5">
        <v>5300</v>
      </c>
      <c r="V586" s="6">
        <v>35506</v>
      </c>
      <c r="W586" s="5" t="s">
        <v>31</v>
      </c>
      <c r="X586" s="5" t="s">
        <v>728</v>
      </c>
    </row>
    <row r="587" spans="1:24" x14ac:dyDescent="0.3">
      <c r="A587" s="3">
        <v>581</v>
      </c>
      <c r="B587" s="3" t="str">
        <f>"1234341"</f>
        <v>1234341</v>
      </c>
      <c r="C587" s="3" t="str">
        <f>"16158"</f>
        <v>16158</v>
      </c>
      <c r="D587" s="3">
        <v>961262</v>
      </c>
      <c r="E587" s="3">
        <v>20114205088</v>
      </c>
      <c r="F587" s="3" t="s">
        <v>3153</v>
      </c>
      <c r="G587" s="3" t="s">
        <v>3154</v>
      </c>
      <c r="H587" s="3" t="s">
        <v>285</v>
      </c>
      <c r="I587" s="3" t="s">
        <v>286</v>
      </c>
      <c r="J587" s="3" t="s">
        <v>470</v>
      </c>
      <c r="K587" s="3" t="s">
        <v>1793</v>
      </c>
      <c r="L587" s="3"/>
      <c r="M587" s="3"/>
      <c r="N587" s="3"/>
      <c r="O587" s="3"/>
      <c r="P587" s="3"/>
      <c r="Q587" s="3"/>
      <c r="R587" s="3"/>
      <c r="S587" s="3"/>
      <c r="T587" s="3"/>
      <c r="U587" s="3">
        <v>26000</v>
      </c>
      <c r="V587" s="4">
        <v>36325</v>
      </c>
      <c r="W587" s="3" t="s">
        <v>31</v>
      </c>
      <c r="X587" s="3" t="s">
        <v>3155</v>
      </c>
    </row>
    <row r="588" spans="1:24" ht="27.95" x14ac:dyDescent="0.3">
      <c r="A588" s="5">
        <v>582</v>
      </c>
      <c r="B588" s="5" t="str">
        <f>"1522280"</f>
        <v>1522280</v>
      </c>
      <c r="C588" s="5" t="str">
        <f>"37311"</f>
        <v>37311</v>
      </c>
      <c r="D588" s="5" t="s">
        <v>3156</v>
      </c>
      <c r="E588" s="5">
        <v>20171774196</v>
      </c>
      <c r="F588" s="5" t="s">
        <v>3157</v>
      </c>
      <c r="G588" s="5" t="s">
        <v>3158</v>
      </c>
      <c r="H588" s="5" t="s">
        <v>80</v>
      </c>
      <c r="I588" s="5" t="s">
        <v>192</v>
      </c>
      <c r="J588" s="5" t="s">
        <v>192</v>
      </c>
      <c r="K588" s="5" t="s">
        <v>871</v>
      </c>
      <c r="L588" s="5" t="s">
        <v>3159</v>
      </c>
      <c r="M588" s="5" t="s">
        <v>46</v>
      </c>
      <c r="N588" s="5"/>
      <c r="O588" s="5"/>
      <c r="P588" s="5"/>
      <c r="Q588" s="5"/>
      <c r="R588" s="5"/>
      <c r="S588" s="5"/>
      <c r="T588" s="5"/>
      <c r="U588" s="5">
        <v>10000</v>
      </c>
      <c r="V588" s="6">
        <v>38487</v>
      </c>
      <c r="W588" s="5" t="s">
        <v>31</v>
      </c>
      <c r="X588" s="5" t="s">
        <v>3160</v>
      </c>
    </row>
    <row r="589" spans="1:24" ht="27.95" x14ac:dyDescent="0.3">
      <c r="A589" s="3">
        <v>583</v>
      </c>
      <c r="B589" s="3" t="str">
        <f>"202000056491"</f>
        <v>202000056491</v>
      </c>
      <c r="C589" s="3" t="str">
        <f>"93871"</f>
        <v>93871</v>
      </c>
      <c r="D589" s="3" t="s">
        <v>3161</v>
      </c>
      <c r="E589" s="3">
        <v>20492922448</v>
      </c>
      <c r="F589" s="3" t="s">
        <v>3162</v>
      </c>
      <c r="G589" s="3" t="s">
        <v>3163</v>
      </c>
      <c r="H589" s="3" t="s">
        <v>80</v>
      </c>
      <c r="I589" s="3" t="s">
        <v>228</v>
      </c>
      <c r="J589" s="3" t="s">
        <v>228</v>
      </c>
      <c r="K589" s="3" t="s">
        <v>790</v>
      </c>
      <c r="L589" s="3"/>
      <c r="M589" s="3"/>
      <c r="N589" s="3"/>
      <c r="O589" s="3"/>
      <c r="P589" s="3"/>
      <c r="Q589" s="3"/>
      <c r="R589" s="3"/>
      <c r="S589" s="3"/>
      <c r="T589" s="3"/>
      <c r="U589" s="3">
        <v>12000</v>
      </c>
      <c r="V589" s="4">
        <v>43965</v>
      </c>
      <c r="W589" s="3" t="s">
        <v>31</v>
      </c>
      <c r="X589" s="3" t="s">
        <v>3164</v>
      </c>
    </row>
    <row r="590" spans="1:24" x14ac:dyDescent="0.3">
      <c r="A590" s="5">
        <v>584</v>
      </c>
      <c r="B590" s="5" t="str">
        <f>"1490002"</f>
        <v>1490002</v>
      </c>
      <c r="C590" s="5" t="str">
        <f>"1423"</f>
        <v>1423</v>
      </c>
      <c r="D590" s="5" t="s">
        <v>3165</v>
      </c>
      <c r="E590" s="5">
        <v>20101024645</v>
      </c>
      <c r="F590" s="5" t="s">
        <v>3166</v>
      </c>
      <c r="G590" s="5" t="s">
        <v>3167</v>
      </c>
      <c r="H590" s="5" t="s">
        <v>115</v>
      </c>
      <c r="I590" s="5" t="s">
        <v>115</v>
      </c>
      <c r="J590" s="5" t="s">
        <v>159</v>
      </c>
      <c r="K590" s="5" t="s">
        <v>3168</v>
      </c>
      <c r="L590" s="5" t="s">
        <v>3021</v>
      </c>
      <c r="M590" s="5"/>
      <c r="N590" s="5"/>
      <c r="O590" s="5"/>
      <c r="P590" s="5"/>
      <c r="Q590" s="5"/>
      <c r="R590" s="5"/>
      <c r="S590" s="5"/>
      <c r="T590" s="5"/>
      <c r="U590" s="5">
        <v>12700</v>
      </c>
      <c r="V590" s="6">
        <v>40728</v>
      </c>
      <c r="W590" s="5" t="s">
        <v>31</v>
      </c>
      <c r="X590" s="5" t="s">
        <v>3169</v>
      </c>
    </row>
    <row r="591" spans="1:24" x14ac:dyDescent="0.3">
      <c r="A591" s="3">
        <v>585</v>
      </c>
      <c r="B591" s="3" t="str">
        <f>"201400114138"</f>
        <v>201400114138</v>
      </c>
      <c r="C591" s="3" t="str">
        <f>"29"</f>
        <v>29</v>
      </c>
      <c r="D591" s="3" t="s">
        <v>3170</v>
      </c>
      <c r="E591" s="3">
        <v>20330791684</v>
      </c>
      <c r="F591" s="3" t="s">
        <v>3171</v>
      </c>
      <c r="G591" s="3" t="s">
        <v>3172</v>
      </c>
      <c r="H591" s="3" t="s">
        <v>115</v>
      </c>
      <c r="I591" s="3" t="s">
        <v>115</v>
      </c>
      <c r="J591" s="3" t="s">
        <v>159</v>
      </c>
      <c r="K591" s="3" t="s">
        <v>3173</v>
      </c>
      <c r="L591" s="3" t="s">
        <v>2116</v>
      </c>
      <c r="M591" s="3" t="s">
        <v>2116</v>
      </c>
      <c r="N591" s="3"/>
      <c r="O591" s="3"/>
      <c r="P591" s="3"/>
      <c r="Q591" s="3"/>
      <c r="R591" s="3"/>
      <c r="S591" s="3"/>
      <c r="T591" s="3"/>
      <c r="U591" s="3">
        <v>92470</v>
      </c>
      <c r="V591" s="4">
        <v>41890</v>
      </c>
      <c r="W591" s="3" t="s">
        <v>31</v>
      </c>
      <c r="X591" s="3" t="s">
        <v>3174</v>
      </c>
    </row>
    <row r="592" spans="1:24" x14ac:dyDescent="0.3">
      <c r="A592" s="5">
        <v>586</v>
      </c>
      <c r="B592" s="5" t="str">
        <f>"1271093"</f>
        <v>1271093</v>
      </c>
      <c r="C592" s="5" t="str">
        <f>"18619"</f>
        <v>18619</v>
      </c>
      <c r="D592" s="5">
        <v>958582</v>
      </c>
      <c r="E592" s="5">
        <v>20100090067</v>
      </c>
      <c r="F592" s="5" t="s">
        <v>3175</v>
      </c>
      <c r="G592" s="5" t="s">
        <v>3176</v>
      </c>
      <c r="H592" s="5" t="s">
        <v>28</v>
      </c>
      <c r="I592" s="5" t="s">
        <v>28</v>
      </c>
      <c r="J592" s="5" t="s">
        <v>91</v>
      </c>
      <c r="K592" s="5" t="s">
        <v>3177</v>
      </c>
      <c r="L592" s="5"/>
      <c r="M592" s="5"/>
      <c r="N592" s="5"/>
      <c r="O592" s="5"/>
      <c r="P592" s="5"/>
      <c r="Q592" s="5"/>
      <c r="R592" s="5"/>
      <c r="S592" s="5"/>
      <c r="T592" s="5"/>
      <c r="U592" s="5">
        <v>70000</v>
      </c>
      <c r="V592" s="6">
        <v>36574</v>
      </c>
      <c r="W592" s="5" t="s">
        <v>31</v>
      </c>
      <c r="X592" s="5" t="s">
        <v>3178</v>
      </c>
    </row>
    <row r="593" spans="1:24" ht="27.95" x14ac:dyDescent="0.3">
      <c r="A593" s="3">
        <v>587</v>
      </c>
      <c r="B593" s="3" t="str">
        <f>"201400172924"</f>
        <v>201400172924</v>
      </c>
      <c r="C593" s="3" t="str">
        <f>"40652"</f>
        <v>40652</v>
      </c>
      <c r="D593" s="3" t="s">
        <v>3179</v>
      </c>
      <c r="E593" s="3">
        <v>20297543653</v>
      </c>
      <c r="F593" s="3" t="s">
        <v>884</v>
      </c>
      <c r="G593" s="3" t="s">
        <v>3180</v>
      </c>
      <c r="H593" s="3" t="s">
        <v>28</v>
      </c>
      <c r="I593" s="3" t="s">
        <v>28</v>
      </c>
      <c r="J593" s="3" t="s">
        <v>1565</v>
      </c>
      <c r="K593" s="3" t="s">
        <v>3181</v>
      </c>
      <c r="L593" s="3"/>
      <c r="M593" s="3"/>
      <c r="N593" s="3"/>
      <c r="O593" s="3"/>
      <c r="P593" s="3"/>
      <c r="Q593" s="3"/>
      <c r="R593" s="3"/>
      <c r="S593" s="3"/>
      <c r="T593" s="3"/>
      <c r="U593" s="3">
        <v>20000</v>
      </c>
      <c r="V593" s="4">
        <v>42076</v>
      </c>
      <c r="W593" s="3" t="s">
        <v>31</v>
      </c>
      <c r="X593" s="3" t="s">
        <v>886</v>
      </c>
    </row>
    <row r="594" spans="1:24" ht="27.95" x14ac:dyDescent="0.3">
      <c r="A594" s="5">
        <v>588</v>
      </c>
      <c r="B594" s="5" t="str">
        <f>"201300125695"</f>
        <v>201300125695</v>
      </c>
      <c r="C594" s="5" t="str">
        <f>"98101"</f>
        <v>98101</v>
      </c>
      <c r="D594" s="5" t="s">
        <v>3182</v>
      </c>
      <c r="E594" s="5">
        <v>20517468721</v>
      </c>
      <c r="F594" s="5" t="s">
        <v>3183</v>
      </c>
      <c r="G594" s="5" t="s">
        <v>3184</v>
      </c>
      <c r="H594" s="5" t="s">
        <v>28</v>
      </c>
      <c r="I594" s="5" t="s">
        <v>28</v>
      </c>
      <c r="J594" s="5" t="s">
        <v>180</v>
      </c>
      <c r="K594" s="5" t="s">
        <v>130</v>
      </c>
      <c r="L594" s="5"/>
      <c r="M594" s="5"/>
      <c r="N594" s="5"/>
      <c r="O594" s="5"/>
      <c r="P594" s="5"/>
      <c r="Q594" s="5"/>
      <c r="R594" s="5"/>
      <c r="S594" s="5"/>
      <c r="T594" s="5"/>
      <c r="U594" s="5">
        <v>3000</v>
      </c>
      <c r="V594" s="6">
        <v>41534</v>
      </c>
      <c r="W594" s="5" t="s">
        <v>31</v>
      </c>
      <c r="X594" s="5" t="s">
        <v>3185</v>
      </c>
    </row>
    <row r="595" spans="1:24" x14ac:dyDescent="0.3">
      <c r="A595" s="3">
        <v>589</v>
      </c>
      <c r="B595" s="3" t="str">
        <f>"201200200571"</f>
        <v>201200200571</v>
      </c>
      <c r="C595" s="3" t="str">
        <f>"18246"</f>
        <v>18246</v>
      </c>
      <c r="D595" s="3" t="s">
        <v>3186</v>
      </c>
      <c r="E595" s="3">
        <v>20383161330</v>
      </c>
      <c r="F595" s="3" t="s">
        <v>3187</v>
      </c>
      <c r="G595" s="3" t="s">
        <v>3188</v>
      </c>
      <c r="H595" s="3" t="s">
        <v>285</v>
      </c>
      <c r="I595" s="3" t="s">
        <v>1473</v>
      </c>
      <c r="J595" s="3" t="s">
        <v>1474</v>
      </c>
      <c r="K595" s="3" t="s">
        <v>3189</v>
      </c>
      <c r="L595" s="3" t="s">
        <v>1725</v>
      </c>
      <c r="M595" s="3" t="s">
        <v>2856</v>
      </c>
      <c r="N595" s="3" t="s">
        <v>3189</v>
      </c>
      <c r="O595" s="3"/>
      <c r="P595" s="3"/>
      <c r="Q595" s="3"/>
      <c r="R595" s="3"/>
      <c r="S595" s="3"/>
      <c r="T595" s="3"/>
      <c r="U595" s="3">
        <v>12000</v>
      </c>
      <c r="V595" s="4">
        <v>41232</v>
      </c>
      <c r="W595" s="3" t="s">
        <v>31</v>
      </c>
      <c r="X595" s="3" t="s">
        <v>3190</v>
      </c>
    </row>
    <row r="596" spans="1:24" ht="27.95" x14ac:dyDescent="0.3">
      <c r="A596" s="5">
        <v>590</v>
      </c>
      <c r="B596" s="5" t="str">
        <f>"201800029949"</f>
        <v>201800029949</v>
      </c>
      <c r="C596" s="5" t="str">
        <f>"542"</f>
        <v>542</v>
      </c>
      <c r="D596" s="5" t="s">
        <v>3191</v>
      </c>
      <c r="E596" s="5">
        <v>20126616733</v>
      </c>
      <c r="F596" s="5" t="s">
        <v>3192</v>
      </c>
      <c r="G596" s="5" t="s">
        <v>3193</v>
      </c>
      <c r="H596" s="5" t="s">
        <v>28</v>
      </c>
      <c r="I596" s="5" t="s">
        <v>28</v>
      </c>
      <c r="J596" s="5" t="s">
        <v>91</v>
      </c>
      <c r="K596" s="5" t="s">
        <v>30</v>
      </c>
      <c r="L596" s="5"/>
      <c r="M596" s="5"/>
      <c r="N596" s="5"/>
      <c r="O596" s="5"/>
      <c r="P596" s="5"/>
      <c r="Q596" s="5"/>
      <c r="R596" s="5"/>
      <c r="S596" s="5"/>
      <c r="T596" s="5"/>
      <c r="U596" s="5">
        <v>8000</v>
      </c>
      <c r="V596" s="6">
        <v>43153</v>
      </c>
      <c r="W596" s="5" t="s">
        <v>31</v>
      </c>
      <c r="X596" s="5" t="s">
        <v>3194</v>
      </c>
    </row>
    <row r="597" spans="1:24" x14ac:dyDescent="0.3">
      <c r="A597" s="3">
        <v>591</v>
      </c>
      <c r="B597" s="3" t="str">
        <f>"201400131093"</f>
        <v>201400131093</v>
      </c>
      <c r="C597" s="3" t="str">
        <f>"102204"</f>
        <v>102204</v>
      </c>
      <c r="D597" s="3" t="s">
        <v>3195</v>
      </c>
      <c r="E597" s="3">
        <v>20490593536</v>
      </c>
      <c r="F597" s="3" t="s">
        <v>3196</v>
      </c>
      <c r="G597" s="3" t="s">
        <v>3197</v>
      </c>
      <c r="H597" s="3" t="s">
        <v>165</v>
      </c>
      <c r="I597" s="3" t="s">
        <v>166</v>
      </c>
      <c r="J597" s="3" t="s">
        <v>167</v>
      </c>
      <c r="K597" s="3" t="s">
        <v>3198</v>
      </c>
      <c r="L597" s="3" t="s">
        <v>3198</v>
      </c>
      <c r="M597" s="3" t="s">
        <v>3199</v>
      </c>
      <c r="N597" s="3"/>
      <c r="O597" s="3"/>
      <c r="P597" s="3"/>
      <c r="Q597" s="3"/>
      <c r="R597" s="3"/>
      <c r="S597" s="3"/>
      <c r="T597" s="3"/>
      <c r="U597" s="3">
        <v>11490</v>
      </c>
      <c r="V597" s="4">
        <v>41964</v>
      </c>
      <c r="W597" s="3" t="s">
        <v>31</v>
      </c>
      <c r="X597" s="3" t="s">
        <v>3200</v>
      </c>
    </row>
    <row r="598" spans="1:24" ht="27.95" x14ac:dyDescent="0.3">
      <c r="A598" s="5">
        <v>592</v>
      </c>
      <c r="B598" s="5" t="str">
        <f>"201800094002"</f>
        <v>201800094002</v>
      </c>
      <c r="C598" s="5" t="str">
        <f>"136731"</f>
        <v>136731</v>
      </c>
      <c r="D598" s="5" t="s">
        <v>3201</v>
      </c>
      <c r="E598" s="5">
        <v>20501646831</v>
      </c>
      <c r="F598" s="5" t="s">
        <v>3202</v>
      </c>
      <c r="G598" s="5" t="s">
        <v>3203</v>
      </c>
      <c r="H598" s="5" t="s">
        <v>28</v>
      </c>
      <c r="I598" s="5" t="s">
        <v>28</v>
      </c>
      <c r="J598" s="5" t="s">
        <v>501</v>
      </c>
      <c r="K598" s="5" t="s">
        <v>130</v>
      </c>
      <c r="L598" s="5"/>
      <c r="M598" s="5"/>
      <c r="N598" s="5"/>
      <c r="O598" s="5"/>
      <c r="P598" s="5"/>
      <c r="Q598" s="5"/>
      <c r="R598" s="5"/>
      <c r="S598" s="5"/>
      <c r="T598" s="5"/>
      <c r="U598" s="5">
        <v>3000</v>
      </c>
      <c r="V598" s="6">
        <v>43261</v>
      </c>
      <c r="W598" s="5" t="s">
        <v>31</v>
      </c>
      <c r="X598" s="5" t="s">
        <v>3204</v>
      </c>
    </row>
    <row r="599" spans="1:24" x14ac:dyDescent="0.3">
      <c r="A599" s="3">
        <v>593</v>
      </c>
      <c r="B599" s="3" t="str">
        <f>"201800049833"</f>
        <v>201800049833</v>
      </c>
      <c r="C599" s="3" t="str">
        <f>"247"</f>
        <v>247</v>
      </c>
      <c r="D599" s="3" t="s">
        <v>3205</v>
      </c>
      <c r="E599" s="3">
        <v>20132367800</v>
      </c>
      <c r="F599" s="3" t="s">
        <v>3206</v>
      </c>
      <c r="G599" s="3" t="s">
        <v>3207</v>
      </c>
      <c r="H599" s="3" t="s">
        <v>36</v>
      </c>
      <c r="I599" s="3" t="s">
        <v>3208</v>
      </c>
      <c r="J599" s="3" t="s">
        <v>3209</v>
      </c>
      <c r="K599" s="3" t="s">
        <v>3210</v>
      </c>
      <c r="L599" s="3" t="s">
        <v>3211</v>
      </c>
      <c r="M599" s="3" t="s">
        <v>3212</v>
      </c>
      <c r="N599" s="3" t="s">
        <v>3211</v>
      </c>
      <c r="O599" s="3" t="s">
        <v>3211</v>
      </c>
      <c r="P599" s="3" t="s">
        <v>3211</v>
      </c>
      <c r="Q599" s="3" t="s">
        <v>2239</v>
      </c>
      <c r="R599" s="3" t="s">
        <v>2239</v>
      </c>
      <c r="S599" s="3" t="s">
        <v>3211</v>
      </c>
      <c r="T599" s="3" t="s">
        <v>3211</v>
      </c>
      <c r="U599" s="3">
        <v>252500</v>
      </c>
      <c r="V599" s="4">
        <v>43213</v>
      </c>
      <c r="W599" s="3" t="s">
        <v>31</v>
      </c>
      <c r="X599" s="3" t="s">
        <v>3213</v>
      </c>
    </row>
    <row r="600" spans="1:24" ht="27.95" x14ac:dyDescent="0.3">
      <c r="A600" s="5">
        <v>594</v>
      </c>
      <c r="B600" s="5" t="str">
        <f>"201600094860"</f>
        <v>201600094860</v>
      </c>
      <c r="C600" s="5" t="str">
        <f>"122375"</f>
        <v>122375</v>
      </c>
      <c r="D600" s="5" t="s">
        <v>3214</v>
      </c>
      <c r="E600" s="5">
        <v>20192779333</v>
      </c>
      <c r="F600" s="5" t="s">
        <v>3215</v>
      </c>
      <c r="G600" s="5" t="s">
        <v>3216</v>
      </c>
      <c r="H600" s="5" t="s">
        <v>292</v>
      </c>
      <c r="I600" s="5" t="s">
        <v>3217</v>
      </c>
      <c r="J600" s="5" t="s">
        <v>3218</v>
      </c>
      <c r="K600" s="5" t="s">
        <v>3219</v>
      </c>
      <c r="L600" s="5"/>
      <c r="M600" s="5"/>
      <c r="N600" s="5"/>
      <c r="O600" s="5"/>
      <c r="P600" s="5"/>
      <c r="Q600" s="5"/>
      <c r="R600" s="5"/>
      <c r="S600" s="5"/>
      <c r="T600" s="5"/>
      <c r="U600" s="5">
        <v>200000</v>
      </c>
      <c r="V600" s="6">
        <v>42571</v>
      </c>
      <c r="W600" s="5" t="s">
        <v>31</v>
      </c>
      <c r="X600" s="5" t="s">
        <v>3220</v>
      </c>
    </row>
    <row r="601" spans="1:24" ht="27.95" x14ac:dyDescent="0.3">
      <c r="A601" s="3">
        <v>595</v>
      </c>
      <c r="B601" s="3" t="str">
        <f>"201600166905"</f>
        <v>201600166905</v>
      </c>
      <c r="C601" s="3" t="str">
        <f>"123392"</f>
        <v>123392</v>
      </c>
      <c r="D601" s="3" t="s">
        <v>3221</v>
      </c>
      <c r="E601" s="3">
        <v>20512481125</v>
      </c>
      <c r="F601" s="3" t="s">
        <v>3222</v>
      </c>
      <c r="G601" s="3" t="s">
        <v>3223</v>
      </c>
      <c r="H601" s="3" t="s">
        <v>28</v>
      </c>
      <c r="I601" s="3" t="s">
        <v>122</v>
      </c>
      <c r="J601" s="3" t="s">
        <v>3224</v>
      </c>
      <c r="K601" s="3" t="s">
        <v>193</v>
      </c>
      <c r="L601" s="3"/>
      <c r="M601" s="3"/>
      <c r="N601" s="3"/>
      <c r="O601" s="3"/>
      <c r="P601" s="3"/>
      <c r="Q601" s="3"/>
      <c r="R601" s="3"/>
      <c r="S601" s="3"/>
      <c r="T601" s="3"/>
      <c r="U601" s="3">
        <v>2500</v>
      </c>
      <c r="V601" s="4">
        <v>42694</v>
      </c>
      <c r="W601" s="3" t="s">
        <v>31</v>
      </c>
      <c r="X601" s="3" t="s">
        <v>3225</v>
      </c>
    </row>
    <row r="602" spans="1:24" ht="27.95" x14ac:dyDescent="0.3">
      <c r="A602" s="5">
        <v>596</v>
      </c>
      <c r="B602" s="5" t="str">
        <f>"1787156"</f>
        <v>1787156</v>
      </c>
      <c r="C602" s="5" t="str">
        <f>"44440"</f>
        <v>44440</v>
      </c>
      <c r="D602" s="5" t="s">
        <v>3226</v>
      </c>
      <c r="E602" s="5">
        <v>20521758369</v>
      </c>
      <c r="F602" s="5" t="s">
        <v>3227</v>
      </c>
      <c r="G602" s="5" t="s">
        <v>3228</v>
      </c>
      <c r="H602" s="5" t="s">
        <v>28</v>
      </c>
      <c r="I602" s="5" t="s">
        <v>28</v>
      </c>
      <c r="J602" s="5" t="s">
        <v>409</v>
      </c>
      <c r="K602" s="5" t="s">
        <v>229</v>
      </c>
      <c r="L602" s="5"/>
      <c r="M602" s="5"/>
      <c r="N602" s="5"/>
      <c r="O602" s="5"/>
      <c r="P602" s="5"/>
      <c r="Q602" s="5"/>
      <c r="R602" s="5"/>
      <c r="S602" s="5"/>
      <c r="T602" s="5"/>
      <c r="U602" s="5">
        <v>2000</v>
      </c>
      <c r="V602" s="6">
        <v>39604</v>
      </c>
      <c r="W602" s="5" t="s">
        <v>31</v>
      </c>
      <c r="X602" s="5" t="s">
        <v>3229</v>
      </c>
    </row>
    <row r="603" spans="1:24" ht="27.95" x14ac:dyDescent="0.3">
      <c r="A603" s="3">
        <v>597</v>
      </c>
      <c r="B603" s="3" t="str">
        <f>"201900175498"</f>
        <v>201900175498</v>
      </c>
      <c r="C603" s="3" t="str">
        <f>"62223"</f>
        <v>62223</v>
      </c>
      <c r="D603" s="3" t="s">
        <v>3230</v>
      </c>
      <c r="E603" s="3">
        <v>20100130204</v>
      </c>
      <c r="F603" s="3" t="s">
        <v>3231</v>
      </c>
      <c r="G603" s="3" t="s">
        <v>3232</v>
      </c>
      <c r="H603" s="3" t="s">
        <v>28</v>
      </c>
      <c r="I603" s="3" t="s">
        <v>28</v>
      </c>
      <c r="J603" s="3" t="s">
        <v>1824</v>
      </c>
      <c r="K603" s="3" t="s">
        <v>130</v>
      </c>
      <c r="L603" s="3" t="s">
        <v>130</v>
      </c>
      <c r="M603" s="3" t="s">
        <v>3233</v>
      </c>
      <c r="N603" s="3" t="s">
        <v>3233</v>
      </c>
      <c r="O603" s="3" t="s">
        <v>397</v>
      </c>
      <c r="P603" s="3"/>
      <c r="Q603" s="3"/>
      <c r="R603" s="3"/>
      <c r="S603" s="3"/>
      <c r="T603" s="3"/>
      <c r="U603" s="3">
        <v>14810</v>
      </c>
      <c r="V603" s="4">
        <v>43763</v>
      </c>
      <c r="W603" s="3" t="s">
        <v>31</v>
      </c>
      <c r="X603" s="3" t="s">
        <v>3234</v>
      </c>
    </row>
    <row r="604" spans="1:24" x14ac:dyDescent="0.3">
      <c r="A604" s="5">
        <v>598</v>
      </c>
      <c r="B604" s="5" t="str">
        <f>"1427006"</f>
        <v>1427006</v>
      </c>
      <c r="C604" s="5" t="str">
        <f>"37963"</f>
        <v>37963</v>
      </c>
      <c r="D604" s="5" t="s">
        <v>3235</v>
      </c>
      <c r="E604" s="5">
        <v>20106753751</v>
      </c>
      <c r="F604" s="5" t="s">
        <v>3236</v>
      </c>
      <c r="G604" s="5" t="s">
        <v>3237</v>
      </c>
      <c r="H604" s="5" t="s">
        <v>28</v>
      </c>
      <c r="I604" s="5" t="s">
        <v>28</v>
      </c>
      <c r="J604" s="5" t="s">
        <v>45</v>
      </c>
      <c r="K604" s="5" t="s">
        <v>394</v>
      </c>
      <c r="L604" s="5"/>
      <c r="M604" s="5"/>
      <c r="N604" s="5"/>
      <c r="O604" s="5"/>
      <c r="P604" s="5"/>
      <c r="Q604" s="5"/>
      <c r="R604" s="5"/>
      <c r="S604" s="5"/>
      <c r="T604" s="5"/>
      <c r="U604" s="5">
        <v>6200</v>
      </c>
      <c r="V604" s="6">
        <v>37888</v>
      </c>
      <c r="W604" s="5" t="s">
        <v>31</v>
      </c>
      <c r="X604" s="5" t="s">
        <v>3238</v>
      </c>
    </row>
    <row r="605" spans="1:24" x14ac:dyDescent="0.3">
      <c r="A605" s="3">
        <v>599</v>
      </c>
      <c r="B605" s="3" t="str">
        <f>"201900116215"</f>
        <v>201900116215</v>
      </c>
      <c r="C605" s="3" t="str">
        <f>"145306"</f>
        <v>145306</v>
      </c>
      <c r="D605" s="3" t="s">
        <v>3239</v>
      </c>
      <c r="E605" s="3">
        <v>20447104122</v>
      </c>
      <c r="F605" s="3" t="s">
        <v>3240</v>
      </c>
      <c r="G605" s="3" t="s">
        <v>3241</v>
      </c>
      <c r="H605" s="3" t="s">
        <v>28</v>
      </c>
      <c r="I605" s="3" t="s">
        <v>28</v>
      </c>
      <c r="J605" s="3" t="s">
        <v>266</v>
      </c>
      <c r="K605" s="3" t="s">
        <v>3242</v>
      </c>
      <c r="L605" s="3" t="s">
        <v>3242</v>
      </c>
      <c r="M605" s="3"/>
      <c r="N605" s="3"/>
      <c r="O605" s="3"/>
      <c r="P605" s="3"/>
      <c r="Q605" s="3"/>
      <c r="R605" s="3"/>
      <c r="S605" s="3"/>
      <c r="T605" s="3"/>
      <c r="U605" s="3">
        <v>10646</v>
      </c>
      <c r="V605" s="4">
        <v>43664</v>
      </c>
      <c r="W605" s="3" t="s">
        <v>31</v>
      </c>
      <c r="X605" s="3" t="s">
        <v>3243</v>
      </c>
    </row>
    <row r="606" spans="1:24" ht="27.95" x14ac:dyDescent="0.3">
      <c r="A606" s="5">
        <v>600</v>
      </c>
      <c r="B606" s="5" t="str">
        <f>"201600098700"</f>
        <v>201600098700</v>
      </c>
      <c r="C606" s="5" t="str">
        <f>"18777"</f>
        <v>18777</v>
      </c>
      <c r="D606" s="5" t="s">
        <v>3244</v>
      </c>
      <c r="E606" s="5">
        <v>20139369514</v>
      </c>
      <c r="F606" s="5" t="s">
        <v>3245</v>
      </c>
      <c r="G606" s="5" t="s">
        <v>3246</v>
      </c>
      <c r="H606" s="5" t="s">
        <v>115</v>
      </c>
      <c r="I606" s="5" t="s">
        <v>115</v>
      </c>
      <c r="J606" s="5" t="s">
        <v>159</v>
      </c>
      <c r="K606" s="5" t="s">
        <v>110</v>
      </c>
      <c r="L606" s="5"/>
      <c r="M606" s="5"/>
      <c r="N606" s="5"/>
      <c r="O606" s="5"/>
      <c r="P606" s="5"/>
      <c r="Q606" s="5"/>
      <c r="R606" s="5"/>
      <c r="S606" s="5"/>
      <c r="T606" s="5"/>
      <c r="U606" s="5">
        <v>4000</v>
      </c>
      <c r="V606" s="6">
        <v>42555</v>
      </c>
      <c r="W606" s="5" t="s">
        <v>31</v>
      </c>
      <c r="X606" s="5" t="s">
        <v>3247</v>
      </c>
    </row>
    <row r="607" spans="1:24" x14ac:dyDescent="0.3">
      <c r="A607" s="3">
        <v>601</v>
      </c>
      <c r="B607" s="3" t="str">
        <f>"201400111231"</f>
        <v>201400111231</v>
      </c>
      <c r="C607" s="3" t="str">
        <f>"105793"</f>
        <v>105793</v>
      </c>
      <c r="D607" s="3" t="s">
        <v>3248</v>
      </c>
      <c r="E607" s="3">
        <v>20490856561</v>
      </c>
      <c r="F607" s="3" t="s">
        <v>3249</v>
      </c>
      <c r="G607" s="3" t="s">
        <v>3250</v>
      </c>
      <c r="H607" s="3" t="s">
        <v>165</v>
      </c>
      <c r="I607" s="3" t="s">
        <v>732</v>
      </c>
      <c r="J607" s="3" t="s">
        <v>733</v>
      </c>
      <c r="K607" s="3" t="s">
        <v>2250</v>
      </c>
      <c r="L607" s="3" t="s">
        <v>2250</v>
      </c>
      <c r="M607" s="3"/>
      <c r="N607" s="3"/>
      <c r="O607" s="3"/>
      <c r="P607" s="3"/>
      <c r="Q607" s="3"/>
      <c r="R607" s="3"/>
      <c r="S607" s="3"/>
      <c r="T607" s="3"/>
      <c r="U607" s="3">
        <v>7200</v>
      </c>
      <c r="V607" s="4">
        <v>41916</v>
      </c>
      <c r="W607" s="3" t="s">
        <v>31</v>
      </c>
      <c r="X607" s="3" t="s">
        <v>3251</v>
      </c>
    </row>
    <row r="608" spans="1:24" x14ac:dyDescent="0.3">
      <c r="A608" s="5">
        <v>602</v>
      </c>
      <c r="B608" s="5" t="str">
        <f>"1837159"</f>
        <v>1837159</v>
      </c>
      <c r="C608" s="5" t="str">
        <f>"64084"</f>
        <v>64084</v>
      </c>
      <c r="D608" s="5" t="s">
        <v>3252</v>
      </c>
      <c r="E608" s="5">
        <v>20498542264</v>
      </c>
      <c r="F608" s="5" t="s">
        <v>3253</v>
      </c>
      <c r="G608" s="5" t="s">
        <v>3254</v>
      </c>
      <c r="H608" s="5" t="s">
        <v>51</v>
      </c>
      <c r="I608" s="5" t="s">
        <v>51</v>
      </c>
      <c r="J608" s="5" t="s">
        <v>3255</v>
      </c>
      <c r="K608" s="5" t="s">
        <v>46</v>
      </c>
      <c r="L608" s="5"/>
      <c r="M608" s="5"/>
      <c r="N608" s="5"/>
      <c r="O608" s="5"/>
      <c r="P608" s="5"/>
      <c r="Q608" s="5"/>
      <c r="R608" s="5"/>
      <c r="S608" s="5"/>
      <c r="T608" s="5"/>
      <c r="U608" s="5">
        <v>3000</v>
      </c>
      <c r="V608" s="6">
        <v>39743</v>
      </c>
      <c r="W608" s="5" t="s">
        <v>31</v>
      </c>
      <c r="X608" s="5" t="s">
        <v>3256</v>
      </c>
    </row>
    <row r="609" spans="1:24" x14ac:dyDescent="0.3">
      <c r="A609" s="3">
        <v>603</v>
      </c>
      <c r="B609" s="3" t="str">
        <f>"201200056018"</f>
        <v>201200056018</v>
      </c>
      <c r="C609" s="3" t="str">
        <f>"96450"</f>
        <v>96450</v>
      </c>
      <c r="D609" s="3" t="s">
        <v>3257</v>
      </c>
      <c r="E609" s="3">
        <v>20392534882</v>
      </c>
      <c r="F609" s="3" t="s">
        <v>3258</v>
      </c>
      <c r="G609" s="3" t="s">
        <v>3259</v>
      </c>
      <c r="H609" s="3" t="s">
        <v>28</v>
      </c>
      <c r="I609" s="3" t="s">
        <v>28</v>
      </c>
      <c r="J609" s="3" t="s">
        <v>91</v>
      </c>
      <c r="K609" s="3" t="s">
        <v>777</v>
      </c>
      <c r="L609" s="3"/>
      <c r="M609" s="3"/>
      <c r="N609" s="3"/>
      <c r="O609" s="3"/>
      <c r="P609" s="3"/>
      <c r="Q609" s="3"/>
      <c r="R609" s="3"/>
      <c r="S609" s="3"/>
      <c r="T609" s="3"/>
      <c r="U609" s="3">
        <v>2800</v>
      </c>
      <c r="V609" s="4">
        <v>41019</v>
      </c>
      <c r="W609" s="3" t="s">
        <v>31</v>
      </c>
      <c r="X609" s="3" t="s">
        <v>3260</v>
      </c>
    </row>
    <row r="610" spans="1:24" ht="27.95" x14ac:dyDescent="0.3">
      <c r="A610" s="5">
        <v>604</v>
      </c>
      <c r="B610" s="5" t="str">
        <f>"201400062818"</f>
        <v>201400062818</v>
      </c>
      <c r="C610" s="5" t="str">
        <f>"109552"</f>
        <v>109552</v>
      </c>
      <c r="D610" s="5" t="s">
        <v>3261</v>
      </c>
      <c r="E610" s="5">
        <v>20523183941</v>
      </c>
      <c r="F610" s="5" t="s">
        <v>3262</v>
      </c>
      <c r="G610" s="5" t="s">
        <v>3263</v>
      </c>
      <c r="H610" s="5" t="s">
        <v>58</v>
      </c>
      <c r="I610" s="5" t="s">
        <v>59</v>
      </c>
      <c r="J610" s="5" t="s">
        <v>1367</v>
      </c>
      <c r="K610" s="5" t="s">
        <v>3264</v>
      </c>
      <c r="L610" s="5"/>
      <c r="M610" s="5"/>
      <c r="N610" s="5"/>
      <c r="O610" s="5"/>
      <c r="P610" s="5"/>
      <c r="Q610" s="5"/>
      <c r="R610" s="5"/>
      <c r="S610" s="5"/>
      <c r="T610" s="5"/>
      <c r="U610" s="5">
        <v>210000</v>
      </c>
      <c r="V610" s="6">
        <v>41799</v>
      </c>
      <c r="W610" s="5" t="s">
        <v>31</v>
      </c>
      <c r="X610" s="5" t="s">
        <v>3265</v>
      </c>
    </row>
    <row r="611" spans="1:24" ht="27.95" x14ac:dyDescent="0.3">
      <c r="A611" s="3">
        <v>605</v>
      </c>
      <c r="B611" s="3" t="str">
        <f>"1125411"</f>
        <v>1125411</v>
      </c>
      <c r="C611" s="3" t="str">
        <f>"1485"</f>
        <v>1485</v>
      </c>
      <c r="D611" s="3">
        <v>1006286</v>
      </c>
      <c r="E611" s="3">
        <v>20129646099</v>
      </c>
      <c r="F611" s="3" t="s">
        <v>3266</v>
      </c>
      <c r="G611" s="3" t="s">
        <v>3267</v>
      </c>
      <c r="H611" s="3" t="s">
        <v>566</v>
      </c>
      <c r="I611" s="3" t="s">
        <v>1724</v>
      </c>
      <c r="J611" s="3" t="s">
        <v>3268</v>
      </c>
      <c r="K611" s="3" t="s">
        <v>3037</v>
      </c>
      <c r="L611" s="3" t="s">
        <v>3037</v>
      </c>
      <c r="M611" s="3"/>
      <c r="N611" s="3"/>
      <c r="O611" s="3"/>
      <c r="P611" s="3"/>
      <c r="Q611" s="3"/>
      <c r="R611" s="3"/>
      <c r="S611" s="3"/>
      <c r="T611" s="3"/>
      <c r="U611" s="3">
        <v>30000</v>
      </c>
      <c r="V611" s="4">
        <v>35627</v>
      </c>
      <c r="W611" s="3" t="s">
        <v>31</v>
      </c>
      <c r="X611" s="3" t="s">
        <v>2933</v>
      </c>
    </row>
    <row r="612" spans="1:24" x14ac:dyDescent="0.3">
      <c r="A612" s="5">
        <v>606</v>
      </c>
      <c r="B612" s="5" t="str">
        <f>"201600133971"</f>
        <v>201600133971</v>
      </c>
      <c r="C612" s="5" t="str">
        <f>"123864"</f>
        <v>123864</v>
      </c>
      <c r="D612" s="5" t="s">
        <v>3269</v>
      </c>
      <c r="E612" s="5">
        <v>20490873067</v>
      </c>
      <c r="F612" s="5" t="s">
        <v>3270</v>
      </c>
      <c r="G612" s="5" t="s">
        <v>3271</v>
      </c>
      <c r="H612" s="5" t="s">
        <v>165</v>
      </c>
      <c r="I612" s="5" t="s">
        <v>166</v>
      </c>
      <c r="J612" s="5" t="s">
        <v>167</v>
      </c>
      <c r="K612" s="5" t="s">
        <v>3272</v>
      </c>
      <c r="L612" s="5"/>
      <c r="M612" s="5"/>
      <c r="N612" s="5"/>
      <c r="O612" s="5"/>
      <c r="P612" s="5"/>
      <c r="Q612" s="5"/>
      <c r="R612" s="5"/>
      <c r="S612" s="5"/>
      <c r="T612" s="5"/>
      <c r="U612" s="5">
        <v>5121</v>
      </c>
      <c r="V612" s="6">
        <v>42655</v>
      </c>
      <c r="W612" s="5" t="s">
        <v>31</v>
      </c>
      <c r="X612" s="5" t="s">
        <v>3273</v>
      </c>
    </row>
    <row r="613" spans="1:24" ht="27.95" x14ac:dyDescent="0.3">
      <c r="A613" s="3">
        <v>607</v>
      </c>
      <c r="B613" s="3" t="str">
        <f>"201800162880"</f>
        <v>201800162880</v>
      </c>
      <c r="C613" s="3" t="str">
        <f>"138918"</f>
        <v>138918</v>
      </c>
      <c r="D613" s="3" t="s">
        <v>3274</v>
      </c>
      <c r="E613" s="3">
        <v>20493998472</v>
      </c>
      <c r="F613" s="3" t="s">
        <v>3275</v>
      </c>
      <c r="G613" s="3" t="s">
        <v>3276</v>
      </c>
      <c r="H613" s="3" t="s">
        <v>58</v>
      </c>
      <c r="I613" s="3" t="s">
        <v>507</v>
      </c>
      <c r="J613" s="3" t="s">
        <v>508</v>
      </c>
      <c r="K613" s="3" t="s">
        <v>3277</v>
      </c>
      <c r="L613" s="3"/>
      <c r="M613" s="3"/>
      <c r="N613" s="3"/>
      <c r="O613" s="3"/>
      <c r="P613" s="3"/>
      <c r="Q613" s="3"/>
      <c r="R613" s="3"/>
      <c r="S613" s="3"/>
      <c r="T613" s="3"/>
      <c r="U613" s="3">
        <v>1500</v>
      </c>
      <c r="V613" s="4">
        <v>43375</v>
      </c>
      <c r="W613" s="3" t="s">
        <v>31</v>
      </c>
      <c r="X613" s="3" t="s">
        <v>3278</v>
      </c>
    </row>
    <row r="614" spans="1:24" x14ac:dyDescent="0.3">
      <c r="A614" s="5">
        <v>608</v>
      </c>
      <c r="B614" s="5" t="str">
        <f>"1125413"</f>
        <v>1125413</v>
      </c>
      <c r="C614" s="5" t="str">
        <f>"685"</f>
        <v>685</v>
      </c>
      <c r="D614" s="5">
        <v>1006287</v>
      </c>
      <c r="E614" s="5">
        <v>20129646099</v>
      </c>
      <c r="F614" s="5" t="s">
        <v>3279</v>
      </c>
      <c r="G614" s="5" t="s">
        <v>3280</v>
      </c>
      <c r="H614" s="5" t="s">
        <v>566</v>
      </c>
      <c r="I614" s="5" t="s">
        <v>1031</v>
      </c>
      <c r="J614" s="5" t="s">
        <v>1031</v>
      </c>
      <c r="K614" s="5" t="s">
        <v>3281</v>
      </c>
      <c r="L614" s="5" t="s">
        <v>3282</v>
      </c>
      <c r="M614" s="5" t="s">
        <v>871</v>
      </c>
      <c r="N614" s="5" t="s">
        <v>3283</v>
      </c>
      <c r="O614" s="5" t="s">
        <v>329</v>
      </c>
      <c r="P614" s="5"/>
      <c r="Q614" s="5"/>
      <c r="R614" s="5"/>
      <c r="S614" s="5"/>
      <c r="T614" s="5"/>
      <c r="U614" s="5">
        <v>29750</v>
      </c>
      <c r="V614" s="6">
        <v>35627</v>
      </c>
      <c r="W614" s="5" t="s">
        <v>31</v>
      </c>
      <c r="X614" s="5" t="s">
        <v>2933</v>
      </c>
    </row>
    <row r="615" spans="1:24" x14ac:dyDescent="0.3">
      <c r="A615" s="3">
        <v>609</v>
      </c>
      <c r="B615" s="3" t="str">
        <f>"201400132139"</f>
        <v>201400132139</v>
      </c>
      <c r="C615" s="3" t="str">
        <f>"102286"</f>
        <v>102286</v>
      </c>
      <c r="D615" s="3" t="s">
        <v>3284</v>
      </c>
      <c r="E615" s="3">
        <v>20490989791</v>
      </c>
      <c r="F615" s="3" t="s">
        <v>3285</v>
      </c>
      <c r="G615" s="3" t="s">
        <v>3286</v>
      </c>
      <c r="H615" s="3" t="s">
        <v>165</v>
      </c>
      <c r="I615" s="3" t="s">
        <v>166</v>
      </c>
      <c r="J615" s="3" t="s">
        <v>167</v>
      </c>
      <c r="K615" s="3" t="s">
        <v>198</v>
      </c>
      <c r="L615" s="3"/>
      <c r="M615" s="3"/>
      <c r="N615" s="3"/>
      <c r="O615" s="3"/>
      <c r="P615" s="3"/>
      <c r="Q615" s="3"/>
      <c r="R615" s="3"/>
      <c r="S615" s="3"/>
      <c r="T615" s="3"/>
      <c r="U615" s="3">
        <v>9000</v>
      </c>
      <c r="V615" s="4">
        <v>41959</v>
      </c>
      <c r="W615" s="3" t="s">
        <v>31</v>
      </c>
      <c r="X615" s="3" t="s">
        <v>3287</v>
      </c>
    </row>
    <row r="616" spans="1:24" ht="27.95" x14ac:dyDescent="0.3">
      <c r="A616" s="5">
        <v>610</v>
      </c>
      <c r="B616" s="5" t="str">
        <f>"201800169796"</f>
        <v>201800169796</v>
      </c>
      <c r="C616" s="5" t="str">
        <f>"139097"</f>
        <v>139097</v>
      </c>
      <c r="D616" s="5" t="s">
        <v>3288</v>
      </c>
      <c r="E616" s="5">
        <v>20524277973</v>
      </c>
      <c r="F616" s="5" t="s">
        <v>3289</v>
      </c>
      <c r="G616" s="5" t="s">
        <v>3290</v>
      </c>
      <c r="H616" s="5" t="s">
        <v>115</v>
      </c>
      <c r="I616" s="5" t="s">
        <v>115</v>
      </c>
      <c r="J616" s="5" t="s">
        <v>159</v>
      </c>
      <c r="K616" s="5" t="s">
        <v>3291</v>
      </c>
      <c r="L616" s="5"/>
      <c r="M616" s="5"/>
      <c r="N616" s="5"/>
      <c r="O616" s="5"/>
      <c r="P616" s="5"/>
      <c r="Q616" s="5"/>
      <c r="R616" s="5"/>
      <c r="S616" s="5"/>
      <c r="T616" s="5"/>
      <c r="U616" s="5">
        <v>1800</v>
      </c>
      <c r="V616" s="6">
        <v>43413</v>
      </c>
      <c r="W616" s="5" t="s">
        <v>31</v>
      </c>
      <c r="X616" s="5" t="s">
        <v>3292</v>
      </c>
    </row>
    <row r="617" spans="1:24" ht="27.95" x14ac:dyDescent="0.3">
      <c r="A617" s="3">
        <v>611</v>
      </c>
      <c r="B617" s="3" t="str">
        <f>"201300128590"</f>
        <v>201300128590</v>
      </c>
      <c r="C617" s="3" t="str">
        <f>"102980"</f>
        <v>102980</v>
      </c>
      <c r="D617" s="3" t="s">
        <v>3293</v>
      </c>
      <c r="E617" s="3">
        <v>20515162578</v>
      </c>
      <c r="F617" s="3" t="s">
        <v>3294</v>
      </c>
      <c r="G617" s="3" t="s">
        <v>3295</v>
      </c>
      <c r="H617" s="3" t="s">
        <v>80</v>
      </c>
      <c r="I617" s="3" t="s">
        <v>309</v>
      </c>
      <c r="J617" s="3" t="s">
        <v>309</v>
      </c>
      <c r="K617" s="3" t="s">
        <v>841</v>
      </c>
      <c r="L617" s="3"/>
      <c r="M617" s="3"/>
      <c r="N617" s="3"/>
      <c r="O617" s="3"/>
      <c r="P617" s="3"/>
      <c r="Q617" s="3"/>
      <c r="R617" s="3"/>
      <c r="S617" s="3"/>
      <c r="T617" s="3"/>
      <c r="U617" s="3">
        <v>4500</v>
      </c>
      <c r="V617" s="4">
        <v>41492</v>
      </c>
      <c r="W617" s="3" t="s">
        <v>31</v>
      </c>
      <c r="X617" s="3" t="s">
        <v>3296</v>
      </c>
    </row>
    <row r="618" spans="1:24" ht="27.95" x14ac:dyDescent="0.3">
      <c r="A618" s="5">
        <v>612</v>
      </c>
      <c r="B618" s="5" t="str">
        <f>"201700097819"</f>
        <v>201700097819</v>
      </c>
      <c r="C618" s="5" t="str">
        <f>"125875"</f>
        <v>125875</v>
      </c>
      <c r="D618" s="5" t="s">
        <v>3297</v>
      </c>
      <c r="E618" s="5">
        <v>20380289360</v>
      </c>
      <c r="F618" s="5" t="s">
        <v>3298</v>
      </c>
      <c r="G618" s="5" t="s">
        <v>3299</v>
      </c>
      <c r="H618" s="5" t="s">
        <v>28</v>
      </c>
      <c r="I618" s="5" t="s">
        <v>28</v>
      </c>
      <c r="J618" s="5" t="s">
        <v>172</v>
      </c>
      <c r="K618" s="5" t="s">
        <v>3300</v>
      </c>
      <c r="L618" s="5"/>
      <c r="M618" s="5"/>
      <c r="N618" s="5"/>
      <c r="O618" s="5"/>
      <c r="P618" s="5"/>
      <c r="Q618" s="5"/>
      <c r="R618" s="5"/>
      <c r="S618" s="5"/>
      <c r="T618" s="5"/>
      <c r="U618" s="5">
        <v>4865</v>
      </c>
      <c r="V618" s="6">
        <v>42911</v>
      </c>
      <c r="W618" s="5" t="s">
        <v>31</v>
      </c>
      <c r="X618" s="5" t="s">
        <v>3301</v>
      </c>
    </row>
    <row r="619" spans="1:24" x14ac:dyDescent="0.3">
      <c r="A619" s="3">
        <v>613</v>
      </c>
      <c r="B619" s="3" t="str">
        <f>"201900195866"</f>
        <v>201900195866</v>
      </c>
      <c r="C619" s="3" t="str">
        <f>"61681"</f>
        <v>61681</v>
      </c>
      <c r="D619" s="3" t="s">
        <v>3302</v>
      </c>
      <c r="E619" s="3">
        <v>20600581768</v>
      </c>
      <c r="F619" s="3" t="s">
        <v>3303</v>
      </c>
      <c r="G619" s="3" t="s">
        <v>3304</v>
      </c>
      <c r="H619" s="3" t="s">
        <v>80</v>
      </c>
      <c r="I619" s="3" t="s">
        <v>309</v>
      </c>
      <c r="J619" s="3" t="s">
        <v>309</v>
      </c>
      <c r="K619" s="3" t="s">
        <v>540</v>
      </c>
      <c r="L619" s="3"/>
      <c r="M619" s="3"/>
      <c r="N619" s="3"/>
      <c r="O619" s="3"/>
      <c r="P619" s="3"/>
      <c r="Q619" s="3"/>
      <c r="R619" s="3"/>
      <c r="S619" s="3"/>
      <c r="T619" s="3"/>
      <c r="U619" s="3">
        <v>5000</v>
      </c>
      <c r="V619" s="4">
        <v>43802</v>
      </c>
      <c r="W619" s="3" t="s">
        <v>31</v>
      </c>
      <c r="X619" s="3" t="s">
        <v>3305</v>
      </c>
    </row>
    <row r="620" spans="1:24" x14ac:dyDescent="0.3">
      <c r="A620" s="5">
        <v>614</v>
      </c>
      <c r="B620" s="5" t="str">
        <f>"201500051044"</f>
        <v>201500051044</v>
      </c>
      <c r="C620" s="5" t="str">
        <f>"112366"</f>
        <v>112366</v>
      </c>
      <c r="D620" s="5" t="s">
        <v>3306</v>
      </c>
      <c r="E620" s="5">
        <v>20462829737</v>
      </c>
      <c r="F620" s="5" t="s">
        <v>3307</v>
      </c>
      <c r="G620" s="5" t="s">
        <v>3308</v>
      </c>
      <c r="H620" s="5" t="s">
        <v>28</v>
      </c>
      <c r="I620" s="5" t="s">
        <v>28</v>
      </c>
      <c r="J620" s="5" t="s">
        <v>1432</v>
      </c>
      <c r="K620" s="5" t="s">
        <v>3309</v>
      </c>
      <c r="L620" s="5" t="s">
        <v>3309</v>
      </c>
      <c r="M620" s="5"/>
      <c r="N620" s="5"/>
      <c r="O620" s="5"/>
      <c r="P620" s="5"/>
      <c r="Q620" s="5"/>
      <c r="R620" s="5"/>
      <c r="S620" s="5"/>
      <c r="T620" s="5"/>
      <c r="U620" s="5">
        <v>2626</v>
      </c>
      <c r="V620" s="6">
        <v>42152</v>
      </c>
      <c r="W620" s="5" t="s">
        <v>31</v>
      </c>
      <c r="X620" s="5" t="s">
        <v>3310</v>
      </c>
    </row>
    <row r="621" spans="1:24" x14ac:dyDescent="0.3">
      <c r="A621" s="3">
        <v>615</v>
      </c>
      <c r="B621" s="3" t="str">
        <f>"1492296"</f>
        <v>1492296</v>
      </c>
      <c r="C621" s="3" t="str">
        <f>"601"</f>
        <v>601</v>
      </c>
      <c r="D621" s="3" t="s">
        <v>3311</v>
      </c>
      <c r="E621" s="3">
        <v>20136165667</v>
      </c>
      <c r="F621" s="3" t="s">
        <v>3312</v>
      </c>
      <c r="G621" s="3" t="s">
        <v>3313</v>
      </c>
      <c r="H621" s="3" t="s">
        <v>36</v>
      </c>
      <c r="I621" s="3" t="s">
        <v>1269</v>
      </c>
      <c r="J621" s="3" t="s">
        <v>1270</v>
      </c>
      <c r="K621" s="3" t="s">
        <v>3314</v>
      </c>
      <c r="L621" s="3" t="s">
        <v>3315</v>
      </c>
      <c r="M621" s="3"/>
      <c r="N621" s="3"/>
      <c r="O621" s="3"/>
      <c r="P621" s="3"/>
      <c r="Q621" s="3"/>
      <c r="R621" s="3"/>
      <c r="S621" s="3"/>
      <c r="T621" s="3"/>
      <c r="U621" s="3">
        <v>290000</v>
      </c>
      <c r="V621" s="4">
        <v>38223</v>
      </c>
      <c r="W621" s="3" t="s">
        <v>31</v>
      </c>
      <c r="X621" s="3" t="s">
        <v>3316</v>
      </c>
    </row>
    <row r="622" spans="1:24" x14ac:dyDescent="0.3">
      <c r="A622" s="5">
        <v>616</v>
      </c>
      <c r="B622" s="5" t="str">
        <f>"202000019359"</f>
        <v>202000019359</v>
      </c>
      <c r="C622" s="5" t="str">
        <f>"148782"</f>
        <v>148782</v>
      </c>
      <c r="D622" s="5" t="s">
        <v>3317</v>
      </c>
      <c r="E622" s="5">
        <v>20571180911</v>
      </c>
      <c r="F622" s="5" t="s">
        <v>3318</v>
      </c>
      <c r="G622" s="5" t="s">
        <v>3319</v>
      </c>
      <c r="H622" s="5" t="s">
        <v>28</v>
      </c>
      <c r="I622" s="5" t="s">
        <v>28</v>
      </c>
      <c r="J622" s="5" t="s">
        <v>208</v>
      </c>
      <c r="K622" s="5" t="s">
        <v>168</v>
      </c>
      <c r="L622" s="5"/>
      <c r="M622" s="5"/>
      <c r="N622" s="5"/>
      <c r="O622" s="5"/>
      <c r="P622" s="5"/>
      <c r="Q622" s="5"/>
      <c r="R622" s="5"/>
      <c r="S622" s="5"/>
      <c r="T622" s="5"/>
      <c r="U622" s="5">
        <v>10000</v>
      </c>
      <c r="V622" s="6">
        <v>43874</v>
      </c>
      <c r="W622" s="5" t="s">
        <v>31</v>
      </c>
      <c r="X622" s="5" t="s">
        <v>3320</v>
      </c>
    </row>
    <row r="623" spans="1:24" x14ac:dyDescent="0.3">
      <c r="A623" s="3">
        <v>617</v>
      </c>
      <c r="B623" s="3" t="str">
        <f>"1261545"</f>
        <v>1261545</v>
      </c>
      <c r="C623" s="3" t="str">
        <f>"18221"</f>
        <v>18221</v>
      </c>
      <c r="D623" s="3">
        <v>1261545</v>
      </c>
      <c r="E623" s="3">
        <v>20101430040</v>
      </c>
      <c r="F623" s="3" t="s">
        <v>3321</v>
      </c>
      <c r="G623" s="3" t="s">
        <v>3322</v>
      </c>
      <c r="H623" s="3" t="s">
        <v>28</v>
      </c>
      <c r="I623" s="3" t="s">
        <v>28</v>
      </c>
      <c r="J623" s="3" t="s">
        <v>2379</v>
      </c>
      <c r="K623" s="3" t="s">
        <v>46</v>
      </c>
      <c r="L623" s="3"/>
      <c r="M623" s="3"/>
      <c r="N623" s="3"/>
      <c r="O623" s="3"/>
      <c r="P623" s="3"/>
      <c r="Q623" s="3"/>
      <c r="R623" s="3"/>
      <c r="S623" s="3"/>
      <c r="T623" s="3"/>
      <c r="U623" s="3">
        <v>3000</v>
      </c>
      <c r="V623" s="4">
        <v>36490</v>
      </c>
      <c r="W623" s="3" t="s">
        <v>31</v>
      </c>
      <c r="X623" s="3" t="s">
        <v>3323</v>
      </c>
    </row>
    <row r="624" spans="1:24" ht="27.95" x14ac:dyDescent="0.3">
      <c r="A624" s="5">
        <v>618</v>
      </c>
      <c r="B624" s="5" t="str">
        <f>"201900215531"</f>
        <v>201900215531</v>
      </c>
      <c r="C624" s="5" t="str">
        <f>"141209"</f>
        <v>141209</v>
      </c>
      <c r="D624" s="5" t="s">
        <v>3324</v>
      </c>
      <c r="E624" s="5">
        <v>20170072465</v>
      </c>
      <c r="F624" s="5" t="s">
        <v>879</v>
      </c>
      <c r="G624" s="5" t="s">
        <v>3325</v>
      </c>
      <c r="H624" s="5" t="s">
        <v>51</v>
      </c>
      <c r="I624" s="5" t="s">
        <v>51</v>
      </c>
      <c r="J624" s="5" t="s">
        <v>957</v>
      </c>
      <c r="K624" s="5" t="s">
        <v>3326</v>
      </c>
      <c r="L624" s="5" t="s">
        <v>3327</v>
      </c>
      <c r="M624" s="5" t="s">
        <v>3328</v>
      </c>
      <c r="N624" s="5" t="s">
        <v>3329</v>
      </c>
      <c r="O624" s="5" t="s">
        <v>3329</v>
      </c>
      <c r="P624" s="5" t="s">
        <v>3330</v>
      </c>
      <c r="Q624" s="5" t="s">
        <v>3330</v>
      </c>
      <c r="R624" s="5"/>
      <c r="S624" s="5"/>
      <c r="T624" s="5"/>
      <c r="U624" s="5">
        <v>105668</v>
      </c>
      <c r="V624" s="6">
        <v>43836</v>
      </c>
      <c r="W624" s="5" t="s">
        <v>31</v>
      </c>
      <c r="X624" s="5" t="s">
        <v>882</v>
      </c>
    </row>
    <row r="625" spans="1:24" ht="27.95" x14ac:dyDescent="0.3">
      <c r="A625" s="3">
        <v>619</v>
      </c>
      <c r="B625" s="3" t="str">
        <f>"1505710"</f>
        <v>1505710</v>
      </c>
      <c r="C625" s="3" t="str">
        <f>"38996"</f>
        <v>38996</v>
      </c>
      <c r="D625" s="3" t="s">
        <v>3331</v>
      </c>
      <c r="E625" s="3">
        <v>20457362294</v>
      </c>
      <c r="F625" s="3" t="s">
        <v>3332</v>
      </c>
      <c r="G625" s="3" t="s">
        <v>3333</v>
      </c>
      <c r="H625" s="3" t="s">
        <v>921</v>
      </c>
      <c r="I625" s="3" t="s">
        <v>921</v>
      </c>
      <c r="J625" s="3" t="s">
        <v>3125</v>
      </c>
      <c r="K625" s="3" t="s">
        <v>3334</v>
      </c>
      <c r="L625" s="3"/>
      <c r="M625" s="3"/>
      <c r="N625" s="3"/>
      <c r="O625" s="3"/>
      <c r="P625" s="3"/>
      <c r="Q625" s="3"/>
      <c r="R625" s="3"/>
      <c r="S625" s="3"/>
      <c r="T625" s="3"/>
      <c r="U625" s="3">
        <v>9879</v>
      </c>
      <c r="V625" s="4">
        <v>40840</v>
      </c>
      <c r="W625" s="3" t="s">
        <v>31</v>
      </c>
      <c r="X625" s="3" t="s">
        <v>3335</v>
      </c>
    </row>
    <row r="626" spans="1:24" ht="27.95" x14ac:dyDescent="0.3">
      <c r="A626" s="5">
        <v>620</v>
      </c>
      <c r="B626" s="5" t="str">
        <f>"1254453"</f>
        <v>1254453</v>
      </c>
      <c r="C626" s="5" t="str">
        <f>"16545"</f>
        <v>16545</v>
      </c>
      <c r="D626" s="5">
        <v>1254453</v>
      </c>
      <c r="E626" s="5">
        <v>20126076101</v>
      </c>
      <c r="F626" s="5" t="s">
        <v>3336</v>
      </c>
      <c r="G626" s="5" t="s">
        <v>3337</v>
      </c>
      <c r="H626" s="5" t="s">
        <v>28</v>
      </c>
      <c r="I626" s="5" t="s">
        <v>28</v>
      </c>
      <c r="J626" s="5" t="s">
        <v>91</v>
      </c>
      <c r="K626" s="5" t="s">
        <v>2121</v>
      </c>
      <c r="L626" s="5"/>
      <c r="M626" s="5"/>
      <c r="N626" s="5"/>
      <c r="O626" s="5"/>
      <c r="P626" s="5"/>
      <c r="Q626" s="5"/>
      <c r="R626" s="5"/>
      <c r="S626" s="5"/>
      <c r="T626" s="5"/>
      <c r="U626" s="5">
        <v>8000</v>
      </c>
      <c r="V626" s="6">
        <v>36424</v>
      </c>
      <c r="W626" s="5" t="s">
        <v>31</v>
      </c>
      <c r="X626" s="5" t="s">
        <v>3338</v>
      </c>
    </row>
    <row r="627" spans="1:24" x14ac:dyDescent="0.3">
      <c r="A627" s="3">
        <v>621</v>
      </c>
      <c r="B627" s="3" t="str">
        <f>"1663038"</f>
        <v>1663038</v>
      </c>
      <c r="C627" s="3" t="str">
        <f>"44281"</f>
        <v>44281</v>
      </c>
      <c r="D627" s="3" t="s">
        <v>3339</v>
      </c>
      <c r="E627" s="3">
        <v>20100175640</v>
      </c>
      <c r="F627" s="3" t="s">
        <v>3340</v>
      </c>
      <c r="G627" s="3" t="s">
        <v>3341</v>
      </c>
      <c r="H627" s="3" t="s">
        <v>264</v>
      </c>
      <c r="I627" s="3" t="s">
        <v>265</v>
      </c>
      <c r="J627" s="3" t="s">
        <v>3342</v>
      </c>
      <c r="K627" s="3" t="s">
        <v>3343</v>
      </c>
      <c r="L627" s="3" t="s">
        <v>3344</v>
      </c>
      <c r="M627" s="3"/>
      <c r="N627" s="3"/>
      <c r="O627" s="3"/>
      <c r="P627" s="3"/>
      <c r="Q627" s="3"/>
      <c r="R627" s="3"/>
      <c r="S627" s="3"/>
      <c r="T627" s="3"/>
      <c r="U627" s="3">
        <v>3466</v>
      </c>
      <c r="V627" s="4">
        <v>39092</v>
      </c>
      <c r="W627" s="3" t="s">
        <v>31</v>
      </c>
      <c r="X627" s="3" t="s">
        <v>3345</v>
      </c>
    </row>
    <row r="628" spans="1:24" x14ac:dyDescent="0.3">
      <c r="A628" s="5">
        <v>622</v>
      </c>
      <c r="B628" s="5" t="str">
        <f>"1815151"</f>
        <v>1815151</v>
      </c>
      <c r="C628" s="5" t="str">
        <f>"280"</f>
        <v>280</v>
      </c>
      <c r="D628" s="5" t="s">
        <v>3346</v>
      </c>
      <c r="E628" s="5">
        <v>20100144094</v>
      </c>
      <c r="F628" s="5" t="s">
        <v>3347</v>
      </c>
      <c r="G628" s="5" t="s">
        <v>3348</v>
      </c>
      <c r="H628" s="5" t="s">
        <v>28</v>
      </c>
      <c r="I628" s="5" t="s">
        <v>28</v>
      </c>
      <c r="J628" s="5" t="s">
        <v>251</v>
      </c>
      <c r="K628" s="5" t="s">
        <v>75</v>
      </c>
      <c r="L628" s="5" t="s">
        <v>75</v>
      </c>
      <c r="M628" s="5"/>
      <c r="N628" s="5"/>
      <c r="O628" s="5"/>
      <c r="P628" s="5"/>
      <c r="Q628" s="5"/>
      <c r="R628" s="5"/>
      <c r="S628" s="5"/>
      <c r="T628" s="5"/>
      <c r="U628" s="5">
        <v>8000</v>
      </c>
      <c r="V628" s="6">
        <v>39687</v>
      </c>
      <c r="W628" s="5" t="s">
        <v>31</v>
      </c>
      <c r="X628" s="5" t="s">
        <v>3349</v>
      </c>
    </row>
    <row r="629" spans="1:24" x14ac:dyDescent="0.3">
      <c r="A629" s="3">
        <v>623</v>
      </c>
      <c r="B629" s="3" t="str">
        <f>"1492790"</f>
        <v>1492790</v>
      </c>
      <c r="C629" s="3" t="str">
        <f>"1164"</f>
        <v>1164</v>
      </c>
      <c r="D629" s="3" t="s">
        <v>3350</v>
      </c>
      <c r="E629" s="3">
        <v>20136165667</v>
      </c>
      <c r="F629" s="3" t="s">
        <v>3312</v>
      </c>
      <c r="G629" s="3" t="s">
        <v>3351</v>
      </c>
      <c r="H629" s="3" t="s">
        <v>80</v>
      </c>
      <c r="I629" s="3" t="s">
        <v>309</v>
      </c>
      <c r="J629" s="3" t="s">
        <v>309</v>
      </c>
      <c r="K629" s="3" t="s">
        <v>3352</v>
      </c>
      <c r="L629" s="3"/>
      <c r="M629" s="3"/>
      <c r="N629" s="3"/>
      <c r="O629" s="3"/>
      <c r="P629" s="3"/>
      <c r="Q629" s="3"/>
      <c r="R629" s="3"/>
      <c r="S629" s="3"/>
      <c r="T629" s="3"/>
      <c r="U629" s="3">
        <v>104714</v>
      </c>
      <c r="V629" s="4">
        <v>40743</v>
      </c>
      <c r="W629" s="3" t="s">
        <v>31</v>
      </c>
      <c r="X629" s="3" t="s">
        <v>3353</v>
      </c>
    </row>
    <row r="630" spans="1:24" x14ac:dyDescent="0.3">
      <c r="A630" s="5">
        <v>624</v>
      </c>
      <c r="B630" s="5" t="str">
        <f>"1854214"</f>
        <v>1854214</v>
      </c>
      <c r="C630" s="5" t="str">
        <f>"30292"</f>
        <v>30292</v>
      </c>
      <c r="D630" s="5" t="s">
        <v>3354</v>
      </c>
      <c r="E630" s="5">
        <v>20330791501</v>
      </c>
      <c r="F630" s="5" t="s">
        <v>1257</v>
      </c>
      <c r="G630" s="5" t="s">
        <v>3355</v>
      </c>
      <c r="H630" s="5" t="s">
        <v>28</v>
      </c>
      <c r="I630" s="5" t="s">
        <v>28</v>
      </c>
      <c r="J630" s="5" t="s">
        <v>558</v>
      </c>
      <c r="K630" s="5" t="s">
        <v>3356</v>
      </c>
      <c r="L630" s="5" t="s">
        <v>3357</v>
      </c>
      <c r="M630" s="5"/>
      <c r="N630" s="5"/>
      <c r="O630" s="5"/>
      <c r="P630" s="5"/>
      <c r="Q630" s="5"/>
      <c r="R630" s="5"/>
      <c r="S630" s="5"/>
      <c r="T630" s="5"/>
      <c r="U630" s="5">
        <v>16516</v>
      </c>
      <c r="V630" s="6">
        <v>39843</v>
      </c>
      <c r="W630" s="5" t="s">
        <v>31</v>
      </c>
      <c r="X630" s="5" t="s">
        <v>1261</v>
      </c>
    </row>
    <row r="631" spans="1:24" x14ac:dyDescent="0.3">
      <c r="A631" s="3">
        <v>625</v>
      </c>
      <c r="B631" s="3" t="str">
        <f>"201200020009"</f>
        <v>201200020009</v>
      </c>
      <c r="C631" s="3" t="str">
        <f>"95490"</f>
        <v>95490</v>
      </c>
      <c r="D631" s="3" t="s">
        <v>3358</v>
      </c>
      <c r="E631" s="3">
        <v>20393550865</v>
      </c>
      <c r="F631" s="3" t="s">
        <v>3359</v>
      </c>
      <c r="G631" s="3" t="s">
        <v>3360</v>
      </c>
      <c r="H631" s="3" t="s">
        <v>334</v>
      </c>
      <c r="I631" s="3" t="s">
        <v>335</v>
      </c>
      <c r="J631" s="3" t="s">
        <v>950</v>
      </c>
      <c r="K631" s="3" t="s">
        <v>2856</v>
      </c>
      <c r="L631" s="3"/>
      <c r="M631" s="3"/>
      <c r="N631" s="3"/>
      <c r="O631" s="3"/>
      <c r="P631" s="3"/>
      <c r="Q631" s="3"/>
      <c r="R631" s="3"/>
      <c r="S631" s="3"/>
      <c r="T631" s="3"/>
      <c r="U631" s="3">
        <v>3000</v>
      </c>
      <c r="V631" s="4">
        <v>41008</v>
      </c>
      <c r="W631" s="3" t="s">
        <v>31</v>
      </c>
      <c r="X631" s="3" t="s">
        <v>3361</v>
      </c>
    </row>
    <row r="632" spans="1:24" x14ac:dyDescent="0.3">
      <c r="A632" s="5">
        <v>626</v>
      </c>
      <c r="B632" s="5" t="str">
        <f>"1211984"</f>
        <v>1211984</v>
      </c>
      <c r="C632" s="5" t="str">
        <f>"16498"</f>
        <v>16498</v>
      </c>
      <c r="D632" s="5">
        <v>986611</v>
      </c>
      <c r="E632" s="5">
        <v>20100166578</v>
      </c>
      <c r="F632" s="5" t="s">
        <v>3362</v>
      </c>
      <c r="G632" s="5" t="s">
        <v>3363</v>
      </c>
      <c r="H632" s="5" t="s">
        <v>28</v>
      </c>
      <c r="I632" s="5" t="s">
        <v>28</v>
      </c>
      <c r="J632" s="5" t="s">
        <v>186</v>
      </c>
      <c r="K632" s="5" t="s">
        <v>3364</v>
      </c>
      <c r="L632" s="5" t="s">
        <v>229</v>
      </c>
      <c r="M632" s="5"/>
      <c r="N632" s="5"/>
      <c r="O632" s="5"/>
      <c r="P632" s="5"/>
      <c r="Q632" s="5"/>
      <c r="R632" s="5"/>
      <c r="S632" s="5"/>
      <c r="T632" s="5"/>
      <c r="U632" s="5">
        <v>10500</v>
      </c>
      <c r="V632" s="6">
        <v>36123</v>
      </c>
      <c r="W632" s="5" t="s">
        <v>31</v>
      </c>
      <c r="X632" s="5" t="s">
        <v>3365</v>
      </c>
    </row>
    <row r="633" spans="1:24" x14ac:dyDescent="0.3">
      <c r="A633" s="3">
        <v>627</v>
      </c>
      <c r="B633" s="3" t="str">
        <f>"201700203232"</f>
        <v>201700203232</v>
      </c>
      <c r="C633" s="3" t="str">
        <f>"133189"</f>
        <v>133189</v>
      </c>
      <c r="D633" s="3" t="s">
        <v>3366</v>
      </c>
      <c r="E633" s="3">
        <v>20490947362</v>
      </c>
      <c r="F633" s="3" t="s">
        <v>3367</v>
      </c>
      <c r="G633" s="3" t="s">
        <v>3368</v>
      </c>
      <c r="H633" s="3" t="s">
        <v>165</v>
      </c>
      <c r="I633" s="3" t="s">
        <v>166</v>
      </c>
      <c r="J633" s="3" t="s">
        <v>167</v>
      </c>
      <c r="K633" s="3" t="s">
        <v>3369</v>
      </c>
      <c r="L633" s="3"/>
      <c r="M633" s="3"/>
      <c r="N633" s="3"/>
      <c r="O633" s="3"/>
      <c r="P633" s="3"/>
      <c r="Q633" s="3"/>
      <c r="R633" s="3"/>
      <c r="S633" s="3"/>
      <c r="T633" s="3"/>
      <c r="U633" s="3">
        <v>5158</v>
      </c>
      <c r="V633" s="4">
        <v>43067</v>
      </c>
      <c r="W633" s="3" t="s">
        <v>31</v>
      </c>
      <c r="X633" s="3" t="s">
        <v>3370</v>
      </c>
    </row>
    <row r="634" spans="1:24" ht="41.95" x14ac:dyDescent="0.3">
      <c r="A634" s="5">
        <v>628</v>
      </c>
      <c r="B634" s="5" t="str">
        <f>"201200209104"</f>
        <v>201200209104</v>
      </c>
      <c r="C634" s="5" t="str">
        <f>"99419"</f>
        <v>99419</v>
      </c>
      <c r="D634" s="5" t="s">
        <v>3371</v>
      </c>
      <c r="E634" s="5">
        <v>20209133394</v>
      </c>
      <c r="F634" s="5" t="s">
        <v>3372</v>
      </c>
      <c r="G634" s="5" t="s">
        <v>3373</v>
      </c>
      <c r="H634" s="5" t="s">
        <v>36</v>
      </c>
      <c r="I634" s="5" t="s">
        <v>37</v>
      </c>
      <c r="J634" s="5" t="s">
        <v>38</v>
      </c>
      <c r="K634" s="5" t="s">
        <v>3374</v>
      </c>
      <c r="L634" s="5"/>
      <c r="M634" s="5"/>
      <c r="N634" s="5"/>
      <c r="O634" s="5"/>
      <c r="P634" s="5"/>
      <c r="Q634" s="5"/>
      <c r="R634" s="5"/>
      <c r="S634" s="5"/>
      <c r="T634" s="5"/>
      <c r="U634" s="5">
        <v>26000</v>
      </c>
      <c r="V634" s="6">
        <v>41284</v>
      </c>
      <c r="W634" s="5" t="s">
        <v>31</v>
      </c>
      <c r="X634" s="5" t="s">
        <v>3375</v>
      </c>
    </row>
    <row r="635" spans="1:24" x14ac:dyDescent="0.3">
      <c r="A635" s="3">
        <v>629</v>
      </c>
      <c r="B635" s="3" t="str">
        <f>"1122220"</f>
        <v>1122220</v>
      </c>
      <c r="C635" s="3" t="str">
        <f>"1407"</f>
        <v>1407</v>
      </c>
      <c r="D635" s="3" t="s">
        <v>3376</v>
      </c>
      <c r="E635" s="3">
        <v>20115678192</v>
      </c>
      <c r="F635" s="3" t="s">
        <v>3377</v>
      </c>
      <c r="G635" s="3" t="s">
        <v>3378</v>
      </c>
      <c r="H635" s="3" t="s">
        <v>1147</v>
      </c>
      <c r="I635" s="3" t="s">
        <v>1148</v>
      </c>
      <c r="J635" s="3" t="s">
        <v>1148</v>
      </c>
      <c r="K635" s="3" t="s">
        <v>857</v>
      </c>
      <c r="L635" s="3"/>
      <c r="M635" s="3"/>
      <c r="N635" s="3"/>
      <c r="O635" s="3"/>
      <c r="P635" s="3"/>
      <c r="Q635" s="3"/>
      <c r="R635" s="3"/>
      <c r="S635" s="3"/>
      <c r="T635" s="3"/>
      <c r="U635" s="3">
        <v>4500</v>
      </c>
      <c r="V635" s="4">
        <v>36804</v>
      </c>
      <c r="W635" s="3" t="s">
        <v>31</v>
      </c>
      <c r="X635" s="3" t="s">
        <v>3379</v>
      </c>
    </row>
    <row r="636" spans="1:24" x14ac:dyDescent="0.3">
      <c r="A636" s="5">
        <v>630</v>
      </c>
      <c r="B636" s="5" t="str">
        <f>"1358782"</f>
        <v>1358782</v>
      </c>
      <c r="C636" s="5" t="str">
        <f>"21757"</f>
        <v>21757</v>
      </c>
      <c r="D636" s="5" t="s">
        <v>3380</v>
      </c>
      <c r="E636" s="5">
        <v>20102890508</v>
      </c>
      <c r="F636" s="5" t="s">
        <v>3381</v>
      </c>
      <c r="G636" s="5" t="s">
        <v>3382</v>
      </c>
      <c r="H636" s="5" t="s">
        <v>80</v>
      </c>
      <c r="I636" s="5" t="s">
        <v>80</v>
      </c>
      <c r="J636" s="5" t="s">
        <v>80</v>
      </c>
      <c r="K636" s="5" t="s">
        <v>259</v>
      </c>
      <c r="L636" s="5"/>
      <c r="M636" s="5"/>
      <c r="N636" s="5"/>
      <c r="O636" s="5"/>
      <c r="P636" s="5"/>
      <c r="Q636" s="5"/>
      <c r="R636" s="5"/>
      <c r="S636" s="5"/>
      <c r="T636" s="5"/>
      <c r="U636" s="5">
        <v>6000</v>
      </c>
      <c r="V636" s="6">
        <v>37335</v>
      </c>
      <c r="W636" s="5" t="s">
        <v>31</v>
      </c>
      <c r="X636" s="5" t="s">
        <v>3383</v>
      </c>
    </row>
    <row r="637" spans="1:24" ht="27.95" x14ac:dyDescent="0.3">
      <c r="A637" s="3">
        <v>631</v>
      </c>
      <c r="B637" s="3" t="str">
        <f>"201600185101"</f>
        <v>201600185101</v>
      </c>
      <c r="C637" s="3" t="str">
        <f>"44577"</f>
        <v>44577</v>
      </c>
      <c r="D637" s="3" t="s">
        <v>3384</v>
      </c>
      <c r="E637" s="3">
        <v>20504855105</v>
      </c>
      <c r="F637" s="3" t="s">
        <v>3385</v>
      </c>
      <c r="G637" s="3" t="s">
        <v>3386</v>
      </c>
      <c r="H637" s="3" t="s">
        <v>28</v>
      </c>
      <c r="I637" s="3" t="s">
        <v>28</v>
      </c>
      <c r="J637" s="3" t="s">
        <v>172</v>
      </c>
      <c r="K637" s="3" t="s">
        <v>130</v>
      </c>
      <c r="L637" s="3" t="s">
        <v>3387</v>
      </c>
      <c r="M637" s="3"/>
      <c r="N637" s="3"/>
      <c r="O637" s="3"/>
      <c r="P637" s="3"/>
      <c r="Q637" s="3"/>
      <c r="R637" s="3"/>
      <c r="S637" s="3"/>
      <c r="T637" s="3"/>
      <c r="U637" s="3">
        <v>4950</v>
      </c>
      <c r="V637" s="4">
        <v>42725</v>
      </c>
      <c r="W637" s="3" t="s">
        <v>31</v>
      </c>
      <c r="X637" s="3" t="s">
        <v>3388</v>
      </c>
    </row>
    <row r="638" spans="1:24" ht="27.95" x14ac:dyDescent="0.3">
      <c r="A638" s="5">
        <v>632</v>
      </c>
      <c r="B638" s="5" t="str">
        <f>"201900044452"</f>
        <v>201900044452</v>
      </c>
      <c r="C638" s="5" t="str">
        <f>"142037"</f>
        <v>142037</v>
      </c>
      <c r="D638" s="5" t="s">
        <v>3389</v>
      </c>
      <c r="E638" s="5">
        <v>20504326617</v>
      </c>
      <c r="F638" s="5" t="s">
        <v>3390</v>
      </c>
      <c r="G638" s="5" t="s">
        <v>3391</v>
      </c>
      <c r="H638" s="5" t="s">
        <v>115</v>
      </c>
      <c r="I638" s="5" t="s">
        <v>115</v>
      </c>
      <c r="J638" s="5" t="s">
        <v>159</v>
      </c>
      <c r="K638" s="5" t="s">
        <v>181</v>
      </c>
      <c r="L638" s="5"/>
      <c r="M638" s="5"/>
      <c r="N638" s="5"/>
      <c r="O638" s="5"/>
      <c r="P638" s="5"/>
      <c r="Q638" s="5"/>
      <c r="R638" s="5"/>
      <c r="S638" s="5"/>
      <c r="T638" s="5"/>
      <c r="U638" s="5">
        <v>5000</v>
      </c>
      <c r="V638" s="6">
        <v>43544</v>
      </c>
      <c r="W638" s="5" t="s">
        <v>31</v>
      </c>
      <c r="X638" s="5" t="s">
        <v>3392</v>
      </c>
    </row>
    <row r="639" spans="1:24" x14ac:dyDescent="0.3">
      <c r="A639" s="3">
        <v>633</v>
      </c>
      <c r="B639" s="3" t="str">
        <f>"201500105843"</f>
        <v>201500105843</v>
      </c>
      <c r="C639" s="3" t="str">
        <f>"101974"</f>
        <v>101974</v>
      </c>
      <c r="D639" s="3" t="s">
        <v>3393</v>
      </c>
      <c r="E639" s="3">
        <v>10462100138</v>
      </c>
      <c r="F639" s="3" t="s">
        <v>3394</v>
      </c>
      <c r="G639" s="3" t="s">
        <v>3395</v>
      </c>
      <c r="H639" s="3" t="s">
        <v>165</v>
      </c>
      <c r="I639" s="3" t="s">
        <v>732</v>
      </c>
      <c r="J639" s="3" t="s">
        <v>733</v>
      </c>
      <c r="K639" s="3" t="s">
        <v>3396</v>
      </c>
      <c r="L639" s="3" t="s">
        <v>3396</v>
      </c>
      <c r="M639" s="3"/>
      <c r="N639" s="3"/>
      <c r="O639" s="3"/>
      <c r="P639" s="3"/>
      <c r="Q639" s="3"/>
      <c r="R639" s="3"/>
      <c r="S639" s="3"/>
      <c r="T639" s="3"/>
      <c r="U639" s="3">
        <v>15000</v>
      </c>
      <c r="V639" s="4">
        <v>42235</v>
      </c>
      <c r="W639" s="3" t="s">
        <v>31</v>
      </c>
      <c r="X639" s="3" t="s">
        <v>3394</v>
      </c>
    </row>
    <row r="640" spans="1:24" x14ac:dyDescent="0.3">
      <c r="A640" s="5">
        <v>634</v>
      </c>
      <c r="B640" s="5" t="str">
        <f>"1629008"</f>
        <v>1629008</v>
      </c>
      <c r="C640" s="5" t="str">
        <f>"18224"</f>
        <v>18224</v>
      </c>
      <c r="D640" s="5" t="s">
        <v>3397</v>
      </c>
      <c r="E640" s="5">
        <v>20142582725</v>
      </c>
      <c r="F640" s="5" t="s">
        <v>3398</v>
      </c>
      <c r="G640" s="5" t="s">
        <v>3399</v>
      </c>
      <c r="H640" s="5" t="s">
        <v>28</v>
      </c>
      <c r="I640" s="5" t="s">
        <v>28</v>
      </c>
      <c r="J640" s="5" t="s">
        <v>1295</v>
      </c>
      <c r="K640" s="5" t="s">
        <v>323</v>
      </c>
      <c r="L640" s="5" t="s">
        <v>560</v>
      </c>
      <c r="M640" s="5"/>
      <c r="N640" s="5"/>
      <c r="O640" s="5"/>
      <c r="P640" s="5"/>
      <c r="Q640" s="5"/>
      <c r="R640" s="5"/>
      <c r="S640" s="5"/>
      <c r="T640" s="5"/>
      <c r="U640" s="5">
        <v>5000</v>
      </c>
      <c r="V640" s="6">
        <v>38952</v>
      </c>
      <c r="W640" s="5" t="s">
        <v>31</v>
      </c>
      <c r="X640" s="5" t="s">
        <v>3400</v>
      </c>
    </row>
    <row r="641" spans="1:24" x14ac:dyDescent="0.3">
      <c r="A641" s="3">
        <v>635</v>
      </c>
      <c r="B641" s="3" t="str">
        <f>"1112452"</f>
        <v>1112452</v>
      </c>
      <c r="C641" s="3" t="str">
        <f>"1491"</f>
        <v>1491</v>
      </c>
      <c r="D641" s="3">
        <v>1112452</v>
      </c>
      <c r="E641" s="3">
        <v>20100021332</v>
      </c>
      <c r="F641" s="3" t="s">
        <v>3401</v>
      </c>
      <c r="G641" s="3" t="s">
        <v>3402</v>
      </c>
      <c r="H641" s="3" t="s">
        <v>28</v>
      </c>
      <c r="I641" s="3" t="s">
        <v>28</v>
      </c>
      <c r="J641" s="3" t="s">
        <v>28</v>
      </c>
      <c r="K641" s="3" t="s">
        <v>229</v>
      </c>
      <c r="L641" s="3" t="s">
        <v>3403</v>
      </c>
      <c r="M641" s="3"/>
      <c r="N641" s="3"/>
      <c r="O641" s="3"/>
      <c r="P641" s="3"/>
      <c r="Q641" s="3"/>
      <c r="R641" s="3"/>
      <c r="S641" s="3"/>
      <c r="T641" s="3"/>
      <c r="U641" s="3">
        <v>44000</v>
      </c>
      <c r="V641" s="4">
        <v>35528</v>
      </c>
      <c r="W641" s="3" t="s">
        <v>31</v>
      </c>
      <c r="X641" s="3" t="s">
        <v>3404</v>
      </c>
    </row>
    <row r="642" spans="1:24" x14ac:dyDescent="0.3">
      <c r="A642" s="5">
        <v>636</v>
      </c>
      <c r="B642" s="5" t="str">
        <f>"1853724"</f>
        <v>1853724</v>
      </c>
      <c r="C642" s="5" t="str">
        <f>"20196"</f>
        <v>20196</v>
      </c>
      <c r="D642" s="5" t="s">
        <v>3405</v>
      </c>
      <c r="E642" s="5">
        <v>20102961022</v>
      </c>
      <c r="F642" s="5" t="s">
        <v>3406</v>
      </c>
      <c r="G642" s="5" t="s">
        <v>3407</v>
      </c>
      <c r="H642" s="5" t="s">
        <v>80</v>
      </c>
      <c r="I642" s="5" t="s">
        <v>302</v>
      </c>
      <c r="J642" s="5" t="s">
        <v>3408</v>
      </c>
      <c r="K642" s="5" t="s">
        <v>3409</v>
      </c>
      <c r="L642" s="5"/>
      <c r="M642" s="5"/>
      <c r="N642" s="5"/>
      <c r="O642" s="5"/>
      <c r="P642" s="5"/>
      <c r="Q642" s="5"/>
      <c r="R642" s="5"/>
      <c r="S642" s="5"/>
      <c r="T642" s="5"/>
      <c r="U642" s="5">
        <v>2800</v>
      </c>
      <c r="V642" s="6">
        <v>39829</v>
      </c>
      <c r="W642" s="5" t="s">
        <v>31</v>
      </c>
      <c r="X642" s="5" t="s">
        <v>3410</v>
      </c>
    </row>
    <row r="643" spans="1:24" ht="27.95" x14ac:dyDescent="0.3">
      <c r="A643" s="3">
        <v>637</v>
      </c>
      <c r="B643" s="3" t="str">
        <f>"1302734"</f>
        <v>1302734</v>
      </c>
      <c r="C643" s="3" t="str">
        <f>"20166"</f>
        <v>20166</v>
      </c>
      <c r="D643" s="3">
        <v>1302734</v>
      </c>
      <c r="E643" s="3">
        <v>20194541008</v>
      </c>
      <c r="F643" s="3" t="s">
        <v>3411</v>
      </c>
      <c r="G643" s="3" t="s">
        <v>3412</v>
      </c>
      <c r="H643" s="3" t="s">
        <v>28</v>
      </c>
      <c r="I643" s="3" t="s">
        <v>28</v>
      </c>
      <c r="J643" s="3" t="s">
        <v>172</v>
      </c>
      <c r="K643" s="3" t="s">
        <v>1422</v>
      </c>
      <c r="L643" s="3" t="s">
        <v>2121</v>
      </c>
      <c r="M643" s="3"/>
      <c r="N643" s="3"/>
      <c r="O643" s="3"/>
      <c r="P643" s="3"/>
      <c r="Q643" s="3"/>
      <c r="R643" s="3"/>
      <c r="S643" s="3"/>
      <c r="T643" s="3"/>
      <c r="U643" s="3">
        <v>14500</v>
      </c>
      <c r="V643" s="4">
        <v>36866</v>
      </c>
      <c r="W643" s="3" t="s">
        <v>31</v>
      </c>
      <c r="X643" s="3" t="s">
        <v>3413</v>
      </c>
    </row>
    <row r="644" spans="1:24" x14ac:dyDescent="0.3">
      <c r="A644" s="5">
        <v>638</v>
      </c>
      <c r="B644" s="5" t="str">
        <f>"201200120457"</f>
        <v>201200120457</v>
      </c>
      <c r="C644" s="5" t="str">
        <f>"97144"</f>
        <v>97144</v>
      </c>
      <c r="D644" s="5" t="s">
        <v>3414</v>
      </c>
      <c r="E644" s="5">
        <v>20515164945</v>
      </c>
      <c r="F644" s="5" t="s">
        <v>3415</v>
      </c>
      <c r="G644" s="5" t="s">
        <v>3416</v>
      </c>
      <c r="H644" s="5" t="s">
        <v>214</v>
      </c>
      <c r="I644" s="5" t="s">
        <v>215</v>
      </c>
      <c r="J644" s="5" t="s">
        <v>2592</v>
      </c>
      <c r="K644" s="5" t="s">
        <v>1058</v>
      </c>
      <c r="L644" s="5"/>
      <c r="M644" s="5"/>
      <c r="N644" s="5"/>
      <c r="O644" s="5"/>
      <c r="P644" s="5"/>
      <c r="Q644" s="5"/>
      <c r="R644" s="5"/>
      <c r="S644" s="5"/>
      <c r="T644" s="5"/>
      <c r="U644" s="5">
        <v>4000</v>
      </c>
      <c r="V644" s="6">
        <v>41074</v>
      </c>
      <c r="W644" s="5" t="s">
        <v>31</v>
      </c>
      <c r="X644" s="5" t="s">
        <v>3417</v>
      </c>
    </row>
    <row r="645" spans="1:24" ht="27.95" x14ac:dyDescent="0.3">
      <c r="A645" s="3">
        <v>639</v>
      </c>
      <c r="B645" s="3" t="str">
        <f>"1358288"</f>
        <v>1358288</v>
      </c>
      <c r="C645" s="3" t="str">
        <f>"21640"</f>
        <v>21640</v>
      </c>
      <c r="D645" s="3" t="s">
        <v>3418</v>
      </c>
      <c r="E645" s="3">
        <v>20320124779</v>
      </c>
      <c r="F645" s="3" t="s">
        <v>3419</v>
      </c>
      <c r="G645" s="3" t="s">
        <v>3420</v>
      </c>
      <c r="H645" s="3" t="s">
        <v>285</v>
      </c>
      <c r="I645" s="3" t="s">
        <v>286</v>
      </c>
      <c r="J645" s="3" t="s">
        <v>1512</v>
      </c>
      <c r="K645" s="3" t="s">
        <v>3421</v>
      </c>
      <c r="L645" s="3"/>
      <c r="M645" s="3"/>
      <c r="N645" s="3"/>
      <c r="O645" s="3"/>
      <c r="P645" s="3"/>
      <c r="Q645" s="3"/>
      <c r="R645" s="3"/>
      <c r="S645" s="3"/>
      <c r="T645" s="3"/>
      <c r="U645" s="3">
        <v>14000</v>
      </c>
      <c r="V645" s="4">
        <v>37299</v>
      </c>
      <c r="W645" s="3" t="s">
        <v>31</v>
      </c>
      <c r="X645" s="3" t="s">
        <v>3422</v>
      </c>
    </row>
    <row r="646" spans="1:24" ht="27.95" x14ac:dyDescent="0.3">
      <c r="A646" s="5">
        <v>640</v>
      </c>
      <c r="B646" s="5" t="str">
        <f>"201100164737"</f>
        <v>201100164737</v>
      </c>
      <c r="C646" s="5" t="str">
        <f>"91974"</f>
        <v>91974</v>
      </c>
      <c r="D646" s="5" t="s">
        <v>3423</v>
      </c>
      <c r="E646" s="5">
        <v>20172127291</v>
      </c>
      <c r="F646" s="5" t="s">
        <v>3424</v>
      </c>
      <c r="G646" s="5" t="s">
        <v>3425</v>
      </c>
      <c r="H646" s="5" t="s">
        <v>28</v>
      </c>
      <c r="I646" s="5" t="s">
        <v>72</v>
      </c>
      <c r="J646" s="5" t="s">
        <v>322</v>
      </c>
      <c r="K646" s="5" t="s">
        <v>3426</v>
      </c>
      <c r="L646" s="5"/>
      <c r="M646" s="5"/>
      <c r="N646" s="5"/>
      <c r="O646" s="5"/>
      <c r="P646" s="5"/>
      <c r="Q646" s="5"/>
      <c r="R646" s="5"/>
      <c r="S646" s="5"/>
      <c r="T646" s="5"/>
      <c r="U646" s="5">
        <v>4417</v>
      </c>
      <c r="V646" s="6">
        <v>40892</v>
      </c>
      <c r="W646" s="5" t="s">
        <v>31</v>
      </c>
      <c r="X646" s="5" t="s">
        <v>3427</v>
      </c>
    </row>
    <row r="647" spans="1:24" x14ac:dyDescent="0.3">
      <c r="A647" s="3">
        <v>641</v>
      </c>
      <c r="B647" s="3" t="str">
        <f>"201700124007"</f>
        <v>201700124007</v>
      </c>
      <c r="C647" s="3" t="str">
        <f>"21171"</f>
        <v>21171</v>
      </c>
      <c r="D647" s="3" t="s">
        <v>3428</v>
      </c>
      <c r="E647" s="3">
        <v>20506421781</v>
      </c>
      <c r="F647" s="3" t="s">
        <v>3429</v>
      </c>
      <c r="G647" s="3" t="s">
        <v>3430</v>
      </c>
      <c r="H647" s="3" t="s">
        <v>51</v>
      </c>
      <c r="I647" s="3" t="s">
        <v>51</v>
      </c>
      <c r="J647" s="3" t="s">
        <v>241</v>
      </c>
      <c r="K647" s="3" t="s">
        <v>168</v>
      </c>
      <c r="L647" s="3" t="s">
        <v>168</v>
      </c>
      <c r="M647" s="3" t="s">
        <v>2067</v>
      </c>
      <c r="N647" s="3" t="s">
        <v>3431</v>
      </c>
      <c r="O647" s="3" t="s">
        <v>3432</v>
      </c>
      <c r="P647" s="3" t="s">
        <v>3433</v>
      </c>
      <c r="Q647" s="3"/>
      <c r="R647" s="3"/>
      <c r="S647" s="3"/>
      <c r="T647" s="3"/>
      <c r="U647" s="3">
        <v>36515</v>
      </c>
      <c r="V647" s="4">
        <v>42956</v>
      </c>
      <c r="W647" s="3" t="s">
        <v>31</v>
      </c>
      <c r="X647" s="3" t="s">
        <v>3434</v>
      </c>
    </row>
    <row r="648" spans="1:24" x14ac:dyDescent="0.3">
      <c r="A648" s="5">
        <v>642</v>
      </c>
      <c r="B648" s="5" t="str">
        <f>"1382051"</f>
        <v>1382051</v>
      </c>
      <c r="C648" s="5" t="str">
        <f>"33463"</f>
        <v>33463</v>
      </c>
      <c r="D648" s="5" t="s">
        <v>3435</v>
      </c>
      <c r="E648" s="5">
        <v>20502445805</v>
      </c>
      <c r="F648" s="5" t="s">
        <v>3436</v>
      </c>
      <c r="G648" s="5" t="s">
        <v>3437</v>
      </c>
      <c r="H648" s="5" t="s">
        <v>743</v>
      </c>
      <c r="I648" s="5" t="s">
        <v>1575</v>
      </c>
      <c r="J648" s="5" t="s">
        <v>1575</v>
      </c>
      <c r="K648" s="5" t="s">
        <v>857</v>
      </c>
      <c r="L648" s="5"/>
      <c r="M648" s="5"/>
      <c r="N648" s="5"/>
      <c r="O648" s="5"/>
      <c r="P648" s="5"/>
      <c r="Q648" s="5"/>
      <c r="R648" s="5"/>
      <c r="S648" s="5"/>
      <c r="T648" s="5"/>
      <c r="U648" s="5">
        <v>4500</v>
      </c>
      <c r="V648" s="6">
        <v>37525</v>
      </c>
      <c r="W648" s="5" t="s">
        <v>31</v>
      </c>
      <c r="X648" s="5" t="s">
        <v>3438</v>
      </c>
    </row>
    <row r="649" spans="1:24" x14ac:dyDescent="0.3">
      <c r="A649" s="3">
        <v>643</v>
      </c>
      <c r="B649" s="3" t="str">
        <f>"1487422"</f>
        <v>1487422</v>
      </c>
      <c r="C649" s="3" t="str">
        <f>"62358"</f>
        <v>62358</v>
      </c>
      <c r="D649" s="3" t="s">
        <v>3439</v>
      </c>
      <c r="E649" s="3">
        <v>20192779333</v>
      </c>
      <c r="F649" s="3" t="s">
        <v>3440</v>
      </c>
      <c r="G649" s="3" t="s">
        <v>3441</v>
      </c>
      <c r="H649" s="3" t="s">
        <v>51</v>
      </c>
      <c r="I649" s="3" t="s">
        <v>129</v>
      </c>
      <c r="J649" s="3" t="s">
        <v>3103</v>
      </c>
      <c r="K649" s="3" t="s">
        <v>1694</v>
      </c>
      <c r="L649" s="3" t="s">
        <v>3442</v>
      </c>
      <c r="M649" s="3"/>
      <c r="N649" s="3"/>
      <c r="O649" s="3"/>
      <c r="P649" s="3"/>
      <c r="Q649" s="3"/>
      <c r="R649" s="3"/>
      <c r="S649" s="3"/>
      <c r="T649" s="3"/>
      <c r="U649" s="3">
        <v>228000</v>
      </c>
      <c r="V649" s="4">
        <v>38202</v>
      </c>
      <c r="W649" s="3" t="s">
        <v>31</v>
      </c>
      <c r="X649" s="3" t="s">
        <v>3443</v>
      </c>
    </row>
    <row r="650" spans="1:24" x14ac:dyDescent="0.3">
      <c r="A650" s="5">
        <v>644</v>
      </c>
      <c r="B650" s="5" t="str">
        <f>"201800121111"</f>
        <v>201800121111</v>
      </c>
      <c r="C650" s="5" t="str">
        <f>"137614"</f>
        <v>137614</v>
      </c>
      <c r="D650" s="5" t="s">
        <v>3444</v>
      </c>
      <c r="E650" s="5">
        <v>20100055237</v>
      </c>
      <c r="F650" s="5" t="s">
        <v>3445</v>
      </c>
      <c r="G650" s="5" t="s">
        <v>3446</v>
      </c>
      <c r="H650" s="5" t="s">
        <v>115</v>
      </c>
      <c r="I650" s="5" t="s">
        <v>115</v>
      </c>
      <c r="J650" s="5" t="s">
        <v>159</v>
      </c>
      <c r="K650" s="5" t="s">
        <v>3447</v>
      </c>
      <c r="L650" s="5"/>
      <c r="M650" s="5"/>
      <c r="N650" s="5"/>
      <c r="O650" s="5"/>
      <c r="P650" s="5"/>
      <c r="Q650" s="5"/>
      <c r="R650" s="5"/>
      <c r="S650" s="5"/>
      <c r="T650" s="5"/>
      <c r="U650" s="5">
        <v>3848</v>
      </c>
      <c r="V650" s="6">
        <v>43307</v>
      </c>
      <c r="W650" s="5" t="s">
        <v>31</v>
      </c>
      <c r="X650" s="5" t="s">
        <v>3448</v>
      </c>
    </row>
    <row r="651" spans="1:24" x14ac:dyDescent="0.3">
      <c r="A651" s="3">
        <v>645</v>
      </c>
      <c r="B651" s="3" t="str">
        <f>"201600108030"</f>
        <v>201600108030</v>
      </c>
      <c r="C651" s="3" t="str">
        <f>"40484"</f>
        <v>40484</v>
      </c>
      <c r="D651" s="3" t="s">
        <v>3449</v>
      </c>
      <c r="E651" s="3">
        <v>20101371523</v>
      </c>
      <c r="F651" s="3" t="s">
        <v>3450</v>
      </c>
      <c r="G651" s="3" t="s">
        <v>3451</v>
      </c>
      <c r="H651" s="3" t="s">
        <v>115</v>
      </c>
      <c r="I651" s="3" t="s">
        <v>115</v>
      </c>
      <c r="J651" s="3" t="s">
        <v>159</v>
      </c>
      <c r="K651" s="3" t="s">
        <v>3452</v>
      </c>
      <c r="L651" s="3"/>
      <c r="M651" s="3"/>
      <c r="N651" s="3"/>
      <c r="O651" s="3"/>
      <c r="P651" s="3"/>
      <c r="Q651" s="3"/>
      <c r="R651" s="3"/>
      <c r="S651" s="3"/>
      <c r="T651" s="3"/>
      <c r="U651" s="3">
        <v>5000</v>
      </c>
      <c r="V651" s="4">
        <v>42593</v>
      </c>
      <c r="W651" s="3" t="s">
        <v>31</v>
      </c>
      <c r="X651" s="3" t="s">
        <v>3453</v>
      </c>
    </row>
    <row r="652" spans="1:24" ht="27.95" x14ac:dyDescent="0.3">
      <c r="A652" s="5">
        <v>646</v>
      </c>
      <c r="B652" s="5" t="str">
        <f>"1249223"</f>
        <v>1249223</v>
      </c>
      <c r="C652" s="5" t="str">
        <f>"1262"</f>
        <v>1262</v>
      </c>
      <c r="D652" s="5" t="s">
        <v>3454</v>
      </c>
      <c r="E652" s="5">
        <v>20380632609</v>
      </c>
      <c r="F652" s="5" t="s">
        <v>3455</v>
      </c>
      <c r="G652" s="5" t="s">
        <v>3456</v>
      </c>
      <c r="H652" s="5" t="s">
        <v>550</v>
      </c>
      <c r="I652" s="5" t="s">
        <v>3457</v>
      </c>
      <c r="J652" s="5" t="s">
        <v>3458</v>
      </c>
      <c r="K652" s="5" t="s">
        <v>871</v>
      </c>
      <c r="L652" s="5"/>
      <c r="M652" s="5"/>
      <c r="N652" s="5"/>
      <c r="O652" s="5"/>
      <c r="P652" s="5"/>
      <c r="Q652" s="5"/>
      <c r="R652" s="5"/>
      <c r="S652" s="5"/>
      <c r="T652" s="5"/>
      <c r="U652" s="5">
        <v>3500</v>
      </c>
      <c r="V652" s="6">
        <v>37370</v>
      </c>
      <c r="W652" s="5" t="s">
        <v>31</v>
      </c>
      <c r="X652" s="5" t="s">
        <v>3459</v>
      </c>
    </row>
    <row r="653" spans="1:24" ht="27.95" x14ac:dyDescent="0.3">
      <c r="A653" s="3">
        <v>647</v>
      </c>
      <c r="B653" s="3" t="str">
        <f>"1109892"</f>
        <v>1109892</v>
      </c>
      <c r="C653" s="3" t="str">
        <f>"233"</f>
        <v>233</v>
      </c>
      <c r="D653" s="3">
        <v>970683</v>
      </c>
      <c r="E653" s="3">
        <v>20118989806</v>
      </c>
      <c r="F653" s="3" t="s">
        <v>3460</v>
      </c>
      <c r="G653" s="3" t="s">
        <v>3461</v>
      </c>
      <c r="H653" s="3" t="s">
        <v>28</v>
      </c>
      <c r="I653" s="3" t="s">
        <v>574</v>
      </c>
      <c r="J653" s="3" t="s">
        <v>575</v>
      </c>
      <c r="K653" s="3" t="s">
        <v>421</v>
      </c>
      <c r="L653" s="3"/>
      <c r="M653" s="3"/>
      <c r="N653" s="3"/>
      <c r="O653" s="3"/>
      <c r="P653" s="3"/>
      <c r="Q653" s="3"/>
      <c r="R653" s="3"/>
      <c r="S653" s="3"/>
      <c r="T653" s="3"/>
      <c r="U653" s="3">
        <v>5000</v>
      </c>
      <c r="V653" s="4">
        <v>35495</v>
      </c>
      <c r="W653" s="3" t="s">
        <v>31</v>
      </c>
      <c r="X653" s="3" t="s">
        <v>3462</v>
      </c>
    </row>
    <row r="654" spans="1:24" ht="41.95" x14ac:dyDescent="0.3">
      <c r="A654" s="5">
        <v>648</v>
      </c>
      <c r="B654" s="5" t="str">
        <f>"201200035712"</f>
        <v>201200035712</v>
      </c>
      <c r="C654" s="5" t="str">
        <f>"94389"</f>
        <v>94389</v>
      </c>
      <c r="D654" s="5" t="s">
        <v>3463</v>
      </c>
      <c r="E654" s="5">
        <v>20330262428</v>
      </c>
      <c r="F654" s="5" t="s">
        <v>1106</v>
      </c>
      <c r="G654" s="5" t="s">
        <v>3464</v>
      </c>
      <c r="H654" s="5" t="s">
        <v>285</v>
      </c>
      <c r="I654" s="5" t="s">
        <v>1087</v>
      </c>
      <c r="J654" s="5" t="s">
        <v>1088</v>
      </c>
      <c r="K654" s="5" t="s">
        <v>3465</v>
      </c>
      <c r="L654" s="5" t="s">
        <v>3465</v>
      </c>
      <c r="M654" s="5" t="s">
        <v>2140</v>
      </c>
      <c r="N654" s="5" t="s">
        <v>2140</v>
      </c>
      <c r="O654" s="5"/>
      <c r="P654" s="5"/>
      <c r="Q654" s="5"/>
      <c r="R654" s="5"/>
      <c r="S654" s="5"/>
      <c r="T654" s="5"/>
      <c r="U654" s="5">
        <v>56000</v>
      </c>
      <c r="V654" s="6">
        <v>40995</v>
      </c>
      <c r="W654" s="5" t="s">
        <v>31</v>
      </c>
      <c r="X654" s="5" t="s">
        <v>3466</v>
      </c>
    </row>
    <row r="655" spans="1:24" ht="27.95" x14ac:dyDescent="0.3">
      <c r="A655" s="3">
        <v>649</v>
      </c>
      <c r="B655" s="3" t="str">
        <f>"1584382"</f>
        <v>1584382</v>
      </c>
      <c r="C655" s="3" t="str">
        <f>"35"</f>
        <v>35</v>
      </c>
      <c r="D655" s="3" t="s">
        <v>3467</v>
      </c>
      <c r="E655" s="3">
        <v>20100113610</v>
      </c>
      <c r="F655" s="3" t="s">
        <v>3468</v>
      </c>
      <c r="G655" s="3" t="s">
        <v>3469</v>
      </c>
      <c r="H655" s="3" t="s">
        <v>28</v>
      </c>
      <c r="I655" s="3" t="s">
        <v>28</v>
      </c>
      <c r="J655" s="3" t="s">
        <v>91</v>
      </c>
      <c r="K655" s="3" t="s">
        <v>3470</v>
      </c>
      <c r="L655" s="3" t="s">
        <v>3471</v>
      </c>
      <c r="M655" s="3" t="s">
        <v>3472</v>
      </c>
      <c r="N655" s="3"/>
      <c r="O655" s="3"/>
      <c r="P655" s="3"/>
      <c r="Q655" s="3"/>
      <c r="R655" s="3"/>
      <c r="S655" s="3"/>
      <c r="T655" s="3"/>
      <c r="U655" s="3">
        <v>2700000</v>
      </c>
      <c r="V655" s="4">
        <v>38740</v>
      </c>
      <c r="W655" s="3" t="s">
        <v>31</v>
      </c>
      <c r="X655" s="3" t="s">
        <v>3473</v>
      </c>
    </row>
    <row r="656" spans="1:24" x14ac:dyDescent="0.3">
      <c r="A656" s="5">
        <v>650</v>
      </c>
      <c r="B656" s="5" t="str">
        <f>"1328141"</f>
        <v>1328141</v>
      </c>
      <c r="C656" s="5" t="str">
        <f>"21178"</f>
        <v>21178</v>
      </c>
      <c r="D656" s="5" t="s">
        <v>3474</v>
      </c>
      <c r="E656" s="5">
        <v>20100140340</v>
      </c>
      <c r="F656" s="5" t="s">
        <v>3475</v>
      </c>
      <c r="G656" s="5" t="s">
        <v>3476</v>
      </c>
      <c r="H656" s="5" t="s">
        <v>115</v>
      </c>
      <c r="I656" s="5" t="s">
        <v>115</v>
      </c>
      <c r="J656" s="5" t="s">
        <v>159</v>
      </c>
      <c r="K656" s="5" t="s">
        <v>3477</v>
      </c>
      <c r="L656" s="5"/>
      <c r="M656" s="5"/>
      <c r="N656" s="5"/>
      <c r="O656" s="5"/>
      <c r="P656" s="5"/>
      <c r="Q656" s="5"/>
      <c r="R656" s="5"/>
      <c r="S656" s="5"/>
      <c r="T656" s="5"/>
      <c r="U656" s="5">
        <v>3240</v>
      </c>
      <c r="V656" s="6">
        <v>37088</v>
      </c>
      <c r="W656" s="5" t="s">
        <v>31</v>
      </c>
      <c r="X656" s="5" t="s">
        <v>3478</v>
      </c>
    </row>
    <row r="657" spans="1:24" x14ac:dyDescent="0.3">
      <c r="A657" s="3">
        <v>651</v>
      </c>
      <c r="B657" s="3" t="str">
        <f>"1549103"</f>
        <v>1549103</v>
      </c>
      <c r="C657" s="3" t="str">
        <f>"41377"</f>
        <v>41377</v>
      </c>
      <c r="D657" s="3" t="s">
        <v>3479</v>
      </c>
      <c r="E657" s="3">
        <v>20145380546</v>
      </c>
      <c r="F657" s="3" t="s">
        <v>3480</v>
      </c>
      <c r="G657" s="3" t="s">
        <v>3481</v>
      </c>
      <c r="H657" s="3" t="s">
        <v>28</v>
      </c>
      <c r="I657" s="3" t="s">
        <v>28</v>
      </c>
      <c r="J657" s="3" t="s">
        <v>172</v>
      </c>
      <c r="K657" s="3" t="s">
        <v>46</v>
      </c>
      <c r="L657" s="3"/>
      <c r="M657" s="3"/>
      <c r="N657" s="3"/>
      <c r="O657" s="3"/>
      <c r="P657" s="3"/>
      <c r="Q657" s="3"/>
      <c r="R657" s="3"/>
      <c r="S657" s="3"/>
      <c r="T657" s="3"/>
      <c r="U657" s="3">
        <v>3000</v>
      </c>
      <c r="V657" s="4">
        <v>38569</v>
      </c>
      <c r="W657" s="3" t="s">
        <v>31</v>
      </c>
      <c r="X657" s="3" t="s">
        <v>3482</v>
      </c>
    </row>
    <row r="658" spans="1:24" ht="27.95" x14ac:dyDescent="0.3">
      <c r="A658" s="5">
        <v>652</v>
      </c>
      <c r="B658" s="5" t="str">
        <f>"201900127453"</f>
        <v>201900127453</v>
      </c>
      <c r="C658" s="5" t="str">
        <f>"145712"</f>
        <v>145712</v>
      </c>
      <c r="D658" s="5" t="s">
        <v>3483</v>
      </c>
      <c r="E658" s="5">
        <v>20486792001</v>
      </c>
      <c r="F658" s="5" t="s">
        <v>3484</v>
      </c>
      <c r="G658" s="5" t="s">
        <v>3485</v>
      </c>
      <c r="H658" s="5" t="s">
        <v>550</v>
      </c>
      <c r="I658" s="5" t="s">
        <v>1780</v>
      </c>
      <c r="J658" s="5" t="s">
        <v>3486</v>
      </c>
      <c r="K658" s="5" t="s">
        <v>92</v>
      </c>
      <c r="L658" s="5"/>
      <c r="M658" s="5"/>
      <c r="N658" s="5"/>
      <c r="O658" s="5"/>
      <c r="P658" s="5"/>
      <c r="Q658" s="5"/>
      <c r="R658" s="5"/>
      <c r="S658" s="5"/>
      <c r="T658" s="5"/>
      <c r="U658" s="5">
        <v>500</v>
      </c>
      <c r="V658" s="6">
        <v>43685</v>
      </c>
      <c r="W658" s="5" t="s">
        <v>31</v>
      </c>
      <c r="X658" s="5" t="s">
        <v>3487</v>
      </c>
    </row>
    <row r="659" spans="1:24" x14ac:dyDescent="0.3">
      <c r="A659" s="3">
        <v>653</v>
      </c>
      <c r="B659" s="3" t="str">
        <f>"1412770"</f>
        <v>1412770</v>
      </c>
      <c r="C659" s="3" t="str">
        <f>"88487"</f>
        <v>88487</v>
      </c>
      <c r="D659" s="3" t="s">
        <v>3488</v>
      </c>
      <c r="E659" s="3">
        <v>20431871808</v>
      </c>
      <c r="F659" s="3" t="s">
        <v>3489</v>
      </c>
      <c r="G659" s="3" t="s">
        <v>3490</v>
      </c>
      <c r="H659" s="3" t="s">
        <v>51</v>
      </c>
      <c r="I659" s="3" t="s">
        <v>52</v>
      </c>
      <c r="J659" s="3" t="s">
        <v>3491</v>
      </c>
      <c r="K659" s="3" t="s">
        <v>3492</v>
      </c>
      <c r="L659" s="3" t="s">
        <v>3492</v>
      </c>
      <c r="M659" s="3"/>
      <c r="N659" s="3"/>
      <c r="O659" s="3"/>
      <c r="P659" s="3"/>
      <c r="Q659" s="3"/>
      <c r="R659" s="3"/>
      <c r="S659" s="3"/>
      <c r="T659" s="3"/>
      <c r="U659" s="3">
        <v>16000</v>
      </c>
      <c r="V659" s="4">
        <v>40444</v>
      </c>
      <c r="W659" s="3" t="s">
        <v>31</v>
      </c>
      <c r="X659" s="3" t="s">
        <v>3493</v>
      </c>
    </row>
    <row r="660" spans="1:24" ht="27.95" x14ac:dyDescent="0.3">
      <c r="A660" s="5">
        <v>654</v>
      </c>
      <c r="B660" s="5" t="str">
        <f>"1579924"</f>
        <v>1579924</v>
      </c>
      <c r="C660" s="5" t="str">
        <f>"1263"</f>
        <v>1263</v>
      </c>
      <c r="D660" s="5" t="s">
        <v>3494</v>
      </c>
      <c r="E660" s="5">
        <v>20327422201</v>
      </c>
      <c r="F660" s="5" t="s">
        <v>3495</v>
      </c>
      <c r="G660" s="5" t="s">
        <v>3496</v>
      </c>
      <c r="H660" s="5" t="s">
        <v>51</v>
      </c>
      <c r="I660" s="5" t="s">
        <v>51</v>
      </c>
      <c r="J660" s="5" t="s">
        <v>51</v>
      </c>
      <c r="K660" s="5" t="s">
        <v>252</v>
      </c>
      <c r="L660" s="5"/>
      <c r="M660" s="5"/>
      <c r="N660" s="5"/>
      <c r="O660" s="5"/>
      <c r="P660" s="5"/>
      <c r="Q660" s="5"/>
      <c r="R660" s="5"/>
      <c r="S660" s="5"/>
      <c r="T660" s="5"/>
      <c r="U660" s="5">
        <v>8000</v>
      </c>
      <c r="V660" s="6">
        <v>38702</v>
      </c>
      <c r="W660" s="5" t="s">
        <v>31</v>
      </c>
      <c r="X660" s="5" t="s">
        <v>3497</v>
      </c>
    </row>
    <row r="661" spans="1:24" x14ac:dyDescent="0.3">
      <c r="A661" s="3">
        <v>655</v>
      </c>
      <c r="B661" s="3" t="str">
        <f>"201700124015"</f>
        <v>201700124015</v>
      </c>
      <c r="C661" s="3" t="str">
        <f>"122928"</f>
        <v>122928</v>
      </c>
      <c r="D661" s="3" t="s">
        <v>3498</v>
      </c>
      <c r="E661" s="3">
        <v>20506421781</v>
      </c>
      <c r="F661" s="3" t="s">
        <v>3429</v>
      </c>
      <c r="G661" s="3" t="s">
        <v>3499</v>
      </c>
      <c r="H661" s="3" t="s">
        <v>51</v>
      </c>
      <c r="I661" s="3" t="s">
        <v>51</v>
      </c>
      <c r="J661" s="3" t="s">
        <v>2149</v>
      </c>
      <c r="K661" s="3" t="s">
        <v>168</v>
      </c>
      <c r="L661" s="3" t="s">
        <v>3500</v>
      </c>
      <c r="M661" s="3" t="s">
        <v>2899</v>
      </c>
      <c r="N661" s="3"/>
      <c r="O661" s="3"/>
      <c r="P661" s="3"/>
      <c r="Q661" s="3"/>
      <c r="R661" s="3"/>
      <c r="S661" s="3"/>
      <c r="T661" s="3"/>
      <c r="U661" s="3">
        <v>16000</v>
      </c>
      <c r="V661" s="4">
        <v>42957</v>
      </c>
      <c r="W661" s="3" t="s">
        <v>31</v>
      </c>
      <c r="X661" s="3" t="s">
        <v>3434</v>
      </c>
    </row>
    <row r="662" spans="1:24" x14ac:dyDescent="0.3">
      <c r="A662" s="5">
        <v>656</v>
      </c>
      <c r="B662" s="5" t="str">
        <f>"201400093306"</f>
        <v>201400093306</v>
      </c>
      <c r="C662" s="5" t="str">
        <f>"110630"</f>
        <v>110630</v>
      </c>
      <c r="D662" s="5" t="s">
        <v>3501</v>
      </c>
      <c r="E662" s="5">
        <v>20525445721</v>
      </c>
      <c r="F662" s="5" t="s">
        <v>3502</v>
      </c>
      <c r="G662" s="5" t="s">
        <v>3503</v>
      </c>
      <c r="H662" s="5" t="s">
        <v>80</v>
      </c>
      <c r="I662" s="5" t="s">
        <v>192</v>
      </c>
      <c r="J662" s="5" t="s">
        <v>192</v>
      </c>
      <c r="K662" s="5" t="s">
        <v>1058</v>
      </c>
      <c r="L662" s="5"/>
      <c r="M662" s="5"/>
      <c r="N662" s="5"/>
      <c r="O662" s="5"/>
      <c r="P662" s="5"/>
      <c r="Q662" s="5"/>
      <c r="R662" s="5"/>
      <c r="S662" s="5"/>
      <c r="T662" s="5"/>
      <c r="U662" s="5">
        <v>4000</v>
      </c>
      <c r="V662" s="6">
        <v>41879</v>
      </c>
      <c r="W662" s="5" t="s">
        <v>31</v>
      </c>
      <c r="X662" s="5" t="s">
        <v>3504</v>
      </c>
    </row>
    <row r="663" spans="1:24" ht="27.95" x14ac:dyDescent="0.3">
      <c r="A663" s="3">
        <v>657</v>
      </c>
      <c r="B663" s="3" t="str">
        <f>"202000059576"</f>
        <v>202000059576</v>
      </c>
      <c r="C663" s="3" t="str">
        <f>"61716"</f>
        <v>61716</v>
      </c>
      <c r="D663" s="3" t="s">
        <v>3505</v>
      </c>
      <c r="E663" s="3">
        <v>20508242680</v>
      </c>
      <c r="F663" s="3" t="s">
        <v>3506</v>
      </c>
      <c r="G663" s="3" t="s">
        <v>3507</v>
      </c>
      <c r="H663" s="3" t="s">
        <v>80</v>
      </c>
      <c r="I663" s="3" t="s">
        <v>302</v>
      </c>
      <c r="J663" s="3" t="s">
        <v>303</v>
      </c>
      <c r="K663" s="3" t="s">
        <v>3508</v>
      </c>
      <c r="L663" s="3" t="s">
        <v>181</v>
      </c>
      <c r="M663" s="3"/>
      <c r="N663" s="3"/>
      <c r="O663" s="3"/>
      <c r="P663" s="3"/>
      <c r="Q663" s="3"/>
      <c r="R663" s="3"/>
      <c r="S663" s="3"/>
      <c r="T663" s="3"/>
      <c r="U663" s="3">
        <v>10000</v>
      </c>
      <c r="V663" s="4">
        <v>43979</v>
      </c>
      <c r="W663" s="3" t="s">
        <v>31</v>
      </c>
      <c r="X663" s="3" t="s">
        <v>3509</v>
      </c>
    </row>
    <row r="664" spans="1:24" ht="27.95" x14ac:dyDescent="0.3">
      <c r="A664" s="5">
        <v>658</v>
      </c>
      <c r="B664" s="5" t="str">
        <f>"1438868"</f>
        <v>1438868</v>
      </c>
      <c r="C664" s="5" t="str">
        <f>"40206"</f>
        <v>40206</v>
      </c>
      <c r="D664" s="5" t="s">
        <v>3510</v>
      </c>
      <c r="E664" s="5">
        <v>20103964921</v>
      </c>
      <c r="F664" s="5" t="s">
        <v>56</v>
      </c>
      <c r="G664" s="5" t="s">
        <v>3511</v>
      </c>
      <c r="H664" s="5" t="s">
        <v>58</v>
      </c>
      <c r="I664" s="5" t="s">
        <v>59</v>
      </c>
      <c r="J664" s="5" t="s">
        <v>3512</v>
      </c>
      <c r="K664" s="5" t="s">
        <v>3513</v>
      </c>
      <c r="L664" s="5"/>
      <c r="M664" s="5"/>
      <c r="N664" s="5"/>
      <c r="O664" s="5"/>
      <c r="P664" s="5"/>
      <c r="Q664" s="5"/>
      <c r="R664" s="5"/>
      <c r="S664" s="5"/>
      <c r="T664" s="5"/>
      <c r="U664" s="5">
        <v>3540</v>
      </c>
      <c r="V664" s="6">
        <v>37923</v>
      </c>
      <c r="W664" s="5" t="s">
        <v>31</v>
      </c>
      <c r="X664" s="5" t="s">
        <v>63</v>
      </c>
    </row>
    <row r="665" spans="1:24" ht="27.95" x14ac:dyDescent="0.3">
      <c r="A665" s="3">
        <v>659</v>
      </c>
      <c r="B665" s="3" t="str">
        <f>"201300169933"</f>
        <v>201300169933</v>
      </c>
      <c r="C665" s="3" t="str">
        <f>"61941"</f>
        <v>61941</v>
      </c>
      <c r="D665" s="3" t="s">
        <v>3514</v>
      </c>
      <c r="E665" s="3">
        <v>20424079503</v>
      </c>
      <c r="F665" s="3" t="s">
        <v>3515</v>
      </c>
      <c r="G665" s="3" t="s">
        <v>3516</v>
      </c>
      <c r="H665" s="3" t="s">
        <v>28</v>
      </c>
      <c r="I665" s="3" t="s">
        <v>28</v>
      </c>
      <c r="J665" s="3" t="s">
        <v>172</v>
      </c>
      <c r="K665" s="3" t="s">
        <v>130</v>
      </c>
      <c r="L665" s="3"/>
      <c r="M665" s="3"/>
      <c r="N665" s="3"/>
      <c r="O665" s="3"/>
      <c r="P665" s="3"/>
      <c r="Q665" s="3"/>
      <c r="R665" s="3"/>
      <c r="S665" s="3"/>
      <c r="T665" s="3"/>
      <c r="U665" s="3">
        <v>3000</v>
      </c>
      <c r="V665" s="4">
        <v>41586</v>
      </c>
      <c r="W665" s="3" t="s">
        <v>31</v>
      </c>
      <c r="X665" s="3" t="s">
        <v>3517</v>
      </c>
    </row>
    <row r="666" spans="1:24" x14ac:dyDescent="0.3">
      <c r="A666" s="5">
        <v>660</v>
      </c>
      <c r="B666" s="5" t="str">
        <f>"1895804"</f>
        <v>1895804</v>
      </c>
      <c r="C666" s="5" t="str">
        <f>"125"</f>
        <v>125</v>
      </c>
      <c r="D666" s="5" t="s">
        <v>3518</v>
      </c>
      <c r="E666" s="5">
        <v>20100079501</v>
      </c>
      <c r="F666" s="5" t="s">
        <v>844</v>
      </c>
      <c r="G666" s="5" t="s">
        <v>3519</v>
      </c>
      <c r="H666" s="5" t="s">
        <v>2002</v>
      </c>
      <c r="I666" s="5" t="s">
        <v>3520</v>
      </c>
      <c r="J666" s="5" t="s">
        <v>3521</v>
      </c>
      <c r="K666" s="5" t="s">
        <v>3522</v>
      </c>
      <c r="L666" s="5" t="s">
        <v>3523</v>
      </c>
      <c r="M666" s="5" t="s">
        <v>3037</v>
      </c>
      <c r="N666" s="5" t="s">
        <v>3524</v>
      </c>
      <c r="O666" s="5" t="s">
        <v>3525</v>
      </c>
      <c r="P666" s="5"/>
      <c r="Q666" s="5"/>
      <c r="R666" s="5"/>
      <c r="S666" s="5"/>
      <c r="T666" s="5"/>
      <c r="U666" s="5">
        <v>28346</v>
      </c>
      <c r="V666" s="6">
        <v>39968</v>
      </c>
      <c r="W666" s="5" t="s">
        <v>31</v>
      </c>
      <c r="X666" s="5" t="s">
        <v>3526</v>
      </c>
    </row>
    <row r="667" spans="1:24" x14ac:dyDescent="0.3">
      <c r="A667" s="3">
        <v>661</v>
      </c>
      <c r="B667" s="3" t="str">
        <f>"1591241"</f>
        <v>1591241</v>
      </c>
      <c r="C667" s="3" t="str">
        <f>"42701"</f>
        <v>42701</v>
      </c>
      <c r="D667" s="3" t="s">
        <v>3527</v>
      </c>
      <c r="E667" s="3">
        <v>20229104421</v>
      </c>
      <c r="F667" s="3" t="s">
        <v>3528</v>
      </c>
      <c r="G667" s="3" t="s">
        <v>3529</v>
      </c>
      <c r="H667" s="3" t="s">
        <v>285</v>
      </c>
      <c r="I667" s="3" t="s">
        <v>286</v>
      </c>
      <c r="J667" s="3" t="s">
        <v>470</v>
      </c>
      <c r="K667" s="3" t="s">
        <v>3530</v>
      </c>
      <c r="L667" s="3" t="s">
        <v>3531</v>
      </c>
      <c r="M667" s="3"/>
      <c r="N667" s="3"/>
      <c r="O667" s="3"/>
      <c r="P667" s="3"/>
      <c r="Q667" s="3"/>
      <c r="R667" s="3"/>
      <c r="S667" s="3"/>
      <c r="T667" s="3"/>
      <c r="U667" s="3">
        <v>4188</v>
      </c>
      <c r="V667" s="4">
        <v>38762</v>
      </c>
      <c r="W667" s="3" t="s">
        <v>31</v>
      </c>
      <c r="X667" s="3" t="s">
        <v>3532</v>
      </c>
    </row>
    <row r="668" spans="1:24" x14ac:dyDescent="0.3">
      <c r="A668" s="5">
        <v>662</v>
      </c>
      <c r="B668" s="5" t="str">
        <f>"1111805"</f>
        <v>1111805</v>
      </c>
      <c r="C668" s="5" t="str">
        <f>"355"</f>
        <v>355</v>
      </c>
      <c r="D668" s="5">
        <v>989390</v>
      </c>
      <c r="E668" s="5">
        <v>20136847237</v>
      </c>
      <c r="F668" s="5" t="s">
        <v>3533</v>
      </c>
      <c r="G668" s="5" t="s">
        <v>3534</v>
      </c>
      <c r="H668" s="5" t="s">
        <v>28</v>
      </c>
      <c r="I668" s="5" t="s">
        <v>28</v>
      </c>
      <c r="J668" s="5" t="s">
        <v>1824</v>
      </c>
      <c r="K668" s="5" t="s">
        <v>421</v>
      </c>
      <c r="L668" s="5"/>
      <c r="M668" s="5"/>
      <c r="N668" s="5"/>
      <c r="O668" s="5"/>
      <c r="P668" s="5"/>
      <c r="Q668" s="5"/>
      <c r="R668" s="5"/>
      <c r="S668" s="5"/>
      <c r="T668" s="5"/>
      <c r="U668" s="5">
        <v>5000</v>
      </c>
      <c r="V668" s="6">
        <v>35520</v>
      </c>
      <c r="W668" s="5" t="s">
        <v>31</v>
      </c>
      <c r="X668" s="5" t="s">
        <v>3535</v>
      </c>
    </row>
    <row r="669" spans="1:24" x14ac:dyDescent="0.3">
      <c r="A669" s="3">
        <v>663</v>
      </c>
      <c r="B669" s="3" t="str">
        <f>"1306586"</f>
        <v>1306586</v>
      </c>
      <c r="C669" s="3" t="str">
        <f>"20171"</f>
        <v>20171</v>
      </c>
      <c r="D669" s="3" t="s">
        <v>3536</v>
      </c>
      <c r="E669" s="3">
        <v>20521628589</v>
      </c>
      <c r="F669" s="3" t="s">
        <v>3537</v>
      </c>
      <c r="G669" s="3" t="s">
        <v>3538</v>
      </c>
      <c r="H669" s="3" t="s">
        <v>115</v>
      </c>
      <c r="I669" s="3" t="s">
        <v>115</v>
      </c>
      <c r="J669" s="3" t="s">
        <v>116</v>
      </c>
      <c r="K669" s="3" t="s">
        <v>3539</v>
      </c>
      <c r="L669" s="3"/>
      <c r="M669" s="3"/>
      <c r="N669" s="3"/>
      <c r="O669" s="3"/>
      <c r="P669" s="3"/>
      <c r="Q669" s="3"/>
      <c r="R669" s="3"/>
      <c r="S669" s="3"/>
      <c r="T669" s="3"/>
      <c r="U669" s="3">
        <v>3400</v>
      </c>
      <c r="V669" s="4">
        <v>36910</v>
      </c>
      <c r="W669" s="3" t="s">
        <v>31</v>
      </c>
      <c r="X669" s="3" t="s">
        <v>3540</v>
      </c>
    </row>
    <row r="670" spans="1:24" x14ac:dyDescent="0.3">
      <c r="A670" s="5">
        <v>664</v>
      </c>
      <c r="B670" s="5" t="str">
        <f>"201900112662"</f>
        <v>201900112662</v>
      </c>
      <c r="C670" s="5" t="str">
        <f>"102100"</f>
        <v>102100</v>
      </c>
      <c r="D670" s="5" t="s">
        <v>3541</v>
      </c>
      <c r="E670" s="5">
        <v>20557376144</v>
      </c>
      <c r="F670" s="5" t="s">
        <v>3542</v>
      </c>
      <c r="G670" s="5" t="s">
        <v>3543</v>
      </c>
      <c r="H670" s="5" t="s">
        <v>28</v>
      </c>
      <c r="I670" s="5" t="s">
        <v>28</v>
      </c>
      <c r="J670" s="5" t="s">
        <v>186</v>
      </c>
      <c r="K670" s="5" t="s">
        <v>130</v>
      </c>
      <c r="L670" s="5"/>
      <c r="M670" s="5"/>
      <c r="N670" s="5"/>
      <c r="O670" s="5"/>
      <c r="P670" s="5"/>
      <c r="Q670" s="5"/>
      <c r="R670" s="5"/>
      <c r="S670" s="5"/>
      <c r="T670" s="5"/>
      <c r="U670" s="5">
        <v>3000</v>
      </c>
      <c r="V670" s="6">
        <v>43662</v>
      </c>
      <c r="W670" s="5" t="s">
        <v>31</v>
      </c>
      <c r="X670" s="5" t="s">
        <v>3544</v>
      </c>
    </row>
    <row r="671" spans="1:24" ht="27.95" x14ac:dyDescent="0.3">
      <c r="A671" s="3">
        <v>665</v>
      </c>
      <c r="B671" s="3" t="str">
        <f>"1230974"</f>
        <v>1230974</v>
      </c>
      <c r="C671" s="3" t="str">
        <f>"16159"</f>
        <v>16159</v>
      </c>
      <c r="D671" s="3">
        <v>1211003</v>
      </c>
      <c r="E671" s="3">
        <v>20361225873</v>
      </c>
      <c r="F671" s="3" t="s">
        <v>3545</v>
      </c>
      <c r="G671" s="3" t="s">
        <v>3546</v>
      </c>
      <c r="H671" s="3" t="s">
        <v>285</v>
      </c>
      <c r="I671" s="3" t="s">
        <v>286</v>
      </c>
      <c r="J671" s="3" t="s">
        <v>470</v>
      </c>
      <c r="K671" s="3" t="s">
        <v>46</v>
      </c>
      <c r="L671" s="3"/>
      <c r="M671" s="3"/>
      <c r="N671" s="3"/>
      <c r="O671" s="3"/>
      <c r="P671" s="3"/>
      <c r="Q671" s="3"/>
      <c r="R671" s="3"/>
      <c r="S671" s="3"/>
      <c r="T671" s="3"/>
      <c r="U671" s="3">
        <v>3000</v>
      </c>
      <c r="V671" s="4">
        <v>36299</v>
      </c>
      <c r="W671" s="3" t="s">
        <v>31</v>
      </c>
      <c r="X671" s="3" t="s">
        <v>3547</v>
      </c>
    </row>
    <row r="672" spans="1:24" ht="27.95" x14ac:dyDescent="0.3">
      <c r="A672" s="5">
        <v>666</v>
      </c>
      <c r="B672" s="5" t="str">
        <f>"1158081"</f>
        <v>1158081</v>
      </c>
      <c r="C672" s="5" t="str">
        <f>"1347"</f>
        <v>1347</v>
      </c>
      <c r="D672" s="5">
        <v>1158081</v>
      </c>
      <c r="E672" s="5">
        <v>20167251294</v>
      </c>
      <c r="F672" s="5" t="s">
        <v>3548</v>
      </c>
      <c r="G672" s="5" t="s">
        <v>3549</v>
      </c>
      <c r="H672" s="5" t="s">
        <v>51</v>
      </c>
      <c r="I672" s="5" t="s">
        <v>51</v>
      </c>
      <c r="J672" s="5" t="s">
        <v>51</v>
      </c>
      <c r="K672" s="5" t="s">
        <v>3550</v>
      </c>
      <c r="L672" s="5" t="s">
        <v>3550</v>
      </c>
      <c r="M672" s="5"/>
      <c r="N672" s="5"/>
      <c r="O672" s="5"/>
      <c r="P672" s="5"/>
      <c r="Q672" s="5"/>
      <c r="R672" s="5"/>
      <c r="S672" s="5"/>
      <c r="T672" s="5"/>
      <c r="U672" s="5">
        <v>28000</v>
      </c>
      <c r="V672" s="6">
        <v>35738</v>
      </c>
      <c r="W672" s="5" t="s">
        <v>31</v>
      </c>
      <c r="X672" s="5" t="s">
        <v>3551</v>
      </c>
    </row>
    <row r="673" spans="1:24" x14ac:dyDescent="0.3">
      <c r="A673" s="3">
        <v>667</v>
      </c>
      <c r="B673" s="3" t="str">
        <f>"201900155126"</f>
        <v>201900155126</v>
      </c>
      <c r="C673" s="3" t="str">
        <f>"99360"</f>
        <v>99360</v>
      </c>
      <c r="D673" s="3" t="s">
        <v>3552</v>
      </c>
      <c r="E673" s="3">
        <v>20100110513</v>
      </c>
      <c r="F673" s="3" t="s">
        <v>2664</v>
      </c>
      <c r="G673" s="3" t="s">
        <v>3553</v>
      </c>
      <c r="H673" s="3" t="s">
        <v>135</v>
      </c>
      <c r="I673" s="3" t="s">
        <v>402</v>
      </c>
      <c r="J673" s="3" t="s">
        <v>2666</v>
      </c>
      <c r="K673" s="3" t="s">
        <v>181</v>
      </c>
      <c r="L673" s="3" t="s">
        <v>181</v>
      </c>
      <c r="M673" s="3" t="s">
        <v>181</v>
      </c>
      <c r="N673" s="3" t="s">
        <v>181</v>
      </c>
      <c r="O673" s="3" t="s">
        <v>168</v>
      </c>
      <c r="P673" s="3" t="s">
        <v>168</v>
      </c>
      <c r="Q673" s="3"/>
      <c r="R673" s="3"/>
      <c r="S673" s="3"/>
      <c r="T673" s="3"/>
      <c r="U673" s="3">
        <v>40000</v>
      </c>
      <c r="V673" s="4">
        <v>43731</v>
      </c>
      <c r="W673" s="3" t="s">
        <v>31</v>
      </c>
      <c r="X673" s="3" t="s">
        <v>2667</v>
      </c>
    </row>
    <row r="674" spans="1:24" x14ac:dyDescent="0.3">
      <c r="A674" s="5">
        <v>668</v>
      </c>
      <c r="B674" s="5" t="str">
        <f>"1613678"</f>
        <v>1613678</v>
      </c>
      <c r="C674" s="5" t="str">
        <f>"43554"</f>
        <v>43554</v>
      </c>
      <c r="D674" s="5" t="s">
        <v>3554</v>
      </c>
      <c r="E674" s="5">
        <v>20367659689</v>
      </c>
      <c r="F674" s="5" t="s">
        <v>3555</v>
      </c>
      <c r="G674" s="5" t="s">
        <v>3556</v>
      </c>
      <c r="H674" s="5" t="s">
        <v>135</v>
      </c>
      <c r="I674" s="5" t="s">
        <v>943</v>
      </c>
      <c r="J674" s="5" t="s">
        <v>1809</v>
      </c>
      <c r="K674" s="5" t="s">
        <v>3557</v>
      </c>
      <c r="L674" s="5"/>
      <c r="M674" s="5"/>
      <c r="N674" s="5"/>
      <c r="O674" s="5"/>
      <c r="P674" s="5"/>
      <c r="Q674" s="5"/>
      <c r="R674" s="5"/>
      <c r="S674" s="5"/>
      <c r="T674" s="5"/>
      <c r="U674" s="5">
        <v>3195</v>
      </c>
      <c r="V674" s="6">
        <v>38880</v>
      </c>
      <c r="W674" s="5" t="s">
        <v>31</v>
      </c>
      <c r="X674" s="5" t="s">
        <v>3558</v>
      </c>
    </row>
    <row r="675" spans="1:24" ht="27.95" x14ac:dyDescent="0.3">
      <c r="A675" s="3">
        <v>669</v>
      </c>
      <c r="B675" s="3" t="str">
        <f>"1261588"</f>
        <v>1261588</v>
      </c>
      <c r="C675" s="3" t="str">
        <f>"18220"</f>
        <v>18220</v>
      </c>
      <c r="D675" s="3">
        <v>1261588</v>
      </c>
      <c r="E675" s="3">
        <v>20298500036</v>
      </c>
      <c r="F675" s="3" t="s">
        <v>3559</v>
      </c>
      <c r="G675" s="3" t="s">
        <v>3560</v>
      </c>
      <c r="H675" s="3" t="s">
        <v>28</v>
      </c>
      <c r="I675" s="3" t="s">
        <v>28</v>
      </c>
      <c r="J675" s="3" t="s">
        <v>1706</v>
      </c>
      <c r="K675" s="3" t="s">
        <v>3561</v>
      </c>
      <c r="L675" s="3"/>
      <c r="M675" s="3"/>
      <c r="N675" s="3"/>
      <c r="O675" s="3"/>
      <c r="P675" s="3"/>
      <c r="Q675" s="3"/>
      <c r="R675" s="3"/>
      <c r="S675" s="3"/>
      <c r="T675" s="3"/>
      <c r="U675" s="3">
        <v>4000</v>
      </c>
      <c r="V675" s="4">
        <v>36489</v>
      </c>
      <c r="W675" s="3" t="s">
        <v>31</v>
      </c>
      <c r="X675" s="3" t="s">
        <v>3562</v>
      </c>
    </row>
    <row r="676" spans="1:24" x14ac:dyDescent="0.3">
      <c r="A676" s="5">
        <v>670</v>
      </c>
      <c r="B676" s="5" t="str">
        <f>"1392211"</f>
        <v>1392211</v>
      </c>
      <c r="C676" s="5" t="str">
        <f>"18650"</f>
        <v>18650</v>
      </c>
      <c r="D676" s="5" t="s">
        <v>3563</v>
      </c>
      <c r="E676" s="5">
        <v>20131257750</v>
      </c>
      <c r="F676" s="5" t="s">
        <v>3564</v>
      </c>
      <c r="G676" s="5" t="s">
        <v>3565</v>
      </c>
      <c r="H676" s="5" t="s">
        <v>264</v>
      </c>
      <c r="I676" s="5" t="s">
        <v>265</v>
      </c>
      <c r="J676" s="5" t="s">
        <v>265</v>
      </c>
      <c r="K676" s="5" t="s">
        <v>3566</v>
      </c>
      <c r="L676" s="5"/>
      <c r="M676" s="5"/>
      <c r="N676" s="5"/>
      <c r="O676" s="5"/>
      <c r="P676" s="5"/>
      <c r="Q676" s="5"/>
      <c r="R676" s="5"/>
      <c r="S676" s="5"/>
      <c r="T676" s="5"/>
      <c r="U676" s="5">
        <v>7568</v>
      </c>
      <c r="V676" s="6">
        <v>37628</v>
      </c>
      <c r="W676" s="5" t="s">
        <v>31</v>
      </c>
      <c r="X676" s="5" t="s">
        <v>1423</v>
      </c>
    </row>
    <row r="677" spans="1:24" x14ac:dyDescent="0.3">
      <c r="A677" s="3">
        <v>671</v>
      </c>
      <c r="B677" s="3" t="str">
        <f>"1613672"</f>
        <v>1613672</v>
      </c>
      <c r="C677" s="3" t="str">
        <f>"38717"</f>
        <v>38717</v>
      </c>
      <c r="D677" s="3" t="s">
        <v>3567</v>
      </c>
      <c r="E677" s="3">
        <v>20101024645</v>
      </c>
      <c r="F677" s="3" t="s">
        <v>2804</v>
      </c>
      <c r="G677" s="3" t="s">
        <v>3568</v>
      </c>
      <c r="H677" s="3" t="s">
        <v>135</v>
      </c>
      <c r="I677" s="3" t="s">
        <v>135</v>
      </c>
      <c r="J677" s="3" t="s">
        <v>135</v>
      </c>
      <c r="K677" s="3" t="s">
        <v>3569</v>
      </c>
      <c r="L677" s="3" t="s">
        <v>3570</v>
      </c>
      <c r="M677" s="3"/>
      <c r="N677" s="3"/>
      <c r="O677" s="3"/>
      <c r="P677" s="3"/>
      <c r="Q677" s="3"/>
      <c r="R677" s="3"/>
      <c r="S677" s="3"/>
      <c r="T677" s="3"/>
      <c r="U677" s="3">
        <v>2960</v>
      </c>
      <c r="V677" s="4">
        <v>38882</v>
      </c>
      <c r="W677" s="3" t="s">
        <v>31</v>
      </c>
      <c r="X677" s="3" t="s">
        <v>3571</v>
      </c>
    </row>
    <row r="678" spans="1:24" ht="27.95" x14ac:dyDescent="0.3">
      <c r="A678" s="5">
        <v>672</v>
      </c>
      <c r="B678" s="5" t="str">
        <f>"201900185143"</f>
        <v>201900185143</v>
      </c>
      <c r="C678" s="5" t="str">
        <f>"147200"</f>
        <v>147200</v>
      </c>
      <c r="D678" s="5" t="s">
        <v>3572</v>
      </c>
      <c r="E678" s="5">
        <v>10406811447</v>
      </c>
      <c r="F678" s="5" t="s">
        <v>3573</v>
      </c>
      <c r="G678" s="5" t="s">
        <v>3574</v>
      </c>
      <c r="H678" s="5" t="s">
        <v>165</v>
      </c>
      <c r="I678" s="5" t="s">
        <v>732</v>
      </c>
      <c r="J678" s="5" t="s">
        <v>1065</v>
      </c>
      <c r="K678" s="5" t="s">
        <v>3575</v>
      </c>
      <c r="L678" s="5"/>
      <c r="M678" s="5"/>
      <c r="N678" s="5"/>
      <c r="O678" s="5"/>
      <c r="P678" s="5"/>
      <c r="Q678" s="5"/>
      <c r="R678" s="5"/>
      <c r="S678" s="5"/>
      <c r="T678" s="5"/>
      <c r="U678" s="5">
        <v>9270</v>
      </c>
      <c r="V678" s="6">
        <v>43780</v>
      </c>
      <c r="W678" s="5" t="s">
        <v>31</v>
      </c>
      <c r="X678" s="5" t="s">
        <v>3573</v>
      </c>
    </row>
    <row r="679" spans="1:24" ht="27.95" x14ac:dyDescent="0.3">
      <c r="A679" s="3">
        <v>673</v>
      </c>
      <c r="B679" s="3" t="str">
        <f>"1147822"</f>
        <v>1147822</v>
      </c>
      <c r="C679" s="3" t="str">
        <f>"1211"</f>
        <v>1211</v>
      </c>
      <c r="D679" s="3" t="s">
        <v>3576</v>
      </c>
      <c r="E679" s="3">
        <v>20229385098</v>
      </c>
      <c r="F679" s="3" t="s">
        <v>3577</v>
      </c>
      <c r="G679" s="3" t="s">
        <v>3578</v>
      </c>
      <c r="H679" s="3" t="s">
        <v>58</v>
      </c>
      <c r="I679" s="3" t="s">
        <v>58</v>
      </c>
      <c r="J679" s="3" t="s">
        <v>2704</v>
      </c>
      <c r="K679" s="3" t="s">
        <v>259</v>
      </c>
      <c r="L679" s="3" t="s">
        <v>3579</v>
      </c>
      <c r="M679" s="3" t="s">
        <v>3580</v>
      </c>
      <c r="N679" s="3"/>
      <c r="O679" s="3"/>
      <c r="P679" s="3"/>
      <c r="Q679" s="3"/>
      <c r="R679" s="3"/>
      <c r="S679" s="3"/>
      <c r="T679" s="3"/>
      <c r="U679" s="3">
        <v>16300</v>
      </c>
      <c r="V679" s="4">
        <v>36811</v>
      </c>
      <c r="W679" s="3" t="s">
        <v>31</v>
      </c>
      <c r="X679" s="3" t="s">
        <v>1369</v>
      </c>
    </row>
    <row r="680" spans="1:24" x14ac:dyDescent="0.3">
      <c r="A680" s="5">
        <v>674</v>
      </c>
      <c r="B680" s="5" t="str">
        <f>"201600136610"</f>
        <v>201600136610</v>
      </c>
      <c r="C680" s="5" t="str">
        <f>"300"</f>
        <v>300</v>
      </c>
      <c r="D680" s="5" t="s">
        <v>3581</v>
      </c>
      <c r="E680" s="5">
        <v>20100971772</v>
      </c>
      <c r="F680" s="5" t="s">
        <v>3582</v>
      </c>
      <c r="G680" s="5" t="s">
        <v>3583</v>
      </c>
      <c r="H680" s="5" t="s">
        <v>135</v>
      </c>
      <c r="I680" s="5" t="s">
        <v>943</v>
      </c>
      <c r="J680" s="5" t="s">
        <v>944</v>
      </c>
      <c r="K680" s="5" t="s">
        <v>3584</v>
      </c>
      <c r="L680" s="5" t="s">
        <v>3150</v>
      </c>
      <c r="M680" s="5" t="s">
        <v>3585</v>
      </c>
      <c r="N680" s="5" t="s">
        <v>3586</v>
      </c>
      <c r="O680" s="5"/>
      <c r="P680" s="5"/>
      <c r="Q680" s="5"/>
      <c r="R680" s="5"/>
      <c r="S680" s="5"/>
      <c r="T680" s="5"/>
      <c r="U680" s="5">
        <v>261300</v>
      </c>
      <c r="V680" s="6">
        <v>42635</v>
      </c>
      <c r="W680" s="5" t="s">
        <v>31</v>
      </c>
      <c r="X680" s="5" t="s">
        <v>3587</v>
      </c>
    </row>
    <row r="681" spans="1:24" ht="27.95" x14ac:dyDescent="0.3">
      <c r="A681" s="3">
        <v>675</v>
      </c>
      <c r="B681" s="3" t="str">
        <f>"1421326"</f>
        <v>1421326</v>
      </c>
      <c r="C681" s="3" t="str">
        <f>"21597"</f>
        <v>21597</v>
      </c>
      <c r="D681" s="3" t="s">
        <v>3588</v>
      </c>
      <c r="E681" s="3">
        <v>20109842380</v>
      </c>
      <c r="F681" s="3" t="s">
        <v>3589</v>
      </c>
      <c r="G681" s="3" t="s">
        <v>3590</v>
      </c>
      <c r="H681" s="3" t="s">
        <v>28</v>
      </c>
      <c r="I681" s="3" t="s">
        <v>28</v>
      </c>
      <c r="J681" s="3" t="s">
        <v>409</v>
      </c>
      <c r="K681" s="3" t="s">
        <v>871</v>
      </c>
      <c r="L681" s="3"/>
      <c r="M681" s="3"/>
      <c r="N681" s="3"/>
      <c r="O681" s="3"/>
      <c r="P681" s="3"/>
      <c r="Q681" s="3"/>
      <c r="R681" s="3"/>
      <c r="S681" s="3"/>
      <c r="T681" s="3"/>
      <c r="U681" s="3">
        <v>3500</v>
      </c>
      <c r="V681" s="4">
        <v>37833</v>
      </c>
      <c r="W681" s="3" t="s">
        <v>31</v>
      </c>
      <c r="X681" s="3" t="s">
        <v>3591</v>
      </c>
    </row>
    <row r="682" spans="1:24" ht="27.95" x14ac:dyDescent="0.3">
      <c r="A682" s="5">
        <v>676</v>
      </c>
      <c r="B682" s="5" t="str">
        <f>"201200158128"</f>
        <v>201200158128</v>
      </c>
      <c r="C682" s="5" t="str">
        <f>"1551"</f>
        <v>1551</v>
      </c>
      <c r="D682" s="5" t="s">
        <v>3592</v>
      </c>
      <c r="E682" s="5">
        <v>20100163048</v>
      </c>
      <c r="F682" s="5" t="s">
        <v>3593</v>
      </c>
      <c r="G682" s="5" t="s">
        <v>3594</v>
      </c>
      <c r="H682" s="5" t="s">
        <v>2002</v>
      </c>
      <c r="I682" s="5" t="s">
        <v>3595</v>
      </c>
      <c r="J682" s="5" t="s">
        <v>3596</v>
      </c>
      <c r="K682" s="5" t="s">
        <v>2180</v>
      </c>
      <c r="L682" s="5" t="s">
        <v>2180</v>
      </c>
      <c r="M682" s="5" t="s">
        <v>2180</v>
      </c>
      <c r="N682" s="5"/>
      <c r="O682" s="5"/>
      <c r="P682" s="5"/>
      <c r="Q682" s="5"/>
      <c r="R682" s="5"/>
      <c r="S682" s="5"/>
      <c r="T682" s="5"/>
      <c r="U682" s="5">
        <v>30000</v>
      </c>
      <c r="V682" s="6">
        <v>41148</v>
      </c>
      <c r="W682" s="5" t="s">
        <v>31</v>
      </c>
      <c r="X682" s="5" t="s">
        <v>3597</v>
      </c>
    </row>
    <row r="683" spans="1:24" ht="27.95" x14ac:dyDescent="0.3">
      <c r="A683" s="3">
        <v>677</v>
      </c>
      <c r="B683" s="3" t="str">
        <f>"202000013940"</f>
        <v>202000013940</v>
      </c>
      <c r="C683" s="3" t="str">
        <f>"148929"</f>
        <v>148929</v>
      </c>
      <c r="D683" s="3" t="s">
        <v>3598</v>
      </c>
      <c r="E683" s="3">
        <v>20605528709</v>
      </c>
      <c r="F683" s="3" t="s">
        <v>3599</v>
      </c>
      <c r="G683" s="3" t="s">
        <v>3600</v>
      </c>
      <c r="H683" s="3" t="s">
        <v>978</v>
      </c>
      <c r="I683" s="3" t="s">
        <v>978</v>
      </c>
      <c r="J683" s="3" t="s">
        <v>978</v>
      </c>
      <c r="K683" s="3" t="s">
        <v>3601</v>
      </c>
      <c r="L683" s="3"/>
      <c r="M683" s="3"/>
      <c r="N683" s="3"/>
      <c r="O683" s="3"/>
      <c r="P683" s="3"/>
      <c r="Q683" s="3"/>
      <c r="R683" s="3"/>
      <c r="S683" s="3"/>
      <c r="T683" s="3"/>
      <c r="U683" s="3">
        <v>4000</v>
      </c>
      <c r="V683" s="4">
        <v>43857</v>
      </c>
      <c r="W683" s="3" t="s">
        <v>31</v>
      </c>
      <c r="X683" s="3" t="s">
        <v>3602</v>
      </c>
    </row>
    <row r="684" spans="1:24" x14ac:dyDescent="0.3">
      <c r="A684" s="5">
        <v>678</v>
      </c>
      <c r="B684" s="5" t="str">
        <f>"202000129595"</f>
        <v>202000129595</v>
      </c>
      <c r="C684" s="5" t="str">
        <f>"151443"</f>
        <v>151443</v>
      </c>
      <c r="D684" s="5" t="s">
        <v>3603</v>
      </c>
      <c r="E684" s="5">
        <v>20297939131</v>
      </c>
      <c r="F684" s="5" t="s">
        <v>3604</v>
      </c>
      <c r="G684" s="5" t="s">
        <v>3605</v>
      </c>
      <c r="H684" s="5" t="s">
        <v>80</v>
      </c>
      <c r="I684" s="5" t="s">
        <v>3606</v>
      </c>
      <c r="J684" s="5" t="s">
        <v>3607</v>
      </c>
      <c r="K684" s="5" t="s">
        <v>3608</v>
      </c>
      <c r="L684" s="5" t="s">
        <v>3609</v>
      </c>
      <c r="M684" s="5"/>
      <c r="N684" s="5"/>
      <c r="O684" s="5"/>
      <c r="P684" s="5"/>
      <c r="Q684" s="5"/>
      <c r="R684" s="5"/>
      <c r="S684" s="5"/>
      <c r="T684" s="5"/>
      <c r="U684" s="5">
        <v>5590</v>
      </c>
      <c r="V684" s="6">
        <v>44118</v>
      </c>
      <c r="W684" s="5" t="s">
        <v>31</v>
      </c>
      <c r="X684" s="5" t="s">
        <v>3610</v>
      </c>
    </row>
    <row r="685" spans="1:24" ht="27.95" x14ac:dyDescent="0.3">
      <c r="A685" s="3">
        <v>679</v>
      </c>
      <c r="B685" s="3" t="str">
        <f>"201900016655"</f>
        <v>201900016655</v>
      </c>
      <c r="C685" s="3" t="str">
        <f>"139507"</f>
        <v>139507</v>
      </c>
      <c r="D685" s="3" t="s">
        <v>3611</v>
      </c>
      <c r="E685" s="3">
        <v>10251819101</v>
      </c>
      <c r="F685" s="3" t="s">
        <v>3612</v>
      </c>
      <c r="G685" s="3" t="s">
        <v>3613</v>
      </c>
      <c r="H685" s="3" t="s">
        <v>165</v>
      </c>
      <c r="I685" s="3" t="s">
        <v>732</v>
      </c>
      <c r="J685" s="3" t="s">
        <v>733</v>
      </c>
      <c r="K685" s="3" t="s">
        <v>181</v>
      </c>
      <c r="L685" s="3" t="s">
        <v>181</v>
      </c>
      <c r="M685" s="3"/>
      <c r="N685" s="3"/>
      <c r="O685" s="3"/>
      <c r="P685" s="3"/>
      <c r="Q685" s="3"/>
      <c r="R685" s="3"/>
      <c r="S685" s="3"/>
      <c r="T685" s="3"/>
      <c r="U685" s="3">
        <v>10000</v>
      </c>
      <c r="V685" s="4">
        <v>43497</v>
      </c>
      <c r="W685" s="3" t="s">
        <v>31</v>
      </c>
      <c r="X685" s="3" t="s">
        <v>3612</v>
      </c>
    </row>
    <row r="686" spans="1:24" ht="27.95" x14ac:dyDescent="0.3">
      <c r="A686" s="5">
        <v>680</v>
      </c>
      <c r="B686" s="5" t="str">
        <f>"1276377"</f>
        <v>1276377</v>
      </c>
      <c r="C686" s="5" t="str">
        <f>"18630"</f>
        <v>18630</v>
      </c>
      <c r="D686" s="5" t="s">
        <v>3614</v>
      </c>
      <c r="E686" s="5">
        <v>20100484197</v>
      </c>
      <c r="F686" s="5" t="s">
        <v>3615</v>
      </c>
      <c r="G686" s="5" t="s">
        <v>3616</v>
      </c>
      <c r="H686" s="5" t="s">
        <v>285</v>
      </c>
      <c r="I686" s="5" t="s">
        <v>1473</v>
      </c>
      <c r="J686" s="5" t="s">
        <v>3617</v>
      </c>
      <c r="K686" s="5" t="s">
        <v>421</v>
      </c>
      <c r="L686" s="5"/>
      <c r="M686" s="5"/>
      <c r="N686" s="5"/>
      <c r="O686" s="5"/>
      <c r="P686" s="5"/>
      <c r="Q686" s="5"/>
      <c r="R686" s="5"/>
      <c r="S686" s="5"/>
      <c r="T686" s="5"/>
      <c r="U686" s="5">
        <v>5000</v>
      </c>
      <c r="V686" s="6">
        <v>36600</v>
      </c>
      <c r="W686" s="5" t="s">
        <v>31</v>
      </c>
      <c r="X686" s="5" t="s">
        <v>3618</v>
      </c>
    </row>
    <row r="687" spans="1:24" x14ac:dyDescent="0.3">
      <c r="A687" s="3">
        <v>681</v>
      </c>
      <c r="B687" s="3" t="str">
        <f>"201600133911"</f>
        <v>201600133911</v>
      </c>
      <c r="C687" s="3" t="str">
        <f>"1506"</f>
        <v>1506</v>
      </c>
      <c r="D687" s="3" t="s">
        <v>3619</v>
      </c>
      <c r="E687" s="3">
        <v>20114135012</v>
      </c>
      <c r="F687" s="3" t="s">
        <v>3620</v>
      </c>
      <c r="G687" s="3" t="s">
        <v>3621</v>
      </c>
      <c r="H687" s="3" t="s">
        <v>285</v>
      </c>
      <c r="I687" s="3" t="s">
        <v>286</v>
      </c>
      <c r="J687" s="3" t="s">
        <v>470</v>
      </c>
      <c r="K687" s="3" t="s">
        <v>46</v>
      </c>
      <c r="L687" s="3"/>
      <c r="M687" s="3"/>
      <c r="N687" s="3"/>
      <c r="O687" s="3"/>
      <c r="P687" s="3"/>
      <c r="Q687" s="3"/>
      <c r="R687" s="3"/>
      <c r="S687" s="3"/>
      <c r="T687" s="3"/>
      <c r="U687" s="3">
        <v>3000</v>
      </c>
      <c r="V687" s="4">
        <v>42661</v>
      </c>
      <c r="W687" s="3" t="s">
        <v>31</v>
      </c>
      <c r="X687" s="3" t="s">
        <v>3622</v>
      </c>
    </row>
    <row r="688" spans="1:24" ht="27.95" x14ac:dyDescent="0.3">
      <c r="A688" s="5">
        <v>682</v>
      </c>
      <c r="B688" s="5" t="str">
        <f>"1647292"</f>
        <v>1647292</v>
      </c>
      <c r="C688" s="5" t="str">
        <f>"44244"</f>
        <v>44244</v>
      </c>
      <c r="D688" s="5" t="s">
        <v>3623</v>
      </c>
      <c r="E688" s="5">
        <v>20194627492</v>
      </c>
      <c r="F688" s="5" t="s">
        <v>3624</v>
      </c>
      <c r="G688" s="5" t="s">
        <v>3625</v>
      </c>
      <c r="H688" s="5" t="s">
        <v>28</v>
      </c>
      <c r="I688" s="5" t="s">
        <v>28</v>
      </c>
      <c r="J688" s="5" t="s">
        <v>1432</v>
      </c>
      <c r="K688" s="5" t="s">
        <v>3626</v>
      </c>
      <c r="L688" s="5"/>
      <c r="M688" s="5"/>
      <c r="N688" s="5"/>
      <c r="O688" s="5"/>
      <c r="P688" s="5"/>
      <c r="Q688" s="5"/>
      <c r="R688" s="5"/>
      <c r="S688" s="5"/>
      <c r="T688" s="5"/>
      <c r="U688" s="5">
        <v>4660</v>
      </c>
      <c r="V688" s="6">
        <v>39045</v>
      </c>
      <c r="W688" s="5" t="s">
        <v>31</v>
      </c>
      <c r="X688" s="5" t="s">
        <v>3627</v>
      </c>
    </row>
    <row r="689" spans="1:24" ht="27.95" x14ac:dyDescent="0.3">
      <c r="A689" s="3">
        <v>683</v>
      </c>
      <c r="B689" s="3" t="str">
        <f>"1590720"</f>
        <v>1590720</v>
      </c>
      <c r="C689" s="3" t="str">
        <f>"1470"</f>
        <v>1470</v>
      </c>
      <c r="D689" s="3" t="s">
        <v>3628</v>
      </c>
      <c r="E689" s="3">
        <v>20131257750</v>
      </c>
      <c r="F689" s="3" t="s">
        <v>3629</v>
      </c>
      <c r="G689" s="3" t="s">
        <v>3630</v>
      </c>
      <c r="H689" s="3" t="s">
        <v>28</v>
      </c>
      <c r="I689" s="3" t="s">
        <v>28</v>
      </c>
      <c r="J689" s="3" t="s">
        <v>28</v>
      </c>
      <c r="K689" s="3" t="s">
        <v>3631</v>
      </c>
      <c r="L689" s="3" t="s">
        <v>3632</v>
      </c>
      <c r="M689" s="3" t="s">
        <v>3632</v>
      </c>
      <c r="N689" s="3" t="s">
        <v>3631</v>
      </c>
      <c r="O689" s="3"/>
      <c r="P689" s="3"/>
      <c r="Q689" s="3"/>
      <c r="R689" s="3"/>
      <c r="S689" s="3"/>
      <c r="T689" s="3"/>
      <c r="U689" s="3">
        <v>30000</v>
      </c>
      <c r="V689" s="4">
        <v>38770</v>
      </c>
      <c r="W689" s="3" t="s">
        <v>31</v>
      </c>
      <c r="X689" s="3" t="s">
        <v>3633</v>
      </c>
    </row>
    <row r="690" spans="1:24" ht="27.95" x14ac:dyDescent="0.3">
      <c r="A690" s="5">
        <v>684</v>
      </c>
      <c r="B690" s="5" t="str">
        <f>"201600130236"</f>
        <v>201600130236</v>
      </c>
      <c r="C690" s="5" t="str">
        <f>"1487"</f>
        <v>1487</v>
      </c>
      <c r="D690" s="5" t="s">
        <v>3634</v>
      </c>
      <c r="E690" s="5">
        <v>20100128218</v>
      </c>
      <c r="F690" s="5" t="s">
        <v>3635</v>
      </c>
      <c r="G690" s="5" t="s">
        <v>3636</v>
      </c>
      <c r="H690" s="5" t="s">
        <v>58</v>
      </c>
      <c r="I690" s="5" t="s">
        <v>3637</v>
      </c>
      <c r="J690" s="5" t="s">
        <v>3638</v>
      </c>
      <c r="K690" s="5" t="s">
        <v>3639</v>
      </c>
      <c r="L690" s="5" t="s">
        <v>3640</v>
      </c>
      <c r="M690" s="5" t="s">
        <v>3641</v>
      </c>
      <c r="N690" s="5" t="s">
        <v>3642</v>
      </c>
      <c r="O690" s="5" t="s">
        <v>3643</v>
      </c>
      <c r="P690" s="5" t="s">
        <v>3644</v>
      </c>
      <c r="Q690" s="5" t="s">
        <v>3645</v>
      </c>
      <c r="R690" s="5" t="s">
        <v>3646</v>
      </c>
      <c r="S690" s="5" t="s">
        <v>3647</v>
      </c>
      <c r="T690" s="5" t="s">
        <v>3648</v>
      </c>
      <c r="U690" s="5">
        <v>1328839</v>
      </c>
      <c r="V690" s="6">
        <v>42639</v>
      </c>
      <c r="W690" s="5" t="s">
        <v>31</v>
      </c>
      <c r="X690" s="5" t="s">
        <v>2063</v>
      </c>
    </row>
    <row r="691" spans="1:24" x14ac:dyDescent="0.3">
      <c r="A691" s="3">
        <v>685</v>
      </c>
      <c r="B691" s="3" t="str">
        <f>"201200020606"</f>
        <v>201200020606</v>
      </c>
      <c r="C691" s="3" t="str">
        <f>"91055"</f>
        <v>91055</v>
      </c>
      <c r="D691" s="3" t="s">
        <v>3649</v>
      </c>
      <c r="E691" s="3">
        <v>20100003512</v>
      </c>
      <c r="F691" s="3" t="s">
        <v>3650</v>
      </c>
      <c r="G691" s="3" t="s">
        <v>3651</v>
      </c>
      <c r="H691" s="3" t="s">
        <v>115</v>
      </c>
      <c r="I691" s="3" t="s">
        <v>115</v>
      </c>
      <c r="J691" s="3" t="s">
        <v>159</v>
      </c>
      <c r="K691" s="3" t="s">
        <v>2319</v>
      </c>
      <c r="L691" s="3"/>
      <c r="M691" s="3"/>
      <c r="N691" s="3"/>
      <c r="O691" s="3"/>
      <c r="P691" s="3"/>
      <c r="Q691" s="3"/>
      <c r="R691" s="3"/>
      <c r="S691" s="3"/>
      <c r="T691" s="3"/>
      <c r="U691" s="3">
        <v>330</v>
      </c>
      <c r="V691" s="4">
        <v>40956</v>
      </c>
      <c r="W691" s="3" t="s">
        <v>31</v>
      </c>
      <c r="X691" s="3" t="s">
        <v>3652</v>
      </c>
    </row>
    <row r="692" spans="1:24" ht="41.95" x14ac:dyDescent="0.3">
      <c r="A692" s="5">
        <v>686</v>
      </c>
      <c r="B692" s="5" t="str">
        <f>"201600164267"</f>
        <v>201600164267</v>
      </c>
      <c r="C692" s="5" t="str">
        <f>"90522"</f>
        <v>90522</v>
      </c>
      <c r="D692" s="5" t="s">
        <v>3653</v>
      </c>
      <c r="E692" s="5">
        <v>20364791080</v>
      </c>
      <c r="F692" s="5" t="s">
        <v>3654</v>
      </c>
      <c r="G692" s="5" t="s">
        <v>3655</v>
      </c>
      <c r="H692" s="5" t="s">
        <v>285</v>
      </c>
      <c r="I692" s="5" t="s">
        <v>1083</v>
      </c>
      <c r="J692" s="5" t="s">
        <v>1083</v>
      </c>
      <c r="K692" s="5" t="s">
        <v>3656</v>
      </c>
      <c r="L692" s="5"/>
      <c r="M692" s="5"/>
      <c r="N692" s="5"/>
      <c r="O692" s="5"/>
      <c r="P692" s="5"/>
      <c r="Q692" s="5"/>
      <c r="R692" s="5"/>
      <c r="S692" s="5"/>
      <c r="T692" s="5"/>
      <c r="U692" s="5">
        <v>3970</v>
      </c>
      <c r="V692" s="6">
        <v>42684</v>
      </c>
      <c r="W692" s="5" t="s">
        <v>31</v>
      </c>
      <c r="X692" s="5" t="s">
        <v>3657</v>
      </c>
    </row>
    <row r="693" spans="1:24" ht="27.95" x14ac:dyDescent="0.3">
      <c r="A693" s="3">
        <v>687</v>
      </c>
      <c r="B693" s="3" t="str">
        <f>"201900124097"</f>
        <v>201900124097</v>
      </c>
      <c r="C693" s="3" t="str">
        <f>"61073"</f>
        <v>61073</v>
      </c>
      <c r="D693" s="3" t="s">
        <v>3658</v>
      </c>
      <c r="E693" s="3">
        <v>10205222389</v>
      </c>
      <c r="F693" s="3" t="s">
        <v>3659</v>
      </c>
      <c r="G693" s="3" t="s">
        <v>3660</v>
      </c>
      <c r="H693" s="3" t="s">
        <v>566</v>
      </c>
      <c r="I693" s="3" t="s">
        <v>1724</v>
      </c>
      <c r="J693" s="3" t="s">
        <v>1724</v>
      </c>
      <c r="K693" s="3" t="s">
        <v>2249</v>
      </c>
      <c r="L693" s="3"/>
      <c r="M693" s="3"/>
      <c r="N693" s="3"/>
      <c r="O693" s="3"/>
      <c r="P693" s="3"/>
      <c r="Q693" s="3"/>
      <c r="R693" s="3"/>
      <c r="S693" s="3"/>
      <c r="T693" s="3"/>
      <c r="U693" s="3">
        <v>3900</v>
      </c>
      <c r="V693" s="4">
        <v>43683</v>
      </c>
      <c r="W693" s="3" t="s">
        <v>31</v>
      </c>
      <c r="X693" s="3" t="s">
        <v>3659</v>
      </c>
    </row>
    <row r="694" spans="1:24" x14ac:dyDescent="0.3">
      <c r="A694" s="5">
        <v>688</v>
      </c>
      <c r="B694" s="5" t="str">
        <f>"201500110471"</f>
        <v>201500110471</v>
      </c>
      <c r="C694" s="5" t="str">
        <f>"82491"</f>
        <v>82491</v>
      </c>
      <c r="D694" s="5" t="s">
        <v>3661</v>
      </c>
      <c r="E694" s="5">
        <v>20600020022</v>
      </c>
      <c r="F694" s="5" t="s">
        <v>3662</v>
      </c>
      <c r="G694" s="5" t="s">
        <v>3663</v>
      </c>
      <c r="H694" s="5" t="s">
        <v>2002</v>
      </c>
      <c r="I694" s="5" t="s">
        <v>2002</v>
      </c>
      <c r="J694" s="5" t="s">
        <v>2003</v>
      </c>
      <c r="K694" s="5" t="s">
        <v>2452</v>
      </c>
      <c r="L694" s="5"/>
      <c r="M694" s="5"/>
      <c r="N694" s="5"/>
      <c r="O694" s="5"/>
      <c r="P694" s="5"/>
      <c r="Q694" s="5"/>
      <c r="R694" s="5"/>
      <c r="S694" s="5"/>
      <c r="T694" s="5"/>
      <c r="U694" s="5">
        <v>6500</v>
      </c>
      <c r="V694" s="6">
        <v>42236</v>
      </c>
      <c r="W694" s="5" t="s">
        <v>31</v>
      </c>
      <c r="X694" s="5" t="s">
        <v>3664</v>
      </c>
    </row>
    <row r="695" spans="1:24" x14ac:dyDescent="0.3">
      <c r="A695" s="3">
        <v>689</v>
      </c>
      <c r="B695" s="3" t="str">
        <f>"201600136605"</f>
        <v>201600136605</v>
      </c>
      <c r="C695" s="3" t="str">
        <f>"1427"</f>
        <v>1427</v>
      </c>
      <c r="D695" s="3" t="s">
        <v>3665</v>
      </c>
      <c r="E695" s="3">
        <v>20100971772</v>
      </c>
      <c r="F695" s="3" t="s">
        <v>3582</v>
      </c>
      <c r="G695" s="3" t="s">
        <v>3666</v>
      </c>
      <c r="H695" s="3" t="s">
        <v>135</v>
      </c>
      <c r="I695" s="3" t="s">
        <v>943</v>
      </c>
      <c r="J695" s="3" t="s">
        <v>944</v>
      </c>
      <c r="K695" s="3" t="s">
        <v>3667</v>
      </c>
      <c r="L695" s="3" t="s">
        <v>3668</v>
      </c>
      <c r="M695" s="3" t="s">
        <v>3669</v>
      </c>
      <c r="N695" s="3" t="s">
        <v>3669</v>
      </c>
      <c r="O695" s="3"/>
      <c r="P695" s="3"/>
      <c r="Q695" s="3"/>
      <c r="R695" s="3"/>
      <c r="S695" s="3"/>
      <c r="T695" s="3"/>
      <c r="U695" s="3">
        <v>142000</v>
      </c>
      <c r="V695" s="4">
        <v>42636</v>
      </c>
      <c r="W695" s="3" t="s">
        <v>31</v>
      </c>
      <c r="X695" s="3" t="s">
        <v>3670</v>
      </c>
    </row>
    <row r="696" spans="1:24" ht="27.95" x14ac:dyDescent="0.3">
      <c r="A696" s="5">
        <v>690</v>
      </c>
      <c r="B696" s="5" t="str">
        <f>"1621644"</f>
        <v>1621644</v>
      </c>
      <c r="C696" s="5" t="str">
        <f>"43740"</f>
        <v>43740</v>
      </c>
      <c r="D696" s="5" t="s">
        <v>3671</v>
      </c>
      <c r="E696" s="5">
        <v>20293847038</v>
      </c>
      <c r="F696" s="5" t="s">
        <v>1881</v>
      </c>
      <c r="G696" s="5" t="s">
        <v>3672</v>
      </c>
      <c r="H696" s="5" t="s">
        <v>28</v>
      </c>
      <c r="I696" s="5" t="s">
        <v>28</v>
      </c>
      <c r="J696" s="5" t="s">
        <v>208</v>
      </c>
      <c r="K696" s="5" t="s">
        <v>3673</v>
      </c>
      <c r="L696" s="5" t="s">
        <v>3673</v>
      </c>
      <c r="M696" s="5"/>
      <c r="N696" s="5"/>
      <c r="O696" s="5"/>
      <c r="P696" s="5"/>
      <c r="Q696" s="5"/>
      <c r="R696" s="5"/>
      <c r="S696" s="5"/>
      <c r="T696" s="5"/>
      <c r="U696" s="5">
        <v>23314</v>
      </c>
      <c r="V696" s="6">
        <v>38936</v>
      </c>
      <c r="W696" s="5" t="s">
        <v>31</v>
      </c>
      <c r="X696" s="5" t="s">
        <v>1884</v>
      </c>
    </row>
    <row r="697" spans="1:24" ht="27.95" x14ac:dyDescent="0.3">
      <c r="A697" s="3">
        <v>691</v>
      </c>
      <c r="B697" s="3" t="str">
        <f>"1464890"</f>
        <v>1464890</v>
      </c>
      <c r="C697" s="3" t="str">
        <f>"90772"</f>
        <v>90772</v>
      </c>
      <c r="D697" s="3" t="s">
        <v>3674</v>
      </c>
      <c r="E697" s="3">
        <v>20481224935</v>
      </c>
      <c r="F697" s="3" t="s">
        <v>3675</v>
      </c>
      <c r="G697" s="3" t="s">
        <v>3676</v>
      </c>
      <c r="H697" s="3" t="s">
        <v>36</v>
      </c>
      <c r="I697" s="3" t="s">
        <v>234</v>
      </c>
      <c r="J697" s="3" t="s">
        <v>234</v>
      </c>
      <c r="K697" s="3" t="s">
        <v>3677</v>
      </c>
      <c r="L697" s="3"/>
      <c r="M697" s="3"/>
      <c r="N697" s="3"/>
      <c r="O697" s="3"/>
      <c r="P697" s="3"/>
      <c r="Q697" s="3"/>
      <c r="R697" s="3"/>
      <c r="S697" s="3"/>
      <c r="T697" s="3"/>
      <c r="U697" s="3">
        <v>3149</v>
      </c>
      <c r="V697" s="4">
        <v>40588</v>
      </c>
      <c r="W697" s="3" t="s">
        <v>31</v>
      </c>
      <c r="X697" s="3" t="s">
        <v>3678</v>
      </c>
    </row>
    <row r="698" spans="1:24" x14ac:dyDescent="0.3">
      <c r="A698" s="5">
        <v>692</v>
      </c>
      <c r="B698" s="5" t="str">
        <f>"201900153423"</f>
        <v>201900153423</v>
      </c>
      <c r="C698" s="5" t="str">
        <f>"221"</f>
        <v>221</v>
      </c>
      <c r="D698" s="5" t="s">
        <v>3679</v>
      </c>
      <c r="E698" s="5">
        <v>20136165667</v>
      </c>
      <c r="F698" s="5" t="s">
        <v>3312</v>
      </c>
      <c r="G698" s="5" t="s">
        <v>3680</v>
      </c>
      <c r="H698" s="5" t="s">
        <v>135</v>
      </c>
      <c r="I698" s="5" t="s">
        <v>402</v>
      </c>
      <c r="J698" s="5" t="s">
        <v>862</v>
      </c>
      <c r="K698" s="5" t="s">
        <v>3681</v>
      </c>
      <c r="L698" s="5" t="s">
        <v>3682</v>
      </c>
      <c r="M698" s="5"/>
      <c r="N698" s="5"/>
      <c r="O698" s="5"/>
      <c r="P698" s="5"/>
      <c r="Q698" s="5"/>
      <c r="R698" s="5"/>
      <c r="S698" s="5"/>
      <c r="T698" s="5"/>
      <c r="U698" s="5">
        <v>50104</v>
      </c>
      <c r="V698" s="6">
        <v>43727</v>
      </c>
      <c r="W698" s="5" t="s">
        <v>31</v>
      </c>
      <c r="X698" s="5" t="s">
        <v>3683</v>
      </c>
    </row>
    <row r="699" spans="1:24" ht="27.95" x14ac:dyDescent="0.3">
      <c r="A699" s="3">
        <v>693</v>
      </c>
      <c r="B699" s="3" t="str">
        <f>"201300057218"</f>
        <v>201300057218</v>
      </c>
      <c r="C699" s="3" t="str">
        <f>"99281"</f>
        <v>99281</v>
      </c>
      <c r="D699" s="3" t="s">
        <v>3684</v>
      </c>
      <c r="E699" s="3">
        <v>20541687301</v>
      </c>
      <c r="F699" s="3" t="s">
        <v>3685</v>
      </c>
      <c r="G699" s="3" t="s">
        <v>3686</v>
      </c>
      <c r="H699" s="3" t="s">
        <v>285</v>
      </c>
      <c r="I699" s="3" t="s">
        <v>286</v>
      </c>
      <c r="J699" s="3" t="s">
        <v>286</v>
      </c>
      <c r="K699" s="3" t="s">
        <v>3687</v>
      </c>
      <c r="L699" s="3"/>
      <c r="M699" s="3"/>
      <c r="N699" s="3"/>
      <c r="O699" s="3"/>
      <c r="P699" s="3"/>
      <c r="Q699" s="3"/>
      <c r="R699" s="3"/>
      <c r="S699" s="3"/>
      <c r="T699" s="3"/>
      <c r="U699" s="3">
        <v>1167</v>
      </c>
      <c r="V699" s="4">
        <v>41361</v>
      </c>
      <c r="W699" s="3" t="s">
        <v>31</v>
      </c>
      <c r="X699" s="3" t="s">
        <v>3688</v>
      </c>
    </row>
    <row r="700" spans="1:24" ht="27.95" x14ac:dyDescent="0.3">
      <c r="A700" s="5">
        <v>694</v>
      </c>
      <c r="B700" s="5" t="str">
        <f>"201900087717"</f>
        <v>201900087717</v>
      </c>
      <c r="C700" s="5" t="str">
        <f>"124182"</f>
        <v>124182</v>
      </c>
      <c r="D700" s="5" t="s">
        <v>3689</v>
      </c>
      <c r="E700" s="5">
        <v>20542810727</v>
      </c>
      <c r="F700" s="5" t="s">
        <v>3690</v>
      </c>
      <c r="G700" s="5" t="s">
        <v>3691</v>
      </c>
      <c r="H700" s="5" t="s">
        <v>165</v>
      </c>
      <c r="I700" s="5" t="s">
        <v>166</v>
      </c>
      <c r="J700" s="5" t="s">
        <v>167</v>
      </c>
      <c r="K700" s="5" t="s">
        <v>3692</v>
      </c>
      <c r="L700" s="5" t="s">
        <v>3199</v>
      </c>
      <c r="M700" s="5" t="s">
        <v>1074</v>
      </c>
      <c r="N700" s="5"/>
      <c r="O700" s="5"/>
      <c r="P700" s="5"/>
      <c r="Q700" s="5"/>
      <c r="R700" s="5"/>
      <c r="S700" s="5"/>
      <c r="T700" s="5"/>
      <c r="U700" s="5">
        <v>11190</v>
      </c>
      <c r="V700" s="6">
        <v>43629</v>
      </c>
      <c r="W700" s="5" t="s">
        <v>31</v>
      </c>
      <c r="X700" s="5" t="s">
        <v>3693</v>
      </c>
    </row>
    <row r="701" spans="1:24" x14ac:dyDescent="0.3">
      <c r="A701" s="3">
        <v>695</v>
      </c>
      <c r="B701" s="3" t="str">
        <f>"1139574"</f>
        <v>1139574</v>
      </c>
      <c r="C701" s="3" t="str">
        <f>"1229"</f>
        <v>1229</v>
      </c>
      <c r="D701" s="3">
        <v>1139574</v>
      </c>
      <c r="E701" s="3">
        <v>20131257750</v>
      </c>
      <c r="F701" s="3" t="s">
        <v>3694</v>
      </c>
      <c r="G701" s="3" t="s">
        <v>3695</v>
      </c>
      <c r="H701" s="3" t="s">
        <v>80</v>
      </c>
      <c r="I701" s="3" t="s">
        <v>192</v>
      </c>
      <c r="J701" s="3" t="s">
        <v>192</v>
      </c>
      <c r="K701" s="3" t="s">
        <v>3696</v>
      </c>
      <c r="L701" s="3"/>
      <c r="M701" s="3"/>
      <c r="N701" s="3"/>
      <c r="O701" s="3"/>
      <c r="P701" s="3"/>
      <c r="Q701" s="3"/>
      <c r="R701" s="3"/>
      <c r="S701" s="3"/>
      <c r="T701" s="3"/>
      <c r="U701" s="3">
        <v>110</v>
      </c>
      <c r="V701" s="4">
        <v>35671</v>
      </c>
      <c r="W701" s="3" t="s">
        <v>31</v>
      </c>
      <c r="X701" s="3" t="s">
        <v>1423</v>
      </c>
    </row>
    <row r="702" spans="1:24" x14ac:dyDescent="0.3">
      <c r="A702" s="5">
        <v>696</v>
      </c>
      <c r="B702" s="5" t="str">
        <f>"1678399"</f>
        <v>1678399</v>
      </c>
      <c r="C702" s="5" t="str">
        <f>"142"</f>
        <v>142</v>
      </c>
      <c r="D702" s="5" t="s">
        <v>3697</v>
      </c>
      <c r="E702" s="5">
        <v>20338054115</v>
      </c>
      <c r="F702" s="5" t="s">
        <v>3698</v>
      </c>
      <c r="G702" s="5" t="s">
        <v>3699</v>
      </c>
      <c r="H702" s="5" t="s">
        <v>285</v>
      </c>
      <c r="I702" s="5" t="s">
        <v>3700</v>
      </c>
      <c r="J702" s="5" t="s">
        <v>3700</v>
      </c>
      <c r="K702" s="5" t="s">
        <v>3701</v>
      </c>
      <c r="L702" s="5" t="s">
        <v>3702</v>
      </c>
      <c r="M702" s="5"/>
      <c r="N702" s="5"/>
      <c r="O702" s="5"/>
      <c r="P702" s="5"/>
      <c r="Q702" s="5"/>
      <c r="R702" s="5"/>
      <c r="S702" s="5"/>
      <c r="T702" s="5"/>
      <c r="U702" s="5">
        <v>234860</v>
      </c>
      <c r="V702" s="6">
        <v>39154</v>
      </c>
      <c r="W702" s="5" t="s">
        <v>31</v>
      </c>
      <c r="X702" s="5" t="s">
        <v>3703</v>
      </c>
    </row>
    <row r="703" spans="1:24" x14ac:dyDescent="0.3">
      <c r="A703" s="3">
        <v>697</v>
      </c>
      <c r="B703" s="3" t="str">
        <f>"201300157198"</f>
        <v>201300157198</v>
      </c>
      <c r="C703" s="3" t="str">
        <f>"20141"</f>
        <v>20141</v>
      </c>
      <c r="D703" s="3" t="s">
        <v>3704</v>
      </c>
      <c r="E703" s="3">
        <v>20258505213</v>
      </c>
      <c r="F703" s="3" t="s">
        <v>3705</v>
      </c>
      <c r="G703" s="3" t="s">
        <v>3706</v>
      </c>
      <c r="H703" s="3" t="s">
        <v>978</v>
      </c>
      <c r="I703" s="3" t="s">
        <v>1222</v>
      </c>
      <c r="J703" s="3" t="s">
        <v>1222</v>
      </c>
      <c r="K703" s="3" t="s">
        <v>1058</v>
      </c>
      <c r="L703" s="3" t="s">
        <v>3707</v>
      </c>
      <c r="M703" s="3"/>
      <c r="N703" s="3"/>
      <c r="O703" s="3"/>
      <c r="P703" s="3"/>
      <c r="Q703" s="3"/>
      <c r="R703" s="3"/>
      <c r="S703" s="3"/>
      <c r="T703" s="3"/>
      <c r="U703" s="3">
        <v>17500</v>
      </c>
      <c r="V703" s="4">
        <v>41569</v>
      </c>
      <c r="W703" s="3" t="s">
        <v>31</v>
      </c>
      <c r="X703" s="3" t="s">
        <v>3708</v>
      </c>
    </row>
    <row r="704" spans="1:24" ht="27.95" x14ac:dyDescent="0.3">
      <c r="A704" s="5">
        <v>698</v>
      </c>
      <c r="B704" s="5" t="str">
        <f>"1642398"</f>
        <v>1642398</v>
      </c>
      <c r="C704" s="5" t="str">
        <f>"44209"</f>
        <v>44209</v>
      </c>
      <c r="D704" s="5" t="s">
        <v>3709</v>
      </c>
      <c r="E704" s="5">
        <v>20147925388</v>
      </c>
      <c r="F704" s="5" t="s">
        <v>3710</v>
      </c>
      <c r="G704" s="5" t="s">
        <v>3711</v>
      </c>
      <c r="H704" s="5" t="s">
        <v>28</v>
      </c>
      <c r="I704" s="5" t="s">
        <v>28</v>
      </c>
      <c r="J704" s="5" t="s">
        <v>208</v>
      </c>
      <c r="K704" s="5" t="s">
        <v>3712</v>
      </c>
      <c r="L704" s="5"/>
      <c r="M704" s="5"/>
      <c r="N704" s="5"/>
      <c r="O704" s="5"/>
      <c r="P704" s="5"/>
      <c r="Q704" s="5"/>
      <c r="R704" s="5"/>
      <c r="S704" s="5"/>
      <c r="T704" s="5"/>
      <c r="U704" s="5">
        <v>2147</v>
      </c>
      <c r="V704" s="6">
        <v>39013</v>
      </c>
      <c r="W704" s="5" t="s">
        <v>31</v>
      </c>
      <c r="X704" s="5" t="s">
        <v>3713</v>
      </c>
    </row>
    <row r="705" spans="1:24" ht="27.95" x14ac:dyDescent="0.3">
      <c r="A705" s="3">
        <v>699</v>
      </c>
      <c r="B705" s="3" t="str">
        <f>"1614871"</f>
        <v>1614871</v>
      </c>
      <c r="C705" s="3" t="str">
        <f>"873"</f>
        <v>873</v>
      </c>
      <c r="D705" s="3" t="s">
        <v>3714</v>
      </c>
      <c r="E705" s="3">
        <v>20100737826</v>
      </c>
      <c r="F705" s="3" t="s">
        <v>3715</v>
      </c>
      <c r="G705" s="3" t="s">
        <v>3716</v>
      </c>
      <c r="H705" s="3" t="s">
        <v>28</v>
      </c>
      <c r="I705" s="3" t="s">
        <v>28</v>
      </c>
      <c r="J705" s="3" t="s">
        <v>91</v>
      </c>
      <c r="K705" s="3" t="s">
        <v>259</v>
      </c>
      <c r="L705" s="3"/>
      <c r="M705" s="3"/>
      <c r="N705" s="3"/>
      <c r="O705" s="3"/>
      <c r="P705" s="3"/>
      <c r="Q705" s="3"/>
      <c r="R705" s="3"/>
      <c r="S705" s="3"/>
      <c r="T705" s="3"/>
      <c r="U705" s="3">
        <v>6000</v>
      </c>
      <c r="V705" s="4">
        <v>38946</v>
      </c>
      <c r="W705" s="3" t="s">
        <v>31</v>
      </c>
      <c r="X705" s="3" t="s">
        <v>3717</v>
      </c>
    </row>
    <row r="706" spans="1:24" ht="27.95" x14ac:dyDescent="0.3">
      <c r="A706" s="5">
        <v>700</v>
      </c>
      <c r="B706" s="5" t="str">
        <f>"201500097660"</f>
        <v>201500097660</v>
      </c>
      <c r="C706" s="5" t="str">
        <f>"116593"</f>
        <v>116593</v>
      </c>
      <c r="D706" s="5" t="s">
        <v>3718</v>
      </c>
      <c r="E706" s="5">
        <v>20509514641</v>
      </c>
      <c r="F706" s="5" t="s">
        <v>3719</v>
      </c>
      <c r="G706" s="5" t="s">
        <v>3720</v>
      </c>
      <c r="H706" s="5" t="s">
        <v>28</v>
      </c>
      <c r="I706" s="5" t="s">
        <v>122</v>
      </c>
      <c r="J706" s="5" t="s">
        <v>123</v>
      </c>
      <c r="K706" s="5" t="s">
        <v>3721</v>
      </c>
      <c r="L706" s="5" t="s">
        <v>790</v>
      </c>
      <c r="M706" s="5" t="s">
        <v>790</v>
      </c>
      <c r="N706" s="5"/>
      <c r="O706" s="5"/>
      <c r="P706" s="5"/>
      <c r="Q706" s="5"/>
      <c r="R706" s="5"/>
      <c r="S706" s="5"/>
      <c r="T706" s="5"/>
      <c r="U706" s="5">
        <v>304000</v>
      </c>
      <c r="V706" s="6">
        <v>42279</v>
      </c>
      <c r="W706" s="5" t="s">
        <v>31</v>
      </c>
      <c r="X706" s="5" t="s">
        <v>3722</v>
      </c>
    </row>
    <row r="707" spans="1:24" x14ac:dyDescent="0.3">
      <c r="A707" s="3">
        <v>701</v>
      </c>
      <c r="B707" s="3" t="str">
        <f>"1115721"</f>
        <v>1115721</v>
      </c>
      <c r="C707" s="3" t="str">
        <f>"1023"</f>
        <v>1023</v>
      </c>
      <c r="D707" s="3">
        <v>1066415</v>
      </c>
      <c r="E707" s="3">
        <v>20100179475</v>
      </c>
      <c r="F707" s="3" t="s">
        <v>3723</v>
      </c>
      <c r="G707" s="3" t="s">
        <v>3724</v>
      </c>
      <c r="H707" s="3" t="s">
        <v>566</v>
      </c>
      <c r="I707" s="3" t="s">
        <v>2671</v>
      </c>
      <c r="J707" s="3" t="s">
        <v>2671</v>
      </c>
      <c r="K707" s="3" t="s">
        <v>3725</v>
      </c>
      <c r="L707" s="3" t="s">
        <v>3726</v>
      </c>
      <c r="M707" s="3"/>
      <c r="N707" s="3"/>
      <c r="O707" s="3"/>
      <c r="P707" s="3"/>
      <c r="Q707" s="3"/>
      <c r="R707" s="3"/>
      <c r="S707" s="3"/>
      <c r="T707" s="3"/>
      <c r="U707" s="3">
        <v>81500</v>
      </c>
      <c r="V707" s="4">
        <v>35529</v>
      </c>
      <c r="W707" s="3" t="s">
        <v>31</v>
      </c>
      <c r="X707" s="3" t="s">
        <v>3727</v>
      </c>
    </row>
    <row r="708" spans="1:24" ht="27.95" x14ac:dyDescent="0.3">
      <c r="A708" s="5">
        <v>702</v>
      </c>
      <c r="B708" s="5" t="str">
        <f>"202000148777"</f>
        <v>202000148777</v>
      </c>
      <c r="C708" s="5" t="str">
        <f>"148228"</f>
        <v>148228</v>
      </c>
      <c r="D708" s="5" t="s">
        <v>3728</v>
      </c>
      <c r="E708" s="5">
        <v>20448651739</v>
      </c>
      <c r="F708" s="5" t="s">
        <v>3729</v>
      </c>
      <c r="G708" s="5" t="s">
        <v>3730</v>
      </c>
      <c r="H708" s="5" t="s">
        <v>165</v>
      </c>
      <c r="I708" s="5" t="s">
        <v>166</v>
      </c>
      <c r="J708" s="5" t="s">
        <v>167</v>
      </c>
      <c r="K708" s="5" t="s">
        <v>168</v>
      </c>
      <c r="L708" s="5"/>
      <c r="M708" s="5"/>
      <c r="N708" s="5"/>
      <c r="O708" s="5"/>
      <c r="P708" s="5"/>
      <c r="Q708" s="5"/>
      <c r="R708" s="5"/>
      <c r="S708" s="5"/>
      <c r="T708" s="5"/>
      <c r="U708" s="5">
        <v>10000</v>
      </c>
      <c r="V708" s="6">
        <v>44125</v>
      </c>
      <c r="W708" s="5" t="s">
        <v>31</v>
      </c>
      <c r="X708" s="5" t="s">
        <v>3731</v>
      </c>
    </row>
    <row r="709" spans="1:24" ht="27.95" x14ac:dyDescent="0.3">
      <c r="A709" s="3">
        <v>703</v>
      </c>
      <c r="B709" s="3" t="str">
        <f>"1823910"</f>
        <v>1823910</v>
      </c>
      <c r="C709" s="3" t="str">
        <f>"64254"</f>
        <v>64254</v>
      </c>
      <c r="D709" s="3" t="s">
        <v>3732</v>
      </c>
      <c r="E709" s="3">
        <v>20123425279</v>
      </c>
      <c r="F709" s="3" t="s">
        <v>3733</v>
      </c>
      <c r="G709" s="3" t="s">
        <v>3734</v>
      </c>
      <c r="H709" s="3" t="s">
        <v>28</v>
      </c>
      <c r="I709" s="3" t="s">
        <v>72</v>
      </c>
      <c r="J709" s="3" t="s">
        <v>322</v>
      </c>
      <c r="K709" s="3" t="s">
        <v>323</v>
      </c>
      <c r="L709" s="3"/>
      <c r="M709" s="3"/>
      <c r="N709" s="3"/>
      <c r="O709" s="3"/>
      <c r="P709" s="3"/>
      <c r="Q709" s="3"/>
      <c r="R709" s="3"/>
      <c r="S709" s="3"/>
      <c r="T709" s="3"/>
      <c r="U709" s="3">
        <v>4000</v>
      </c>
      <c r="V709" s="4">
        <v>39722</v>
      </c>
      <c r="W709" s="3" t="s">
        <v>31</v>
      </c>
      <c r="X709" s="3" t="s">
        <v>3735</v>
      </c>
    </row>
    <row r="710" spans="1:24" ht="27.95" x14ac:dyDescent="0.3">
      <c r="A710" s="5">
        <v>704</v>
      </c>
      <c r="B710" s="5" t="str">
        <f>"1724839"</f>
        <v>1724839</v>
      </c>
      <c r="C710" s="5" t="str">
        <f>"703"</f>
        <v>703</v>
      </c>
      <c r="D710" s="5" t="s">
        <v>3736</v>
      </c>
      <c r="E710" s="5">
        <v>20125685928</v>
      </c>
      <c r="F710" s="5" t="s">
        <v>3737</v>
      </c>
      <c r="G710" s="5" t="s">
        <v>3738</v>
      </c>
      <c r="H710" s="5" t="s">
        <v>51</v>
      </c>
      <c r="I710" s="5" t="s">
        <v>51</v>
      </c>
      <c r="J710" s="5" t="s">
        <v>51</v>
      </c>
      <c r="K710" s="5" t="s">
        <v>3739</v>
      </c>
      <c r="L710" s="5" t="s">
        <v>3740</v>
      </c>
      <c r="M710" s="5" t="s">
        <v>1492</v>
      </c>
      <c r="N710" s="5"/>
      <c r="O710" s="5"/>
      <c r="P710" s="5"/>
      <c r="Q710" s="5"/>
      <c r="R710" s="5"/>
      <c r="S710" s="5"/>
      <c r="T710" s="5"/>
      <c r="U710" s="5">
        <v>10400</v>
      </c>
      <c r="V710" s="6">
        <v>39344</v>
      </c>
      <c r="W710" s="5" t="s">
        <v>31</v>
      </c>
      <c r="X710" s="5" t="s">
        <v>3741</v>
      </c>
    </row>
    <row r="711" spans="1:24" ht="27.95" x14ac:dyDescent="0.3">
      <c r="A711" s="3">
        <v>705</v>
      </c>
      <c r="B711" s="3" t="str">
        <f>"201900084486"</f>
        <v>201900084486</v>
      </c>
      <c r="C711" s="3" t="str">
        <f>"144306"</f>
        <v>144306</v>
      </c>
      <c r="D711" s="3" t="s">
        <v>3742</v>
      </c>
      <c r="E711" s="3">
        <v>10024292253</v>
      </c>
      <c r="F711" s="3" t="s">
        <v>3743</v>
      </c>
      <c r="G711" s="3" t="s">
        <v>3744</v>
      </c>
      <c r="H711" s="3" t="s">
        <v>165</v>
      </c>
      <c r="I711" s="3" t="s">
        <v>166</v>
      </c>
      <c r="J711" s="3" t="s">
        <v>165</v>
      </c>
      <c r="K711" s="3" t="s">
        <v>3745</v>
      </c>
      <c r="L711" s="3" t="s">
        <v>3745</v>
      </c>
      <c r="M711" s="3"/>
      <c r="N711" s="3"/>
      <c r="O711" s="3"/>
      <c r="P711" s="3"/>
      <c r="Q711" s="3"/>
      <c r="R711" s="3"/>
      <c r="S711" s="3"/>
      <c r="T711" s="3"/>
      <c r="U711" s="3">
        <v>13006</v>
      </c>
      <c r="V711" s="4">
        <v>43616</v>
      </c>
      <c r="W711" s="3" t="s">
        <v>31</v>
      </c>
      <c r="X711" s="3" t="s">
        <v>3743</v>
      </c>
    </row>
    <row r="712" spans="1:24" x14ac:dyDescent="0.3">
      <c r="A712" s="5">
        <v>706</v>
      </c>
      <c r="B712" s="5" t="str">
        <f>"201300084038"</f>
        <v>201300084038</v>
      </c>
      <c r="C712" s="5" t="str">
        <f>"16456"</f>
        <v>16456</v>
      </c>
      <c r="D712" s="5" t="s">
        <v>3746</v>
      </c>
      <c r="E712" s="5">
        <v>20541152963</v>
      </c>
      <c r="F712" s="5" t="s">
        <v>3747</v>
      </c>
      <c r="G712" s="5" t="s">
        <v>3748</v>
      </c>
      <c r="H712" s="5" t="s">
        <v>58</v>
      </c>
      <c r="I712" s="5" t="s">
        <v>59</v>
      </c>
      <c r="J712" s="5" t="s">
        <v>2573</v>
      </c>
      <c r="K712" s="5" t="s">
        <v>3749</v>
      </c>
      <c r="L712" s="5"/>
      <c r="M712" s="5"/>
      <c r="N712" s="5"/>
      <c r="O712" s="5"/>
      <c r="P712" s="5"/>
      <c r="Q712" s="5"/>
      <c r="R712" s="5"/>
      <c r="S712" s="5"/>
      <c r="T712" s="5"/>
      <c r="U712" s="5">
        <v>3728</v>
      </c>
      <c r="V712" s="6">
        <v>41426</v>
      </c>
      <c r="W712" s="5" t="s">
        <v>31</v>
      </c>
      <c r="X712" s="5" t="s">
        <v>3750</v>
      </c>
    </row>
    <row r="713" spans="1:24" x14ac:dyDescent="0.3">
      <c r="A713" s="3">
        <v>707</v>
      </c>
      <c r="B713" s="3" t="str">
        <f>"201600166088"</f>
        <v>201600166088</v>
      </c>
      <c r="C713" s="3" t="str">
        <f>"19734"</f>
        <v>19734</v>
      </c>
      <c r="D713" s="3" t="s">
        <v>3751</v>
      </c>
      <c r="E713" s="3">
        <v>20340584237</v>
      </c>
      <c r="F713" s="3" t="s">
        <v>1319</v>
      </c>
      <c r="G713" s="3" t="s">
        <v>3752</v>
      </c>
      <c r="H713" s="3" t="s">
        <v>36</v>
      </c>
      <c r="I713" s="3" t="s">
        <v>514</v>
      </c>
      <c r="J713" s="3" t="s">
        <v>2101</v>
      </c>
      <c r="K713" s="3" t="s">
        <v>3753</v>
      </c>
      <c r="L713" s="3" t="s">
        <v>3754</v>
      </c>
      <c r="M713" s="3"/>
      <c r="N713" s="3"/>
      <c r="O713" s="3"/>
      <c r="P713" s="3"/>
      <c r="Q713" s="3"/>
      <c r="R713" s="3"/>
      <c r="S713" s="3"/>
      <c r="T713" s="3"/>
      <c r="U713" s="3">
        <v>18500</v>
      </c>
      <c r="V713" s="4">
        <v>42695</v>
      </c>
      <c r="W713" s="3" t="s">
        <v>31</v>
      </c>
      <c r="X713" s="3" t="s">
        <v>1409</v>
      </c>
    </row>
    <row r="714" spans="1:24" x14ac:dyDescent="0.3">
      <c r="A714" s="5">
        <v>708</v>
      </c>
      <c r="B714" s="5" t="str">
        <f>"201500076471"</f>
        <v>201500076471</v>
      </c>
      <c r="C714" s="5" t="str">
        <f>"115885"</f>
        <v>115885</v>
      </c>
      <c r="D714" s="5" t="s">
        <v>3755</v>
      </c>
      <c r="E714" s="5">
        <v>20510992904</v>
      </c>
      <c r="F714" s="5" t="s">
        <v>3756</v>
      </c>
      <c r="G714" s="5" t="s">
        <v>3757</v>
      </c>
      <c r="H714" s="5" t="s">
        <v>28</v>
      </c>
      <c r="I714" s="5" t="s">
        <v>122</v>
      </c>
      <c r="J714" s="5" t="s">
        <v>123</v>
      </c>
      <c r="K714" s="5" t="s">
        <v>3758</v>
      </c>
      <c r="L714" s="5"/>
      <c r="M714" s="5"/>
      <c r="N714" s="5"/>
      <c r="O714" s="5"/>
      <c r="P714" s="5"/>
      <c r="Q714" s="5"/>
      <c r="R714" s="5"/>
      <c r="S714" s="5"/>
      <c r="T714" s="5"/>
      <c r="U714" s="5">
        <v>600</v>
      </c>
      <c r="V714" s="6">
        <v>42207</v>
      </c>
      <c r="W714" s="5" t="s">
        <v>31</v>
      </c>
      <c r="X714" s="5" t="s">
        <v>3759</v>
      </c>
    </row>
    <row r="715" spans="1:24" ht="27.95" x14ac:dyDescent="0.3">
      <c r="A715" s="3">
        <v>709</v>
      </c>
      <c r="B715" s="3" t="str">
        <f>"201200188490"</f>
        <v>201200188490</v>
      </c>
      <c r="C715" s="3" t="str">
        <f>"1428"</f>
        <v>1428</v>
      </c>
      <c r="D715" s="3" t="s">
        <v>3760</v>
      </c>
      <c r="E715" s="3">
        <v>20224748711</v>
      </c>
      <c r="F715" s="3" t="s">
        <v>3761</v>
      </c>
      <c r="G715" s="3" t="s">
        <v>3762</v>
      </c>
      <c r="H715" s="3" t="s">
        <v>285</v>
      </c>
      <c r="I715" s="3" t="s">
        <v>286</v>
      </c>
      <c r="J715" s="3" t="s">
        <v>470</v>
      </c>
      <c r="K715" s="3" t="s">
        <v>3763</v>
      </c>
      <c r="L715" s="3" t="s">
        <v>3763</v>
      </c>
      <c r="M715" s="3" t="s">
        <v>3764</v>
      </c>
      <c r="N715" s="3"/>
      <c r="O715" s="3"/>
      <c r="P715" s="3"/>
      <c r="Q715" s="3"/>
      <c r="R715" s="3"/>
      <c r="S715" s="3"/>
      <c r="T715" s="3"/>
      <c r="U715" s="3">
        <v>101000</v>
      </c>
      <c r="V715" s="4">
        <v>41199</v>
      </c>
      <c r="W715" s="3" t="s">
        <v>31</v>
      </c>
      <c r="X715" s="3" t="s">
        <v>3765</v>
      </c>
    </row>
    <row r="716" spans="1:24" x14ac:dyDescent="0.3">
      <c r="A716" s="5">
        <v>710</v>
      </c>
      <c r="B716" s="5" t="str">
        <f>"1866743"</f>
        <v>1866743</v>
      </c>
      <c r="C716" s="5" t="str">
        <f>"18237"</f>
        <v>18237</v>
      </c>
      <c r="D716" s="5" t="s">
        <v>3766</v>
      </c>
      <c r="E716" s="5">
        <v>20179550556</v>
      </c>
      <c r="F716" s="5" t="s">
        <v>3767</v>
      </c>
      <c r="G716" s="5" t="s">
        <v>3768</v>
      </c>
      <c r="H716" s="5" t="s">
        <v>28</v>
      </c>
      <c r="I716" s="5" t="s">
        <v>28</v>
      </c>
      <c r="J716" s="5" t="s">
        <v>91</v>
      </c>
      <c r="K716" s="5" t="s">
        <v>1378</v>
      </c>
      <c r="L716" s="5"/>
      <c r="M716" s="5"/>
      <c r="N716" s="5"/>
      <c r="O716" s="5"/>
      <c r="P716" s="5"/>
      <c r="Q716" s="5"/>
      <c r="R716" s="5"/>
      <c r="S716" s="5"/>
      <c r="T716" s="5"/>
      <c r="U716" s="5">
        <v>5000</v>
      </c>
      <c r="V716" s="6">
        <v>39909</v>
      </c>
      <c r="W716" s="5" t="s">
        <v>31</v>
      </c>
      <c r="X716" s="5" t="s">
        <v>118</v>
      </c>
    </row>
    <row r="717" spans="1:24" ht="27.95" x14ac:dyDescent="0.3">
      <c r="A717" s="3">
        <v>711</v>
      </c>
      <c r="B717" s="3" t="str">
        <f>"1287750"</f>
        <v>1287750</v>
      </c>
      <c r="C717" s="3" t="str">
        <f>"16481"</f>
        <v>16481</v>
      </c>
      <c r="D717" s="3">
        <v>1187668</v>
      </c>
      <c r="E717" s="3">
        <v>20326668339</v>
      </c>
      <c r="F717" s="3" t="s">
        <v>3769</v>
      </c>
      <c r="G717" s="3" t="s">
        <v>3770</v>
      </c>
      <c r="H717" s="3" t="s">
        <v>51</v>
      </c>
      <c r="I717" s="3" t="s">
        <v>815</v>
      </c>
      <c r="J717" s="3" t="s">
        <v>3771</v>
      </c>
      <c r="K717" s="3" t="s">
        <v>2262</v>
      </c>
      <c r="L717" s="3"/>
      <c r="M717" s="3"/>
      <c r="N717" s="3"/>
      <c r="O717" s="3"/>
      <c r="P717" s="3"/>
      <c r="Q717" s="3"/>
      <c r="R717" s="3"/>
      <c r="S717" s="3"/>
      <c r="T717" s="3"/>
      <c r="U717" s="3">
        <v>3600</v>
      </c>
      <c r="V717" s="4">
        <v>36658</v>
      </c>
      <c r="W717" s="3" t="s">
        <v>31</v>
      </c>
      <c r="X717" s="3" t="s">
        <v>3772</v>
      </c>
    </row>
    <row r="718" spans="1:24" ht="27.95" x14ac:dyDescent="0.3">
      <c r="A718" s="5">
        <v>712</v>
      </c>
      <c r="B718" s="5" t="str">
        <f>"1505414"</f>
        <v>1505414</v>
      </c>
      <c r="C718" s="5" t="str">
        <f>"93598"</f>
        <v>93598</v>
      </c>
      <c r="D718" s="5" t="s">
        <v>3773</v>
      </c>
      <c r="E718" s="5">
        <v>20523108574</v>
      </c>
      <c r="F718" s="5" t="s">
        <v>3774</v>
      </c>
      <c r="G718" s="5" t="s">
        <v>3775</v>
      </c>
      <c r="H718" s="5" t="s">
        <v>80</v>
      </c>
      <c r="I718" s="5" t="s">
        <v>228</v>
      </c>
      <c r="J718" s="5" t="s">
        <v>228</v>
      </c>
      <c r="K718" s="5" t="s">
        <v>826</v>
      </c>
      <c r="L718" s="5"/>
      <c r="M718" s="5"/>
      <c r="N718" s="5"/>
      <c r="O718" s="5"/>
      <c r="P718" s="5"/>
      <c r="Q718" s="5"/>
      <c r="R718" s="5"/>
      <c r="S718" s="5"/>
      <c r="T718" s="5"/>
      <c r="U718" s="5">
        <v>8000</v>
      </c>
      <c r="V718" s="6">
        <v>40826</v>
      </c>
      <c r="W718" s="5" t="s">
        <v>31</v>
      </c>
      <c r="X718" s="5" t="s">
        <v>3776</v>
      </c>
    </row>
    <row r="719" spans="1:24" ht="27.95" x14ac:dyDescent="0.3">
      <c r="A719" s="3">
        <v>713</v>
      </c>
      <c r="B719" s="3" t="str">
        <f>"201200019738"</f>
        <v>201200019738</v>
      </c>
      <c r="C719" s="3" t="str">
        <f>"44743"</f>
        <v>44743</v>
      </c>
      <c r="D719" s="3" t="s">
        <v>3777</v>
      </c>
      <c r="E719" s="3">
        <v>20498618422</v>
      </c>
      <c r="F719" s="3" t="s">
        <v>3778</v>
      </c>
      <c r="G719" s="3" t="s">
        <v>3779</v>
      </c>
      <c r="H719" s="3" t="s">
        <v>51</v>
      </c>
      <c r="I719" s="3" t="s">
        <v>51</v>
      </c>
      <c r="J719" s="3" t="s">
        <v>3780</v>
      </c>
      <c r="K719" s="3" t="s">
        <v>1725</v>
      </c>
      <c r="L719" s="3"/>
      <c r="M719" s="3"/>
      <c r="N719" s="3"/>
      <c r="O719" s="3"/>
      <c r="P719" s="3"/>
      <c r="Q719" s="3"/>
      <c r="R719" s="3"/>
      <c r="S719" s="3"/>
      <c r="T719" s="3"/>
      <c r="U719" s="3">
        <v>2000</v>
      </c>
      <c r="V719" s="4">
        <v>40957</v>
      </c>
      <c r="W719" s="3" t="s">
        <v>31</v>
      </c>
      <c r="X719" s="3" t="s">
        <v>3781</v>
      </c>
    </row>
    <row r="720" spans="1:24" ht="27.95" x14ac:dyDescent="0.3">
      <c r="A720" s="5">
        <v>714</v>
      </c>
      <c r="B720" s="5" t="str">
        <f>"1913017"</f>
        <v>1913017</v>
      </c>
      <c r="C720" s="5" t="str">
        <f>"114"</f>
        <v>114</v>
      </c>
      <c r="D720" s="5" t="s">
        <v>3782</v>
      </c>
      <c r="E720" s="5">
        <v>20100147514</v>
      </c>
      <c r="F720" s="5" t="s">
        <v>767</v>
      </c>
      <c r="G720" s="5" t="s">
        <v>3783</v>
      </c>
      <c r="H720" s="5" t="s">
        <v>1147</v>
      </c>
      <c r="I720" s="5" t="s">
        <v>3784</v>
      </c>
      <c r="J720" s="5" t="s">
        <v>3785</v>
      </c>
      <c r="K720" s="5" t="s">
        <v>2848</v>
      </c>
      <c r="L720" s="5" t="s">
        <v>3786</v>
      </c>
      <c r="M720" s="5" t="s">
        <v>3787</v>
      </c>
      <c r="N720" s="5" t="s">
        <v>3788</v>
      </c>
      <c r="O720" s="5" t="s">
        <v>3789</v>
      </c>
      <c r="P720" s="5" t="s">
        <v>3788</v>
      </c>
      <c r="Q720" s="5"/>
      <c r="R720" s="5"/>
      <c r="S720" s="5"/>
      <c r="T720" s="5"/>
      <c r="U720" s="5">
        <v>1334835</v>
      </c>
      <c r="V720" s="6">
        <v>40014</v>
      </c>
      <c r="W720" s="5" t="s">
        <v>31</v>
      </c>
      <c r="X720" s="5" t="s">
        <v>3790</v>
      </c>
    </row>
    <row r="721" spans="1:24" x14ac:dyDescent="0.3">
      <c r="A721" s="3">
        <v>715</v>
      </c>
      <c r="B721" s="3" t="str">
        <f>"1458627"</f>
        <v>1458627</v>
      </c>
      <c r="C721" s="3" t="str">
        <f>"38887"</f>
        <v>38887</v>
      </c>
      <c r="D721" s="3" t="s">
        <v>3791</v>
      </c>
      <c r="E721" s="3">
        <v>20507855645</v>
      </c>
      <c r="F721" s="3" t="s">
        <v>3792</v>
      </c>
      <c r="G721" s="3" t="s">
        <v>3793</v>
      </c>
      <c r="H721" s="3" t="s">
        <v>115</v>
      </c>
      <c r="I721" s="3" t="s">
        <v>115</v>
      </c>
      <c r="J721" s="3" t="s">
        <v>159</v>
      </c>
      <c r="K721" s="3" t="s">
        <v>1507</v>
      </c>
      <c r="L721" s="3" t="s">
        <v>3794</v>
      </c>
      <c r="M721" s="3"/>
      <c r="N721" s="3"/>
      <c r="O721" s="3"/>
      <c r="P721" s="3"/>
      <c r="Q721" s="3"/>
      <c r="R721" s="3"/>
      <c r="S721" s="3"/>
      <c r="T721" s="3"/>
      <c r="U721" s="3">
        <v>5000</v>
      </c>
      <c r="V721" s="4">
        <v>38069</v>
      </c>
      <c r="W721" s="3" t="s">
        <v>31</v>
      </c>
      <c r="X721" s="3" t="s">
        <v>3795</v>
      </c>
    </row>
    <row r="722" spans="1:24" x14ac:dyDescent="0.3">
      <c r="A722" s="5">
        <v>716</v>
      </c>
      <c r="B722" s="5" t="str">
        <f>"201900095044"</f>
        <v>201900095044</v>
      </c>
      <c r="C722" s="5" t="str">
        <f>"144676"</f>
        <v>144676</v>
      </c>
      <c r="D722" s="5" t="s">
        <v>3796</v>
      </c>
      <c r="E722" s="5">
        <v>20602965253</v>
      </c>
      <c r="F722" s="5" t="s">
        <v>3797</v>
      </c>
      <c r="G722" s="5" t="s">
        <v>3798</v>
      </c>
      <c r="H722" s="5" t="s">
        <v>28</v>
      </c>
      <c r="I722" s="5" t="s">
        <v>28</v>
      </c>
      <c r="J722" s="5" t="s">
        <v>1432</v>
      </c>
      <c r="K722" s="5" t="s">
        <v>3799</v>
      </c>
      <c r="L722" s="5" t="s">
        <v>3800</v>
      </c>
      <c r="M722" s="5" t="s">
        <v>3801</v>
      </c>
      <c r="N722" s="5"/>
      <c r="O722" s="5"/>
      <c r="P722" s="5"/>
      <c r="Q722" s="5"/>
      <c r="R722" s="5"/>
      <c r="S722" s="5"/>
      <c r="T722" s="5"/>
      <c r="U722" s="5">
        <v>19810</v>
      </c>
      <c r="V722" s="6">
        <v>43637</v>
      </c>
      <c r="W722" s="5" t="s">
        <v>31</v>
      </c>
      <c r="X722" s="5" t="s">
        <v>3802</v>
      </c>
    </row>
    <row r="723" spans="1:24" x14ac:dyDescent="0.3">
      <c r="A723" s="3">
        <v>717</v>
      </c>
      <c r="B723" s="3" t="str">
        <f>"1131145"</f>
        <v>1131145</v>
      </c>
      <c r="C723" s="3" t="str">
        <f>"1240"</f>
        <v>1240</v>
      </c>
      <c r="D723" s="3">
        <v>984269</v>
      </c>
      <c r="E723" s="3">
        <v>20131895365</v>
      </c>
      <c r="F723" s="3" t="s">
        <v>2965</v>
      </c>
      <c r="G723" s="3" t="s">
        <v>2966</v>
      </c>
      <c r="H723" s="3" t="s">
        <v>36</v>
      </c>
      <c r="I723" s="3" t="s">
        <v>234</v>
      </c>
      <c r="J723" s="3" t="s">
        <v>234</v>
      </c>
      <c r="K723" s="3" t="s">
        <v>3803</v>
      </c>
      <c r="L723" s="3" t="s">
        <v>329</v>
      </c>
      <c r="M723" s="3"/>
      <c r="N723" s="3"/>
      <c r="O723" s="3"/>
      <c r="P723" s="3"/>
      <c r="Q723" s="3"/>
      <c r="R723" s="3"/>
      <c r="S723" s="3"/>
      <c r="T723" s="3"/>
      <c r="U723" s="3">
        <v>3700</v>
      </c>
      <c r="V723" s="4">
        <v>35669</v>
      </c>
      <c r="W723" s="3" t="s">
        <v>31</v>
      </c>
      <c r="X723" s="3" t="s">
        <v>3804</v>
      </c>
    </row>
    <row r="724" spans="1:24" x14ac:dyDescent="0.3">
      <c r="A724" s="5">
        <v>718</v>
      </c>
      <c r="B724" s="5" t="str">
        <f>"1621650"</f>
        <v>1621650</v>
      </c>
      <c r="C724" s="5" t="str">
        <f>"43818"</f>
        <v>43818</v>
      </c>
      <c r="D724" s="5" t="s">
        <v>3805</v>
      </c>
      <c r="E724" s="5">
        <v>20100136237</v>
      </c>
      <c r="F724" s="5" t="s">
        <v>3806</v>
      </c>
      <c r="G724" s="5" t="s">
        <v>3807</v>
      </c>
      <c r="H724" s="5" t="s">
        <v>28</v>
      </c>
      <c r="I724" s="5" t="s">
        <v>72</v>
      </c>
      <c r="J724" s="5" t="s">
        <v>1057</v>
      </c>
      <c r="K724" s="5" t="s">
        <v>323</v>
      </c>
      <c r="L724" s="5"/>
      <c r="M724" s="5"/>
      <c r="N724" s="5"/>
      <c r="O724" s="5"/>
      <c r="P724" s="5"/>
      <c r="Q724" s="5"/>
      <c r="R724" s="5"/>
      <c r="S724" s="5"/>
      <c r="T724" s="5"/>
      <c r="U724" s="5">
        <v>4000</v>
      </c>
      <c r="V724" s="6">
        <v>38937</v>
      </c>
      <c r="W724" s="5" t="s">
        <v>31</v>
      </c>
      <c r="X724" s="5" t="s">
        <v>3808</v>
      </c>
    </row>
    <row r="725" spans="1:24" x14ac:dyDescent="0.3">
      <c r="A725" s="3">
        <v>719</v>
      </c>
      <c r="B725" s="3" t="str">
        <f>"1279393"</f>
        <v>1279393</v>
      </c>
      <c r="C725" s="3" t="str">
        <f>"18757"</f>
        <v>18757</v>
      </c>
      <c r="D725" s="3">
        <v>1241801</v>
      </c>
      <c r="E725" s="3">
        <v>20100190797</v>
      </c>
      <c r="F725" s="3" t="s">
        <v>2794</v>
      </c>
      <c r="G725" s="3" t="s">
        <v>3809</v>
      </c>
      <c r="H725" s="3" t="s">
        <v>28</v>
      </c>
      <c r="I725" s="3" t="s">
        <v>28</v>
      </c>
      <c r="J725" s="3" t="s">
        <v>180</v>
      </c>
      <c r="K725" s="3" t="s">
        <v>3810</v>
      </c>
      <c r="L725" s="3" t="s">
        <v>3811</v>
      </c>
      <c r="M725" s="3"/>
      <c r="N725" s="3"/>
      <c r="O725" s="3"/>
      <c r="P725" s="3"/>
      <c r="Q725" s="3"/>
      <c r="R725" s="3"/>
      <c r="S725" s="3"/>
      <c r="T725" s="3"/>
      <c r="U725" s="3">
        <v>30383</v>
      </c>
      <c r="V725" s="4">
        <v>36664</v>
      </c>
      <c r="W725" s="3" t="s">
        <v>31</v>
      </c>
      <c r="X725" s="3" t="s">
        <v>3812</v>
      </c>
    </row>
    <row r="726" spans="1:24" x14ac:dyDescent="0.3">
      <c r="A726" s="5">
        <v>720</v>
      </c>
      <c r="B726" s="5" t="str">
        <f>"202000117672"</f>
        <v>202000117672</v>
      </c>
      <c r="C726" s="5" t="str">
        <f>"19681"</f>
        <v>19681</v>
      </c>
      <c r="D726" s="5" t="s">
        <v>3813</v>
      </c>
      <c r="E726" s="5">
        <v>20270508163</v>
      </c>
      <c r="F726" s="5" t="s">
        <v>3814</v>
      </c>
      <c r="G726" s="5" t="s">
        <v>3815</v>
      </c>
      <c r="H726" s="5" t="s">
        <v>80</v>
      </c>
      <c r="I726" s="5" t="s">
        <v>302</v>
      </c>
      <c r="J726" s="5" t="s">
        <v>3408</v>
      </c>
      <c r="K726" s="5" t="s">
        <v>3816</v>
      </c>
      <c r="L726" s="5" t="s">
        <v>3816</v>
      </c>
      <c r="M726" s="5"/>
      <c r="N726" s="5"/>
      <c r="O726" s="5"/>
      <c r="P726" s="5"/>
      <c r="Q726" s="5"/>
      <c r="R726" s="5"/>
      <c r="S726" s="5"/>
      <c r="T726" s="5"/>
      <c r="U726" s="5">
        <v>3170040</v>
      </c>
      <c r="V726" s="6">
        <v>44097</v>
      </c>
      <c r="W726" s="5" t="s">
        <v>31</v>
      </c>
      <c r="X726" s="5" t="s">
        <v>3817</v>
      </c>
    </row>
    <row r="727" spans="1:24" ht="27.95" x14ac:dyDescent="0.3">
      <c r="A727" s="3">
        <v>721</v>
      </c>
      <c r="B727" s="3" t="str">
        <f>"201300080788"</f>
        <v>201300080788</v>
      </c>
      <c r="C727" s="3" t="str">
        <f>"41853"</f>
        <v>41853</v>
      </c>
      <c r="D727" s="3" t="s">
        <v>3818</v>
      </c>
      <c r="E727" s="3">
        <v>20535528111</v>
      </c>
      <c r="F727" s="3" t="s">
        <v>3819</v>
      </c>
      <c r="G727" s="3" t="s">
        <v>3820</v>
      </c>
      <c r="H727" s="3" t="s">
        <v>28</v>
      </c>
      <c r="I727" s="3" t="s">
        <v>28</v>
      </c>
      <c r="J727" s="3" t="s">
        <v>687</v>
      </c>
      <c r="K727" s="3" t="s">
        <v>1074</v>
      </c>
      <c r="L727" s="3"/>
      <c r="M727" s="3"/>
      <c r="N727" s="3"/>
      <c r="O727" s="3"/>
      <c r="P727" s="3"/>
      <c r="Q727" s="3"/>
      <c r="R727" s="3"/>
      <c r="S727" s="3"/>
      <c r="T727" s="3"/>
      <c r="U727" s="3">
        <v>3500</v>
      </c>
      <c r="V727" s="4">
        <v>41402</v>
      </c>
      <c r="W727" s="3" t="s">
        <v>31</v>
      </c>
      <c r="X727" s="3" t="s">
        <v>3821</v>
      </c>
    </row>
    <row r="728" spans="1:24" ht="27.95" x14ac:dyDescent="0.3">
      <c r="A728" s="5">
        <v>722</v>
      </c>
      <c r="B728" s="5" t="str">
        <f>"201300080782"</f>
        <v>201300080782</v>
      </c>
      <c r="C728" s="5" t="str">
        <f>"20746"</f>
        <v>20746</v>
      </c>
      <c r="D728" s="5" t="s">
        <v>3822</v>
      </c>
      <c r="E728" s="5">
        <v>20175249924</v>
      </c>
      <c r="F728" s="5" t="s">
        <v>3823</v>
      </c>
      <c r="G728" s="5" t="s">
        <v>3824</v>
      </c>
      <c r="H728" s="5" t="s">
        <v>28</v>
      </c>
      <c r="I728" s="5" t="s">
        <v>28</v>
      </c>
      <c r="J728" s="5" t="s">
        <v>186</v>
      </c>
      <c r="K728" s="5" t="s">
        <v>87</v>
      </c>
      <c r="L728" s="5"/>
      <c r="M728" s="5"/>
      <c r="N728" s="5"/>
      <c r="O728" s="5"/>
      <c r="P728" s="5"/>
      <c r="Q728" s="5"/>
      <c r="R728" s="5"/>
      <c r="S728" s="5"/>
      <c r="T728" s="5"/>
      <c r="U728" s="5">
        <v>6000</v>
      </c>
      <c r="V728" s="6">
        <v>41422</v>
      </c>
      <c r="W728" s="5" t="s">
        <v>31</v>
      </c>
      <c r="X728" s="5" t="s">
        <v>3825</v>
      </c>
    </row>
    <row r="729" spans="1:24" ht="41.95" x14ac:dyDescent="0.3">
      <c r="A729" s="3">
        <v>723</v>
      </c>
      <c r="B729" s="3" t="str">
        <f>"201400025388"</f>
        <v>201400025388</v>
      </c>
      <c r="C729" s="3" t="str">
        <f>"107997"</f>
        <v>107997</v>
      </c>
      <c r="D729" s="3" t="s">
        <v>3826</v>
      </c>
      <c r="E729" s="3">
        <v>20308186955</v>
      </c>
      <c r="F729" s="3" t="s">
        <v>3827</v>
      </c>
      <c r="G729" s="3" t="s">
        <v>3828</v>
      </c>
      <c r="H729" s="3" t="s">
        <v>28</v>
      </c>
      <c r="I729" s="3" t="s">
        <v>28</v>
      </c>
      <c r="J729" s="3" t="s">
        <v>208</v>
      </c>
      <c r="K729" s="3" t="s">
        <v>3829</v>
      </c>
      <c r="L729" s="3"/>
      <c r="M729" s="3"/>
      <c r="N729" s="3"/>
      <c r="O729" s="3"/>
      <c r="P729" s="3"/>
      <c r="Q729" s="3"/>
      <c r="R729" s="3"/>
      <c r="S729" s="3"/>
      <c r="T729" s="3"/>
      <c r="U729" s="3">
        <v>3950</v>
      </c>
      <c r="V729" s="4">
        <v>41721</v>
      </c>
      <c r="W729" s="3" t="s">
        <v>31</v>
      </c>
      <c r="X729" s="3" t="s">
        <v>3830</v>
      </c>
    </row>
    <row r="730" spans="1:24" x14ac:dyDescent="0.3">
      <c r="A730" s="5">
        <v>724</v>
      </c>
      <c r="B730" s="5" t="str">
        <f>"201300055830"</f>
        <v>201300055830</v>
      </c>
      <c r="C730" s="5" t="str">
        <f>"42841"</f>
        <v>42841</v>
      </c>
      <c r="D730" s="5" t="s">
        <v>3831</v>
      </c>
      <c r="E730" s="5">
        <v>20466327612</v>
      </c>
      <c r="F730" s="5" t="s">
        <v>3832</v>
      </c>
      <c r="G730" s="5" t="s">
        <v>3833</v>
      </c>
      <c r="H730" s="5" t="s">
        <v>1147</v>
      </c>
      <c r="I730" s="5" t="s">
        <v>3784</v>
      </c>
      <c r="J730" s="5" t="s">
        <v>3834</v>
      </c>
      <c r="K730" s="5" t="s">
        <v>1188</v>
      </c>
      <c r="L730" s="5" t="s">
        <v>1188</v>
      </c>
      <c r="M730" s="5" t="s">
        <v>1188</v>
      </c>
      <c r="N730" s="5" t="s">
        <v>2180</v>
      </c>
      <c r="O730" s="5" t="s">
        <v>2180</v>
      </c>
      <c r="P730" s="5" t="s">
        <v>2180</v>
      </c>
      <c r="Q730" s="5" t="s">
        <v>2180</v>
      </c>
      <c r="R730" s="5" t="s">
        <v>2180</v>
      </c>
      <c r="S730" s="5"/>
      <c r="T730" s="5"/>
      <c r="U730" s="5">
        <v>92000</v>
      </c>
      <c r="V730" s="6">
        <v>41394</v>
      </c>
      <c r="W730" s="5" t="s">
        <v>31</v>
      </c>
      <c r="X730" s="5" t="s">
        <v>3007</v>
      </c>
    </row>
    <row r="731" spans="1:24" x14ac:dyDescent="0.3">
      <c r="A731" s="3">
        <v>725</v>
      </c>
      <c r="B731" s="3" t="str">
        <f>"1114316"</f>
        <v>1114316</v>
      </c>
      <c r="C731" s="3" t="str">
        <f>"1402"</f>
        <v>1402</v>
      </c>
      <c r="D731" s="3" t="s">
        <v>3835</v>
      </c>
      <c r="E731" s="3">
        <v>20133820427</v>
      </c>
      <c r="F731" s="3" t="s">
        <v>3836</v>
      </c>
      <c r="G731" s="3" t="s">
        <v>3837</v>
      </c>
      <c r="H731" s="3" t="s">
        <v>808</v>
      </c>
      <c r="I731" s="3" t="s">
        <v>808</v>
      </c>
      <c r="J731" s="3" t="s">
        <v>808</v>
      </c>
      <c r="K731" s="3" t="s">
        <v>329</v>
      </c>
      <c r="L731" s="3"/>
      <c r="M731" s="3"/>
      <c r="N731" s="3"/>
      <c r="O731" s="3"/>
      <c r="P731" s="3"/>
      <c r="Q731" s="3"/>
      <c r="R731" s="3"/>
      <c r="S731" s="3"/>
      <c r="T731" s="3"/>
      <c r="U731" s="3">
        <v>10000</v>
      </c>
      <c r="V731" s="4">
        <v>36805</v>
      </c>
      <c r="W731" s="3" t="s">
        <v>31</v>
      </c>
      <c r="X731" s="3" t="s">
        <v>3838</v>
      </c>
    </row>
    <row r="732" spans="1:24" x14ac:dyDescent="0.3">
      <c r="A732" s="5">
        <v>726</v>
      </c>
      <c r="B732" s="5" t="str">
        <f>"201400075015"</f>
        <v>201400075015</v>
      </c>
      <c r="C732" s="5" t="str">
        <f>"1286"</f>
        <v>1286</v>
      </c>
      <c r="D732" s="5" t="s">
        <v>3839</v>
      </c>
      <c r="E732" s="5">
        <v>20131379944</v>
      </c>
      <c r="F732" s="5" t="s">
        <v>3840</v>
      </c>
      <c r="G732" s="5" t="s">
        <v>3841</v>
      </c>
      <c r="H732" s="5" t="s">
        <v>566</v>
      </c>
      <c r="I732" s="5" t="s">
        <v>3842</v>
      </c>
      <c r="J732" s="5" t="s">
        <v>123</v>
      </c>
      <c r="K732" s="5" t="s">
        <v>3843</v>
      </c>
      <c r="L732" s="5" t="s">
        <v>3844</v>
      </c>
      <c r="M732" s="5" t="s">
        <v>3845</v>
      </c>
      <c r="N732" s="5"/>
      <c r="O732" s="5"/>
      <c r="P732" s="5"/>
      <c r="Q732" s="5"/>
      <c r="R732" s="5"/>
      <c r="S732" s="5"/>
      <c r="T732" s="5"/>
      <c r="U732" s="5">
        <v>12900</v>
      </c>
      <c r="V732" s="6">
        <v>41823</v>
      </c>
      <c r="W732" s="5" t="s">
        <v>31</v>
      </c>
      <c r="X732" s="5" t="s">
        <v>3846</v>
      </c>
    </row>
    <row r="733" spans="1:24" ht="27.95" x14ac:dyDescent="0.3">
      <c r="A733" s="3">
        <v>727</v>
      </c>
      <c r="B733" s="3" t="str">
        <f>"201500155031"</f>
        <v>201500155031</v>
      </c>
      <c r="C733" s="3" t="str">
        <f>"58084"</f>
        <v>58084</v>
      </c>
      <c r="D733" s="3" t="s">
        <v>3847</v>
      </c>
      <c r="E733" s="3">
        <v>20546332111</v>
      </c>
      <c r="F733" s="3" t="s">
        <v>3848</v>
      </c>
      <c r="G733" s="3" t="s">
        <v>3849</v>
      </c>
      <c r="H733" s="3" t="s">
        <v>51</v>
      </c>
      <c r="I733" s="3" t="s">
        <v>52</v>
      </c>
      <c r="J733" s="3" t="s">
        <v>52</v>
      </c>
      <c r="K733" s="3" t="s">
        <v>3850</v>
      </c>
      <c r="L733" s="3" t="s">
        <v>3851</v>
      </c>
      <c r="M733" s="3" t="s">
        <v>3852</v>
      </c>
      <c r="N733" s="3" t="s">
        <v>3852</v>
      </c>
      <c r="O733" s="3"/>
      <c r="P733" s="3"/>
      <c r="Q733" s="3"/>
      <c r="R733" s="3"/>
      <c r="S733" s="3"/>
      <c r="T733" s="3"/>
      <c r="U733" s="3">
        <v>3758</v>
      </c>
      <c r="V733" s="4">
        <v>42361</v>
      </c>
      <c r="W733" s="3" t="s">
        <v>31</v>
      </c>
      <c r="X733" s="3" t="s">
        <v>3853</v>
      </c>
    </row>
    <row r="734" spans="1:24" ht="27.95" x14ac:dyDescent="0.3">
      <c r="A734" s="5">
        <v>728</v>
      </c>
      <c r="B734" s="5" t="str">
        <f>"1114317"</f>
        <v>1114317</v>
      </c>
      <c r="C734" s="5" t="str">
        <f>"464"</f>
        <v>464</v>
      </c>
      <c r="D734" s="5" t="s">
        <v>3854</v>
      </c>
      <c r="E734" s="5">
        <v>20133820427</v>
      </c>
      <c r="F734" s="5" t="s">
        <v>3855</v>
      </c>
      <c r="G734" s="5" t="s">
        <v>3856</v>
      </c>
      <c r="H734" s="5" t="s">
        <v>808</v>
      </c>
      <c r="I734" s="5" t="s">
        <v>808</v>
      </c>
      <c r="J734" s="5" t="s">
        <v>808</v>
      </c>
      <c r="K734" s="5" t="s">
        <v>329</v>
      </c>
      <c r="L734" s="5"/>
      <c r="M734" s="5"/>
      <c r="N734" s="5"/>
      <c r="O734" s="5"/>
      <c r="P734" s="5"/>
      <c r="Q734" s="5"/>
      <c r="R734" s="5"/>
      <c r="S734" s="5"/>
      <c r="T734" s="5"/>
      <c r="U734" s="5">
        <v>10000</v>
      </c>
      <c r="V734" s="6">
        <v>36805</v>
      </c>
      <c r="W734" s="5" t="s">
        <v>31</v>
      </c>
      <c r="X734" s="5" t="s">
        <v>3838</v>
      </c>
    </row>
    <row r="735" spans="1:24" x14ac:dyDescent="0.3">
      <c r="A735" s="3">
        <v>729</v>
      </c>
      <c r="B735" s="3" t="str">
        <f>"1588430"</f>
        <v>1588430</v>
      </c>
      <c r="C735" s="3" t="str">
        <f>"39387"</f>
        <v>39387</v>
      </c>
      <c r="D735" s="3" t="s">
        <v>3857</v>
      </c>
      <c r="E735" s="3">
        <v>20232171392</v>
      </c>
      <c r="F735" s="3" t="s">
        <v>3858</v>
      </c>
      <c r="G735" s="3" t="s">
        <v>3859</v>
      </c>
      <c r="H735" s="3" t="s">
        <v>285</v>
      </c>
      <c r="I735" s="3" t="s">
        <v>3700</v>
      </c>
      <c r="J735" s="3" t="s">
        <v>3700</v>
      </c>
      <c r="K735" s="3" t="s">
        <v>3860</v>
      </c>
      <c r="L735" s="3" t="s">
        <v>3861</v>
      </c>
      <c r="M735" s="3" t="s">
        <v>3861</v>
      </c>
      <c r="N735" s="3" t="s">
        <v>460</v>
      </c>
      <c r="O735" s="3" t="s">
        <v>3862</v>
      </c>
      <c r="P735" s="3" t="s">
        <v>3863</v>
      </c>
      <c r="Q735" s="3" t="s">
        <v>3864</v>
      </c>
      <c r="R735" s="3"/>
      <c r="S735" s="3"/>
      <c r="T735" s="3"/>
      <c r="U735" s="3">
        <v>152794</v>
      </c>
      <c r="V735" s="4">
        <v>38650</v>
      </c>
      <c r="W735" s="3" t="s">
        <v>31</v>
      </c>
      <c r="X735" s="3" t="s">
        <v>3865</v>
      </c>
    </row>
    <row r="736" spans="1:24" x14ac:dyDescent="0.3">
      <c r="A736" s="5">
        <v>730</v>
      </c>
      <c r="B736" s="5" t="str">
        <f>"1115700"</f>
        <v>1115700</v>
      </c>
      <c r="C736" s="5" t="str">
        <f>"1039"</f>
        <v>1039</v>
      </c>
      <c r="D736" s="5">
        <v>1076841</v>
      </c>
      <c r="E736" s="5">
        <v>20100171814</v>
      </c>
      <c r="F736" s="5" t="s">
        <v>3866</v>
      </c>
      <c r="G736" s="5" t="s">
        <v>3867</v>
      </c>
      <c r="H736" s="5" t="s">
        <v>28</v>
      </c>
      <c r="I736" s="5" t="s">
        <v>28</v>
      </c>
      <c r="J736" s="5" t="s">
        <v>501</v>
      </c>
      <c r="K736" s="5" t="s">
        <v>3868</v>
      </c>
      <c r="L736" s="5"/>
      <c r="M736" s="5"/>
      <c r="N736" s="5"/>
      <c r="O736" s="5"/>
      <c r="P736" s="5"/>
      <c r="Q736" s="5"/>
      <c r="R736" s="5"/>
      <c r="S736" s="5"/>
      <c r="T736" s="5"/>
      <c r="U736" s="5">
        <v>9600</v>
      </c>
      <c r="V736" s="6">
        <v>35529</v>
      </c>
      <c r="W736" s="5" t="s">
        <v>31</v>
      </c>
      <c r="X736" s="5" t="s">
        <v>3869</v>
      </c>
    </row>
    <row r="737" spans="1:24" ht="27.95" x14ac:dyDescent="0.3">
      <c r="A737" s="3">
        <v>731</v>
      </c>
      <c r="B737" s="3" t="str">
        <f>"201800094175"</f>
        <v>201800094175</v>
      </c>
      <c r="C737" s="3" t="str">
        <f>"44946"</f>
        <v>44946</v>
      </c>
      <c r="D737" s="3" t="s">
        <v>3870</v>
      </c>
      <c r="E737" s="3">
        <v>20100027705</v>
      </c>
      <c r="F737" s="3" t="s">
        <v>3871</v>
      </c>
      <c r="G737" s="3" t="s">
        <v>3872</v>
      </c>
      <c r="H737" s="3" t="s">
        <v>2002</v>
      </c>
      <c r="I737" s="3" t="s">
        <v>3873</v>
      </c>
      <c r="J737" s="3" t="s">
        <v>3874</v>
      </c>
      <c r="K737" s="3" t="s">
        <v>3875</v>
      </c>
      <c r="L737" s="3" t="s">
        <v>3876</v>
      </c>
      <c r="M737" s="3"/>
      <c r="N737" s="3"/>
      <c r="O737" s="3"/>
      <c r="P737" s="3"/>
      <c r="Q737" s="3"/>
      <c r="R737" s="3"/>
      <c r="S737" s="3"/>
      <c r="T737" s="3"/>
      <c r="U737" s="3">
        <v>11248</v>
      </c>
      <c r="V737" s="4">
        <v>43257</v>
      </c>
      <c r="W737" s="3" t="s">
        <v>31</v>
      </c>
      <c r="X737" s="3" t="s">
        <v>3877</v>
      </c>
    </row>
    <row r="738" spans="1:24" x14ac:dyDescent="0.3">
      <c r="A738" s="5">
        <v>732</v>
      </c>
      <c r="B738" s="5" t="str">
        <f>"4300635"</f>
        <v>4300635</v>
      </c>
      <c r="C738" s="5" t="str">
        <f>"86127"</f>
        <v>86127</v>
      </c>
      <c r="D738" s="5" t="s">
        <v>3878</v>
      </c>
      <c r="E738" s="5">
        <v>20114803228</v>
      </c>
      <c r="F738" s="5" t="s">
        <v>1745</v>
      </c>
      <c r="G738" s="5" t="s">
        <v>3879</v>
      </c>
      <c r="H738" s="5" t="s">
        <v>214</v>
      </c>
      <c r="I738" s="5" t="s">
        <v>215</v>
      </c>
      <c r="J738" s="5" t="s">
        <v>215</v>
      </c>
      <c r="K738" s="5" t="s">
        <v>1550</v>
      </c>
      <c r="L738" s="5" t="s">
        <v>1550</v>
      </c>
      <c r="M738" s="5"/>
      <c r="N738" s="5"/>
      <c r="O738" s="5"/>
      <c r="P738" s="5"/>
      <c r="Q738" s="5"/>
      <c r="R738" s="5"/>
      <c r="S738" s="5"/>
      <c r="T738" s="5"/>
      <c r="U738" s="5">
        <v>6000</v>
      </c>
      <c r="V738" s="6">
        <v>40259</v>
      </c>
      <c r="W738" s="5" t="s">
        <v>31</v>
      </c>
      <c r="X738" s="5"/>
    </row>
    <row r="739" spans="1:24" x14ac:dyDescent="0.3">
      <c r="A739" s="3">
        <v>733</v>
      </c>
      <c r="B739" s="3" t="str">
        <f>"1131152"</f>
        <v>1131152</v>
      </c>
      <c r="C739" s="3" t="str">
        <f>"1217"</f>
        <v>1217</v>
      </c>
      <c r="D739" s="3">
        <v>1085371</v>
      </c>
      <c r="E739" s="3">
        <v>20153091561</v>
      </c>
      <c r="F739" s="3" t="s">
        <v>3880</v>
      </c>
      <c r="G739" s="3" t="s">
        <v>3881</v>
      </c>
      <c r="H739" s="3" t="s">
        <v>36</v>
      </c>
      <c r="I739" s="3" t="s">
        <v>3208</v>
      </c>
      <c r="J739" s="3" t="s">
        <v>3209</v>
      </c>
      <c r="K739" s="3" t="s">
        <v>259</v>
      </c>
      <c r="L739" s="3"/>
      <c r="M739" s="3"/>
      <c r="N739" s="3"/>
      <c r="O739" s="3"/>
      <c r="P739" s="3"/>
      <c r="Q739" s="3"/>
      <c r="R739" s="3"/>
      <c r="S739" s="3"/>
      <c r="T739" s="3"/>
      <c r="U739" s="3">
        <v>6000</v>
      </c>
      <c r="V739" s="4">
        <v>35669</v>
      </c>
      <c r="W739" s="3" t="s">
        <v>31</v>
      </c>
      <c r="X739" s="3" t="s">
        <v>3727</v>
      </c>
    </row>
    <row r="740" spans="1:24" x14ac:dyDescent="0.3">
      <c r="A740" s="5">
        <v>734</v>
      </c>
      <c r="B740" s="5" t="str">
        <f>"1131153"</f>
        <v>1131153</v>
      </c>
      <c r="C740" s="5" t="str">
        <f>"1207"</f>
        <v>1207</v>
      </c>
      <c r="D740" s="5" t="s">
        <v>3882</v>
      </c>
      <c r="E740" s="5">
        <v>20131707038</v>
      </c>
      <c r="F740" s="5" t="s">
        <v>3883</v>
      </c>
      <c r="G740" s="5" t="s">
        <v>3884</v>
      </c>
      <c r="H740" s="5" t="s">
        <v>36</v>
      </c>
      <c r="I740" s="5" t="s">
        <v>234</v>
      </c>
      <c r="J740" s="5" t="s">
        <v>234</v>
      </c>
      <c r="K740" s="5" t="s">
        <v>1760</v>
      </c>
      <c r="L740" s="5" t="s">
        <v>3885</v>
      </c>
      <c r="M740" s="5"/>
      <c r="N740" s="5"/>
      <c r="O740" s="5"/>
      <c r="P740" s="5"/>
      <c r="Q740" s="5"/>
      <c r="R740" s="5"/>
      <c r="S740" s="5"/>
      <c r="T740" s="5"/>
      <c r="U740" s="5">
        <v>11875</v>
      </c>
      <c r="V740" s="6">
        <v>36802</v>
      </c>
      <c r="W740" s="5" t="s">
        <v>31</v>
      </c>
      <c r="X740" s="5" t="s">
        <v>3886</v>
      </c>
    </row>
    <row r="741" spans="1:24" x14ac:dyDescent="0.3">
      <c r="A741" s="3">
        <v>735</v>
      </c>
      <c r="B741" s="3" t="str">
        <f>"1736582"</f>
        <v>1736582</v>
      </c>
      <c r="C741" s="3" t="str">
        <f>"21441"</f>
        <v>21441</v>
      </c>
      <c r="D741" s="3" t="s">
        <v>3887</v>
      </c>
      <c r="E741" s="3">
        <v>20100971772</v>
      </c>
      <c r="F741" s="3" t="s">
        <v>3888</v>
      </c>
      <c r="G741" s="3" t="s">
        <v>3889</v>
      </c>
      <c r="H741" s="3" t="s">
        <v>80</v>
      </c>
      <c r="I741" s="3" t="s">
        <v>228</v>
      </c>
      <c r="J741" s="3" t="s">
        <v>228</v>
      </c>
      <c r="K741" s="3" t="s">
        <v>329</v>
      </c>
      <c r="L741" s="3" t="s">
        <v>329</v>
      </c>
      <c r="M741" s="3"/>
      <c r="N741" s="3"/>
      <c r="O741" s="3"/>
      <c r="P741" s="3"/>
      <c r="Q741" s="3"/>
      <c r="R741" s="3"/>
      <c r="S741" s="3"/>
      <c r="T741" s="3"/>
      <c r="U741" s="3">
        <v>20000</v>
      </c>
      <c r="V741" s="4">
        <v>39399</v>
      </c>
      <c r="W741" s="3" t="s">
        <v>31</v>
      </c>
      <c r="X741" s="3" t="s">
        <v>3890</v>
      </c>
    </row>
    <row r="742" spans="1:24" x14ac:dyDescent="0.3">
      <c r="A742" s="5">
        <v>736</v>
      </c>
      <c r="B742" s="5" t="str">
        <f>"1641376"</f>
        <v>1641376</v>
      </c>
      <c r="C742" s="5" t="str">
        <f>"43243"</f>
        <v>43243</v>
      </c>
      <c r="D742" s="5" t="s">
        <v>3891</v>
      </c>
      <c r="E742" s="5">
        <v>20101285449</v>
      </c>
      <c r="F742" s="5" t="s">
        <v>3892</v>
      </c>
      <c r="G742" s="5" t="s">
        <v>3893</v>
      </c>
      <c r="H742" s="5" t="s">
        <v>28</v>
      </c>
      <c r="I742" s="5" t="s">
        <v>28</v>
      </c>
      <c r="J742" s="5" t="s">
        <v>186</v>
      </c>
      <c r="K742" s="5" t="s">
        <v>1736</v>
      </c>
      <c r="L742" s="5"/>
      <c r="M742" s="5"/>
      <c r="N742" s="5"/>
      <c r="O742" s="5"/>
      <c r="P742" s="5"/>
      <c r="Q742" s="5"/>
      <c r="R742" s="5"/>
      <c r="S742" s="5"/>
      <c r="T742" s="5"/>
      <c r="U742" s="5">
        <v>3200</v>
      </c>
      <c r="V742" s="6">
        <v>39057</v>
      </c>
      <c r="W742" s="5" t="s">
        <v>31</v>
      </c>
      <c r="X742" s="5" t="s">
        <v>3894</v>
      </c>
    </row>
    <row r="743" spans="1:24" ht="27.95" x14ac:dyDescent="0.3">
      <c r="A743" s="3">
        <v>737</v>
      </c>
      <c r="B743" s="3" t="str">
        <f>"1667167"</f>
        <v>1667167</v>
      </c>
      <c r="C743" s="3" t="str">
        <f>"44685"</f>
        <v>44685</v>
      </c>
      <c r="D743" s="3" t="s">
        <v>3895</v>
      </c>
      <c r="E743" s="3">
        <v>20507685626</v>
      </c>
      <c r="F743" s="3" t="s">
        <v>3896</v>
      </c>
      <c r="G743" s="3" t="s">
        <v>3897</v>
      </c>
      <c r="H743" s="3" t="s">
        <v>285</v>
      </c>
      <c r="I743" s="3" t="s">
        <v>286</v>
      </c>
      <c r="J743" s="3" t="s">
        <v>286</v>
      </c>
      <c r="K743" s="3" t="s">
        <v>3898</v>
      </c>
      <c r="L743" s="3" t="s">
        <v>3899</v>
      </c>
      <c r="M743" s="3"/>
      <c r="N743" s="3"/>
      <c r="O743" s="3"/>
      <c r="P743" s="3"/>
      <c r="Q743" s="3"/>
      <c r="R743" s="3"/>
      <c r="S743" s="3"/>
      <c r="T743" s="3"/>
      <c r="U743" s="3">
        <v>4994</v>
      </c>
      <c r="V743" s="4">
        <v>39101</v>
      </c>
      <c r="W743" s="3" t="s">
        <v>31</v>
      </c>
      <c r="X743" s="3" t="s">
        <v>3900</v>
      </c>
    </row>
    <row r="744" spans="1:24" x14ac:dyDescent="0.3">
      <c r="A744" s="5">
        <v>738</v>
      </c>
      <c r="B744" s="5" t="str">
        <f>"201300088240"</f>
        <v>201300088240</v>
      </c>
      <c r="C744" s="5" t="str">
        <f>"19572"</f>
        <v>19572</v>
      </c>
      <c r="D744" s="5" t="s">
        <v>3901</v>
      </c>
      <c r="E744" s="5">
        <v>20133530003</v>
      </c>
      <c r="F744" s="5" t="s">
        <v>3902</v>
      </c>
      <c r="G744" s="5" t="s">
        <v>3903</v>
      </c>
      <c r="H744" s="5" t="s">
        <v>36</v>
      </c>
      <c r="I744" s="5" t="s">
        <v>234</v>
      </c>
      <c r="J744" s="5" t="s">
        <v>998</v>
      </c>
      <c r="K744" s="5" t="s">
        <v>3904</v>
      </c>
      <c r="L744" s="5" t="s">
        <v>826</v>
      </c>
      <c r="M744" s="5"/>
      <c r="N744" s="5"/>
      <c r="O744" s="5"/>
      <c r="P744" s="5"/>
      <c r="Q744" s="5"/>
      <c r="R744" s="5"/>
      <c r="S744" s="5"/>
      <c r="T744" s="5"/>
      <c r="U744" s="5">
        <v>20000</v>
      </c>
      <c r="V744" s="6">
        <v>41407</v>
      </c>
      <c r="W744" s="5" t="s">
        <v>31</v>
      </c>
      <c r="X744" s="5" t="s">
        <v>3905</v>
      </c>
    </row>
    <row r="745" spans="1:24" ht="27.95" x14ac:dyDescent="0.3">
      <c r="A745" s="3">
        <v>739</v>
      </c>
      <c r="B745" s="3" t="str">
        <f>"201500106601"</f>
        <v>201500106601</v>
      </c>
      <c r="C745" s="3" t="str">
        <f>"39202"</f>
        <v>39202</v>
      </c>
      <c r="D745" s="3" t="s">
        <v>3906</v>
      </c>
      <c r="E745" s="3">
        <v>20100153832</v>
      </c>
      <c r="F745" s="3" t="s">
        <v>3907</v>
      </c>
      <c r="G745" s="3" t="s">
        <v>3908</v>
      </c>
      <c r="H745" s="3" t="s">
        <v>80</v>
      </c>
      <c r="I745" s="3" t="s">
        <v>302</v>
      </c>
      <c r="J745" s="3" t="s">
        <v>3408</v>
      </c>
      <c r="K745" s="3" t="s">
        <v>3909</v>
      </c>
      <c r="L745" s="3"/>
      <c r="M745" s="3"/>
      <c r="N745" s="3"/>
      <c r="O745" s="3"/>
      <c r="P745" s="3"/>
      <c r="Q745" s="3"/>
      <c r="R745" s="3"/>
      <c r="S745" s="3"/>
      <c r="T745" s="3"/>
      <c r="U745" s="3">
        <v>4200</v>
      </c>
      <c r="V745" s="4">
        <v>42233</v>
      </c>
      <c r="W745" s="3" t="s">
        <v>31</v>
      </c>
      <c r="X745" s="3" t="s">
        <v>3910</v>
      </c>
    </row>
    <row r="746" spans="1:24" ht="27.95" x14ac:dyDescent="0.3">
      <c r="A746" s="5">
        <v>740</v>
      </c>
      <c r="B746" s="5" t="str">
        <f>"201900196897"</f>
        <v>201900196897</v>
      </c>
      <c r="C746" s="5" t="str">
        <f>"64493"</f>
        <v>64493</v>
      </c>
      <c r="D746" s="5" t="s">
        <v>3911</v>
      </c>
      <c r="E746" s="5">
        <v>20252575457</v>
      </c>
      <c r="F746" s="5" t="s">
        <v>3912</v>
      </c>
      <c r="G746" s="5" t="s">
        <v>3913</v>
      </c>
      <c r="H746" s="5" t="s">
        <v>28</v>
      </c>
      <c r="I746" s="5" t="s">
        <v>28</v>
      </c>
      <c r="J746" s="5" t="s">
        <v>1706</v>
      </c>
      <c r="K746" s="5" t="s">
        <v>181</v>
      </c>
      <c r="L746" s="5"/>
      <c r="M746" s="5"/>
      <c r="N746" s="5"/>
      <c r="O746" s="5"/>
      <c r="P746" s="5"/>
      <c r="Q746" s="5"/>
      <c r="R746" s="5"/>
      <c r="S746" s="5"/>
      <c r="T746" s="5"/>
      <c r="U746" s="5">
        <v>5000</v>
      </c>
      <c r="V746" s="6">
        <v>43802</v>
      </c>
      <c r="W746" s="5" t="s">
        <v>31</v>
      </c>
      <c r="X746" s="5" t="s">
        <v>3914</v>
      </c>
    </row>
    <row r="747" spans="1:24" ht="27.95" x14ac:dyDescent="0.3">
      <c r="A747" s="3">
        <v>741</v>
      </c>
      <c r="B747" s="3" t="str">
        <f>"1513344"</f>
        <v>1513344</v>
      </c>
      <c r="C747" s="3" t="str">
        <f>"94640"</f>
        <v>94640</v>
      </c>
      <c r="D747" s="3" t="s">
        <v>3915</v>
      </c>
      <c r="E747" s="3">
        <v>20483981202</v>
      </c>
      <c r="F747" s="3" t="s">
        <v>3916</v>
      </c>
      <c r="G747" s="3" t="s">
        <v>3917</v>
      </c>
      <c r="H747" s="3" t="s">
        <v>808</v>
      </c>
      <c r="I747" s="3" t="s">
        <v>808</v>
      </c>
      <c r="J747" s="3" t="s">
        <v>808</v>
      </c>
      <c r="K747" s="3" t="s">
        <v>2856</v>
      </c>
      <c r="L747" s="3"/>
      <c r="M747" s="3"/>
      <c r="N747" s="3"/>
      <c r="O747" s="3"/>
      <c r="P747" s="3"/>
      <c r="Q747" s="3"/>
      <c r="R747" s="3"/>
      <c r="S747" s="3"/>
      <c r="T747" s="3"/>
      <c r="U747" s="3">
        <v>3000</v>
      </c>
      <c r="V747" s="4">
        <v>40876</v>
      </c>
      <c r="W747" s="3" t="s">
        <v>31</v>
      </c>
      <c r="X747" s="3" t="s">
        <v>3918</v>
      </c>
    </row>
    <row r="748" spans="1:24" ht="27.95" x14ac:dyDescent="0.3">
      <c r="A748" s="5">
        <v>742</v>
      </c>
      <c r="B748" s="5" t="str">
        <f>"201500129308"</f>
        <v>201500129308</v>
      </c>
      <c r="C748" s="5" t="str">
        <f>"117689"</f>
        <v>117689</v>
      </c>
      <c r="D748" s="5" t="s">
        <v>3919</v>
      </c>
      <c r="E748" s="5">
        <v>20490723090</v>
      </c>
      <c r="F748" s="5" t="s">
        <v>3920</v>
      </c>
      <c r="G748" s="5" t="s">
        <v>3921</v>
      </c>
      <c r="H748" s="5" t="s">
        <v>165</v>
      </c>
      <c r="I748" s="5" t="s">
        <v>166</v>
      </c>
      <c r="J748" s="5" t="s">
        <v>167</v>
      </c>
      <c r="K748" s="5" t="s">
        <v>3922</v>
      </c>
      <c r="L748" s="5" t="s">
        <v>3922</v>
      </c>
      <c r="M748" s="5" t="s">
        <v>3922</v>
      </c>
      <c r="N748" s="5"/>
      <c r="O748" s="5"/>
      <c r="P748" s="5"/>
      <c r="Q748" s="5"/>
      <c r="R748" s="5"/>
      <c r="S748" s="5"/>
      <c r="T748" s="5"/>
      <c r="U748" s="5">
        <v>11040</v>
      </c>
      <c r="V748" s="6">
        <v>42369</v>
      </c>
      <c r="W748" s="5" t="s">
        <v>31</v>
      </c>
      <c r="X748" s="5" t="s">
        <v>3923</v>
      </c>
    </row>
    <row r="749" spans="1:24" x14ac:dyDescent="0.3">
      <c r="A749" s="3">
        <v>743</v>
      </c>
      <c r="B749" s="3" t="str">
        <f>"201600140365"</f>
        <v>201600140365</v>
      </c>
      <c r="C749" s="3" t="str">
        <f>"121484"</f>
        <v>121484</v>
      </c>
      <c r="D749" s="3" t="s">
        <v>3924</v>
      </c>
      <c r="E749" s="3">
        <v>20131016639</v>
      </c>
      <c r="F749" s="3" t="s">
        <v>3925</v>
      </c>
      <c r="G749" s="3" t="s">
        <v>3926</v>
      </c>
      <c r="H749" s="3" t="s">
        <v>28</v>
      </c>
      <c r="I749" s="3" t="s">
        <v>28</v>
      </c>
      <c r="J749" s="3" t="s">
        <v>1432</v>
      </c>
      <c r="K749" s="3" t="s">
        <v>1074</v>
      </c>
      <c r="L749" s="3" t="s">
        <v>3927</v>
      </c>
      <c r="M749" s="3" t="s">
        <v>3928</v>
      </c>
      <c r="N749" s="3"/>
      <c r="O749" s="3"/>
      <c r="P749" s="3"/>
      <c r="Q749" s="3"/>
      <c r="R749" s="3"/>
      <c r="S749" s="3"/>
      <c r="T749" s="3"/>
      <c r="U749" s="3">
        <v>24500</v>
      </c>
      <c r="V749" s="4">
        <v>42643</v>
      </c>
      <c r="W749" s="3" t="s">
        <v>31</v>
      </c>
      <c r="X749" s="3" t="s">
        <v>3929</v>
      </c>
    </row>
    <row r="750" spans="1:24" x14ac:dyDescent="0.3">
      <c r="A750" s="5">
        <v>744</v>
      </c>
      <c r="B750" s="5" t="str">
        <f>"1694604"</f>
        <v>1694604</v>
      </c>
      <c r="C750" s="5" t="str">
        <f>"45574"</f>
        <v>45574</v>
      </c>
      <c r="D750" s="5" t="s">
        <v>3930</v>
      </c>
      <c r="E750" s="5">
        <v>20397613195</v>
      </c>
      <c r="F750" s="5" t="s">
        <v>3931</v>
      </c>
      <c r="G750" s="5" t="s">
        <v>3932</v>
      </c>
      <c r="H750" s="5" t="s">
        <v>36</v>
      </c>
      <c r="I750" s="5" t="s">
        <v>234</v>
      </c>
      <c r="J750" s="5" t="s">
        <v>1990</v>
      </c>
      <c r="K750" s="5" t="s">
        <v>1775</v>
      </c>
      <c r="L750" s="5"/>
      <c r="M750" s="5"/>
      <c r="N750" s="5"/>
      <c r="O750" s="5"/>
      <c r="P750" s="5"/>
      <c r="Q750" s="5"/>
      <c r="R750" s="5"/>
      <c r="S750" s="5"/>
      <c r="T750" s="5"/>
      <c r="U750" s="5">
        <v>2500</v>
      </c>
      <c r="V750" s="6">
        <v>39230</v>
      </c>
      <c r="W750" s="5" t="s">
        <v>31</v>
      </c>
      <c r="X750" s="5" t="s">
        <v>3933</v>
      </c>
    </row>
    <row r="751" spans="1:24" x14ac:dyDescent="0.3">
      <c r="A751" s="3">
        <v>745</v>
      </c>
      <c r="B751" s="3" t="str">
        <f>"1559652"</f>
        <v>1559652</v>
      </c>
      <c r="C751" s="3" t="str">
        <f>"41680"</f>
        <v>41680</v>
      </c>
      <c r="D751" s="3" t="s">
        <v>3934</v>
      </c>
      <c r="E751" s="3">
        <v>20162683218</v>
      </c>
      <c r="F751" s="3" t="s">
        <v>3935</v>
      </c>
      <c r="G751" s="3" t="s">
        <v>3936</v>
      </c>
      <c r="H751" s="3" t="s">
        <v>115</v>
      </c>
      <c r="I751" s="3" t="s">
        <v>115</v>
      </c>
      <c r="J751" s="3" t="s">
        <v>3937</v>
      </c>
      <c r="K751" s="3" t="s">
        <v>3938</v>
      </c>
      <c r="L751" s="3" t="s">
        <v>323</v>
      </c>
      <c r="M751" s="3"/>
      <c r="N751" s="3"/>
      <c r="O751" s="3"/>
      <c r="P751" s="3"/>
      <c r="Q751" s="3"/>
      <c r="R751" s="3"/>
      <c r="S751" s="3"/>
      <c r="T751" s="3"/>
      <c r="U751" s="3">
        <v>6000</v>
      </c>
      <c r="V751" s="4">
        <v>38615</v>
      </c>
      <c r="W751" s="3" t="s">
        <v>31</v>
      </c>
      <c r="X751" s="3" t="s">
        <v>3939</v>
      </c>
    </row>
    <row r="752" spans="1:24" ht="55.9" x14ac:dyDescent="0.3">
      <c r="A752" s="5">
        <v>746</v>
      </c>
      <c r="B752" s="5" t="str">
        <f>"202000133419"</f>
        <v>202000133419</v>
      </c>
      <c r="C752" s="5" t="str">
        <f>"131719"</f>
        <v>131719</v>
      </c>
      <c r="D752" s="5" t="s">
        <v>3940</v>
      </c>
      <c r="E752" s="5">
        <v>20490012151</v>
      </c>
      <c r="F752" s="5" t="s">
        <v>3941</v>
      </c>
      <c r="G752" s="5" t="s">
        <v>3942</v>
      </c>
      <c r="H752" s="5" t="s">
        <v>165</v>
      </c>
      <c r="I752" s="5" t="s">
        <v>732</v>
      </c>
      <c r="J752" s="5" t="s">
        <v>732</v>
      </c>
      <c r="K752" s="5" t="s">
        <v>3943</v>
      </c>
      <c r="L752" s="5"/>
      <c r="M752" s="5"/>
      <c r="N752" s="5"/>
      <c r="O752" s="5"/>
      <c r="P752" s="5"/>
      <c r="Q752" s="5"/>
      <c r="R752" s="5"/>
      <c r="S752" s="5"/>
      <c r="T752" s="5"/>
      <c r="U752" s="5">
        <v>1720</v>
      </c>
      <c r="V752" s="6">
        <v>44106</v>
      </c>
      <c r="W752" s="5" t="s">
        <v>31</v>
      </c>
      <c r="X752" s="5" t="s">
        <v>3944</v>
      </c>
    </row>
    <row r="753" spans="1:24" ht="27.95" x14ac:dyDescent="0.3">
      <c r="A753" s="3">
        <v>747</v>
      </c>
      <c r="B753" s="3" t="str">
        <f>"201800015443"</f>
        <v>201800015443</v>
      </c>
      <c r="C753" s="3" t="str">
        <f>"95798"</f>
        <v>95798</v>
      </c>
      <c r="D753" s="3" t="s">
        <v>3945</v>
      </c>
      <c r="E753" s="3">
        <v>20480974485</v>
      </c>
      <c r="F753" s="3" t="s">
        <v>3946</v>
      </c>
      <c r="G753" s="3" t="s">
        <v>3947</v>
      </c>
      <c r="H753" s="3" t="s">
        <v>36</v>
      </c>
      <c r="I753" s="3" t="s">
        <v>234</v>
      </c>
      <c r="J753" s="3" t="s">
        <v>234</v>
      </c>
      <c r="K753" s="3" t="s">
        <v>3211</v>
      </c>
      <c r="L753" s="3"/>
      <c r="M753" s="3"/>
      <c r="N753" s="3"/>
      <c r="O753" s="3"/>
      <c r="P753" s="3"/>
      <c r="Q753" s="3"/>
      <c r="R753" s="3"/>
      <c r="S753" s="3"/>
      <c r="T753" s="3"/>
      <c r="U753" s="3">
        <v>5505</v>
      </c>
      <c r="V753" s="4">
        <v>43137</v>
      </c>
      <c r="W753" s="3" t="s">
        <v>31</v>
      </c>
      <c r="X753" s="3" t="s">
        <v>3948</v>
      </c>
    </row>
    <row r="754" spans="1:24" ht="27.95" x14ac:dyDescent="0.3">
      <c r="A754" s="5">
        <v>748</v>
      </c>
      <c r="B754" s="5" t="str">
        <f>"201900014449"</f>
        <v>201900014449</v>
      </c>
      <c r="C754" s="5" t="str">
        <f>"141004"</f>
        <v>141004</v>
      </c>
      <c r="D754" s="5" t="s">
        <v>3949</v>
      </c>
      <c r="E754" s="5">
        <v>20132377783</v>
      </c>
      <c r="F754" s="5" t="s">
        <v>3950</v>
      </c>
      <c r="G754" s="5" t="s">
        <v>3951</v>
      </c>
      <c r="H754" s="5" t="s">
        <v>36</v>
      </c>
      <c r="I754" s="5" t="s">
        <v>1269</v>
      </c>
      <c r="J754" s="5" t="s">
        <v>3952</v>
      </c>
      <c r="K754" s="5" t="s">
        <v>1603</v>
      </c>
      <c r="L754" s="5"/>
      <c r="M754" s="5"/>
      <c r="N754" s="5"/>
      <c r="O754" s="5"/>
      <c r="P754" s="5"/>
      <c r="Q754" s="5"/>
      <c r="R754" s="5"/>
      <c r="S754" s="5"/>
      <c r="T754" s="5"/>
      <c r="U754" s="5">
        <v>1320</v>
      </c>
      <c r="V754" s="6">
        <v>43495</v>
      </c>
      <c r="W754" s="5" t="s">
        <v>31</v>
      </c>
      <c r="X754" s="5" t="s">
        <v>1678</v>
      </c>
    </row>
    <row r="755" spans="1:24" x14ac:dyDescent="0.3">
      <c r="A755" s="3">
        <v>749</v>
      </c>
      <c r="B755" s="3" t="str">
        <f>"1334120"</f>
        <v>1334120</v>
      </c>
      <c r="C755" s="3" t="str">
        <f>"21435"</f>
        <v>21435</v>
      </c>
      <c r="D755" s="3" t="s">
        <v>3953</v>
      </c>
      <c r="E755" s="3">
        <v>20100039207</v>
      </c>
      <c r="F755" s="3" t="s">
        <v>1856</v>
      </c>
      <c r="G755" s="3" t="s">
        <v>3954</v>
      </c>
      <c r="H755" s="3" t="s">
        <v>115</v>
      </c>
      <c r="I755" s="3" t="s">
        <v>115</v>
      </c>
      <c r="J755" s="3" t="s">
        <v>159</v>
      </c>
      <c r="K755" s="3" t="s">
        <v>3955</v>
      </c>
      <c r="L755" s="3"/>
      <c r="M755" s="3"/>
      <c r="N755" s="3"/>
      <c r="O755" s="3"/>
      <c r="P755" s="3"/>
      <c r="Q755" s="3"/>
      <c r="R755" s="3"/>
      <c r="S755" s="3"/>
      <c r="T755" s="3"/>
      <c r="U755" s="3">
        <v>4600</v>
      </c>
      <c r="V755" s="4">
        <v>37139</v>
      </c>
      <c r="W755" s="3" t="s">
        <v>31</v>
      </c>
      <c r="X755" s="3" t="s">
        <v>3956</v>
      </c>
    </row>
    <row r="756" spans="1:24" x14ac:dyDescent="0.3">
      <c r="A756" s="5">
        <v>750</v>
      </c>
      <c r="B756" s="5" t="str">
        <f>"201400131102"</f>
        <v>201400131102</v>
      </c>
      <c r="C756" s="5" t="str">
        <f>"93641"</f>
        <v>93641</v>
      </c>
      <c r="D756" s="5" t="s">
        <v>3957</v>
      </c>
      <c r="E756" s="5">
        <v>20527162174</v>
      </c>
      <c r="F756" s="5" t="s">
        <v>3958</v>
      </c>
      <c r="G756" s="5" t="s">
        <v>3959</v>
      </c>
      <c r="H756" s="5" t="s">
        <v>165</v>
      </c>
      <c r="I756" s="5" t="s">
        <v>166</v>
      </c>
      <c r="J756" s="5" t="s">
        <v>167</v>
      </c>
      <c r="K756" s="5" t="s">
        <v>3960</v>
      </c>
      <c r="L756" s="5" t="s">
        <v>3909</v>
      </c>
      <c r="M756" s="5"/>
      <c r="N756" s="5"/>
      <c r="O756" s="5"/>
      <c r="P756" s="5"/>
      <c r="Q756" s="5"/>
      <c r="R756" s="5"/>
      <c r="S756" s="5"/>
      <c r="T756" s="5"/>
      <c r="U756" s="5">
        <v>7300</v>
      </c>
      <c r="V756" s="6">
        <v>41968</v>
      </c>
      <c r="W756" s="5" t="s">
        <v>31</v>
      </c>
      <c r="X756" s="5" t="s">
        <v>3961</v>
      </c>
    </row>
    <row r="757" spans="1:24" x14ac:dyDescent="0.3">
      <c r="A757" s="3">
        <v>751</v>
      </c>
      <c r="B757" s="3" t="str">
        <f>"1130035"</f>
        <v>1130035</v>
      </c>
      <c r="C757" s="3" t="str">
        <f>"883"</f>
        <v>883</v>
      </c>
      <c r="D757" s="3">
        <v>1021873</v>
      </c>
      <c r="E757" s="3">
        <v>20153346063</v>
      </c>
      <c r="F757" s="3" t="s">
        <v>3962</v>
      </c>
      <c r="G757" s="3" t="s">
        <v>3963</v>
      </c>
      <c r="H757" s="3" t="s">
        <v>285</v>
      </c>
      <c r="I757" s="3" t="s">
        <v>286</v>
      </c>
      <c r="J757" s="3" t="s">
        <v>470</v>
      </c>
      <c r="K757" s="3" t="s">
        <v>2736</v>
      </c>
      <c r="L757" s="3"/>
      <c r="M757" s="3"/>
      <c r="N757" s="3"/>
      <c r="O757" s="3"/>
      <c r="P757" s="3"/>
      <c r="Q757" s="3"/>
      <c r="R757" s="3"/>
      <c r="S757" s="3"/>
      <c r="T757" s="3"/>
      <c r="U757" s="3">
        <v>6000</v>
      </c>
      <c r="V757" s="4">
        <v>35655</v>
      </c>
      <c r="W757" s="3" t="s">
        <v>31</v>
      </c>
      <c r="X757" s="3" t="s">
        <v>3964</v>
      </c>
    </row>
    <row r="758" spans="1:24" x14ac:dyDescent="0.3">
      <c r="A758" s="5">
        <v>752</v>
      </c>
      <c r="B758" s="5" t="str">
        <f>"201700026269"</f>
        <v>201700026269</v>
      </c>
      <c r="C758" s="5" t="str">
        <f>"19285"</f>
        <v>19285</v>
      </c>
      <c r="D758" s="5" t="s">
        <v>3965</v>
      </c>
      <c r="E758" s="5">
        <v>20470531968</v>
      </c>
      <c r="F758" s="5" t="s">
        <v>3966</v>
      </c>
      <c r="G758" s="5" t="s">
        <v>3967</v>
      </c>
      <c r="H758" s="5" t="s">
        <v>28</v>
      </c>
      <c r="I758" s="5" t="s">
        <v>28</v>
      </c>
      <c r="J758" s="5" t="s">
        <v>28</v>
      </c>
      <c r="K758" s="5" t="s">
        <v>3968</v>
      </c>
      <c r="L758" s="5"/>
      <c r="M758" s="5"/>
      <c r="N758" s="5"/>
      <c r="O758" s="5"/>
      <c r="P758" s="5"/>
      <c r="Q758" s="5"/>
      <c r="R758" s="5"/>
      <c r="S758" s="5"/>
      <c r="T758" s="5"/>
      <c r="U758" s="5">
        <v>17000</v>
      </c>
      <c r="V758" s="6">
        <v>42794</v>
      </c>
      <c r="W758" s="5" t="s">
        <v>31</v>
      </c>
      <c r="X758" s="5" t="s">
        <v>3969</v>
      </c>
    </row>
    <row r="759" spans="1:24" x14ac:dyDescent="0.3">
      <c r="A759" s="3">
        <v>753</v>
      </c>
      <c r="B759" s="3" t="str">
        <f>"1683674"</f>
        <v>1683674</v>
      </c>
      <c r="C759" s="3" t="str">
        <f>"20738"</f>
        <v>20738</v>
      </c>
      <c r="D759" s="3" t="s">
        <v>3970</v>
      </c>
      <c r="E759" s="3">
        <v>20424044203</v>
      </c>
      <c r="F759" s="3" t="s">
        <v>3971</v>
      </c>
      <c r="G759" s="3" t="s">
        <v>3972</v>
      </c>
      <c r="H759" s="3" t="s">
        <v>214</v>
      </c>
      <c r="I759" s="3" t="s">
        <v>214</v>
      </c>
      <c r="J759" s="3" t="s">
        <v>214</v>
      </c>
      <c r="K759" s="3" t="s">
        <v>3973</v>
      </c>
      <c r="L759" s="3" t="s">
        <v>3973</v>
      </c>
      <c r="M759" s="3"/>
      <c r="N759" s="3"/>
      <c r="O759" s="3"/>
      <c r="P759" s="3"/>
      <c r="Q759" s="3"/>
      <c r="R759" s="3"/>
      <c r="S759" s="3"/>
      <c r="T759" s="3"/>
      <c r="U759" s="3">
        <v>1975</v>
      </c>
      <c r="V759" s="4">
        <v>39171</v>
      </c>
      <c r="W759" s="3" t="s">
        <v>31</v>
      </c>
      <c r="X759" s="3" t="s">
        <v>3974</v>
      </c>
    </row>
    <row r="760" spans="1:24" x14ac:dyDescent="0.3">
      <c r="A760" s="5">
        <v>754</v>
      </c>
      <c r="B760" s="5" t="str">
        <f>"1112895"</f>
        <v>1112895</v>
      </c>
      <c r="C760" s="5" t="str">
        <f>"136"</f>
        <v>136</v>
      </c>
      <c r="D760" s="5" t="s">
        <v>3975</v>
      </c>
      <c r="E760" s="5">
        <v>20100130387</v>
      </c>
      <c r="F760" s="5" t="s">
        <v>3976</v>
      </c>
      <c r="G760" s="5" t="s">
        <v>3977</v>
      </c>
      <c r="H760" s="5" t="s">
        <v>28</v>
      </c>
      <c r="I760" s="5" t="s">
        <v>122</v>
      </c>
      <c r="J760" s="5" t="s">
        <v>3978</v>
      </c>
      <c r="K760" s="5" t="s">
        <v>3979</v>
      </c>
      <c r="L760" s="5"/>
      <c r="M760" s="5"/>
      <c r="N760" s="5"/>
      <c r="O760" s="5"/>
      <c r="P760" s="5"/>
      <c r="Q760" s="5"/>
      <c r="R760" s="5"/>
      <c r="S760" s="5"/>
      <c r="T760" s="5"/>
      <c r="U760" s="5">
        <v>31579</v>
      </c>
      <c r="V760" s="6">
        <v>36826</v>
      </c>
      <c r="W760" s="5" t="s">
        <v>31</v>
      </c>
      <c r="X760" s="5" t="s">
        <v>3980</v>
      </c>
    </row>
    <row r="761" spans="1:24" x14ac:dyDescent="0.3">
      <c r="A761" s="3">
        <v>755</v>
      </c>
      <c r="B761" s="3" t="str">
        <f>"1523834"</f>
        <v>1523834</v>
      </c>
      <c r="C761" s="3" t="str">
        <f>"933"</f>
        <v>933</v>
      </c>
      <c r="D761" s="3" t="s">
        <v>3981</v>
      </c>
      <c r="E761" s="3">
        <v>20100010217</v>
      </c>
      <c r="F761" s="3" t="s">
        <v>725</v>
      </c>
      <c r="G761" s="3" t="s">
        <v>3982</v>
      </c>
      <c r="H761" s="3" t="s">
        <v>115</v>
      </c>
      <c r="I761" s="3" t="s">
        <v>115</v>
      </c>
      <c r="J761" s="3" t="s">
        <v>116</v>
      </c>
      <c r="K761" s="3" t="s">
        <v>259</v>
      </c>
      <c r="L761" s="3"/>
      <c r="M761" s="3"/>
      <c r="N761" s="3"/>
      <c r="O761" s="3"/>
      <c r="P761" s="3"/>
      <c r="Q761" s="3"/>
      <c r="R761" s="3"/>
      <c r="S761" s="3"/>
      <c r="T761" s="3"/>
      <c r="U761" s="3">
        <v>6000</v>
      </c>
      <c r="V761" s="4">
        <v>38453</v>
      </c>
      <c r="W761" s="3" t="s">
        <v>31</v>
      </c>
      <c r="X761" s="3" t="s">
        <v>728</v>
      </c>
    </row>
    <row r="762" spans="1:24" ht="41.95" x14ac:dyDescent="0.3">
      <c r="A762" s="5">
        <v>756</v>
      </c>
      <c r="B762" s="5" t="str">
        <f>"1500138"</f>
        <v>1500138</v>
      </c>
      <c r="C762" s="5" t="str">
        <f>"14470"</f>
        <v>14470</v>
      </c>
      <c r="D762" s="5" t="s">
        <v>3983</v>
      </c>
      <c r="E762" s="5">
        <v>20132023540</v>
      </c>
      <c r="F762" s="5" t="s">
        <v>3984</v>
      </c>
      <c r="G762" s="5" t="s">
        <v>3985</v>
      </c>
      <c r="H762" s="5" t="s">
        <v>978</v>
      </c>
      <c r="I762" s="5" t="s">
        <v>3986</v>
      </c>
      <c r="J762" s="5" t="s">
        <v>3986</v>
      </c>
      <c r="K762" s="5" t="s">
        <v>421</v>
      </c>
      <c r="L762" s="5" t="s">
        <v>871</v>
      </c>
      <c r="M762" s="5"/>
      <c r="N762" s="5"/>
      <c r="O762" s="5"/>
      <c r="P762" s="5"/>
      <c r="Q762" s="5"/>
      <c r="R762" s="5"/>
      <c r="S762" s="5"/>
      <c r="T762" s="5"/>
      <c r="U762" s="5">
        <v>8500</v>
      </c>
      <c r="V762" s="6">
        <v>38286</v>
      </c>
      <c r="W762" s="5" t="s">
        <v>31</v>
      </c>
      <c r="X762" s="5" t="s">
        <v>3987</v>
      </c>
    </row>
    <row r="763" spans="1:24" ht="27.95" x14ac:dyDescent="0.3">
      <c r="A763" s="3">
        <v>757</v>
      </c>
      <c r="B763" s="3" t="str">
        <f>"201300074161"</f>
        <v>201300074161</v>
      </c>
      <c r="C763" s="3" t="str">
        <f>"102295"</f>
        <v>102295</v>
      </c>
      <c r="D763" s="3" t="s">
        <v>3988</v>
      </c>
      <c r="E763" s="3">
        <v>10025267996</v>
      </c>
      <c r="F763" s="3" t="s">
        <v>3989</v>
      </c>
      <c r="G763" s="3" t="s">
        <v>3990</v>
      </c>
      <c r="H763" s="3" t="s">
        <v>550</v>
      </c>
      <c r="I763" s="3" t="s">
        <v>3143</v>
      </c>
      <c r="J763" s="3" t="s">
        <v>3991</v>
      </c>
      <c r="K763" s="3" t="s">
        <v>1782</v>
      </c>
      <c r="L763" s="3"/>
      <c r="M763" s="3"/>
      <c r="N763" s="3"/>
      <c r="O763" s="3"/>
      <c r="P763" s="3"/>
      <c r="Q763" s="3"/>
      <c r="R763" s="3"/>
      <c r="S763" s="3"/>
      <c r="T763" s="3"/>
      <c r="U763" s="3">
        <v>5269</v>
      </c>
      <c r="V763" s="4">
        <v>41381</v>
      </c>
      <c r="W763" s="3" t="s">
        <v>31</v>
      </c>
      <c r="X763" s="3" t="s">
        <v>3989</v>
      </c>
    </row>
    <row r="764" spans="1:24" x14ac:dyDescent="0.3">
      <c r="A764" s="5">
        <v>758</v>
      </c>
      <c r="B764" s="5" t="str">
        <f>"201400111728"</f>
        <v>201400111728</v>
      </c>
      <c r="C764" s="5" t="str">
        <f>"107155"</f>
        <v>107155</v>
      </c>
      <c r="D764" s="5" t="s">
        <v>3992</v>
      </c>
      <c r="E764" s="5">
        <v>20490566563</v>
      </c>
      <c r="F764" s="5" t="s">
        <v>3993</v>
      </c>
      <c r="G764" s="5" t="s">
        <v>3994</v>
      </c>
      <c r="H764" s="5" t="s">
        <v>165</v>
      </c>
      <c r="I764" s="5" t="s">
        <v>166</v>
      </c>
      <c r="J764" s="5" t="s">
        <v>167</v>
      </c>
      <c r="K764" s="5" t="s">
        <v>2250</v>
      </c>
      <c r="L764" s="5" t="s">
        <v>2250</v>
      </c>
      <c r="M764" s="5"/>
      <c r="N764" s="5"/>
      <c r="O764" s="5"/>
      <c r="P764" s="5"/>
      <c r="Q764" s="5"/>
      <c r="R764" s="5"/>
      <c r="S764" s="5"/>
      <c r="T764" s="5"/>
      <c r="U764" s="5">
        <v>7200</v>
      </c>
      <c r="V764" s="6">
        <v>41916</v>
      </c>
      <c r="W764" s="5" t="s">
        <v>31</v>
      </c>
      <c r="X764" s="5" t="s">
        <v>3995</v>
      </c>
    </row>
    <row r="765" spans="1:24" ht="27.95" x14ac:dyDescent="0.3">
      <c r="A765" s="3">
        <v>759</v>
      </c>
      <c r="B765" s="3" t="str">
        <f>"201600095847"</f>
        <v>201600095847</v>
      </c>
      <c r="C765" s="3" t="str">
        <f>"118135"</f>
        <v>118135</v>
      </c>
      <c r="D765" s="3" t="s">
        <v>3996</v>
      </c>
      <c r="E765" s="3">
        <v>20109565017</v>
      </c>
      <c r="F765" s="3" t="s">
        <v>531</v>
      </c>
      <c r="G765" s="3" t="s">
        <v>3997</v>
      </c>
      <c r="H765" s="3" t="s">
        <v>28</v>
      </c>
      <c r="I765" s="3" t="s">
        <v>122</v>
      </c>
      <c r="J765" s="3" t="s">
        <v>3998</v>
      </c>
      <c r="K765" s="3" t="s">
        <v>3999</v>
      </c>
      <c r="L765" s="3"/>
      <c r="M765" s="3"/>
      <c r="N765" s="3"/>
      <c r="O765" s="3"/>
      <c r="P765" s="3"/>
      <c r="Q765" s="3"/>
      <c r="R765" s="3"/>
      <c r="S765" s="3"/>
      <c r="T765" s="3"/>
      <c r="U765" s="3">
        <v>8186</v>
      </c>
      <c r="V765" s="4">
        <v>42604</v>
      </c>
      <c r="W765" s="3" t="s">
        <v>31</v>
      </c>
      <c r="X765" s="3" t="s">
        <v>536</v>
      </c>
    </row>
    <row r="766" spans="1:24" ht="41.95" x14ac:dyDescent="0.3">
      <c r="A766" s="5">
        <v>760</v>
      </c>
      <c r="B766" s="5" t="str">
        <f>"1754460"</f>
        <v>1754460</v>
      </c>
      <c r="C766" s="5" t="str">
        <f>"62037"</f>
        <v>62037</v>
      </c>
      <c r="D766" s="5" t="s">
        <v>4000</v>
      </c>
      <c r="E766" s="5">
        <v>20132100552</v>
      </c>
      <c r="F766" s="5" t="s">
        <v>4001</v>
      </c>
      <c r="G766" s="5" t="s">
        <v>4002</v>
      </c>
      <c r="H766" s="5" t="s">
        <v>36</v>
      </c>
      <c r="I766" s="5" t="s">
        <v>234</v>
      </c>
      <c r="J766" s="5" t="s">
        <v>587</v>
      </c>
      <c r="K766" s="5" t="s">
        <v>972</v>
      </c>
      <c r="L766" s="5" t="s">
        <v>4003</v>
      </c>
      <c r="M766" s="5"/>
      <c r="N766" s="5"/>
      <c r="O766" s="5"/>
      <c r="P766" s="5"/>
      <c r="Q766" s="5"/>
      <c r="R766" s="5"/>
      <c r="S766" s="5"/>
      <c r="T766" s="5"/>
      <c r="U766" s="5">
        <v>8600</v>
      </c>
      <c r="V766" s="6">
        <v>39472</v>
      </c>
      <c r="W766" s="5" t="s">
        <v>31</v>
      </c>
      <c r="X766" s="5" t="s">
        <v>4004</v>
      </c>
    </row>
    <row r="767" spans="1:24" x14ac:dyDescent="0.3">
      <c r="A767" s="3">
        <v>761</v>
      </c>
      <c r="B767" s="3" t="str">
        <f>"1551900"</f>
        <v>1551900</v>
      </c>
      <c r="C767" s="3" t="str">
        <f>"981"</f>
        <v>981</v>
      </c>
      <c r="D767" s="3" t="s">
        <v>4005</v>
      </c>
      <c r="E767" s="3">
        <v>20432348114</v>
      </c>
      <c r="F767" s="3" t="s">
        <v>4006</v>
      </c>
      <c r="G767" s="3" t="s">
        <v>4007</v>
      </c>
      <c r="H767" s="3" t="s">
        <v>28</v>
      </c>
      <c r="I767" s="3" t="s">
        <v>28</v>
      </c>
      <c r="J767" s="3" t="s">
        <v>1432</v>
      </c>
      <c r="K767" s="3" t="s">
        <v>4008</v>
      </c>
      <c r="L767" s="3"/>
      <c r="M767" s="3"/>
      <c r="N767" s="3"/>
      <c r="O767" s="3"/>
      <c r="P767" s="3"/>
      <c r="Q767" s="3"/>
      <c r="R767" s="3"/>
      <c r="S767" s="3"/>
      <c r="T767" s="3"/>
      <c r="U767" s="3">
        <v>30000</v>
      </c>
      <c r="V767" s="4">
        <v>39976</v>
      </c>
      <c r="W767" s="3" t="s">
        <v>31</v>
      </c>
      <c r="X767" s="3" t="s">
        <v>4009</v>
      </c>
    </row>
    <row r="768" spans="1:24" x14ac:dyDescent="0.3">
      <c r="A768" s="5">
        <v>762</v>
      </c>
      <c r="B768" s="5" t="str">
        <f>"1461676"</f>
        <v>1461676</v>
      </c>
      <c r="C768" s="5" t="str">
        <f>"151"</f>
        <v>151</v>
      </c>
      <c r="D768" s="5" t="s">
        <v>4010</v>
      </c>
      <c r="E768" s="5">
        <v>20100011701</v>
      </c>
      <c r="F768" s="5" t="s">
        <v>4011</v>
      </c>
      <c r="G768" s="5" t="s">
        <v>4012</v>
      </c>
      <c r="H768" s="5" t="s">
        <v>115</v>
      </c>
      <c r="I768" s="5" t="s">
        <v>115</v>
      </c>
      <c r="J768" s="5" t="s">
        <v>1877</v>
      </c>
      <c r="K768" s="5" t="s">
        <v>4013</v>
      </c>
      <c r="L768" s="5" t="s">
        <v>4014</v>
      </c>
      <c r="M768" s="5" t="s">
        <v>4013</v>
      </c>
      <c r="N768" s="5"/>
      <c r="O768" s="5"/>
      <c r="P768" s="5"/>
      <c r="Q768" s="5"/>
      <c r="R768" s="5"/>
      <c r="S768" s="5"/>
      <c r="T768" s="5"/>
      <c r="U768" s="5">
        <v>117000</v>
      </c>
      <c r="V768" s="6">
        <v>39976</v>
      </c>
      <c r="W768" s="5" t="s">
        <v>31</v>
      </c>
      <c r="X768" s="5" t="s">
        <v>4015</v>
      </c>
    </row>
    <row r="769" spans="1:24" x14ac:dyDescent="0.3">
      <c r="A769" s="3">
        <v>763</v>
      </c>
      <c r="B769" s="3" t="str">
        <f>"201600125604"</f>
        <v>201600125604</v>
      </c>
      <c r="C769" s="3" t="str">
        <f>"84215"</f>
        <v>84215</v>
      </c>
      <c r="D769" s="3" t="s">
        <v>4016</v>
      </c>
      <c r="E769" s="3">
        <v>20600581768</v>
      </c>
      <c r="F769" s="3" t="s">
        <v>4017</v>
      </c>
      <c r="G769" s="3" t="s">
        <v>4018</v>
      </c>
      <c r="H769" s="3" t="s">
        <v>115</v>
      </c>
      <c r="I769" s="3" t="s">
        <v>115</v>
      </c>
      <c r="J769" s="3" t="s">
        <v>159</v>
      </c>
      <c r="K769" s="3" t="s">
        <v>4019</v>
      </c>
      <c r="L769" s="3"/>
      <c r="M769" s="3"/>
      <c r="N769" s="3"/>
      <c r="O769" s="3"/>
      <c r="P769" s="3"/>
      <c r="Q769" s="3"/>
      <c r="R769" s="3"/>
      <c r="S769" s="3"/>
      <c r="T769" s="3"/>
      <c r="U769" s="3">
        <v>22300</v>
      </c>
      <c r="V769" s="4">
        <v>42660</v>
      </c>
      <c r="W769" s="3" t="s">
        <v>31</v>
      </c>
      <c r="X769" s="3" t="s">
        <v>4020</v>
      </c>
    </row>
    <row r="770" spans="1:24" x14ac:dyDescent="0.3">
      <c r="A770" s="5">
        <v>764</v>
      </c>
      <c r="B770" s="5" t="str">
        <f>"1723909"</f>
        <v>1723909</v>
      </c>
      <c r="C770" s="5" t="str">
        <f>"16523"</f>
        <v>16523</v>
      </c>
      <c r="D770" s="5" t="s">
        <v>4021</v>
      </c>
      <c r="E770" s="5">
        <v>20531513534</v>
      </c>
      <c r="F770" s="5" t="s">
        <v>4022</v>
      </c>
      <c r="G770" s="5" t="s">
        <v>4023</v>
      </c>
      <c r="H770" s="5" t="s">
        <v>373</v>
      </c>
      <c r="I770" s="5" t="s">
        <v>1877</v>
      </c>
      <c r="J770" s="5" t="s">
        <v>4024</v>
      </c>
      <c r="K770" s="5" t="s">
        <v>229</v>
      </c>
      <c r="L770" s="5"/>
      <c r="M770" s="5"/>
      <c r="N770" s="5"/>
      <c r="O770" s="5"/>
      <c r="P770" s="5"/>
      <c r="Q770" s="5"/>
      <c r="R770" s="5"/>
      <c r="S770" s="5"/>
      <c r="T770" s="5"/>
      <c r="U770" s="5">
        <v>2000</v>
      </c>
      <c r="V770" s="6">
        <v>39230</v>
      </c>
      <c r="W770" s="5" t="s">
        <v>31</v>
      </c>
      <c r="X770" s="5"/>
    </row>
    <row r="771" spans="1:24" ht="27.95" x14ac:dyDescent="0.3">
      <c r="A771" s="3">
        <v>765</v>
      </c>
      <c r="B771" s="3" t="str">
        <f>"1122289"</f>
        <v>1122289</v>
      </c>
      <c r="C771" s="3" t="str">
        <f>"1480"</f>
        <v>1480</v>
      </c>
      <c r="D771" s="3">
        <v>1065161</v>
      </c>
      <c r="E771" s="3">
        <v>20100003199</v>
      </c>
      <c r="F771" s="3" t="s">
        <v>4025</v>
      </c>
      <c r="G771" s="3" t="s">
        <v>4026</v>
      </c>
      <c r="H771" s="3" t="s">
        <v>1147</v>
      </c>
      <c r="I771" s="3" t="s">
        <v>1148</v>
      </c>
      <c r="J771" s="3" t="s">
        <v>1148</v>
      </c>
      <c r="K771" s="3" t="s">
        <v>857</v>
      </c>
      <c r="L771" s="3" t="s">
        <v>4027</v>
      </c>
      <c r="M771" s="3"/>
      <c r="N771" s="3"/>
      <c r="O771" s="3"/>
      <c r="P771" s="3"/>
      <c r="Q771" s="3"/>
      <c r="R771" s="3"/>
      <c r="S771" s="3"/>
      <c r="T771" s="3"/>
      <c r="U771" s="3">
        <v>9000</v>
      </c>
      <c r="V771" s="4">
        <v>35593</v>
      </c>
      <c r="W771" s="3" t="s">
        <v>31</v>
      </c>
      <c r="X771" s="3" t="s">
        <v>1291</v>
      </c>
    </row>
    <row r="772" spans="1:24" x14ac:dyDescent="0.3">
      <c r="A772" s="5">
        <v>766</v>
      </c>
      <c r="B772" s="5" t="str">
        <f>"201800012566"</f>
        <v>201800012566</v>
      </c>
      <c r="C772" s="5" t="str">
        <f>"134184"</f>
        <v>134184</v>
      </c>
      <c r="D772" s="5" t="s">
        <v>4028</v>
      </c>
      <c r="E772" s="5">
        <v>20367336081</v>
      </c>
      <c r="F772" s="5" t="s">
        <v>4029</v>
      </c>
      <c r="G772" s="5" t="s">
        <v>4030</v>
      </c>
      <c r="H772" s="5" t="s">
        <v>135</v>
      </c>
      <c r="I772" s="5" t="s">
        <v>402</v>
      </c>
      <c r="J772" s="5" t="s">
        <v>484</v>
      </c>
      <c r="K772" s="5" t="s">
        <v>181</v>
      </c>
      <c r="L772" s="5"/>
      <c r="M772" s="5"/>
      <c r="N772" s="5"/>
      <c r="O772" s="5"/>
      <c r="P772" s="5"/>
      <c r="Q772" s="5"/>
      <c r="R772" s="5"/>
      <c r="S772" s="5"/>
      <c r="T772" s="5"/>
      <c r="U772" s="5">
        <v>5000</v>
      </c>
      <c r="V772" s="6">
        <v>43129</v>
      </c>
      <c r="W772" s="5" t="s">
        <v>31</v>
      </c>
      <c r="X772" s="5" t="s">
        <v>4031</v>
      </c>
    </row>
    <row r="773" spans="1:24" ht="27.95" x14ac:dyDescent="0.3">
      <c r="A773" s="3">
        <v>767</v>
      </c>
      <c r="B773" s="3" t="str">
        <f>"201800107965"</f>
        <v>201800107965</v>
      </c>
      <c r="C773" s="3" t="str">
        <f>"131686"</f>
        <v>131686</v>
      </c>
      <c r="D773" s="3" t="s">
        <v>4032</v>
      </c>
      <c r="E773" s="3">
        <v>20100154308</v>
      </c>
      <c r="F773" s="3" t="s">
        <v>4033</v>
      </c>
      <c r="G773" s="3" t="s">
        <v>4034</v>
      </c>
      <c r="H773" s="3" t="s">
        <v>28</v>
      </c>
      <c r="I773" s="3" t="s">
        <v>667</v>
      </c>
      <c r="J773" s="3" t="s">
        <v>1340</v>
      </c>
      <c r="K773" s="3" t="s">
        <v>4035</v>
      </c>
      <c r="L773" s="3"/>
      <c r="M773" s="3"/>
      <c r="N773" s="3"/>
      <c r="O773" s="3"/>
      <c r="P773" s="3"/>
      <c r="Q773" s="3"/>
      <c r="R773" s="3"/>
      <c r="S773" s="3"/>
      <c r="T773" s="3"/>
      <c r="U773" s="3">
        <v>9170</v>
      </c>
      <c r="V773" s="4">
        <v>43285</v>
      </c>
      <c r="W773" s="3" t="s">
        <v>31</v>
      </c>
      <c r="X773" s="3" t="s">
        <v>4036</v>
      </c>
    </row>
    <row r="774" spans="1:24" ht="27.95" x14ac:dyDescent="0.3">
      <c r="A774" s="5">
        <v>768</v>
      </c>
      <c r="B774" s="5" t="str">
        <f>"201600127871"</f>
        <v>201600127871</v>
      </c>
      <c r="C774" s="5" t="str">
        <f>"123678"</f>
        <v>123678</v>
      </c>
      <c r="D774" s="5" t="s">
        <v>4037</v>
      </c>
      <c r="E774" s="5">
        <v>20447624631</v>
      </c>
      <c r="F774" s="5" t="s">
        <v>4038</v>
      </c>
      <c r="G774" s="5" t="s">
        <v>4039</v>
      </c>
      <c r="H774" s="5" t="s">
        <v>550</v>
      </c>
      <c r="I774" s="5" t="s">
        <v>1780</v>
      </c>
      <c r="J774" s="5" t="s">
        <v>1781</v>
      </c>
      <c r="K774" s="5" t="s">
        <v>181</v>
      </c>
      <c r="L774" s="5" t="s">
        <v>181</v>
      </c>
      <c r="M774" s="5"/>
      <c r="N774" s="5"/>
      <c r="O774" s="5"/>
      <c r="P774" s="5"/>
      <c r="Q774" s="5"/>
      <c r="R774" s="5"/>
      <c r="S774" s="5"/>
      <c r="T774" s="5"/>
      <c r="U774" s="5">
        <v>10000</v>
      </c>
      <c r="V774" s="6">
        <v>42706</v>
      </c>
      <c r="W774" s="5" t="s">
        <v>31</v>
      </c>
      <c r="X774" s="5" t="s">
        <v>4040</v>
      </c>
    </row>
    <row r="775" spans="1:24" ht="27.95" x14ac:dyDescent="0.3">
      <c r="A775" s="3">
        <v>769</v>
      </c>
      <c r="B775" s="3" t="str">
        <f>"1538148"</f>
        <v>1538148</v>
      </c>
      <c r="C775" s="3" t="str">
        <f>"14373"</f>
        <v>14373</v>
      </c>
      <c r="D775" s="3" t="s">
        <v>4041</v>
      </c>
      <c r="E775" s="3">
        <v>20361159048</v>
      </c>
      <c r="F775" s="3" t="s">
        <v>4042</v>
      </c>
      <c r="G775" s="3" t="s">
        <v>4043</v>
      </c>
      <c r="H775" s="3" t="s">
        <v>285</v>
      </c>
      <c r="I775" s="3" t="s">
        <v>286</v>
      </c>
      <c r="J775" s="3" t="s">
        <v>628</v>
      </c>
      <c r="K775" s="3" t="s">
        <v>4044</v>
      </c>
      <c r="L775" s="3" t="s">
        <v>4045</v>
      </c>
      <c r="M775" s="3"/>
      <c r="N775" s="3"/>
      <c r="O775" s="3"/>
      <c r="P775" s="3"/>
      <c r="Q775" s="3"/>
      <c r="R775" s="3"/>
      <c r="S775" s="3"/>
      <c r="T775" s="3"/>
      <c r="U775" s="3">
        <v>176180</v>
      </c>
      <c r="V775" s="4">
        <v>38502</v>
      </c>
      <c r="W775" s="3" t="s">
        <v>31</v>
      </c>
      <c r="X775" s="3" t="s">
        <v>4046</v>
      </c>
    </row>
    <row r="776" spans="1:24" ht="27.95" x14ac:dyDescent="0.3">
      <c r="A776" s="5">
        <v>770</v>
      </c>
      <c r="B776" s="5" t="str">
        <f>"201700196677"</f>
        <v>201700196677</v>
      </c>
      <c r="C776" s="5" t="str">
        <f>"99609"</f>
        <v>99609</v>
      </c>
      <c r="D776" s="5" t="s">
        <v>4047</v>
      </c>
      <c r="E776" s="5">
        <v>20601227747</v>
      </c>
      <c r="F776" s="5" t="s">
        <v>4048</v>
      </c>
      <c r="G776" s="5" t="s">
        <v>4049</v>
      </c>
      <c r="H776" s="5" t="s">
        <v>292</v>
      </c>
      <c r="I776" s="5" t="s">
        <v>4050</v>
      </c>
      <c r="J776" s="5" t="s">
        <v>4051</v>
      </c>
      <c r="K776" s="5" t="s">
        <v>168</v>
      </c>
      <c r="L776" s="5" t="s">
        <v>168</v>
      </c>
      <c r="M776" s="5" t="s">
        <v>168</v>
      </c>
      <c r="N776" s="5" t="s">
        <v>181</v>
      </c>
      <c r="O776" s="5"/>
      <c r="P776" s="5"/>
      <c r="Q776" s="5"/>
      <c r="R776" s="5"/>
      <c r="S776" s="5"/>
      <c r="T776" s="5"/>
      <c r="U776" s="5">
        <v>35000</v>
      </c>
      <c r="V776" s="6">
        <v>43063</v>
      </c>
      <c r="W776" s="5" t="s">
        <v>31</v>
      </c>
      <c r="X776" s="5" t="s">
        <v>4052</v>
      </c>
    </row>
    <row r="777" spans="1:24" ht="27.95" x14ac:dyDescent="0.3">
      <c r="A777" s="3">
        <v>771</v>
      </c>
      <c r="B777" s="3" t="str">
        <f>"1784215"</f>
        <v>1784215</v>
      </c>
      <c r="C777" s="3" t="str">
        <f>"63095"</f>
        <v>63095</v>
      </c>
      <c r="D777" s="3" t="s">
        <v>4053</v>
      </c>
      <c r="E777" s="3">
        <v>20153394629</v>
      </c>
      <c r="F777" s="3" t="s">
        <v>4054</v>
      </c>
      <c r="G777" s="3" t="s">
        <v>4055</v>
      </c>
      <c r="H777" s="3" t="s">
        <v>28</v>
      </c>
      <c r="I777" s="3" t="s">
        <v>28</v>
      </c>
      <c r="J777" s="3" t="s">
        <v>91</v>
      </c>
      <c r="K777" s="3" t="s">
        <v>871</v>
      </c>
      <c r="L777" s="3"/>
      <c r="M777" s="3"/>
      <c r="N777" s="3"/>
      <c r="O777" s="3"/>
      <c r="P777" s="3"/>
      <c r="Q777" s="3"/>
      <c r="R777" s="3"/>
      <c r="S777" s="3"/>
      <c r="T777" s="3"/>
      <c r="U777" s="3">
        <v>3500</v>
      </c>
      <c r="V777" s="4">
        <v>39596</v>
      </c>
      <c r="W777" s="3" t="s">
        <v>31</v>
      </c>
      <c r="X777" s="3" t="s">
        <v>4056</v>
      </c>
    </row>
    <row r="778" spans="1:24" x14ac:dyDescent="0.3">
      <c r="A778" s="5">
        <v>772</v>
      </c>
      <c r="B778" s="5" t="str">
        <f>"1104421"</f>
        <v>1104421</v>
      </c>
      <c r="C778" s="5" t="str">
        <f>"1525"</f>
        <v>1525</v>
      </c>
      <c r="D778" s="5">
        <v>958907</v>
      </c>
      <c r="E778" s="5">
        <v>20100158044</v>
      </c>
      <c r="F778" s="5" t="s">
        <v>4057</v>
      </c>
      <c r="G778" s="5" t="s">
        <v>4058</v>
      </c>
      <c r="H778" s="5" t="s">
        <v>28</v>
      </c>
      <c r="I778" s="5" t="s">
        <v>28</v>
      </c>
      <c r="J778" s="5" t="s">
        <v>45</v>
      </c>
      <c r="K778" s="5" t="s">
        <v>3037</v>
      </c>
      <c r="L778" s="5" t="s">
        <v>4059</v>
      </c>
      <c r="M778" s="5" t="s">
        <v>4060</v>
      </c>
      <c r="N778" s="5" t="s">
        <v>3010</v>
      </c>
      <c r="O778" s="5" t="s">
        <v>4061</v>
      </c>
      <c r="P778" s="5" t="s">
        <v>4061</v>
      </c>
      <c r="Q778" s="5" t="s">
        <v>4061</v>
      </c>
      <c r="R778" s="5" t="s">
        <v>4062</v>
      </c>
      <c r="S778" s="5"/>
      <c r="T778" s="5"/>
      <c r="U778" s="5">
        <v>173600</v>
      </c>
      <c r="V778" s="6">
        <v>35467</v>
      </c>
      <c r="W778" s="5" t="s">
        <v>31</v>
      </c>
      <c r="X778" s="5" t="s">
        <v>4063</v>
      </c>
    </row>
    <row r="779" spans="1:24" ht="27.95" x14ac:dyDescent="0.3">
      <c r="A779" s="3">
        <v>773</v>
      </c>
      <c r="B779" s="3" t="str">
        <f>"201300083705"</f>
        <v>201300083705</v>
      </c>
      <c r="C779" s="3" t="str">
        <f>"102766"</f>
        <v>102766</v>
      </c>
      <c r="D779" s="3" t="s">
        <v>4064</v>
      </c>
      <c r="E779" s="3">
        <v>20386503517</v>
      </c>
      <c r="F779" s="3" t="s">
        <v>4065</v>
      </c>
      <c r="G779" s="3" t="s">
        <v>4066</v>
      </c>
      <c r="H779" s="3" t="s">
        <v>28</v>
      </c>
      <c r="I779" s="3" t="s">
        <v>28</v>
      </c>
      <c r="J779" s="3" t="s">
        <v>501</v>
      </c>
      <c r="K779" s="3" t="s">
        <v>4067</v>
      </c>
      <c r="L779" s="3"/>
      <c r="M779" s="3"/>
      <c r="N779" s="3"/>
      <c r="O779" s="3"/>
      <c r="P779" s="3"/>
      <c r="Q779" s="3"/>
      <c r="R779" s="3"/>
      <c r="S779" s="3"/>
      <c r="T779" s="3"/>
      <c r="U779" s="3">
        <v>2728</v>
      </c>
      <c r="V779" s="4">
        <v>41431</v>
      </c>
      <c r="W779" s="3" t="s">
        <v>31</v>
      </c>
      <c r="X779" s="3" t="s">
        <v>4068</v>
      </c>
    </row>
    <row r="780" spans="1:24" ht="27.95" x14ac:dyDescent="0.3">
      <c r="A780" s="5">
        <v>774</v>
      </c>
      <c r="B780" s="5" t="str">
        <f>"1664650"</f>
        <v>1664650</v>
      </c>
      <c r="C780" s="5" t="str">
        <f>"267"</f>
        <v>267</v>
      </c>
      <c r="D780" s="5" t="s">
        <v>4069</v>
      </c>
      <c r="E780" s="5">
        <v>20100113610</v>
      </c>
      <c r="F780" s="5" t="s">
        <v>1973</v>
      </c>
      <c r="G780" s="5" t="s">
        <v>2613</v>
      </c>
      <c r="H780" s="5" t="s">
        <v>28</v>
      </c>
      <c r="I780" s="5" t="s">
        <v>28</v>
      </c>
      <c r="J780" s="5" t="s">
        <v>251</v>
      </c>
      <c r="K780" s="5" t="s">
        <v>1694</v>
      </c>
      <c r="L780" s="5" t="s">
        <v>4070</v>
      </c>
      <c r="M780" s="5" t="s">
        <v>4070</v>
      </c>
      <c r="N780" s="5"/>
      <c r="O780" s="5"/>
      <c r="P780" s="5"/>
      <c r="Q780" s="5"/>
      <c r="R780" s="5"/>
      <c r="S780" s="5"/>
      <c r="T780" s="5"/>
      <c r="U780" s="5">
        <v>100000</v>
      </c>
      <c r="V780" s="6">
        <v>39195</v>
      </c>
      <c r="W780" s="5" t="s">
        <v>31</v>
      </c>
      <c r="X780" s="5" t="s">
        <v>4071</v>
      </c>
    </row>
    <row r="781" spans="1:24" ht="27.95" x14ac:dyDescent="0.3">
      <c r="A781" s="3">
        <v>775</v>
      </c>
      <c r="B781" s="3" t="str">
        <f>"201800049754"</f>
        <v>201800049754</v>
      </c>
      <c r="C781" s="3" t="str">
        <f>"1517"</f>
        <v>1517</v>
      </c>
      <c r="D781" s="3" t="s">
        <v>4072</v>
      </c>
      <c r="E781" s="3">
        <v>20100971772</v>
      </c>
      <c r="F781" s="3" t="s">
        <v>914</v>
      </c>
      <c r="G781" s="3" t="s">
        <v>4073</v>
      </c>
      <c r="H781" s="3" t="s">
        <v>28</v>
      </c>
      <c r="I781" s="3" t="s">
        <v>490</v>
      </c>
      <c r="J781" s="3" t="s">
        <v>2721</v>
      </c>
      <c r="K781" s="3" t="s">
        <v>4074</v>
      </c>
      <c r="L781" s="3" t="s">
        <v>4075</v>
      </c>
      <c r="M781" s="3"/>
      <c r="N781" s="3"/>
      <c r="O781" s="3"/>
      <c r="P781" s="3"/>
      <c r="Q781" s="3"/>
      <c r="R781" s="3"/>
      <c r="S781" s="3"/>
      <c r="T781" s="3"/>
      <c r="U781" s="3">
        <v>104000</v>
      </c>
      <c r="V781" s="4">
        <v>43195</v>
      </c>
      <c r="W781" s="3" t="s">
        <v>31</v>
      </c>
      <c r="X781" s="3" t="s">
        <v>4076</v>
      </c>
    </row>
    <row r="782" spans="1:24" x14ac:dyDescent="0.3">
      <c r="A782" s="5">
        <v>776</v>
      </c>
      <c r="B782" s="5" t="str">
        <f>"1467105"</f>
        <v>1467105</v>
      </c>
      <c r="C782" s="5" t="str">
        <f>"38967"</f>
        <v>38967</v>
      </c>
      <c r="D782" s="5" t="s">
        <v>4077</v>
      </c>
      <c r="E782" s="5">
        <v>20501477037</v>
      </c>
      <c r="F782" s="5" t="s">
        <v>4078</v>
      </c>
      <c r="G782" s="5" t="s">
        <v>4079</v>
      </c>
      <c r="H782" s="5" t="s">
        <v>28</v>
      </c>
      <c r="I782" s="5" t="s">
        <v>28</v>
      </c>
      <c r="J782" s="5" t="s">
        <v>172</v>
      </c>
      <c r="K782" s="5" t="s">
        <v>4080</v>
      </c>
      <c r="L782" s="5"/>
      <c r="M782" s="5"/>
      <c r="N782" s="5"/>
      <c r="O782" s="5"/>
      <c r="P782" s="5"/>
      <c r="Q782" s="5"/>
      <c r="R782" s="5"/>
      <c r="S782" s="5"/>
      <c r="T782" s="5"/>
      <c r="U782" s="5">
        <v>4980</v>
      </c>
      <c r="V782" s="6">
        <v>38125</v>
      </c>
      <c r="W782" s="5" t="s">
        <v>31</v>
      </c>
      <c r="X782" s="5" t="s">
        <v>4081</v>
      </c>
    </row>
    <row r="783" spans="1:24" ht="27.95" x14ac:dyDescent="0.3">
      <c r="A783" s="3">
        <v>777</v>
      </c>
      <c r="B783" s="3" t="str">
        <f>"201400155813"</f>
        <v>201400155813</v>
      </c>
      <c r="C783" s="3" t="str">
        <f>"1243"</f>
        <v>1243</v>
      </c>
      <c r="D783" s="3" t="s">
        <v>4082</v>
      </c>
      <c r="E783" s="3">
        <v>20338646802</v>
      </c>
      <c r="F783" s="3" t="s">
        <v>4083</v>
      </c>
      <c r="G783" s="3" t="s">
        <v>4084</v>
      </c>
      <c r="H783" s="3" t="s">
        <v>285</v>
      </c>
      <c r="I783" s="3" t="s">
        <v>286</v>
      </c>
      <c r="J783" s="3" t="s">
        <v>470</v>
      </c>
      <c r="K783" s="3" t="s">
        <v>4085</v>
      </c>
      <c r="L783" s="3" t="s">
        <v>4086</v>
      </c>
      <c r="M783" s="3"/>
      <c r="N783" s="3"/>
      <c r="O783" s="3"/>
      <c r="P783" s="3"/>
      <c r="Q783" s="3"/>
      <c r="R783" s="3"/>
      <c r="S783" s="3"/>
      <c r="T783" s="3"/>
      <c r="U783" s="3">
        <v>450000</v>
      </c>
      <c r="V783" s="4">
        <v>41972</v>
      </c>
      <c r="W783" s="3" t="s">
        <v>31</v>
      </c>
      <c r="X783" s="3" t="s">
        <v>4087</v>
      </c>
    </row>
    <row r="784" spans="1:24" x14ac:dyDescent="0.3">
      <c r="A784" s="5">
        <v>778</v>
      </c>
      <c r="B784" s="5" t="str">
        <f>"201500106627"</f>
        <v>201500106627</v>
      </c>
      <c r="C784" s="5" t="str">
        <f>"1096"</f>
        <v>1096</v>
      </c>
      <c r="D784" s="5" t="s">
        <v>4088</v>
      </c>
      <c r="E784" s="5">
        <v>20100153832</v>
      </c>
      <c r="F784" s="5" t="s">
        <v>4089</v>
      </c>
      <c r="G784" s="5" t="s">
        <v>4090</v>
      </c>
      <c r="H784" s="5" t="s">
        <v>80</v>
      </c>
      <c r="I784" s="5" t="s">
        <v>302</v>
      </c>
      <c r="J784" s="5" t="s">
        <v>3408</v>
      </c>
      <c r="K784" s="5" t="s">
        <v>3909</v>
      </c>
      <c r="L784" s="5"/>
      <c r="M784" s="5"/>
      <c r="N784" s="5"/>
      <c r="O784" s="5"/>
      <c r="P784" s="5"/>
      <c r="Q784" s="5"/>
      <c r="R784" s="5"/>
      <c r="S784" s="5"/>
      <c r="T784" s="5"/>
      <c r="U784" s="5">
        <v>4200</v>
      </c>
      <c r="V784" s="6">
        <v>42233</v>
      </c>
      <c r="W784" s="5" t="s">
        <v>31</v>
      </c>
      <c r="X784" s="5" t="s">
        <v>4091</v>
      </c>
    </row>
    <row r="785" spans="1:24" x14ac:dyDescent="0.3">
      <c r="A785" s="3">
        <v>779</v>
      </c>
      <c r="B785" s="3" t="str">
        <f>"1429986"</f>
        <v>1429986</v>
      </c>
      <c r="C785" s="3" t="str">
        <f>"14424"</f>
        <v>14424</v>
      </c>
      <c r="D785" s="3" t="s">
        <v>4092</v>
      </c>
      <c r="E785" s="3">
        <v>20498456694</v>
      </c>
      <c r="F785" s="3" t="s">
        <v>4093</v>
      </c>
      <c r="G785" s="3" t="s">
        <v>4094</v>
      </c>
      <c r="H785" s="3" t="s">
        <v>51</v>
      </c>
      <c r="I785" s="3" t="s">
        <v>51</v>
      </c>
      <c r="J785" s="3" t="s">
        <v>1205</v>
      </c>
      <c r="K785" s="3" t="s">
        <v>4095</v>
      </c>
      <c r="L785" s="3"/>
      <c r="M785" s="3"/>
      <c r="N785" s="3"/>
      <c r="O785" s="3"/>
      <c r="P785" s="3"/>
      <c r="Q785" s="3"/>
      <c r="R785" s="3"/>
      <c r="S785" s="3"/>
      <c r="T785" s="3"/>
      <c r="U785" s="3">
        <v>1900</v>
      </c>
      <c r="V785" s="4">
        <v>37868</v>
      </c>
      <c r="W785" s="3" t="s">
        <v>31</v>
      </c>
      <c r="X785" s="3" t="s">
        <v>4096</v>
      </c>
    </row>
    <row r="786" spans="1:24" ht="27.95" x14ac:dyDescent="0.3">
      <c r="A786" s="5">
        <v>780</v>
      </c>
      <c r="B786" s="5" t="str">
        <f>"201800026855"</f>
        <v>201800026855</v>
      </c>
      <c r="C786" s="5" t="str">
        <f>"721"</f>
        <v>721</v>
      </c>
      <c r="D786" s="5" t="s">
        <v>4097</v>
      </c>
      <c r="E786" s="5">
        <v>20100971772</v>
      </c>
      <c r="F786" s="5" t="s">
        <v>4098</v>
      </c>
      <c r="G786" s="5" t="s">
        <v>4099</v>
      </c>
      <c r="H786" s="5" t="s">
        <v>51</v>
      </c>
      <c r="I786" s="5" t="s">
        <v>316</v>
      </c>
      <c r="J786" s="5" t="s">
        <v>4100</v>
      </c>
      <c r="K786" s="5" t="s">
        <v>4101</v>
      </c>
      <c r="L786" s="5" t="s">
        <v>4102</v>
      </c>
      <c r="M786" s="5"/>
      <c r="N786" s="5"/>
      <c r="O786" s="5"/>
      <c r="P786" s="5"/>
      <c r="Q786" s="5"/>
      <c r="R786" s="5"/>
      <c r="S786" s="5"/>
      <c r="T786" s="5"/>
      <c r="U786" s="5">
        <v>249458</v>
      </c>
      <c r="V786" s="6">
        <v>43154</v>
      </c>
      <c r="W786" s="5" t="s">
        <v>31</v>
      </c>
      <c r="X786" s="5" t="s">
        <v>4103</v>
      </c>
    </row>
    <row r="787" spans="1:24" x14ac:dyDescent="0.3">
      <c r="A787" s="3">
        <v>781</v>
      </c>
      <c r="B787" s="3" t="str">
        <f>"201200177245"</f>
        <v>201200177245</v>
      </c>
      <c r="C787" s="3" t="str">
        <f>"98501"</f>
        <v>98501</v>
      </c>
      <c r="D787" s="3" t="s">
        <v>4104</v>
      </c>
      <c r="E787" s="3">
        <v>20568229500</v>
      </c>
      <c r="F787" s="3" t="s">
        <v>4105</v>
      </c>
      <c r="G787" s="3" t="s">
        <v>4106</v>
      </c>
      <c r="H787" s="3" t="s">
        <v>566</v>
      </c>
      <c r="I787" s="3" t="s">
        <v>3842</v>
      </c>
      <c r="J787" s="3" t="s">
        <v>123</v>
      </c>
      <c r="K787" s="3" t="s">
        <v>4107</v>
      </c>
      <c r="L787" s="3"/>
      <c r="M787" s="3"/>
      <c r="N787" s="3"/>
      <c r="O787" s="3"/>
      <c r="P787" s="3"/>
      <c r="Q787" s="3"/>
      <c r="R787" s="3"/>
      <c r="S787" s="3"/>
      <c r="T787" s="3"/>
      <c r="U787" s="3">
        <v>3600</v>
      </c>
      <c r="V787" s="4">
        <v>41193</v>
      </c>
      <c r="W787" s="3" t="s">
        <v>31</v>
      </c>
      <c r="X787" s="3" t="s">
        <v>4108</v>
      </c>
    </row>
    <row r="788" spans="1:24" ht="27.95" x14ac:dyDescent="0.3">
      <c r="A788" s="5">
        <v>782</v>
      </c>
      <c r="B788" s="5" t="str">
        <f>"1355788"</f>
        <v>1355788</v>
      </c>
      <c r="C788" s="5" t="str">
        <f>"86877"</f>
        <v>86877</v>
      </c>
      <c r="D788" s="5" t="s">
        <v>4109</v>
      </c>
      <c r="E788" s="5">
        <v>20311985346</v>
      </c>
      <c r="F788" s="5" t="s">
        <v>4110</v>
      </c>
      <c r="G788" s="5" t="s">
        <v>4111</v>
      </c>
      <c r="H788" s="5" t="s">
        <v>51</v>
      </c>
      <c r="I788" s="5" t="s">
        <v>51</v>
      </c>
      <c r="J788" s="5" t="s">
        <v>241</v>
      </c>
      <c r="K788" s="5" t="s">
        <v>4112</v>
      </c>
      <c r="L788" s="5"/>
      <c r="M788" s="5"/>
      <c r="N788" s="5"/>
      <c r="O788" s="5"/>
      <c r="P788" s="5"/>
      <c r="Q788" s="5"/>
      <c r="R788" s="5"/>
      <c r="S788" s="5"/>
      <c r="T788" s="5"/>
      <c r="U788" s="5">
        <v>9000</v>
      </c>
      <c r="V788" s="6">
        <v>40332</v>
      </c>
      <c r="W788" s="5" t="s">
        <v>31</v>
      </c>
      <c r="X788" s="5" t="s">
        <v>4113</v>
      </c>
    </row>
    <row r="789" spans="1:24" x14ac:dyDescent="0.3">
      <c r="A789" s="3">
        <v>783</v>
      </c>
      <c r="B789" s="3" t="str">
        <f>"1402602"</f>
        <v>1402602</v>
      </c>
      <c r="C789" s="3" t="str">
        <f>"1178"</f>
        <v>1178</v>
      </c>
      <c r="D789" s="3" t="s">
        <v>4114</v>
      </c>
      <c r="E789" s="3">
        <v>20159311598</v>
      </c>
      <c r="F789" s="3" t="s">
        <v>4115</v>
      </c>
      <c r="G789" s="3" t="s">
        <v>4116</v>
      </c>
      <c r="H789" s="3" t="s">
        <v>214</v>
      </c>
      <c r="I789" s="3" t="s">
        <v>797</v>
      </c>
      <c r="J789" s="3" t="s">
        <v>4117</v>
      </c>
      <c r="K789" s="3" t="s">
        <v>259</v>
      </c>
      <c r="L789" s="3"/>
      <c r="M789" s="3"/>
      <c r="N789" s="3"/>
      <c r="O789" s="3"/>
      <c r="P789" s="3"/>
      <c r="Q789" s="3"/>
      <c r="R789" s="3"/>
      <c r="S789" s="3"/>
      <c r="T789" s="3"/>
      <c r="U789" s="3">
        <v>6000</v>
      </c>
      <c r="V789" s="4">
        <v>37679</v>
      </c>
      <c r="W789" s="3" t="s">
        <v>31</v>
      </c>
      <c r="X789" s="3" t="s">
        <v>4118</v>
      </c>
    </row>
    <row r="790" spans="1:24" ht="27.95" x14ac:dyDescent="0.3">
      <c r="A790" s="5">
        <v>784</v>
      </c>
      <c r="B790" s="5" t="str">
        <f>"202000103534"</f>
        <v>202000103534</v>
      </c>
      <c r="C790" s="5" t="str">
        <f>"14375"</f>
        <v>14375</v>
      </c>
      <c r="D790" s="5" t="s">
        <v>4119</v>
      </c>
      <c r="E790" s="5">
        <v>20511209146</v>
      </c>
      <c r="F790" s="5" t="s">
        <v>4120</v>
      </c>
      <c r="G790" s="5" t="s">
        <v>4121</v>
      </c>
      <c r="H790" s="5" t="s">
        <v>285</v>
      </c>
      <c r="I790" s="5" t="s">
        <v>286</v>
      </c>
      <c r="J790" s="5" t="s">
        <v>470</v>
      </c>
      <c r="K790" s="5" t="s">
        <v>4122</v>
      </c>
      <c r="L790" s="5" t="s">
        <v>4123</v>
      </c>
      <c r="M790" s="5"/>
      <c r="N790" s="5"/>
      <c r="O790" s="5"/>
      <c r="P790" s="5"/>
      <c r="Q790" s="5"/>
      <c r="R790" s="5"/>
      <c r="S790" s="5"/>
      <c r="T790" s="5"/>
      <c r="U790" s="5">
        <v>197202</v>
      </c>
      <c r="V790" s="6">
        <v>44069</v>
      </c>
      <c r="W790" s="5" t="s">
        <v>31</v>
      </c>
      <c r="X790" s="5" t="s">
        <v>4124</v>
      </c>
    </row>
    <row r="791" spans="1:24" x14ac:dyDescent="0.3">
      <c r="A791" s="3">
        <v>785</v>
      </c>
      <c r="B791" s="3" t="str">
        <f>"1117016"</f>
        <v>1117016</v>
      </c>
      <c r="C791" s="3" t="str">
        <f>"823"</f>
        <v>823</v>
      </c>
      <c r="D791" s="3">
        <v>1013502</v>
      </c>
      <c r="E791" s="3">
        <v>20100103223</v>
      </c>
      <c r="F791" s="3" t="s">
        <v>4125</v>
      </c>
      <c r="G791" s="3" t="s">
        <v>4126</v>
      </c>
      <c r="H791" s="3" t="s">
        <v>28</v>
      </c>
      <c r="I791" s="3" t="s">
        <v>28</v>
      </c>
      <c r="J791" s="3" t="s">
        <v>186</v>
      </c>
      <c r="K791" s="3" t="s">
        <v>259</v>
      </c>
      <c r="L791" s="3"/>
      <c r="M791" s="3"/>
      <c r="N791" s="3"/>
      <c r="O791" s="3"/>
      <c r="P791" s="3"/>
      <c r="Q791" s="3"/>
      <c r="R791" s="3"/>
      <c r="S791" s="3"/>
      <c r="T791" s="3"/>
      <c r="U791" s="3">
        <v>6000</v>
      </c>
      <c r="V791" s="4">
        <v>35550</v>
      </c>
      <c r="W791" s="3" t="s">
        <v>31</v>
      </c>
      <c r="X791" s="3" t="s">
        <v>4127</v>
      </c>
    </row>
    <row r="792" spans="1:24" x14ac:dyDescent="0.3">
      <c r="A792" s="5">
        <v>786</v>
      </c>
      <c r="B792" s="5" t="str">
        <f>"1469190"</f>
        <v>1469190</v>
      </c>
      <c r="C792" s="5" t="str">
        <f>"91337"</f>
        <v>91337</v>
      </c>
      <c r="D792" s="5" t="s">
        <v>4128</v>
      </c>
      <c r="E792" s="5">
        <v>20110378956</v>
      </c>
      <c r="F792" s="5" t="s">
        <v>4129</v>
      </c>
      <c r="G792" s="5" t="s">
        <v>4130</v>
      </c>
      <c r="H792" s="5" t="s">
        <v>80</v>
      </c>
      <c r="I792" s="5" t="s">
        <v>192</v>
      </c>
      <c r="J792" s="5" t="s">
        <v>192</v>
      </c>
      <c r="K792" s="5" t="s">
        <v>396</v>
      </c>
      <c r="L792" s="5"/>
      <c r="M792" s="5"/>
      <c r="N792" s="5"/>
      <c r="O792" s="5"/>
      <c r="P792" s="5"/>
      <c r="Q792" s="5"/>
      <c r="R792" s="5"/>
      <c r="S792" s="5"/>
      <c r="T792" s="5"/>
      <c r="U792" s="5">
        <v>6000</v>
      </c>
      <c r="V792" s="6">
        <v>40612</v>
      </c>
      <c r="W792" s="5" t="s">
        <v>31</v>
      </c>
      <c r="X792" s="5" t="s">
        <v>4131</v>
      </c>
    </row>
    <row r="793" spans="1:24" x14ac:dyDescent="0.3">
      <c r="A793" s="3">
        <v>787</v>
      </c>
      <c r="B793" s="3" t="str">
        <f>"1474383"</f>
        <v>1474383</v>
      </c>
      <c r="C793" s="3" t="str">
        <f>"89310"</f>
        <v>89310</v>
      </c>
      <c r="D793" s="3" t="s">
        <v>4132</v>
      </c>
      <c r="E793" s="3">
        <v>20175140591</v>
      </c>
      <c r="F793" s="3" t="s">
        <v>4133</v>
      </c>
      <c r="G793" s="3" t="s">
        <v>4134</v>
      </c>
      <c r="H793" s="3" t="s">
        <v>28</v>
      </c>
      <c r="I793" s="3" t="s">
        <v>490</v>
      </c>
      <c r="J793" s="3" t="s">
        <v>985</v>
      </c>
      <c r="K793" s="3" t="s">
        <v>4135</v>
      </c>
      <c r="L793" s="3"/>
      <c r="M793" s="3"/>
      <c r="N793" s="3"/>
      <c r="O793" s="3"/>
      <c r="P793" s="3"/>
      <c r="Q793" s="3"/>
      <c r="R793" s="3"/>
      <c r="S793" s="3"/>
      <c r="T793" s="3"/>
      <c r="U793" s="3">
        <v>7625</v>
      </c>
      <c r="V793" s="4">
        <v>40630</v>
      </c>
      <c r="W793" s="3" t="s">
        <v>31</v>
      </c>
      <c r="X793" s="3" t="s">
        <v>4136</v>
      </c>
    </row>
    <row r="794" spans="1:24" ht="27.95" x14ac:dyDescent="0.3">
      <c r="A794" s="5">
        <v>788</v>
      </c>
      <c r="B794" s="5" t="str">
        <f>"1105402"</f>
        <v>1105402</v>
      </c>
      <c r="C794" s="5" t="str">
        <f>"14"</f>
        <v>14</v>
      </c>
      <c r="D794" s="5">
        <v>948411</v>
      </c>
      <c r="E794" s="5">
        <v>20100132916</v>
      </c>
      <c r="F794" s="5" t="s">
        <v>4137</v>
      </c>
      <c r="G794" s="5" t="s">
        <v>4138</v>
      </c>
      <c r="H794" s="5" t="s">
        <v>28</v>
      </c>
      <c r="I794" s="5" t="s">
        <v>28</v>
      </c>
      <c r="J794" s="5" t="s">
        <v>687</v>
      </c>
      <c r="K794" s="5" t="s">
        <v>4139</v>
      </c>
      <c r="L794" s="5" t="s">
        <v>928</v>
      </c>
      <c r="M794" s="5" t="s">
        <v>4140</v>
      </c>
      <c r="N794" s="5" t="s">
        <v>4141</v>
      </c>
      <c r="O794" s="5" t="s">
        <v>4142</v>
      </c>
      <c r="P794" s="5" t="s">
        <v>4143</v>
      </c>
      <c r="Q794" s="5" t="s">
        <v>323</v>
      </c>
      <c r="R794" s="5" t="s">
        <v>4144</v>
      </c>
      <c r="S794" s="5"/>
      <c r="T794" s="5"/>
      <c r="U794" s="5">
        <v>58870</v>
      </c>
      <c r="V794" s="6">
        <v>35467</v>
      </c>
      <c r="W794" s="5" t="s">
        <v>31</v>
      </c>
      <c r="X794" s="5" t="s">
        <v>4145</v>
      </c>
    </row>
    <row r="795" spans="1:24" ht="27.95" x14ac:dyDescent="0.3">
      <c r="A795" s="3">
        <v>789</v>
      </c>
      <c r="B795" s="3" t="str">
        <f>"201300035598"</f>
        <v>201300035598</v>
      </c>
      <c r="C795" s="3" t="str">
        <f>"101011"</f>
        <v>101011</v>
      </c>
      <c r="D795" s="3" t="s">
        <v>4146</v>
      </c>
      <c r="E795" s="3">
        <v>20503370574</v>
      </c>
      <c r="F795" s="3" t="s">
        <v>4147</v>
      </c>
      <c r="G795" s="3" t="s">
        <v>4148</v>
      </c>
      <c r="H795" s="3" t="s">
        <v>115</v>
      </c>
      <c r="I795" s="3" t="s">
        <v>115</v>
      </c>
      <c r="J795" s="3" t="s">
        <v>116</v>
      </c>
      <c r="K795" s="3" t="s">
        <v>4149</v>
      </c>
      <c r="L795" s="3"/>
      <c r="M795" s="3"/>
      <c r="N795" s="3"/>
      <c r="O795" s="3"/>
      <c r="P795" s="3"/>
      <c r="Q795" s="3"/>
      <c r="R795" s="3"/>
      <c r="S795" s="3"/>
      <c r="T795" s="3"/>
      <c r="U795" s="3">
        <v>6100</v>
      </c>
      <c r="V795" s="4">
        <v>41364</v>
      </c>
      <c r="W795" s="3" t="s">
        <v>31</v>
      </c>
      <c r="X795" s="3" t="s">
        <v>4150</v>
      </c>
    </row>
    <row r="796" spans="1:24" ht="27.95" x14ac:dyDescent="0.3">
      <c r="A796" s="5">
        <v>790</v>
      </c>
      <c r="B796" s="5" t="str">
        <f>"1972957"</f>
        <v>1972957</v>
      </c>
      <c r="C796" s="5" t="str">
        <f>"85853"</f>
        <v>85853</v>
      </c>
      <c r="D796" s="5" t="s">
        <v>4151</v>
      </c>
      <c r="E796" s="5">
        <v>20138440118</v>
      </c>
      <c r="F796" s="5" t="s">
        <v>4152</v>
      </c>
      <c r="G796" s="5" t="s">
        <v>4153</v>
      </c>
      <c r="H796" s="5" t="s">
        <v>28</v>
      </c>
      <c r="I796" s="5" t="s">
        <v>28</v>
      </c>
      <c r="J796" s="5" t="s">
        <v>409</v>
      </c>
      <c r="K796" s="5" t="s">
        <v>1550</v>
      </c>
      <c r="L796" s="5"/>
      <c r="M796" s="5"/>
      <c r="N796" s="5"/>
      <c r="O796" s="5"/>
      <c r="P796" s="5"/>
      <c r="Q796" s="5"/>
      <c r="R796" s="5"/>
      <c r="S796" s="5"/>
      <c r="T796" s="5"/>
      <c r="U796" s="5">
        <v>3000</v>
      </c>
      <c r="V796" s="6">
        <v>40253</v>
      </c>
      <c r="W796" s="5" t="s">
        <v>31</v>
      </c>
      <c r="X796" s="5" t="s">
        <v>4154</v>
      </c>
    </row>
    <row r="797" spans="1:24" ht="41.95" x14ac:dyDescent="0.3">
      <c r="A797" s="3">
        <v>791</v>
      </c>
      <c r="B797" s="3" t="str">
        <f>"201700116833"</f>
        <v>201700116833</v>
      </c>
      <c r="C797" s="3" t="str">
        <f>"367"</f>
        <v>367</v>
      </c>
      <c r="D797" s="3" t="s">
        <v>4155</v>
      </c>
      <c r="E797" s="3">
        <v>20170072465</v>
      </c>
      <c r="F797" s="3" t="s">
        <v>879</v>
      </c>
      <c r="G797" s="3" t="s">
        <v>4156</v>
      </c>
      <c r="H797" s="3" t="s">
        <v>51</v>
      </c>
      <c r="I797" s="3" t="s">
        <v>51</v>
      </c>
      <c r="J797" s="3" t="s">
        <v>957</v>
      </c>
      <c r="K797" s="3" t="s">
        <v>4157</v>
      </c>
      <c r="L797" s="3" t="s">
        <v>4158</v>
      </c>
      <c r="M797" s="3" t="s">
        <v>4159</v>
      </c>
      <c r="N797" s="3"/>
      <c r="O797" s="3"/>
      <c r="P797" s="3"/>
      <c r="Q797" s="3"/>
      <c r="R797" s="3"/>
      <c r="S797" s="3"/>
      <c r="T797" s="3"/>
      <c r="U797" s="3">
        <v>443301</v>
      </c>
      <c r="V797" s="4">
        <v>42943</v>
      </c>
      <c r="W797" s="3" t="s">
        <v>31</v>
      </c>
      <c r="X797" s="3" t="s">
        <v>882</v>
      </c>
    </row>
    <row r="798" spans="1:24" x14ac:dyDescent="0.3">
      <c r="A798" s="5">
        <v>792</v>
      </c>
      <c r="B798" s="5" t="str">
        <f>"201200056569"</f>
        <v>201200056569</v>
      </c>
      <c r="C798" s="5" t="str">
        <f>"14759"</f>
        <v>14759</v>
      </c>
      <c r="D798" s="5" t="s">
        <v>4160</v>
      </c>
      <c r="E798" s="5">
        <v>20348735692</v>
      </c>
      <c r="F798" s="5" t="s">
        <v>4161</v>
      </c>
      <c r="G798" s="5" t="s">
        <v>4162</v>
      </c>
      <c r="H798" s="5" t="s">
        <v>115</v>
      </c>
      <c r="I798" s="5" t="s">
        <v>115</v>
      </c>
      <c r="J798" s="5" t="s">
        <v>222</v>
      </c>
      <c r="K798" s="5" t="s">
        <v>4163</v>
      </c>
      <c r="L798" s="5"/>
      <c r="M798" s="5"/>
      <c r="N798" s="5"/>
      <c r="O798" s="5"/>
      <c r="P798" s="5"/>
      <c r="Q798" s="5"/>
      <c r="R798" s="5"/>
      <c r="S798" s="5"/>
      <c r="T798" s="5"/>
      <c r="U798" s="5">
        <v>2642</v>
      </c>
      <c r="V798" s="6">
        <v>41054</v>
      </c>
      <c r="W798" s="5" t="s">
        <v>31</v>
      </c>
      <c r="X798" s="5"/>
    </row>
    <row r="799" spans="1:24" x14ac:dyDescent="0.3">
      <c r="A799" s="3">
        <v>793</v>
      </c>
      <c r="B799" s="3" t="str">
        <f>"1104417"</f>
        <v>1104417</v>
      </c>
      <c r="C799" s="3" t="str">
        <f>"18"</f>
        <v>18</v>
      </c>
      <c r="D799" s="3" t="s">
        <v>4164</v>
      </c>
      <c r="E799" s="3">
        <v>20101584195</v>
      </c>
      <c r="F799" s="3" t="s">
        <v>4165</v>
      </c>
      <c r="G799" s="3" t="s">
        <v>4166</v>
      </c>
      <c r="H799" s="3" t="s">
        <v>28</v>
      </c>
      <c r="I799" s="3" t="s">
        <v>28</v>
      </c>
      <c r="J799" s="3" t="s">
        <v>409</v>
      </c>
      <c r="K799" s="3" t="s">
        <v>4167</v>
      </c>
      <c r="L799" s="3"/>
      <c r="M799" s="3"/>
      <c r="N799" s="3"/>
      <c r="O799" s="3"/>
      <c r="P799" s="3"/>
      <c r="Q799" s="3"/>
      <c r="R799" s="3"/>
      <c r="S799" s="3"/>
      <c r="T799" s="3"/>
      <c r="U799" s="3">
        <v>8500</v>
      </c>
      <c r="V799" s="4">
        <v>39976</v>
      </c>
      <c r="W799" s="3" t="s">
        <v>31</v>
      </c>
      <c r="X799" s="3" t="s">
        <v>4168</v>
      </c>
    </row>
    <row r="800" spans="1:24" ht="27.95" x14ac:dyDescent="0.3">
      <c r="A800" s="5">
        <v>794</v>
      </c>
      <c r="B800" s="5" t="str">
        <f>"201300169013"</f>
        <v>201300169013</v>
      </c>
      <c r="C800" s="5" t="str">
        <f>"101521"</f>
        <v>101521</v>
      </c>
      <c r="D800" s="5" t="s">
        <v>4169</v>
      </c>
      <c r="E800" s="5">
        <v>20453965253</v>
      </c>
      <c r="F800" s="5" t="s">
        <v>4170</v>
      </c>
      <c r="G800" s="5" t="s">
        <v>4171</v>
      </c>
      <c r="H800" s="5" t="s">
        <v>51</v>
      </c>
      <c r="I800" s="5" t="s">
        <v>51</v>
      </c>
      <c r="J800" s="5" t="s">
        <v>241</v>
      </c>
      <c r="K800" s="5" t="s">
        <v>4172</v>
      </c>
      <c r="L800" s="5"/>
      <c r="M800" s="5"/>
      <c r="N800" s="5"/>
      <c r="O800" s="5"/>
      <c r="P800" s="5"/>
      <c r="Q800" s="5"/>
      <c r="R800" s="5"/>
      <c r="S800" s="5"/>
      <c r="T800" s="5"/>
      <c r="U800" s="5">
        <v>6155</v>
      </c>
      <c r="V800" s="6">
        <v>41577</v>
      </c>
      <c r="W800" s="5" t="s">
        <v>31</v>
      </c>
      <c r="X800" s="5" t="s">
        <v>4173</v>
      </c>
    </row>
    <row r="801" spans="1:24" ht="27.95" x14ac:dyDescent="0.3">
      <c r="A801" s="3">
        <v>795</v>
      </c>
      <c r="B801" s="3" t="str">
        <f>"1766903"</f>
        <v>1766903</v>
      </c>
      <c r="C801" s="3" t="str">
        <f>"19727"</f>
        <v>19727</v>
      </c>
      <c r="D801" s="3" t="s">
        <v>4174</v>
      </c>
      <c r="E801" s="3">
        <v>20359606606</v>
      </c>
      <c r="F801" s="3" t="s">
        <v>4175</v>
      </c>
      <c r="G801" s="3" t="s">
        <v>4176</v>
      </c>
      <c r="H801" s="3" t="s">
        <v>566</v>
      </c>
      <c r="I801" s="3" t="s">
        <v>3842</v>
      </c>
      <c r="J801" s="3" t="s">
        <v>4177</v>
      </c>
      <c r="K801" s="3" t="s">
        <v>323</v>
      </c>
      <c r="L801" s="3"/>
      <c r="M801" s="3"/>
      <c r="N801" s="3"/>
      <c r="O801" s="3"/>
      <c r="P801" s="3"/>
      <c r="Q801" s="3"/>
      <c r="R801" s="3"/>
      <c r="S801" s="3"/>
      <c r="T801" s="3"/>
      <c r="U801" s="3">
        <v>4000</v>
      </c>
      <c r="V801" s="4">
        <v>39511</v>
      </c>
      <c r="W801" s="3" t="s">
        <v>31</v>
      </c>
      <c r="X801" s="3" t="s">
        <v>4178</v>
      </c>
    </row>
    <row r="802" spans="1:24" ht="27.95" x14ac:dyDescent="0.3">
      <c r="A802" s="5">
        <v>796</v>
      </c>
      <c r="B802" s="5" t="str">
        <f>"201600109157"</f>
        <v>201600109157</v>
      </c>
      <c r="C802" s="5" t="str">
        <f>"122962"</f>
        <v>122962</v>
      </c>
      <c r="D802" s="5" t="s">
        <v>4179</v>
      </c>
      <c r="E802" s="5">
        <v>20492419762</v>
      </c>
      <c r="F802" s="5" t="s">
        <v>4180</v>
      </c>
      <c r="G802" s="5" t="s">
        <v>4181</v>
      </c>
      <c r="H802" s="5" t="s">
        <v>566</v>
      </c>
      <c r="I802" s="5" t="s">
        <v>1522</v>
      </c>
      <c r="J802" s="5" t="s">
        <v>1522</v>
      </c>
      <c r="K802" s="5" t="s">
        <v>4182</v>
      </c>
      <c r="L802" s="5" t="s">
        <v>4183</v>
      </c>
      <c r="M802" s="5"/>
      <c r="N802" s="5"/>
      <c r="O802" s="5"/>
      <c r="P802" s="5"/>
      <c r="Q802" s="5"/>
      <c r="R802" s="5"/>
      <c r="S802" s="5"/>
      <c r="T802" s="5"/>
      <c r="U802" s="5">
        <v>14000</v>
      </c>
      <c r="V802" s="6">
        <v>42584</v>
      </c>
      <c r="W802" s="5" t="s">
        <v>31</v>
      </c>
      <c r="X802" s="5" t="s">
        <v>4184</v>
      </c>
    </row>
    <row r="803" spans="1:24" ht="27.95" x14ac:dyDescent="0.3">
      <c r="A803" s="3">
        <v>797</v>
      </c>
      <c r="B803" s="3" t="str">
        <f>"201600096103"</f>
        <v>201600096103</v>
      </c>
      <c r="C803" s="3" t="str">
        <f>"122433"</f>
        <v>122433</v>
      </c>
      <c r="D803" s="3" t="s">
        <v>4185</v>
      </c>
      <c r="E803" s="3">
        <v>20176943247</v>
      </c>
      <c r="F803" s="3" t="s">
        <v>4186</v>
      </c>
      <c r="G803" s="3" t="s">
        <v>4187</v>
      </c>
      <c r="H803" s="3" t="s">
        <v>28</v>
      </c>
      <c r="I803" s="3" t="s">
        <v>667</v>
      </c>
      <c r="J803" s="3" t="s">
        <v>667</v>
      </c>
      <c r="K803" s="3" t="s">
        <v>4188</v>
      </c>
      <c r="L803" s="3"/>
      <c r="M803" s="3"/>
      <c r="N803" s="3"/>
      <c r="O803" s="3"/>
      <c r="P803" s="3"/>
      <c r="Q803" s="3"/>
      <c r="R803" s="3"/>
      <c r="S803" s="3"/>
      <c r="T803" s="3"/>
      <c r="U803" s="3">
        <v>2995</v>
      </c>
      <c r="V803" s="4">
        <v>42559</v>
      </c>
      <c r="W803" s="3" t="s">
        <v>31</v>
      </c>
      <c r="X803" s="3" t="s">
        <v>4189</v>
      </c>
    </row>
    <row r="804" spans="1:24" x14ac:dyDescent="0.3">
      <c r="A804" s="5">
        <v>798</v>
      </c>
      <c r="B804" s="5" t="str">
        <f>"1111735"</f>
        <v>1111735</v>
      </c>
      <c r="C804" s="5" t="str">
        <f>"235"</f>
        <v>235</v>
      </c>
      <c r="D804" s="5" t="s">
        <v>4190</v>
      </c>
      <c r="E804" s="5">
        <v>20100029155</v>
      </c>
      <c r="F804" s="5" t="s">
        <v>4191</v>
      </c>
      <c r="G804" s="5" t="s">
        <v>4192</v>
      </c>
      <c r="H804" s="5" t="s">
        <v>28</v>
      </c>
      <c r="I804" s="5" t="s">
        <v>28</v>
      </c>
      <c r="J804" s="5" t="s">
        <v>28</v>
      </c>
      <c r="K804" s="5" t="s">
        <v>1550</v>
      </c>
      <c r="L804" s="5"/>
      <c r="M804" s="5"/>
      <c r="N804" s="5"/>
      <c r="O804" s="5"/>
      <c r="P804" s="5"/>
      <c r="Q804" s="5"/>
      <c r="R804" s="5"/>
      <c r="S804" s="5"/>
      <c r="T804" s="5"/>
      <c r="U804" s="5">
        <v>3000</v>
      </c>
      <c r="V804" s="6">
        <v>39976</v>
      </c>
      <c r="W804" s="5" t="s">
        <v>31</v>
      </c>
      <c r="X804" s="5" t="s">
        <v>4193</v>
      </c>
    </row>
    <row r="805" spans="1:24" x14ac:dyDescent="0.3">
      <c r="A805" s="3">
        <v>799</v>
      </c>
      <c r="B805" s="3" t="str">
        <f>"1452574"</f>
        <v>1452574</v>
      </c>
      <c r="C805" s="3" t="str">
        <f>"1356"</f>
        <v>1356</v>
      </c>
      <c r="D805" s="3" t="s">
        <v>4194</v>
      </c>
      <c r="E805" s="3">
        <v>20100003351</v>
      </c>
      <c r="F805" s="3" t="s">
        <v>538</v>
      </c>
      <c r="G805" s="3" t="s">
        <v>4195</v>
      </c>
      <c r="H805" s="3" t="s">
        <v>285</v>
      </c>
      <c r="I805" s="3" t="s">
        <v>286</v>
      </c>
      <c r="J805" s="3" t="s">
        <v>470</v>
      </c>
      <c r="K805" s="3" t="s">
        <v>181</v>
      </c>
      <c r="L805" s="3"/>
      <c r="M805" s="3"/>
      <c r="N805" s="3"/>
      <c r="O805" s="3"/>
      <c r="P805" s="3"/>
      <c r="Q805" s="3"/>
      <c r="R805" s="3"/>
      <c r="S805" s="3"/>
      <c r="T805" s="3"/>
      <c r="U805" s="3">
        <v>5000</v>
      </c>
      <c r="V805" s="4">
        <v>38028</v>
      </c>
      <c r="W805" s="3" t="s">
        <v>31</v>
      </c>
      <c r="X805" s="3" t="s">
        <v>541</v>
      </c>
    </row>
    <row r="806" spans="1:24" ht="27.95" x14ac:dyDescent="0.3">
      <c r="A806" s="5">
        <v>800</v>
      </c>
      <c r="B806" s="5" t="str">
        <f>"201100155911"</f>
        <v>201100155911</v>
      </c>
      <c r="C806" s="5" t="str">
        <f>"94191"</f>
        <v>94191</v>
      </c>
      <c r="D806" s="5" t="s">
        <v>4196</v>
      </c>
      <c r="E806" s="5">
        <v>20538611132</v>
      </c>
      <c r="F806" s="5" t="s">
        <v>4197</v>
      </c>
      <c r="G806" s="5" t="s">
        <v>4198</v>
      </c>
      <c r="H806" s="5" t="s">
        <v>28</v>
      </c>
      <c r="I806" s="5" t="s">
        <v>28</v>
      </c>
      <c r="J806" s="5" t="s">
        <v>501</v>
      </c>
      <c r="K806" s="5" t="s">
        <v>4199</v>
      </c>
      <c r="L806" s="5"/>
      <c r="M806" s="5"/>
      <c r="N806" s="5"/>
      <c r="O806" s="5"/>
      <c r="P806" s="5"/>
      <c r="Q806" s="5"/>
      <c r="R806" s="5"/>
      <c r="S806" s="5"/>
      <c r="T806" s="5"/>
      <c r="U806" s="5">
        <v>2262</v>
      </c>
      <c r="V806" s="6">
        <v>40881</v>
      </c>
      <c r="W806" s="5" t="s">
        <v>31</v>
      </c>
      <c r="X806" s="5" t="s">
        <v>4200</v>
      </c>
    </row>
    <row r="807" spans="1:24" ht="41.95" x14ac:dyDescent="0.3">
      <c r="A807" s="3">
        <v>801</v>
      </c>
      <c r="B807" s="3" t="str">
        <f>"1500140"</f>
        <v>1500140</v>
      </c>
      <c r="C807" s="3" t="str">
        <f>"14465"</f>
        <v>14465</v>
      </c>
      <c r="D807" s="3" t="s">
        <v>4201</v>
      </c>
      <c r="E807" s="3">
        <v>20132023540</v>
      </c>
      <c r="F807" s="3" t="s">
        <v>3984</v>
      </c>
      <c r="G807" s="3" t="s">
        <v>4202</v>
      </c>
      <c r="H807" s="3" t="s">
        <v>978</v>
      </c>
      <c r="I807" s="3" t="s">
        <v>978</v>
      </c>
      <c r="J807" s="3" t="s">
        <v>978</v>
      </c>
      <c r="K807" s="3" t="s">
        <v>4062</v>
      </c>
      <c r="L807" s="3" t="s">
        <v>4062</v>
      </c>
      <c r="M807" s="3"/>
      <c r="N807" s="3"/>
      <c r="O807" s="3"/>
      <c r="P807" s="3"/>
      <c r="Q807" s="3"/>
      <c r="R807" s="3"/>
      <c r="S807" s="3"/>
      <c r="T807" s="3"/>
      <c r="U807" s="3">
        <v>60000</v>
      </c>
      <c r="V807" s="4">
        <v>38286</v>
      </c>
      <c r="W807" s="3" t="s">
        <v>31</v>
      </c>
      <c r="X807" s="3" t="s">
        <v>3987</v>
      </c>
    </row>
    <row r="808" spans="1:24" ht="41.95" x14ac:dyDescent="0.3">
      <c r="A808" s="5">
        <v>802</v>
      </c>
      <c r="B808" s="5" t="str">
        <f>"1500141"</f>
        <v>1500141</v>
      </c>
      <c r="C808" s="5" t="str">
        <f>"14464"</f>
        <v>14464</v>
      </c>
      <c r="D808" s="5" t="s">
        <v>4203</v>
      </c>
      <c r="E808" s="5">
        <v>20132023540</v>
      </c>
      <c r="F808" s="5" t="s">
        <v>3984</v>
      </c>
      <c r="G808" s="5" t="s">
        <v>4204</v>
      </c>
      <c r="H808" s="5" t="s">
        <v>978</v>
      </c>
      <c r="I808" s="5" t="s">
        <v>1284</v>
      </c>
      <c r="J808" s="5" t="s">
        <v>1284</v>
      </c>
      <c r="K808" s="5" t="s">
        <v>46</v>
      </c>
      <c r="L808" s="5" t="s">
        <v>1694</v>
      </c>
      <c r="M808" s="5"/>
      <c r="N808" s="5"/>
      <c r="O808" s="5"/>
      <c r="P808" s="5"/>
      <c r="Q808" s="5"/>
      <c r="R808" s="5"/>
      <c r="S808" s="5"/>
      <c r="T808" s="5"/>
      <c r="U808" s="5">
        <v>23000</v>
      </c>
      <c r="V808" s="6">
        <v>38286</v>
      </c>
      <c r="W808" s="5" t="s">
        <v>31</v>
      </c>
      <c r="X808" s="5" t="s">
        <v>3987</v>
      </c>
    </row>
    <row r="809" spans="1:24" ht="27.95" x14ac:dyDescent="0.3">
      <c r="A809" s="3">
        <v>803</v>
      </c>
      <c r="B809" s="3" t="str">
        <f>"201500030646"</f>
        <v>201500030646</v>
      </c>
      <c r="C809" s="3" t="str">
        <f>"94125"</f>
        <v>94125</v>
      </c>
      <c r="D809" s="3" t="s">
        <v>4205</v>
      </c>
      <c r="E809" s="3">
        <v>20515994620</v>
      </c>
      <c r="F809" s="3" t="s">
        <v>4206</v>
      </c>
      <c r="G809" s="3" t="s">
        <v>4207</v>
      </c>
      <c r="H809" s="3" t="s">
        <v>115</v>
      </c>
      <c r="I809" s="3" t="s">
        <v>115</v>
      </c>
      <c r="J809" s="3" t="s">
        <v>116</v>
      </c>
      <c r="K809" s="3" t="s">
        <v>130</v>
      </c>
      <c r="L809" s="3"/>
      <c r="M809" s="3"/>
      <c r="N809" s="3"/>
      <c r="O809" s="3"/>
      <c r="P809" s="3"/>
      <c r="Q809" s="3"/>
      <c r="R809" s="3"/>
      <c r="S809" s="3"/>
      <c r="T809" s="3"/>
      <c r="U809" s="3">
        <v>3000</v>
      </c>
      <c r="V809" s="4">
        <v>42088</v>
      </c>
      <c r="W809" s="3" t="s">
        <v>31</v>
      </c>
      <c r="X809" s="3" t="s">
        <v>4208</v>
      </c>
    </row>
    <row r="810" spans="1:24" x14ac:dyDescent="0.3">
      <c r="A810" s="5">
        <v>804</v>
      </c>
      <c r="B810" s="5" t="str">
        <f>"1610843"</f>
        <v>1610843</v>
      </c>
      <c r="C810" s="5" t="str">
        <f>"137"</f>
        <v>137</v>
      </c>
      <c r="D810" s="5" t="s">
        <v>4209</v>
      </c>
      <c r="E810" s="5">
        <v>20510704291</v>
      </c>
      <c r="F810" s="5" t="s">
        <v>4210</v>
      </c>
      <c r="G810" s="5" t="s">
        <v>4211</v>
      </c>
      <c r="H810" s="5" t="s">
        <v>51</v>
      </c>
      <c r="I810" s="5" t="s">
        <v>815</v>
      </c>
      <c r="J810" s="5" t="s">
        <v>815</v>
      </c>
      <c r="K810" s="5" t="s">
        <v>3037</v>
      </c>
      <c r="L810" s="5" t="s">
        <v>4212</v>
      </c>
      <c r="M810" s="5" t="s">
        <v>4213</v>
      </c>
      <c r="N810" s="5" t="s">
        <v>1997</v>
      </c>
      <c r="O810" s="5" t="s">
        <v>4214</v>
      </c>
      <c r="P810" s="5" t="s">
        <v>4215</v>
      </c>
      <c r="Q810" s="5" t="s">
        <v>871</v>
      </c>
      <c r="R810" s="5"/>
      <c r="S810" s="5"/>
      <c r="T810" s="5"/>
      <c r="U810" s="5">
        <v>79443</v>
      </c>
      <c r="V810" s="6">
        <v>38863</v>
      </c>
      <c r="W810" s="5" t="s">
        <v>31</v>
      </c>
      <c r="X810" s="5" t="s">
        <v>4216</v>
      </c>
    </row>
    <row r="811" spans="1:24" x14ac:dyDescent="0.3">
      <c r="A811" s="3">
        <v>805</v>
      </c>
      <c r="B811" s="3" t="str">
        <f>"201900070807"</f>
        <v>201900070807</v>
      </c>
      <c r="C811" s="3" t="str">
        <f>"142931"</f>
        <v>142931</v>
      </c>
      <c r="D811" s="3" t="s">
        <v>4217</v>
      </c>
      <c r="E811" s="3">
        <v>20140476545</v>
      </c>
      <c r="F811" s="3" t="s">
        <v>4218</v>
      </c>
      <c r="G811" s="3" t="s">
        <v>4219</v>
      </c>
      <c r="H811" s="3" t="s">
        <v>28</v>
      </c>
      <c r="I811" s="3" t="s">
        <v>28</v>
      </c>
      <c r="J811" s="3" t="s">
        <v>1432</v>
      </c>
      <c r="K811" s="3" t="s">
        <v>4220</v>
      </c>
      <c r="L811" s="3" t="s">
        <v>4220</v>
      </c>
      <c r="M811" s="3" t="s">
        <v>4220</v>
      </c>
      <c r="N811" s="3" t="s">
        <v>4221</v>
      </c>
      <c r="O811" s="3" t="s">
        <v>4222</v>
      </c>
      <c r="P811" s="3" t="s">
        <v>4223</v>
      </c>
      <c r="Q811" s="3" t="s">
        <v>4223</v>
      </c>
      <c r="R811" s="3"/>
      <c r="S811" s="3"/>
      <c r="T811" s="3"/>
      <c r="U811" s="3">
        <v>38298</v>
      </c>
      <c r="V811" s="4">
        <v>43587</v>
      </c>
      <c r="W811" s="3" t="s">
        <v>31</v>
      </c>
      <c r="X811" s="3" t="s">
        <v>4224</v>
      </c>
    </row>
    <row r="812" spans="1:24" x14ac:dyDescent="0.3">
      <c r="A812" s="5">
        <v>806</v>
      </c>
      <c r="B812" s="5" t="str">
        <f>"1827964"</f>
        <v>1827964</v>
      </c>
      <c r="C812" s="5" t="str">
        <f>"573"</f>
        <v>573</v>
      </c>
      <c r="D812" s="5" t="s">
        <v>4225</v>
      </c>
      <c r="E812" s="5">
        <v>20518693116</v>
      </c>
      <c r="F812" s="5" t="s">
        <v>4226</v>
      </c>
      <c r="G812" s="5" t="s">
        <v>4227</v>
      </c>
      <c r="H812" s="5" t="s">
        <v>285</v>
      </c>
      <c r="I812" s="5" t="s">
        <v>286</v>
      </c>
      <c r="J812" s="5" t="s">
        <v>470</v>
      </c>
      <c r="K812" s="5" t="s">
        <v>4228</v>
      </c>
      <c r="L812" s="5" t="s">
        <v>4229</v>
      </c>
      <c r="M812" s="5"/>
      <c r="N812" s="5"/>
      <c r="O812" s="5"/>
      <c r="P812" s="5"/>
      <c r="Q812" s="5"/>
      <c r="R812" s="5"/>
      <c r="S812" s="5"/>
      <c r="T812" s="5"/>
      <c r="U812" s="5">
        <v>29870</v>
      </c>
      <c r="V812" s="6">
        <v>39710</v>
      </c>
      <c r="W812" s="5" t="s">
        <v>31</v>
      </c>
      <c r="X812" s="5" t="s">
        <v>4230</v>
      </c>
    </row>
    <row r="813" spans="1:24" x14ac:dyDescent="0.3">
      <c r="A813" s="3">
        <v>807</v>
      </c>
      <c r="B813" s="3" t="str">
        <f>"1104862"</f>
        <v>1104862</v>
      </c>
      <c r="C813" s="3" t="str">
        <f>"169"</f>
        <v>169</v>
      </c>
      <c r="D813" s="3">
        <v>960889</v>
      </c>
      <c r="E813" s="3">
        <v>20107798049</v>
      </c>
      <c r="F813" s="3" t="s">
        <v>4231</v>
      </c>
      <c r="G813" s="3" t="s">
        <v>4232</v>
      </c>
      <c r="H813" s="3" t="s">
        <v>28</v>
      </c>
      <c r="I813" s="3" t="s">
        <v>28</v>
      </c>
      <c r="J813" s="3" t="s">
        <v>1706</v>
      </c>
      <c r="K813" s="3" t="s">
        <v>1775</v>
      </c>
      <c r="L813" s="3" t="s">
        <v>420</v>
      </c>
      <c r="M813" s="3" t="s">
        <v>4233</v>
      </c>
      <c r="N813" s="3"/>
      <c r="O813" s="3"/>
      <c r="P813" s="3"/>
      <c r="Q813" s="3"/>
      <c r="R813" s="3"/>
      <c r="S813" s="3"/>
      <c r="T813" s="3"/>
      <c r="U813" s="3">
        <v>6700</v>
      </c>
      <c r="V813" s="4">
        <v>35794</v>
      </c>
      <c r="W813" s="3" t="s">
        <v>31</v>
      </c>
      <c r="X813" s="3" t="s">
        <v>4234</v>
      </c>
    </row>
    <row r="814" spans="1:24" ht="27.95" x14ac:dyDescent="0.3">
      <c r="A814" s="5">
        <v>808</v>
      </c>
      <c r="B814" s="5" t="str">
        <f>"201200033562"</f>
        <v>201200033562</v>
      </c>
      <c r="C814" s="5" t="str">
        <f>"96120"</f>
        <v>96120</v>
      </c>
      <c r="D814" s="5" t="s">
        <v>4235</v>
      </c>
      <c r="E814" s="5">
        <v>20160150832</v>
      </c>
      <c r="F814" s="5" t="s">
        <v>4236</v>
      </c>
      <c r="G814" s="5" t="s">
        <v>4237</v>
      </c>
      <c r="H814" s="5" t="s">
        <v>115</v>
      </c>
      <c r="I814" s="5" t="s">
        <v>115</v>
      </c>
      <c r="J814" s="5" t="s">
        <v>159</v>
      </c>
      <c r="K814" s="5" t="s">
        <v>2309</v>
      </c>
      <c r="L814" s="5"/>
      <c r="M814" s="5"/>
      <c r="N814" s="5"/>
      <c r="O814" s="5"/>
      <c r="P814" s="5"/>
      <c r="Q814" s="5"/>
      <c r="R814" s="5"/>
      <c r="S814" s="5"/>
      <c r="T814" s="5"/>
      <c r="U814" s="5">
        <v>2200</v>
      </c>
      <c r="V814" s="6">
        <v>41008</v>
      </c>
      <c r="W814" s="5" t="s">
        <v>31</v>
      </c>
      <c r="X814" s="5" t="s">
        <v>4238</v>
      </c>
    </row>
    <row r="815" spans="1:24" ht="27.95" x14ac:dyDescent="0.3">
      <c r="A815" s="3">
        <v>809</v>
      </c>
      <c r="B815" s="3" t="str">
        <f>"201300046885"</f>
        <v>201300046885</v>
      </c>
      <c r="C815" s="3" t="str">
        <f>"87679"</f>
        <v>87679</v>
      </c>
      <c r="D815" s="3" t="s">
        <v>4239</v>
      </c>
      <c r="E815" s="3">
        <v>20504380077</v>
      </c>
      <c r="F815" s="3" t="s">
        <v>4240</v>
      </c>
      <c r="G815" s="3" t="s">
        <v>4241</v>
      </c>
      <c r="H815" s="3" t="s">
        <v>28</v>
      </c>
      <c r="I815" s="3" t="s">
        <v>28</v>
      </c>
      <c r="J815" s="3" t="s">
        <v>1403</v>
      </c>
      <c r="K815" s="3" t="s">
        <v>1182</v>
      </c>
      <c r="L815" s="3" t="s">
        <v>1182</v>
      </c>
      <c r="M815" s="3" t="s">
        <v>1182</v>
      </c>
      <c r="N815" s="3"/>
      <c r="O815" s="3"/>
      <c r="P815" s="3"/>
      <c r="Q815" s="3"/>
      <c r="R815" s="3"/>
      <c r="S815" s="3"/>
      <c r="T815" s="3"/>
      <c r="U815" s="3">
        <v>12000</v>
      </c>
      <c r="V815" s="4">
        <v>41339</v>
      </c>
      <c r="W815" s="3" t="s">
        <v>31</v>
      </c>
      <c r="X815" s="3" t="s">
        <v>4242</v>
      </c>
    </row>
    <row r="816" spans="1:24" ht="27.95" x14ac:dyDescent="0.3">
      <c r="A816" s="5">
        <v>810</v>
      </c>
      <c r="B816" s="5" t="str">
        <f>"202000074696"</f>
        <v>202000074696</v>
      </c>
      <c r="C816" s="5" t="str">
        <f>"1272"</f>
        <v>1272</v>
      </c>
      <c r="D816" s="5" t="s">
        <v>4243</v>
      </c>
      <c r="E816" s="5">
        <v>20160272784</v>
      </c>
      <c r="F816" s="5" t="s">
        <v>3095</v>
      </c>
      <c r="G816" s="5" t="s">
        <v>4244</v>
      </c>
      <c r="H816" s="5" t="s">
        <v>80</v>
      </c>
      <c r="I816" s="5" t="s">
        <v>309</v>
      </c>
      <c r="J816" s="5" t="s">
        <v>309</v>
      </c>
      <c r="K816" s="5" t="s">
        <v>4245</v>
      </c>
      <c r="L816" s="5"/>
      <c r="M816" s="5"/>
      <c r="N816" s="5"/>
      <c r="O816" s="5"/>
      <c r="P816" s="5"/>
      <c r="Q816" s="5"/>
      <c r="R816" s="5"/>
      <c r="S816" s="5"/>
      <c r="T816" s="5"/>
      <c r="U816" s="5">
        <v>42581</v>
      </c>
      <c r="V816" s="6">
        <v>44020</v>
      </c>
      <c r="W816" s="5" t="s">
        <v>31</v>
      </c>
      <c r="X816" s="5" t="s">
        <v>4246</v>
      </c>
    </row>
    <row r="817" spans="1:24" ht="41.95" x14ac:dyDescent="0.3">
      <c r="A817" s="3">
        <v>811</v>
      </c>
      <c r="B817" s="3" t="str">
        <f>"201300148691"</f>
        <v>201300148691</v>
      </c>
      <c r="C817" s="3" t="str">
        <f>"45739"</f>
        <v>45739</v>
      </c>
      <c r="D817" s="3" t="s">
        <v>4247</v>
      </c>
      <c r="E817" s="3">
        <v>20385568275</v>
      </c>
      <c r="F817" s="3" t="s">
        <v>4248</v>
      </c>
      <c r="G817" s="3" t="s">
        <v>4249</v>
      </c>
      <c r="H817" s="3" t="s">
        <v>28</v>
      </c>
      <c r="I817" s="3" t="s">
        <v>28</v>
      </c>
      <c r="J817" s="3" t="s">
        <v>109</v>
      </c>
      <c r="K817" s="3" t="s">
        <v>397</v>
      </c>
      <c r="L817" s="3"/>
      <c r="M817" s="3"/>
      <c r="N817" s="3"/>
      <c r="O817" s="3"/>
      <c r="P817" s="3"/>
      <c r="Q817" s="3"/>
      <c r="R817" s="3"/>
      <c r="S817" s="3"/>
      <c r="T817" s="3"/>
      <c r="U817" s="3">
        <v>2000</v>
      </c>
      <c r="V817" s="4">
        <v>41548</v>
      </c>
      <c r="W817" s="3" t="s">
        <v>31</v>
      </c>
      <c r="X817" s="3" t="s">
        <v>4250</v>
      </c>
    </row>
    <row r="818" spans="1:24" x14ac:dyDescent="0.3">
      <c r="A818" s="5">
        <v>812</v>
      </c>
      <c r="B818" s="5" t="str">
        <f>"201700027789"</f>
        <v>201700027789</v>
      </c>
      <c r="C818" s="5" t="str">
        <f>"120924"</f>
        <v>120924</v>
      </c>
      <c r="D818" s="5" t="s">
        <v>4251</v>
      </c>
      <c r="E818" s="5">
        <v>20389230724</v>
      </c>
      <c r="F818" s="5" t="s">
        <v>4252</v>
      </c>
      <c r="G818" s="5" t="s">
        <v>4253</v>
      </c>
      <c r="H818" s="5" t="s">
        <v>28</v>
      </c>
      <c r="I818" s="5" t="s">
        <v>28</v>
      </c>
      <c r="J818" s="5" t="s">
        <v>180</v>
      </c>
      <c r="K818" s="5" t="s">
        <v>3134</v>
      </c>
      <c r="L818" s="5"/>
      <c r="M818" s="5"/>
      <c r="N818" s="5"/>
      <c r="O818" s="5"/>
      <c r="P818" s="5"/>
      <c r="Q818" s="5"/>
      <c r="R818" s="5"/>
      <c r="S818" s="5"/>
      <c r="T818" s="5"/>
      <c r="U818" s="5">
        <v>700</v>
      </c>
      <c r="V818" s="6">
        <v>42798</v>
      </c>
      <c r="W818" s="5" t="s">
        <v>31</v>
      </c>
      <c r="X818" s="5" t="s">
        <v>4254</v>
      </c>
    </row>
    <row r="819" spans="1:24" ht="27.95" x14ac:dyDescent="0.3">
      <c r="A819" s="3">
        <v>813</v>
      </c>
      <c r="B819" s="3" t="str">
        <f>"201400063308"</f>
        <v>201400063308</v>
      </c>
      <c r="C819" s="3" t="str">
        <f>"1017"</f>
        <v>1017</v>
      </c>
      <c r="D819" s="3" t="s">
        <v>4255</v>
      </c>
      <c r="E819" s="3">
        <v>10329530405</v>
      </c>
      <c r="F819" s="3" t="s">
        <v>4256</v>
      </c>
      <c r="G819" s="3" t="s">
        <v>4257</v>
      </c>
      <c r="H819" s="3" t="s">
        <v>285</v>
      </c>
      <c r="I819" s="3" t="s">
        <v>286</v>
      </c>
      <c r="J819" s="3" t="s">
        <v>470</v>
      </c>
      <c r="K819" s="3" t="s">
        <v>540</v>
      </c>
      <c r="L819" s="3"/>
      <c r="M819" s="3"/>
      <c r="N819" s="3"/>
      <c r="O819" s="3"/>
      <c r="P819" s="3"/>
      <c r="Q819" s="3"/>
      <c r="R819" s="3"/>
      <c r="S819" s="3"/>
      <c r="T819" s="3"/>
      <c r="U819" s="3">
        <v>5000</v>
      </c>
      <c r="V819" s="4">
        <v>41786</v>
      </c>
      <c r="W819" s="3" t="s">
        <v>31</v>
      </c>
      <c r="X819" s="3" t="s">
        <v>4258</v>
      </c>
    </row>
    <row r="820" spans="1:24" x14ac:dyDescent="0.3">
      <c r="A820" s="5">
        <v>814</v>
      </c>
      <c r="B820" s="5" t="str">
        <f>"1450663"</f>
        <v>1450663</v>
      </c>
      <c r="C820" s="5" t="str">
        <f>"1375"</f>
        <v>1375</v>
      </c>
      <c r="D820" s="5" t="s">
        <v>4259</v>
      </c>
      <c r="E820" s="5">
        <v>20103951781</v>
      </c>
      <c r="F820" s="5" t="s">
        <v>4260</v>
      </c>
      <c r="G820" s="5" t="s">
        <v>4261</v>
      </c>
      <c r="H820" s="5" t="s">
        <v>58</v>
      </c>
      <c r="I820" s="5" t="s">
        <v>59</v>
      </c>
      <c r="J820" s="5" t="s">
        <v>60</v>
      </c>
      <c r="K820" s="5" t="s">
        <v>4014</v>
      </c>
      <c r="L820" s="5"/>
      <c r="M820" s="5"/>
      <c r="N820" s="5"/>
      <c r="O820" s="5"/>
      <c r="P820" s="5"/>
      <c r="Q820" s="5"/>
      <c r="R820" s="5"/>
      <c r="S820" s="5"/>
      <c r="T820" s="5"/>
      <c r="U820" s="5">
        <v>12000</v>
      </c>
      <c r="V820" s="6">
        <v>37936</v>
      </c>
      <c r="W820" s="5" t="s">
        <v>31</v>
      </c>
      <c r="X820" s="5" t="s">
        <v>4262</v>
      </c>
    </row>
    <row r="821" spans="1:24" x14ac:dyDescent="0.3">
      <c r="A821" s="3">
        <v>815</v>
      </c>
      <c r="B821" s="3" t="str">
        <f>"201400151966"</f>
        <v>201400151966</v>
      </c>
      <c r="C821" s="3" t="str">
        <f>"61964"</f>
        <v>61964</v>
      </c>
      <c r="D821" s="3" t="s">
        <v>4263</v>
      </c>
      <c r="E821" s="3">
        <v>20491854481</v>
      </c>
      <c r="F821" s="3" t="s">
        <v>4264</v>
      </c>
      <c r="G821" s="3" t="s">
        <v>4265</v>
      </c>
      <c r="H821" s="3" t="s">
        <v>80</v>
      </c>
      <c r="I821" s="3" t="s">
        <v>309</v>
      </c>
      <c r="J821" s="3" t="s">
        <v>309</v>
      </c>
      <c r="K821" s="3" t="s">
        <v>4266</v>
      </c>
      <c r="L821" s="3" t="s">
        <v>4267</v>
      </c>
      <c r="M821" s="3"/>
      <c r="N821" s="3"/>
      <c r="O821" s="3"/>
      <c r="P821" s="3"/>
      <c r="Q821" s="3"/>
      <c r="R821" s="3"/>
      <c r="S821" s="3"/>
      <c r="T821" s="3"/>
      <c r="U821" s="3">
        <v>183305</v>
      </c>
      <c r="V821" s="4">
        <v>41965</v>
      </c>
      <c r="W821" s="3" t="s">
        <v>31</v>
      </c>
      <c r="X821" s="3" t="s">
        <v>4268</v>
      </c>
    </row>
    <row r="822" spans="1:24" ht="27.95" x14ac:dyDescent="0.3">
      <c r="A822" s="5">
        <v>816</v>
      </c>
      <c r="B822" s="5" t="str">
        <f>"1519780"</f>
        <v>1519780</v>
      </c>
      <c r="C822" s="5" t="str">
        <f>"1239"</f>
        <v>1239</v>
      </c>
      <c r="D822" s="5" t="s">
        <v>4269</v>
      </c>
      <c r="E822" s="5">
        <v>20103929262</v>
      </c>
      <c r="F822" s="5" t="s">
        <v>4270</v>
      </c>
      <c r="G822" s="5" t="s">
        <v>4271</v>
      </c>
      <c r="H822" s="5" t="s">
        <v>58</v>
      </c>
      <c r="I822" s="5" t="s">
        <v>59</v>
      </c>
      <c r="J822" s="5" t="s">
        <v>2573</v>
      </c>
      <c r="K822" s="5" t="s">
        <v>4272</v>
      </c>
      <c r="L822" s="5" t="s">
        <v>1760</v>
      </c>
      <c r="M822" s="5"/>
      <c r="N822" s="5"/>
      <c r="O822" s="5"/>
      <c r="P822" s="5"/>
      <c r="Q822" s="5"/>
      <c r="R822" s="5"/>
      <c r="S822" s="5"/>
      <c r="T822" s="5"/>
      <c r="U822" s="5">
        <v>3700</v>
      </c>
      <c r="V822" s="6">
        <v>38358</v>
      </c>
      <c r="W822" s="5" t="s">
        <v>31</v>
      </c>
      <c r="X822" s="5" t="s">
        <v>4273</v>
      </c>
    </row>
    <row r="823" spans="1:24" x14ac:dyDescent="0.3">
      <c r="A823" s="3">
        <v>817</v>
      </c>
      <c r="B823" s="3" t="str">
        <f>"201500016723"</f>
        <v>201500016723</v>
      </c>
      <c r="C823" s="3" t="str">
        <f>"113841"</f>
        <v>113841</v>
      </c>
      <c r="D823" s="3" t="s">
        <v>4274</v>
      </c>
      <c r="E823" s="3">
        <v>20498189637</v>
      </c>
      <c r="F823" s="3" t="s">
        <v>4275</v>
      </c>
      <c r="G823" s="3" t="s">
        <v>4276</v>
      </c>
      <c r="H823" s="3" t="s">
        <v>28</v>
      </c>
      <c r="I823" s="3" t="s">
        <v>28</v>
      </c>
      <c r="J823" s="3" t="s">
        <v>266</v>
      </c>
      <c r="K823" s="3" t="s">
        <v>2634</v>
      </c>
      <c r="L823" s="3"/>
      <c r="M823" s="3"/>
      <c r="N823" s="3"/>
      <c r="O823" s="3"/>
      <c r="P823" s="3"/>
      <c r="Q823" s="3"/>
      <c r="R823" s="3"/>
      <c r="S823" s="3"/>
      <c r="T823" s="3"/>
      <c r="U823" s="3">
        <v>6600</v>
      </c>
      <c r="V823" s="4">
        <v>42116</v>
      </c>
      <c r="W823" s="3" t="s">
        <v>31</v>
      </c>
      <c r="X823" s="3" t="s">
        <v>4277</v>
      </c>
    </row>
    <row r="824" spans="1:24" x14ac:dyDescent="0.3">
      <c r="A824" s="5">
        <v>818</v>
      </c>
      <c r="B824" s="5" t="str">
        <f>"1400882"</f>
        <v>1400882</v>
      </c>
      <c r="C824" s="5" t="str">
        <f>"88044"</f>
        <v>88044</v>
      </c>
      <c r="D824" s="5" t="s">
        <v>4278</v>
      </c>
      <c r="E824" s="5">
        <v>20525651542</v>
      </c>
      <c r="F824" s="5" t="s">
        <v>4279</v>
      </c>
      <c r="G824" s="5" t="s">
        <v>4280</v>
      </c>
      <c r="H824" s="5" t="s">
        <v>80</v>
      </c>
      <c r="I824" s="5" t="s">
        <v>309</v>
      </c>
      <c r="J824" s="5" t="s">
        <v>309</v>
      </c>
      <c r="K824" s="5" t="s">
        <v>4281</v>
      </c>
      <c r="L824" s="5"/>
      <c r="M824" s="5"/>
      <c r="N824" s="5"/>
      <c r="O824" s="5"/>
      <c r="P824" s="5"/>
      <c r="Q824" s="5"/>
      <c r="R824" s="5"/>
      <c r="S824" s="5"/>
      <c r="T824" s="5"/>
      <c r="U824" s="5">
        <v>10486</v>
      </c>
      <c r="V824" s="6">
        <v>40424</v>
      </c>
      <c r="W824" s="5" t="s">
        <v>31</v>
      </c>
      <c r="X824" s="5" t="s">
        <v>4282</v>
      </c>
    </row>
    <row r="825" spans="1:24" ht="27.95" x14ac:dyDescent="0.3">
      <c r="A825" s="3">
        <v>819</v>
      </c>
      <c r="B825" s="3" t="str">
        <f>"201700060063"</f>
        <v>201700060063</v>
      </c>
      <c r="C825" s="3" t="str">
        <f>"1166"</f>
        <v>1166</v>
      </c>
      <c r="D825" s="3" t="s">
        <v>4283</v>
      </c>
      <c r="E825" s="3">
        <v>20100128218</v>
      </c>
      <c r="F825" s="3" t="s">
        <v>4284</v>
      </c>
      <c r="G825" s="3" t="s">
        <v>4285</v>
      </c>
      <c r="H825" s="3" t="s">
        <v>58</v>
      </c>
      <c r="I825" s="3" t="s">
        <v>507</v>
      </c>
      <c r="J825" s="3" t="s">
        <v>4286</v>
      </c>
      <c r="K825" s="3" t="s">
        <v>4287</v>
      </c>
      <c r="L825" s="3" t="s">
        <v>4288</v>
      </c>
      <c r="M825" s="3"/>
      <c r="N825" s="3"/>
      <c r="O825" s="3"/>
      <c r="P825" s="3"/>
      <c r="Q825" s="3"/>
      <c r="R825" s="3"/>
      <c r="S825" s="3"/>
      <c r="T825" s="3"/>
      <c r="U825" s="3">
        <v>422280</v>
      </c>
      <c r="V825" s="4">
        <v>42858</v>
      </c>
      <c r="W825" s="3" t="s">
        <v>31</v>
      </c>
      <c r="X825" s="3" t="s">
        <v>4289</v>
      </c>
    </row>
    <row r="826" spans="1:24" x14ac:dyDescent="0.3">
      <c r="A826" s="5">
        <v>820</v>
      </c>
      <c r="B826" s="5" t="str">
        <f>"1356879"</f>
        <v>1356879</v>
      </c>
      <c r="C826" s="5" t="str">
        <f>"21738"</f>
        <v>21738</v>
      </c>
      <c r="D826" s="5" t="s">
        <v>4290</v>
      </c>
      <c r="E826" s="5">
        <v>20413305897</v>
      </c>
      <c r="F826" s="5" t="s">
        <v>4291</v>
      </c>
      <c r="G826" s="5" t="s">
        <v>4292</v>
      </c>
      <c r="H826" s="5" t="s">
        <v>51</v>
      </c>
      <c r="I826" s="5" t="s">
        <v>51</v>
      </c>
      <c r="J826" s="5" t="s">
        <v>426</v>
      </c>
      <c r="K826" s="5" t="s">
        <v>4293</v>
      </c>
      <c r="L826" s="5" t="s">
        <v>871</v>
      </c>
      <c r="M826" s="5"/>
      <c r="N826" s="5"/>
      <c r="O826" s="5"/>
      <c r="P826" s="5"/>
      <c r="Q826" s="5"/>
      <c r="R826" s="5"/>
      <c r="S826" s="5"/>
      <c r="T826" s="5"/>
      <c r="U826" s="5">
        <v>7243</v>
      </c>
      <c r="V826" s="6">
        <v>37341</v>
      </c>
      <c r="W826" s="5" t="s">
        <v>31</v>
      </c>
      <c r="X826" s="5" t="s">
        <v>4294</v>
      </c>
    </row>
    <row r="827" spans="1:24" ht="41.95" x14ac:dyDescent="0.3">
      <c r="A827" s="3">
        <v>821</v>
      </c>
      <c r="B827" s="3" t="str">
        <f>"201500109532"</f>
        <v>201500109532</v>
      </c>
      <c r="C827" s="3" t="str">
        <f>"96636"</f>
        <v>96636</v>
      </c>
      <c r="D827" s="3" t="s">
        <v>4295</v>
      </c>
      <c r="E827" s="3">
        <v>20506675457</v>
      </c>
      <c r="F827" s="3" t="s">
        <v>4296</v>
      </c>
      <c r="G827" s="3" t="s">
        <v>4297</v>
      </c>
      <c r="H827" s="3" t="s">
        <v>566</v>
      </c>
      <c r="I827" s="3" t="s">
        <v>2671</v>
      </c>
      <c r="J827" s="3" t="s">
        <v>2672</v>
      </c>
      <c r="K827" s="3" t="s">
        <v>2180</v>
      </c>
      <c r="L827" s="3" t="s">
        <v>2180</v>
      </c>
      <c r="M827" s="3" t="s">
        <v>2180</v>
      </c>
      <c r="N827" s="3" t="s">
        <v>2180</v>
      </c>
      <c r="O827" s="3" t="s">
        <v>2180</v>
      </c>
      <c r="P827" s="3" t="s">
        <v>2180</v>
      </c>
      <c r="Q827" s="3" t="s">
        <v>2180</v>
      </c>
      <c r="R827" s="3" t="s">
        <v>4298</v>
      </c>
      <c r="S827" s="3" t="s">
        <v>4298</v>
      </c>
      <c r="T827" s="3" t="s">
        <v>2180</v>
      </c>
      <c r="U827" s="3">
        <v>352960</v>
      </c>
      <c r="V827" s="4">
        <v>42262</v>
      </c>
      <c r="W827" s="3" t="s">
        <v>31</v>
      </c>
      <c r="X827" s="3" t="s">
        <v>4299</v>
      </c>
    </row>
    <row r="828" spans="1:24" ht="27.95" x14ac:dyDescent="0.3">
      <c r="A828" s="5">
        <v>822</v>
      </c>
      <c r="B828" s="5" t="str">
        <f>"1569106"</f>
        <v>1569106</v>
      </c>
      <c r="C828" s="5" t="str">
        <f>"41805"</f>
        <v>41805</v>
      </c>
      <c r="D828" s="5" t="s">
        <v>4300</v>
      </c>
      <c r="E828" s="5">
        <v>20100725810</v>
      </c>
      <c r="F828" s="5" t="s">
        <v>4301</v>
      </c>
      <c r="G828" s="5" t="s">
        <v>4302</v>
      </c>
      <c r="H828" s="5" t="s">
        <v>28</v>
      </c>
      <c r="I828" s="5" t="s">
        <v>28</v>
      </c>
      <c r="J828" s="5" t="s">
        <v>102</v>
      </c>
      <c r="K828" s="5" t="s">
        <v>1936</v>
      </c>
      <c r="L828" s="5"/>
      <c r="M828" s="5"/>
      <c r="N828" s="5"/>
      <c r="O828" s="5"/>
      <c r="P828" s="5"/>
      <c r="Q828" s="5"/>
      <c r="R828" s="5"/>
      <c r="S828" s="5"/>
      <c r="T828" s="5"/>
      <c r="U828" s="5">
        <v>3000</v>
      </c>
      <c r="V828" s="6">
        <v>38667</v>
      </c>
      <c r="W828" s="5" t="s">
        <v>31</v>
      </c>
      <c r="X828" s="5" t="s">
        <v>4303</v>
      </c>
    </row>
    <row r="829" spans="1:24" x14ac:dyDescent="0.3">
      <c r="A829" s="3">
        <v>823</v>
      </c>
      <c r="B829" s="3" t="str">
        <f>"201600064249"</f>
        <v>201600064249</v>
      </c>
      <c r="C829" s="3" t="str">
        <f>"121231"</f>
        <v>121231</v>
      </c>
      <c r="D829" s="3" t="s">
        <v>4304</v>
      </c>
      <c r="E829" s="3">
        <v>20510625235</v>
      </c>
      <c r="F829" s="3" t="s">
        <v>4305</v>
      </c>
      <c r="G829" s="3" t="s">
        <v>4306</v>
      </c>
      <c r="H829" s="3" t="s">
        <v>214</v>
      </c>
      <c r="I829" s="3" t="s">
        <v>1668</v>
      </c>
      <c r="J829" s="3" t="s">
        <v>3596</v>
      </c>
      <c r="K829" s="3" t="s">
        <v>4307</v>
      </c>
      <c r="L829" s="3"/>
      <c r="M829" s="3"/>
      <c r="N829" s="3"/>
      <c r="O829" s="3"/>
      <c r="P829" s="3"/>
      <c r="Q829" s="3"/>
      <c r="R829" s="3"/>
      <c r="S829" s="3"/>
      <c r="T829" s="3"/>
      <c r="U829" s="3">
        <v>12000</v>
      </c>
      <c r="V829" s="4">
        <v>42530</v>
      </c>
      <c r="W829" s="3" t="s">
        <v>31</v>
      </c>
      <c r="X829" s="3" t="s">
        <v>4308</v>
      </c>
    </row>
    <row r="830" spans="1:24" x14ac:dyDescent="0.3">
      <c r="A830" s="5">
        <v>824</v>
      </c>
      <c r="B830" s="5" t="str">
        <f>"1332340"</f>
        <v>1332340</v>
      </c>
      <c r="C830" s="5" t="str">
        <f>"21174"</f>
        <v>21174</v>
      </c>
      <c r="D830" s="5" t="s">
        <v>4309</v>
      </c>
      <c r="E830" s="5">
        <v>20203082739</v>
      </c>
      <c r="F830" s="5" t="s">
        <v>4310</v>
      </c>
      <c r="G830" s="5" t="s">
        <v>4311</v>
      </c>
      <c r="H830" s="5" t="s">
        <v>28</v>
      </c>
      <c r="I830" s="5" t="s">
        <v>28</v>
      </c>
      <c r="J830" s="5" t="s">
        <v>91</v>
      </c>
      <c r="K830" s="5" t="s">
        <v>396</v>
      </c>
      <c r="L830" s="5"/>
      <c r="M830" s="5"/>
      <c r="N830" s="5"/>
      <c r="O830" s="5"/>
      <c r="P830" s="5"/>
      <c r="Q830" s="5"/>
      <c r="R830" s="5"/>
      <c r="S830" s="5"/>
      <c r="T830" s="5"/>
      <c r="U830" s="5">
        <v>6000</v>
      </c>
      <c r="V830" s="6">
        <v>37120</v>
      </c>
      <c r="W830" s="5" t="s">
        <v>31</v>
      </c>
      <c r="X830" s="5" t="s">
        <v>4312</v>
      </c>
    </row>
    <row r="831" spans="1:24" ht="27.95" x14ac:dyDescent="0.3">
      <c r="A831" s="3">
        <v>825</v>
      </c>
      <c r="B831" s="3" t="str">
        <f>"201200058678"</f>
        <v>201200058678</v>
      </c>
      <c r="C831" s="3" t="str">
        <f>"96227"</f>
        <v>96227</v>
      </c>
      <c r="D831" s="3" t="s">
        <v>4313</v>
      </c>
      <c r="E831" s="3">
        <v>20136617746</v>
      </c>
      <c r="F831" s="3" t="s">
        <v>4314</v>
      </c>
      <c r="G831" s="3" t="s">
        <v>4315</v>
      </c>
      <c r="H831" s="3" t="s">
        <v>28</v>
      </c>
      <c r="I831" s="3" t="s">
        <v>28</v>
      </c>
      <c r="J831" s="3" t="s">
        <v>409</v>
      </c>
      <c r="K831" s="3" t="s">
        <v>4316</v>
      </c>
      <c r="L831" s="3"/>
      <c r="M831" s="3"/>
      <c r="N831" s="3"/>
      <c r="O831" s="3"/>
      <c r="P831" s="3"/>
      <c r="Q831" s="3"/>
      <c r="R831" s="3"/>
      <c r="S831" s="3"/>
      <c r="T831" s="3"/>
      <c r="U831" s="3">
        <v>3490</v>
      </c>
      <c r="V831" s="4">
        <v>41023</v>
      </c>
      <c r="W831" s="3" t="s">
        <v>31</v>
      </c>
      <c r="X831" s="3" t="s">
        <v>4317</v>
      </c>
    </row>
    <row r="832" spans="1:24" x14ac:dyDescent="0.3">
      <c r="A832" s="5">
        <v>826</v>
      </c>
      <c r="B832" s="5" t="str">
        <f>"1294188"</f>
        <v>1294188</v>
      </c>
      <c r="C832" s="5" t="str">
        <f>"19427"</f>
        <v>19427</v>
      </c>
      <c r="D832" s="5">
        <v>1294188</v>
      </c>
      <c r="E832" s="5">
        <v>20100035121</v>
      </c>
      <c r="F832" s="5" t="s">
        <v>1787</v>
      </c>
      <c r="G832" s="5" t="s">
        <v>4318</v>
      </c>
      <c r="H832" s="5" t="s">
        <v>28</v>
      </c>
      <c r="I832" s="5" t="s">
        <v>28</v>
      </c>
      <c r="J832" s="5" t="s">
        <v>28</v>
      </c>
      <c r="K832" s="5" t="s">
        <v>4319</v>
      </c>
      <c r="L832" s="5" t="s">
        <v>421</v>
      </c>
      <c r="M832" s="5" t="s">
        <v>4320</v>
      </c>
      <c r="N832" s="5"/>
      <c r="O832" s="5"/>
      <c r="P832" s="5"/>
      <c r="Q832" s="5"/>
      <c r="R832" s="5"/>
      <c r="S832" s="5"/>
      <c r="T832" s="5"/>
      <c r="U832" s="5">
        <v>27002</v>
      </c>
      <c r="V832" s="6">
        <v>36782</v>
      </c>
      <c r="W832" s="5" t="s">
        <v>31</v>
      </c>
      <c r="X832" s="5" t="s">
        <v>1790</v>
      </c>
    </row>
    <row r="833" spans="1:24" x14ac:dyDescent="0.3">
      <c r="A833" s="3">
        <v>827</v>
      </c>
      <c r="B833" s="3" t="str">
        <f>"1602957"</f>
        <v>1602957</v>
      </c>
      <c r="C833" s="3" t="str">
        <f>"18634"</f>
        <v>18634</v>
      </c>
      <c r="D833" s="3" t="s">
        <v>4321</v>
      </c>
      <c r="E833" s="3">
        <v>20506285314</v>
      </c>
      <c r="F833" s="3" t="s">
        <v>4322</v>
      </c>
      <c r="G833" s="3" t="s">
        <v>4323</v>
      </c>
      <c r="H833" s="3" t="s">
        <v>80</v>
      </c>
      <c r="I833" s="3" t="s">
        <v>228</v>
      </c>
      <c r="J833" s="3" t="s">
        <v>228</v>
      </c>
      <c r="K833" s="3" t="s">
        <v>4324</v>
      </c>
      <c r="L833" s="3"/>
      <c r="M833" s="3"/>
      <c r="N833" s="3"/>
      <c r="O833" s="3"/>
      <c r="P833" s="3"/>
      <c r="Q833" s="3"/>
      <c r="R833" s="3"/>
      <c r="S833" s="3"/>
      <c r="T833" s="3"/>
      <c r="U833" s="3">
        <v>7124</v>
      </c>
      <c r="V833" s="4">
        <v>38812</v>
      </c>
      <c r="W833" s="3" t="s">
        <v>31</v>
      </c>
      <c r="X833" s="3" t="s">
        <v>4325</v>
      </c>
    </row>
    <row r="834" spans="1:24" ht="27.95" x14ac:dyDescent="0.3">
      <c r="A834" s="5">
        <v>828</v>
      </c>
      <c r="B834" s="5" t="str">
        <f>"201300153673"</f>
        <v>201300153673</v>
      </c>
      <c r="C834" s="5" t="str">
        <f>"47"</f>
        <v>47</v>
      </c>
      <c r="D834" s="5" t="s">
        <v>4326</v>
      </c>
      <c r="E834" s="5">
        <v>20502324927</v>
      </c>
      <c r="F834" s="5" t="s">
        <v>4327</v>
      </c>
      <c r="G834" s="5" t="s">
        <v>4328</v>
      </c>
      <c r="H834" s="5" t="s">
        <v>28</v>
      </c>
      <c r="I834" s="5" t="s">
        <v>28</v>
      </c>
      <c r="J834" s="5" t="s">
        <v>202</v>
      </c>
      <c r="K834" s="5" t="s">
        <v>168</v>
      </c>
      <c r="L834" s="5" t="s">
        <v>168</v>
      </c>
      <c r="M834" s="5"/>
      <c r="N834" s="5"/>
      <c r="O834" s="5"/>
      <c r="P834" s="5"/>
      <c r="Q834" s="5"/>
      <c r="R834" s="5"/>
      <c r="S834" s="5"/>
      <c r="T834" s="5"/>
      <c r="U834" s="5">
        <v>20000</v>
      </c>
      <c r="V834" s="6">
        <v>41584</v>
      </c>
      <c r="W834" s="5" t="s">
        <v>31</v>
      </c>
      <c r="X834" s="5" t="s">
        <v>4329</v>
      </c>
    </row>
    <row r="835" spans="1:24" x14ac:dyDescent="0.3">
      <c r="A835" s="3">
        <v>829</v>
      </c>
      <c r="B835" s="3" t="str">
        <f>"1810469"</f>
        <v>1810469</v>
      </c>
      <c r="C835" s="3" t="str">
        <f>"391"</f>
        <v>391</v>
      </c>
      <c r="D835" s="3" t="s">
        <v>4330</v>
      </c>
      <c r="E835" s="3">
        <v>20330862450</v>
      </c>
      <c r="F835" s="3" t="s">
        <v>1388</v>
      </c>
      <c r="G835" s="3" t="s">
        <v>4331</v>
      </c>
      <c r="H835" s="3" t="s">
        <v>28</v>
      </c>
      <c r="I835" s="3" t="s">
        <v>490</v>
      </c>
      <c r="J835" s="3" t="s">
        <v>2721</v>
      </c>
      <c r="K835" s="3" t="s">
        <v>4332</v>
      </c>
      <c r="L835" s="3" t="s">
        <v>4333</v>
      </c>
      <c r="M835" s="3" t="s">
        <v>4334</v>
      </c>
      <c r="N835" s="3"/>
      <c r="O835" s="3"/>
      <c r="P835" s="3"/>
      <c r="Q835" s="3"/>
      <c r="R835" s="3"/>
      <c r="S835" s="3"/>
      <c r="T835" s="3"/>
      <c r="U835" s="3">
        <v>1248410</v>
      </c>
      <c r="V835" s="4">
        <v>39674</v>
      </c>
      <c r="W835" s="3" t="s">
        <v>31</v>
      </c>
      <c r="X835" s="3" t="s">
        <v>1399</v>
      </c>
    </row>
    <row r="836" spans="1:24" x14ac:dyDescent="0.3">
      <c r="A836" s="5">
        <v>830</v>
      </c>
      <c r="B836" s="5" t="str">
        <f>"1116386"</f>
        <v>1116386</v>
      </c>
      <c r="C836" s="5" t="str">
        <f>"674"</f>
        <v>674</v>
      </c>
      <c r="D836" s="5">
        <v>1005816</v>
      </c>
      <c r="E836" s="5">
        <v>20100136237</v>
      </c>
      <c r="F836" s="5" t="s">
        <v>3806</v>
      </c>
      <c r="G836" s="5" t="s">
        <v>4335</v>
      </c>
      <c r="H836" s="5" t="s">
        <v>28</v>
      </c>
      <c r="I836" s="5" t="s">
        <v>72</v>
      </c>
      <c r="J836" s="5" t="s">
        <v>4336</v>
      </c>
      <c r="K836" s="5" t="s">
        <v>965</v>
      </c>
      <c r="L836" s="5"/>
      <c r="M836" s="5"/>
      <c r="N836" s="5"/>
      <c r="O836" s="5"/>
      <c r="P836" s="5"/>
      <c r="Q836" s="5"/>
      <c r="R836" s="5"/>
      <c r="S836" s="5"/>
      <c r="T836" s="5"/>
      <c r="U836" s="5">
        <v>28000</v>
      </c>
      <c r="V836" s="6">
        <v>35550</v>
      </c>
      <c r="W836" s="5" t="s">
        <v>31</v>
      </c>
      <c r="X836" s="5" t="s">
        <v>2278</v>
      </c>
    </row>
    <row r="837" spans="1:24" ht="27.95" x14ac:dyDescent="0.3">
      <c r="A837" s="3">
        <v>831</v>
      </c>
      <c r="B837" s="3" t="str">
        <f>"201700060071"</f>
        <v>201700060071</v>
      </c>
      <c r="C837" s="3" t="str">
        <f>"1168"</f>
        <v>1168</v>
      </c>
      <c r="D837" s="3" t="s">
        <v>4337</v>
      </c>
      <c r="E837" s="3">
        <v>20100128218</v>
      </c>
      <c r="F837" s="3" t="s">
        <v>4338</v>
      </c>
      <c r="G837" s="3" t="s">
        <v>4339</v>
      </c>
      <c r="H837" s="3" t="s">
        <v>58</v>
      </c>
      <c r="I837" s="3" t="s">
        <v>507</v>
      </c>
      <c r="J837" s="3" t="s">
        <v>4286</v>
      </c>
      <c r="K837" s="3" t="s">
        <v>4340</v>
      </c>
      <c r="L837" s="3" t="s">
        <v>4341</v>
      </c>
      <c r="M837" s="3" t="s">
        <v>4342</v>
      </c>
      <c r="N837" s="3" t="s">
        <v>4343</v>
      </c>
      <c r="O837" s="3"/>
      <c r="P837" s="3"/>
      <c r="Q837" s="3"/>
      <c r="R837" s="3"/>
      <c r="S837" s="3"/>
      <c r="T837" s="3"/>
      <c r="U837" s="3">
        <v>535878</v>
      </c>
      <c r="V837" s="4">
        <v>42858</v>
      </c>
      <c r="W837" s="3" t="s">
        <v>31</v>
      </c>
      <c r="X837" s="3" t="s">
        <v>4289</v>
      </c>
    </row>
    <row r="838" spans="1:24" x14ac:dyDescent="0.3">
      <c r="A838" s="5">
        <v>832</v>
      </c>
      <c r="B838" s="5" t="str">
        <f>"1514453"</f>
        <v>1514453</v>
      </c>
      <c r="C838" s="5" t="str">
        <f>"673"</f>
        <v>673</v>
      </c>
      <c r="D838" s="5" t="s">
        <v>4344</v>
      </c>
      <c r="E838" s="5">
        <v>20100001579</v>
      </c>
      <c r="F838" s="5" t="s">
        <v>4345</v>
      </c>
      <c r="G838" s="5" t="s">
        <v>4346</v>
      </c>
      <c r="H838" s="5" t="s">
        <v>115</v>
      </c>
      <c r="I838" s="5" t="s">
        <v>115</v>
      </c>
      <c r="J838" s="5" t="s">
        <v>159</v>
      </c>
      <c r="K838" s="5" t="s">
        <v>1316</v>
      </c>
      <c r="L838" s="5" t="s">
        <v>642</v>
      </c>
      <c r="M838" s="5"/>
      <c r="N838" s="5"/>
      <c r="O838" s="5"/>
      <c r="P838" s="5"/>
      <c r="Q838" s="5"/>
      <c r="R838" s="5"/>
      <c r="S838" s="5"/>
      <c r="T838" s="5"/>
      <c r="U838" s="5">
        <v>19500</v>
      </c>
      <c r="V838" s="6">
        <v>38390</v>
      </c>
      <c r="W838" s="5" t="s">
        <v>31</v>
      </c>
      <c r="X838" s="5" t="s">
        <v>4347</v>
      </c>
    </row>
    <row r="839" spans="1:24" ht="27.95" x14ac:dyDescent="0.3">
      <c r="A839" s="3">
        <v>833</v>
      </c>
      <c r="B839" s="3" t="str">
        <f>"201800178191"</f>
        <v>201800178191</v>
      </c>
      <c r="C839" s="3" t="str">
        <f>"139316"</f>
        <v>139316</v>
      </c>
      <c r="D839" s="3" t="s">
        <v>4348</v>
      </c>
      <c r="E839" s="3">
        <v>20490737716</v>
      </c>
      <c r="F839" s="3" t="s">
        <v>4349</v>
      </c>
      <c r="G839" s="3" t="s">
        <v>4350</v>
      </c>
      <c r="H839" s="3" t="s">
        <v>165</v>
      </c>
      <c r="I839" s="3" t="s">
        <v>166</v>
      </c>
      <c r="J839" s="3" t="s">
        <v>167</v>
      </c>
      <c r="K839" s="3" t="s">
        <v>734</v>
      </c>
      <c r="L839" s="3"/>
      <c r="M839" s="3"/>
      <c r="N839" s="3"/>
      <c r="O839" s="3"/>
      <c r="P839" s="3"/>
      <c r="Q839" s="3"/>
      <c r="R839" s="3"/>
      <c r="S839" s="3"/>
      <c r="T839" s="3"/>
      <c r="U839" s="3">
        <v>7000</v>
      </c>
      <c r="V839" s="4">
        <v>43398</v>
      </c>
      <c r="W839" s="3" t="s">
        <v>31</v>
      </c>
      <c r="X839" s="3" t="s">
        <v>4351</v>
      </c>
    </row>
    <row r="840" spans="1:24" ht="27.95" x14ac:dyDescent="0.3">
      <c r="A840" s="5">
        <v>834</v>
      </c>
      <c r="B840" s="5" t="str">
        <f>"1909701"</f>
        <v>1909701</v>
      </c>
      <c r="C840" s="5" t="str">
        <f>"1123"</f>
        <v>1123</v>
      </c>
      <c r="D840" s="5" t="s">
        <v>4352</v>
      </c>
      <c r="E840" s="5">
        <v>20166012687</v>
      </c>
      <c r="F840" s="5" t="s">
        <v>4353</v>
      </c>
      <c r="G840" s="5" t="s">
        <v>4354</v>
      </c>
      <c r="H840" s="5" t="s">
        <v>135</v>
      </c>
      <c r="I840" s="5" t="s">
        <v>943</v>
      </c>
      <c r="J840" s="5" t="s">
        <v>4355</v>
      </c>
      <c r="K840" s="5" t="s">
        <v>4356</v>
      </c>
      <c r="L840" s="5" t="s">
        <v>4357</v>
      </c>
      <c r="M840" s="5" t="s">
        <v>4358</v>
      </c>
      <c r="N840" s="5"/>
      <c r="O840" s="5"/>
      <c r="P840" s="5"/>
      <c r="Q840" s="5"/>
      <c r="R840" s="5"/>
      <c r="S840" s="5"/>
      <c r="T840" s="5"/>
      <c r="U840" s="5">
        <v>21347</v>
      </c>
      <c r="V840" s="6">
        <v>39974</v>
      </c>
      <c r="W840" s="5" t="s">
        <v>31</v>
      </c>
      <c r="X840" s="5" t="s">
        <v>4359</v>
      </c>
    </row>
    <row r="841" spans="1:24" x14ac:dyDescent="0.3">
      <c r="A841" s="3">
        <v>835</v>
      </c>
      <c r="B841" s="3" t="str">
        <f>"1323391"</f>
        <v>1323391</v>
      </c>
      <c r="C841" s="3" t="str">
        <f>"20850"</f>
        <v>20850</v>
      </c>
      <c r="D841" s="3" t="s">
        <v>4360</v>
      </c>
      <c r="E841" s="3">
        <v>20113146789</v>
      </c>
      <c r="F841" s="3" t="s">
        <v>4361</v>
      </c>
      <c r="G841" s="3" t="s">
        <v>4362</v>
      </c>
      <c r="H841" s="3" t="s">
        <v>28</v>
      </c>
      <c r="I841" s="3" t="s">
        <v>28</v>
      </c>
      <c r="J841" s="3" t="s">
        <v>687</v>
      </c>
      <c r="K841" s="3" t="s">
        <v>323</v>
      </c>
      <c r="L841" s="3"/>
      <c r="M841" s="3"/>
      <c r="N841" s="3"/>
      <c r="O841" s="3"/>
      <c r="P841" s="3"/>
      <c r="Q841" s="3"/>
      <c r="R841" s="3"/>
      <c r="S841" s="3"/>
      <c r="T841" s="3"/>
      <c r="U841" s="3">
        <v>4000</v>
      </c>
      <c r="V841" s="4">
        <v>37060</v>
      </c>
      <c r="W841" s="3" t="s">
        <v>31</v>
      </c>
      <c r="X841" s="3" t="s">
        <v>4363</v>
      </c>
    </row>
    <row r="842" spans="1:24" ht="27.95" x14ac:dyDescent="0.3">
      <c r="A842" s="5">
        <v>836</v>
      </c>
      <c r="B842" s="5" t="str">
        <f>"201700159632"</f>
        <v>201700159632</v>
      </c>
      <c r="C842" s="5" t="str">
        <f>"132081"</f>
        <v>132081</v>
      </c>
      <c r="D842" s="5" t="s">
        <v>4364</v>
      </c>
      <c r="E842" s="5">
        <v>20455337781</v>
      </c>
      <c r="F842" s="5" t="s">
        <v>4365</v>
      </c>
      <c r="G842" s="5" t="s">
        <v>4366</v>
      </c>
      <c r="H842" s="5" t="s">
        <v>51</v>
      </c>
      <c r="I842" s="5" t="s">
        <v>51</v>
      </c>
      <c r="J842" s="5" t="s">
        <v>241</v>
      </c>
      <c r="K842" s="5" t="s">
        <v>4367</v>
      </c>
      <c r="L842" s="5"/>
      <c r="M842" s="5"/>
      <c r="N842" s="5"/>
      <c r="O842" s="5"/>
      <c r="P842" s="5"/>
      <c r="Q842" s="5"/>
      <c r="R842" s="5"/>
      <c r="S842" s="5"/>
      <c r="T842" s="5"/>
      <c r="U842" s="5">
        <v>3951</v>
      </c>
      <c r="V842" s="6">
        <v>43017</v>
      </c>
      <c r="W842" s="5" t="s">
        <v>31</v>
      </c>
      <c r="X842" s="5" t="s">
        <v>4368</v>
      </c>
    </row>
    <row r="843" spans="1:24" ht="27.95" x14ac:dyDescent="0.3">
      <c r="A843" s="3">
        <v>837</v>
      </c>
      <c r="B843" s="3" t="str">
        <f>"201900071464"</f>
        <v>201900071464</v>
      </c>
      <c r="C843" s="3" t="str">
        <f>"142952"</f>
        <v>142952</v>
      </c>
      <c r="D843" s="3" t="s">
        <v>4369</v>
      </c>
      <c r="E843" s="3">
        <v>20490916564</v>
      </c>
      <c r="F843" s="3" t="s">
        <v>4370</v>
      </c>
      <c r="G843" s="3" t="s">
        <v>4371</v>
      </c>
      <c r="H843" s="3" t="s">
        <v>165</v>
      </c>
      <c r="I843" s="3" t="s">
        <v>166</v>
      </c>
      <c r="J843" s="3" t="s">
        <v>167</v>
      </c>
      <c r="K843" s="3" t="s">
        <v>734</v>
      </c>
      <c r="L843" s="3"/>
      <c r="M843" s="3"/>
      <c r="N843" s="3"/>
      <c r="O843" s="3"/>
      <c r="P843" s="3"/>
      <c r="Q843" s="3"/>
      <c r="R843" s="3"/>
      <c r="S843" s="3"/>
      <c r="T843" s="3"/>
      <c r="U843" s="3">
        <v>7000</v>
      </c>
      <c r="V843" s="4">
        <v>43591</v>
      </c>
      <c r="W843" s="3" t="s">
        <v>31</v>
      </c>
      <c r="X843" s="3" t="s">
        <v>4372</v>
      </c>
    </row>
    <row r="844" spans="1:24" x14ac:dyDescent="0.3">
      <c r="A844" s="5">
        <v>838</v>
      </c>
      <c r="B844" s="5" t="str">
        <f>"201400130938"</f>
        <v>201400130938</v>
      </c>
      <c r="C844" s="5" t="str">
        <f>"109260"</f>
        <v>109260</v>
      </c>
      <c r="D844" s="5" t="s">
        <v>4373</v>
      </c>
      <c r="E844" s="5">
        <v>20508440643</v>
      </c>
      <c r="F844" s="5" t="s">
        <v>4374</v>
      </c>
      <c r="G844" s="5" t="s">
        <v>4375</v>
      </c>
      <c r="H844" s="5" t="s">
        <v>165</v>
      </c>
      <c r="I844" s="5" t="s">
        <v>166</v>
      </c>
      <c r="J844" s="5" t="s">
        <v>167</v>
      </c>
      <c r="K844" s="5" t="s">
        <v>4376</v>
      </c>
      <c r="L844" s="5" t="s">
        <v>4377</v>
      </c>
      <c r="M844" s="5" t="s">
        <v>4378</v>
      </c>
      <c r="N844" s="5"/>
      <c r="O844" s="5"/>
      <c r="P844" s="5"/>
      <c r="Q844" s="5"/>
      <c r="R844" s="5"/>
      <c r="S844" s="5"/>
      <c r="T844" s="5"/>
      <c r="U844" s="5">
        <v>14060</v>
      </c>
      <c r="V844" s="6">
        <v>41977</v>
      </c>
      <c r="W844" s="5" t="s">
        <v>31</v>
      </c>
      <c r="X844" s="5" t="s">
        <v>4379</v>
      </c>
    </row>
    <row r="845" spans="1:24" ht="27.95" x14ac:dyDescent="0.3">
      <c r="A845" s="3">
        <v>839</v>
      </c>
      <c r="B845" s="3" t="str">
        <f>"1600821"</f>
        <v>1600821</v>
      </c>
      <c r="C845" s="3" t="str">
        <f>"18691"</f>
        <v>18691</v>
      </c>
      <c r="D845" s="3" t="s">
        <v>4380</v>
      </c>
      <c r="E845" s="3">
        <v>20501603784</v>
      </c>
      <c r="F845" s="3" t="s">
        <v>4381</v>
      </c>
      <c r="G845" s="3" t="s">
        <v>4382</v>
      </c>
      <c r="H845" s="3" t="s">
        <v>285</v>
      </c>
      <c r="I845" s="3" t="s">
        <v>286</v>
      </c>
      <c r="J845" s="3" t="s">
        <v>470</v>
      </c>
      <c r="K845" s="3" t="s">
        <v>4383</v>
      </c>
      <c r="L845" s="3" t="s">
        <v>4384</v>
      </c>
      <c r="M845" s="3"/>
      <c r="N845" s="3"/>
      <c r="O845" s="3"/>
      <c r="P845" s="3"/>
      <c r="Q845" s="3"/>
      <c r="R845" s="3"/>
      <c r="S845" s="3"/>
      <c r="T845" s="3"/>
      <c r="U845" s="3">
        <v>78000</v>
      </c>
      <c r="V845" s="4">
        <v>37253</v>
      </c>
      <c r="W845" s="3" t="s">
        <v>31</v>
      </c>
      <c r="X845" s="3" t="s">
        <v>4385</v>
      </c>
    </row>
    <row r="846" spans="1:24" ht="27.95" x14ac:dyDescent="0.3">
      <c r="A846" s="5">
        <v>840</v>
      </c>
      <c r="B846" s="5" t="str">
        <f>"201300133313"</f>
        <v>201300133313</v>
      </c>
      <c r="C846" s="5" t="str">
        <f>"534"</f>
        <v>534</v>
      </c>
      <c r="D846" s="5" t="s">
        <v>4386</v>
      </c>
      <c r="E846" s="5">
        <v>20171707596</v>
      </c>
      <c r="F846" s="5" t="s">
        <v>4387</v>
      </c>
      <c r="G846" s="5" t="s">
        <v>4388</v>
      </c>
      <c r="H846" s="5" t="s">
        <v>334</v>
      </c>
      <c r="I846" s="5" t="s">
        <v>335</v>
      </c>
      <c r="J846" s="5" t="s">
        <v>336</v>
      </c>
      <c r="K846" s="5" t="s">
        <v>1725</v>
      </c>
      <c r="L846" s="5"/>
      <c r="M846" s="5"/>
      <c r="N846" s="5"/>
      <c r="O846" s="5"/>
      <c r="P846" s="5"/>
      <c r="Q846" s="5"/>
      <c r="R846" s="5"/>
      <c r="S846" s="5"/>
      <c r="T846" s="5"/>
      <c r="U846" s="5">
        <v>2000</v>
      </c>
      <c r="V846" s="6">
        <v>41540</v>
      </c>
      <c r="W846" s="5" t="s">
        <v>31</v>
      </c>
      <c r="X846" s="5" t="s">
        <v>4389</v>
      </c>
    </row>
    <row r="847" spans="1:24" ht="27.95" x14ac:dyDescent="0.3">
      <c r="A847" s="3">
        <v>841</v>
      </c>
      <c r="B847" s="3" t="str">
        <f>"201800206222"</f>
        <v>201800206222</v>
      </c>
      <c r="C847" s="3" t="str">
        <f>"140332"</f>
        <v>140332</v>
      </c>
      <c r="D847" s="3" t="s">
        <v>4390</v>
      </c>
      <c r="E847" s="3">
        <v>20559912353</v>
      </c>
      <c r="F847" s="3" t="s">
        <v>4391</v>
      </c>
      <c r="G847" s="3" t="s">
        <v>4392</v>
      </c>
      <c r="H847" s="3" t="s">
        <v>36</v>
      </c>
      <c r="I847" s="3" t="s">
        <v>514</v>
      </c>
      <c r="J847" s="3" t="s">
        <v>2101</v>
      </c>
      <c r="K847" s="3" t="s">
        <v>2103</v>
      </c>
      <c r="L847" s="3" t="s">
        <v>1960</v>
      </c>
      <c r="M847" s="3" t="s">
        <v>1960</v>
      </c>
      <c r="N847" s="3"/>
      <c r="O847" s="3"/>
      <c r="P847" s="3"/>
      <c r="Q847" s="3"/>
      <c r="R847" s="3"/>
      <c r="S847" s="3"/>
      <c r="T847" s="3"/>
      <c r="U847" s="3">
        <v>1584</v>
      </c>
      <c r="V847" s="4">
        <v>43491</v>
      </c>
      <c r="W847" s="3" t="s">
        <v>31</v>
      </c>
      <c r="X847" s="3" t="s">
        <v>4393</v>
      </c>
    </row>
    <row r="848" spans="1:24" x14ac:dyDescent="0.3">
      <c r="A848" s="5">
        <v>842</v>
      </c>
      <c r="B848" s="5" t="str">
        <f>"201400130924"</f>
        <v>201400130924</v>
      </c>
      <c r="C848" s="5" t="str">
        <f>"107950"</f>
        <v>107950</v>
      </c>
      <c r="D848" s="5" t="s">
        <v>4394</v>
      </c>
      <c r="E848" s="5">
        <v>20490813919</v>
      </c>
      <c r="F848" s="5" t="s">
        <v>4395</v>
      </c>
      <c r="G848" s="5" t="s">
        <v>4396</v>
      </c>
      <c r="H848" s="5" t="s">
        <v>165</v>
      </c>
      <c r="I848" s="5" t="s">
        <v>166</v>
      </c>
      <c r="J848" s="5" t="s">
        <v>167</v>
      </c>
      <c r="K848" s="5" t="s">
        <v>3692</v>
      </c>
      <c r="L848" s="5" t="s">
        <v>3692</v>
      </c>
      <c r="M848" s="5"/>
      <c r="N848" s="5"/>
      <c r="O848" s="5"/>
      <c r="P848" s="5"/>
      <c r="Q848" s="5"/>
      <c r="R848" s="5"/>
      <c r="S848" s="5"/>
      <c r="T848" s="5"/>
      <c r="U848" s="5">
        <v>7400</v>
      </c>
      <c r="V848" s="6">
        <v>41961</v>
      </c>
      <c r="W848" s="5" t="s">
        <v>31</v>
      </c>
      <c r="X848" s="5" t="s">
        <v>4397</v>
      </c>
    </row>
    <row r="849" spans="1:24" ht="27.95" x14ac:dyDescent="0.3">
      <c r="A849" s="3">
        <v>843</v>
      </c>
      <c r="B849" s="3" t="str">
        <f>"1750960"</f>
        <v>1750960</v>
      </c>
      <c r="C849" s="3" t="str">
        <f>"42307"</f>
        <v>42307</v>
      </c>
      <c r="D849" s="3" t="s">
        <v>4398</v>
      </c>
      <c r="E849" s="3">
        <v>20508996676</v>
      </c>
      <c r="F849" s="3" t="s">
        <v>4399</v>
      </c>
      <c r="G849" s="3" t="s">
        <v>4400</v>
      </c>
      <c r="H849" s="3" t="s">
        <v>285</v>
      </c>
      <c r="I849" s="3" t="s">
        <v>286</v>
      </c>
      <c r="J849" s="3" t="s">
        <v>470</v>
      </c>
      <c r="K849" s="3" t="s">
        <v>4401</v>
      </c>
      <c r="L849" s="3" t="s">
        <v>4402</v>
      </c>
      <c r="M849" s="3" t="s">
        <v>4403</v>
      </c>
      <c r="N849" s="3" t="s">
        <v>4404</v>
      </c>
      <c r="O849" s="3" t="s">
        <v>4405</v>
      </c>
      <c r="P849" s="3" t="s">
        <v>4405</v>
      </c>
      <c r="Q849" s="3" t="s">
        <v>4406</v>
      </c>
      <c r="R849" s="3"/>
      <c r="S849" s="3"/>
      <c r="T849" s="3"/>
      <c r="U849" s="3">
        <v>67533</v>
      </c>
      <c r="V849" s="4">
        <v>39436</v>
      </c>
      <c r="W849" s="3" t="s">
        <v>31</v>
      </c>
      <c r="X849" s="3" t="s">
        <v>4407</v>
      </c>
    </row>
    <row r="850" spans="1:24" ht="27.95" x14ac:dyDescent="0.3">
      <c r="A850" s="5">
        <v>844</v>
      </c>
      <c r="B850" s="5" t="str">
        <f>"201800004448"</f>
        <v>201800004448</v>
      </c>
      <c r="C850" s="5" t="str">
        <f>"62378"</f>
        <v>62378</v>
      </c>
      <c r="D850" s="5" t="s">
        <v>4408</v>
      </c>
      <c r="E850" s="5">
        <v>20390652314</v>
      </c>
      <c r="F850" s="5" t="s">
        <v>4409</v>
      </c>
      <c r="G850" s="5" t="s">
        <v>4410</v>
      </c>
      <c r="H850" s="5" t="s">
        <v>28</v>
      </c>
      <c r="I850" s="5" t="s">
        <v>122</v>
      </c>
      <c r="J850" s="5" t="s">
        <v>123</v>
      </c>
      <c r="K850" s="5" t="s">
        <v>4411</v>
      </c>
      <c r="L850" s="5" t="s">
        <v>4412</v>
      </c>
      <c r="M850" s="5"/>
      <c r="N850" s="5"/>
      <c r="O850" s="5"/>
      <c r="P850" s="5"/>
      <c r="Q850" s="5"/>
      <c r="R850" s="5"/>
      <c r="S850" s="5"/>
      <c r="T850" s="5"/>
      <c r="U850" s="5">
        <v>2000</v>
      </c>
      <c r="V850" s="6">
        <v>43114</v>
      </c>
      <c r="W850" s="5" t="s">
        <v>31</v>
      </c>
      <c r="X850" s="5" t="s">
        <v>4413</v>
      </c>
    </row>
    <row r="851" spans="1:24" x14ac:dyDescent="0.3">
      <c r="A851" s="3">
        <v>845</v>
      </c>
      <c r="B851" s="3" t="str">
        <f>"201900049263"</f>
        <v>201900049263</v>
      </c>
      <c r="C851" s="3" t="str">
        <f>"88281"</f>
        <v>88281</v>
      </c>
      <c r="D851" s="3" t="s">
        <v>4414</v>
      </c>
      <c r="E851" s="3">
        <v>20144364059</v>
      </c>
      <c r="F851" s="3" t="s">
        <v>4415</v>
      </c>
      <c r="G851" s="3" t="s">
        <v>4416</v>
      </c>
      <c r="H851" s="3" t="s">
        <v>28</v>
      </c>
      <c r="I851" s="3" t="s">
        <v>28</v>
      </c>
      <c r="J851" s="3" t="s">
        <v>1706</v>
      </c>
      <c r="K851" s="3" t="s">
        <v>4417</v>
      </c>
      <c r="L851" s="3" t="s">
        <v>4418</v>
      </c>
      <c r="M851" s="3" t="s">
        <v>4419</v>
      </c>
      <c r="N851" s="3" t="s">
        <v>2410</v>
      </c>
      <c r="O851" s="3"/>
      <c r="P851" s="3"/>
      <c r="Q851" s="3"/>
      <c r="R851" s="3"/>
      <c r="S851" s="3"/>
      <c r="T851" s="3"/>
      <c r="U851" s="3">
        <v>21200</v>
      </c>
      <c r="V851" s="4">
        <v>43620</v>
      </c>
      <c r="W851" s="3" t="s">
        <v>31</v>
      </c>
      <c r="X851" s="3" t="s">
        <v>4420</v>
      </c>
    </row>
    <row r="852" spans="1:24" ht="27.95" x14ac:dyDescent="0.3">
      <c r="A852" s="5">
        <v>846</v>
      </c>
      <c r="B852" s="5" t="str">
        <f>"201700125283"</f>
        <v>201700125283</v>
      </c>
      <c r="C852" s="5" t="str">
        <f>"131033"</f>
        <v>131033</v>
      </c>
      <c r="D852" s="5" t="s">
        <v>4421</v>
      </c>
      <c r="E852" s="5">
        <v>20490329197</v>
      </c>
      <c r="F852" s="5" t="s">
        <v>4422</v>
      </c>
      <c r="G852" s="5" t="s">
        <v>4423</v>
      </c>
      <c r="H852" s="5" t="s">
        <v>165</v>
      </c>
      <c r="I852" s="5" t="s">
        <v>166</v>
      </c>
      <c r="J852" s="5" t="s">
        <v>167</v>
      </c>
      <c r="K852" s="5" t="s">
        <v>3396</v>
      </c>
      <c r="L852" s="5" t="s">
        <v>3396</v>
      </c>
      <c r="M852" s="5"/>
      <c r="N852" s="5"/>
      <c r="O852" s="5"/>
      <c r="P852" s="5"/>
      <c r="Q852" s="5"/>
      <c r="R852" s="5"/>
      <c r="S852" s="5"/>
      <c r="T852" s="5"/>
      <c r="U852" s="5">
        <v>15000</v>
      </c>
      <c r="V852" s="6">
        <v>42957</v>
      </c>
      <c r="W852" s="5" t="s">
        <v>31</v>
      </c>
      <c r="X852" s="5" t="s">
        <v>4424</v>
      </c>
    </row>
    <row r="853" spans="1:24" ht="27.95" x14ac:dyDescent="0.3">
      <c r="A853" s="3">
        <v>847</v>
      </c>
      <c r="B853" s="3" t="str">
        <f>"201300125265"</f>
        <v>201300125265</v>
      </c>
      <c r="C853" s="3" t="str">
        <f>"127"</f>
        <v>127</v>
      </c>
      <c r="D853" s="3" t="s">
        <v>4425</v>
      </c>
      <c r="E853" s="3">
        <v>20100137390</v>
      </c>
      <c r="F853" s="3" t="s">
        <v>4426</v>
      </c>
      <c r="G853" s="3" t="s">
        <v>4427</v>
      </c>
      <c r="H853" s="3" t="s">
        <v>28</v>
      </c>
      <c r="I853" s="3" t="s">
        <v>28</v>
      </c>
      <c r="J853" s="3" t="s">
        <v>29</v>
      </c>
      <c r="K853" s="3" t="s">
        <v>4428</v>
      </c>
      <c r="L853" s="3"/>
      <c r="M853" s="3"/>
      <c r="N853" s="3"/>
      <c r="O853" s="3"/>
      <c r="P853" s="3"/>
      <c r="Q853" s="3"/>
      <c r="R853" s="3"/>
      <c r="S853" s="3"/>
      <c r="T853" s="3"/>
      <c r="U853" s="3">
        <v>82050</v>
      </c>
      <c r="V853" s="4">
        <v>41522</v>
      </c>
      <c r="W853" s="3" t="s">
        <v>31</v>
      </c>
      <c r="X853" s="3" t="s">
        <v>4429</v>
      </c>
    </row>
    <row r="854" spans="1:24" x14ac:dyDescent="0.3">
      <c r="A854" s="5">
        <v>848</v>
      </c>
      <c r="B854" s="5" t="str">
        <f>"1450677"</f>
        <v>1450677</v>
      </c>
      <c r="C854" s="5" t="str">
        <f>"14768"</f>
        <v>14768</v>
      </c>
      <c r="D854" s="5" t="s">
        <v>4430</v>
      </c>
      <c r="E854" s="5">
        <v>20366317750</v>
      </c>
      <c r="F854" s="5" t="s">
        <v>4431</v>
      </c>
      <c r="G854" s="5" t="s">
        <v>4432</v>
      </c>
      <c r="H854" s="5" t="s">
        <v>58</v>
      </c>
      <c r="I854" s="5" t="s">
        <v>59</v>
      </c>
      <c r="J854" s="5" t="s">
        <v>2573</v>
      </c>
      <c r="K854" s="5" t="s">
        <v>460</v>
      </c>
      <c r="L854" s="5" t="s">
        <v>4433</v>
      </c>
      <c r="M854" s="5" t="s">
        <v>329</v>
      </c>
      <c r="N854" s="5"/>
      <c r="O854" s="5"/>
      <c r="P854" s="5"/>
      <c r="Q854" s="5"/>
      <c r="R854" s="5"/>
      <c r="S854" s="5"/>
      <c r="T854" s="5"/>
      <c r="U854" s="5">
        <v>20171</v>
      </c>
      <c r="V854" s="6">
        <v>37939</v>
      </c>
      <c r="W854" s="5" t="s">
        <v>31</v>
      </c>
      <c r="X854" s="5" t="s">
        <v>4434</v>
      </c>
    </row>
    <row r="855" spans="1:24" ht="27.95" x14ac:dyDescent="0.3">
      <c r="A855" s="3">
        <v>849</v>
      </c>
      <c r="B855" s="3" t="str">
        <f>"1594968"</f>
        <v>1594968</v>
      </c>
      <c r="C855" s="3" t="str">
        <f>"148"</f>
        <v>148</v>
      </c>
      <c r="D855" s="3" t="s">
        <v>4435</v>
      </c>
      <c r="E855" s="3">
        <v>20123526385</v>
      </c>
      <c r="F855" s="3" t="s">
        <v>4436</v>
      </c>
      <c r="G855" s="3" t="s">
        <v>4437</v>
      </c>
      <c r="H855" s="3" t="s">
        <v>28</v>
      </c>
      <c r="I855" s="3" t="s">
        <v>28</v>
      </c>
      <c r="J855" s="3" t="s">
        <v>501</v>
      </c>
      <c r="K855" s="3" t="s">
        <v>1760</v>
      </c>
      <c r="L855" s="3"/>
      <c r="M855" s="3"/>
      <c r="N855" s="3"/>
      <c r="O855" s="3"/>
      <c r="P855" s="3"/>
      <c r="Q855" s="3"/>
      <c r="R855" s="3"/>
      <c r="S855" s="3"/>
      <c r="T855" s="3"/>
      <c r="U855" s="3">
        <v>9000</v>
      </c>
      <c r="V855" s="4">
        <v>38793</v>
      </c>
      <c r="W855" s="3" t="s">
        <v>31</v>
      </c>
      <c r="X855" s="3" t="s">
        <v>4438</v>
      </c>
    </row>
    <row r="856" spans="1:24" ht="27.95" x14ac:dyDescent="0.3">
      <c r="A856" s="5">
        <v>850</v>
      </c>
      <c r="B856" s="5" t="str">
        <f>"1480495"</f>
        <v>1480495</v>
      </c>
      <c r="C856" s="5" t="str">
        <f>"89995"</f>
        <v>89995</v>
      </c>
      <c r="D856" s="5" t="s">
        <v>4439</v>
      </c>
      <c r="E856" s="5">
        <v>20515677811</v>
      </c>
      <c r="F856" s="5" t="s">
        <v>4440</v>
      </c>
      <c r="G856" s="5" t="s">
        <v>4441</v>
      </c>
      <c r="H856" s="5" t="s">
        <v>285</v>
      </c>
      <c r="I856" s="5" t="s">
        <v>286</v>
      </c>
      <c r="J856" s="5" t="s">
        <v>470</v>
      </c>
      <c r="K856" s="5" t="s">
        <v>4442</v>
      </c>
      <c r="L856" s="5"/>
      <c r="M856" s="5"/>
      <c r="N856" s="5"/>
      <c r="O856" s="5"/>
      <c r="P856" s="5"/>
      <c r="Q856" s="5"/>
      <c r="R856" s="5"/>
      <c r="S856" s="5"/>
      <c r="T856" s="5"/>
      <c r="U856" s="5">
        <v>1700</v>
      </c>
      <c r="V856" s="6">
        <v>40702</v>
      </c>
      <c r="W856" s="5" t="s">
        <v>31</v>
      </c>
      <c r="X856" s="5" t="s">
        <v>4443</v>
      </c>
    </row>
    <row r="857" spans="1:24" ht="41.95" x14ac:dyDescent="0.3">
      <c r="A857" s="3">
        <v>851</v>
      </c>
      <c r="B857" s="3" t="str">
        <f>"201700106922"</f>
        <v>201700106922</v>
      </c>
      <c r="C857" s="3" t="str">
        <f>"110804"</f>
        <v>110804</v>
      </c>
      <c r="D857" s="3" t="s">
        <v>4444</v>
      </c>
      <c r="E857" s="3">
        <v>20429350264</v>
      </c>
      <c r="F857" s="3" t="s">
        <v>4445</v>
      </c>
      <c r="G857" s="3" t="s">
        <v>4446</v>
      </c>
      <c r="H857" s="3" t="s">
        <v>28</v>
      </c>
      <c r="I857" s="3" t="s">
        <v>28</v>
      </c>
      <c r="J857" s="3" t="s">
        <v>1432</v>
      </c>
      <c r="K857" s="3" t="s">
        <v>168</v>
      </c>
      <c r="L857" s="3"/>
      <c r="M857" s="3"/>
      <c r="N857" s="3"/>
      <c r="O857" s="3"/>
      <c r="P857" s="3"/>
      <c r="Q857" s="3"/>
      <c r="R857" s="3"/>
      <c r="S857" s="3"/>
      <c r="T857" s="3"/>
      <c r="U857" s="3">
        <v>10000</v>
      </c>
      <c r="V857" s="4">
        <v>42928</v>
      </c>
      <c r="W857" s="3" t="s">
        <v>31</v>
      </c>
      <c r="X857" s="3" t="s">
        <v>1383</v>
      </c>
    </row>
    <row r="858" spans="1:24" x14ac:dyDescent="0.3">
      <c r="A858" s="5">
        <v>852</v>
      </c>
      <c r="B858" s="5" t="str">
        <f>"1185860"</f>
        <v>1185860</v>
      </c>
      <c r="C858" s="5" t="str">
        <f>"16474"</f>
        <v>16474</v>
      </c>
      <c r="D858" s="5">
        <v>1185860</v>
      </c>
      <c r="E858" s="5">
        <v>20101311466</v>
      </c>
      <c r="F858" s="5" t="s">
        <v>4447</v>
      </c>
      <c r="G858" s="5" t="s">
        <v>4448</v>
      </c>
      <c r="H858" s="5" t="s">
        <v>28</v>
      </c>
      <c r="I858" s="5" t="s">
        <v>28</v>
      </c>
      <c r="J858" s="5" t="s">
        <v>202</v>
      </c>
      <c r="K858" s="5" t="s">
        <v>4449</v>
      </c>
      <c r="L858" s="5"/>
      <c r="M858" s="5"/>
      <c r="N858" s="5"/>
      <c r="O858" s="5"/>
      <c r="P858" s="5"/>
      <c r="Q858" s="5"/>
      <c r="R858" s="5"/>
      <c r="S858" s="5"/>
      <c r="T858" s="5"/>
      <c r="U858" s="5">
        <v>5328</v>
      </c>
      <c r="V858" s="6">
        <v>35951</v>
      </c>
      <c r="W858" s="5" t="s">
        <v>31</v>
      </c>
      <c r="X858" s="5" t="s">
        <v>4450</v>
      </c>
    </row>
    <row r="859" spans="1:24" ht="27.95" x14ac:dyDescent="0.3">
      <c r="A859" s="3">
        <v>853</v>
      </c>
      <c r="B859" s="3" t="str">
        <f>"1455914"</f>
        <v>1455914</v>
      </c>
      <c r="C859" s="3" t="str">
        <f>"19644"</f>
        <v>19644</v>
      </c>
      <c r="D859" s="3" t="s">
        <v>4451</v>
      </c>
      <c r="E859" s="3">
        <v>20482426850</v>
      </c>
      <c r="F859" s="3" t="s">
        <v>4452</v>
      </c>
      <c r="G859" s="3" t="s">
        <v>4453</v>
      </c>
      <c r="H859" s="3" t="s">
        <v>285</v>
      </c>
      <c r="I859" s="3" t="s">
        <v>286</v>
      </c>
      <c r="J859" s="3" t="s">
        <v>1512</v>
      </c>
      <c r="K859" s="3" t="s">
        <v>4454</v>
      </c>
      <c r="L859" s="3"/>
      <c r="M859" s="3"/>
      <c r="N859" s="3"/>
      <c r="O859" s="3"/>
      <c r="P859" s="3"/>
      <c r="Q859" s="3"/>
      <c r="R859" s="3"/>
      <c r="S859" s="3"/>
      <c r="T859" s="3"/>
      <c r="U859" s="3">
        <v>6200</v>
      </c>
      <c r="V859" s="4">
        <v>40533</v>
      </c>
      <c r="W859" s="3" t="s">
        <v>31</v>
      </c>
      <c r="X859" s="3" t="s">
        <v>4455</v>
      </c>
    </row>
    <row r="860" spans="1:24" ht="27.95" x14ac:dyDescent="0.3">
      <c r="A860" s="5">
        <v>854</v>
      </c>
      <c r="B860" s="5" t="str">
        <f>"201200052915"</f>
        <v>201200052915</v>
      </c>
      <c r="C860" s="5" t="str">
        <f>"21429"</f>
        <v>21429</v>
      </c>
      <c r="D860" s="5" t="s">
        <v>4456</v>
      </c>
      <c r="E860" s="5">
        <v>20515677811</v>
      </c>
      <c r="F860" s="5" t="s">
        <v>4457</v>
      </c>
      <c r="G860" s="5" t="s">
        <v>4458</v>
      </c>
      <c r="H860" s="5" t="s">
        <v>285</v>
      </c>
      <c r="I860" s="5" t="s">
        <v>286</v>
      </c>
      <c r="J860" s="5" t="s">
        <v>1512</v>
      </c>
      <c r="K860" s="5" t="s">
        <v>4459</v>
      </c>
      <c r="L860" s="5"/>
      <c r="M860" s="5"/>
      <c r="N860" s="5"/>
      <c r="O860" s="5"/>
      <c r="P860" s="5"/>
      <c r="Q860" s="5"/>
      <c r="R860" s="5"/>
      <c r="S860" s="5"/>
      <c r="T860" s="5"/>
      <c r="U860" s="5">
        <v>4997</v>
      </c>
      <c r="V860" s="6">
        <v>41015</v>
      </c>
      <c r="W860" s="5" t="s">
        <v>31</v>
      </c>
      <c r="X860" s="5" t="s">
        <v>4443</v>
      </c>
    </row>
    <row r="861" spans="1:24" ht="27.95" x14ac:dyDescent="0.3">
      <c r="A861" s="3">
        <v>855</v>
      </c>
      <c r="B861" s="3" t="str">
        <f>"201700069697"</f>
        <v>201700069697</v>
      </c>
      <c r="C861" s="3" t="str">
        <f>"101172"</f>
        <v>101172</v>
      </c>
      <c r="D861" s="3" t="s">
        <v>4460</v>
      </c>
      <c r="E861" s="3">
        <v>20513225921</v>
      </c>
      <c r="F861" s="3" t="s">
        <v>4461</v>
      </c>
      <c r="G861" s="3" t="s">
        <v>4462</v>
      </c>
      <c r="H861" s="3" t="s">
        <v>28</v>
      </c>
      <c r="I861" s="3" t="s">
        <v>28</v>
      </c>
      <c r="J861" s="3" t="s">
        <v>699</v>
      </c>
      <c r="K861" s="3" t="s">
        <v>130</v>
      </c>
      <c r="L861" s="3"/>
      <c r="M861" s="3"/>
      <c r="N861" s="3"/>
      <c r="O861" s="3"/>
      <c r="P861" s="3"/>
      <c r="Q861" s="3"/>
      <c r="R861" s="3"/>
      <c r="S861" s="3"/>
      <c r="T861" s="3"/>
      <c r="U861" s="3">
        <v>3000</v>
      </c>
      <c r="V861" s="4">
        <v>42868</v>
      </c>
      <c r="W861" s="3" t="s">
        <v>31</v>
      </c>
      <c r="X861" s="3" t="s">
        <v>4463</v>
      </c>
    </row>
    <row r="862" spans="1:24" x14ac:dyDescent="0.3">
      <c r="A862" s="5">
        <v>856</v>
      </c>
      <c r="B862" s="5" t="str">
        <f>"1639714"</f>
        <v>1639714</v>
      </c>
      <c r="C862" s="5" t="str">
        <f>"1453"</f>
        <v>1453</v>
      </c>
      <c r="D862" s="5" t="s">
        <v>4464</v>
      </c>
      <c r="E862" s="5">
        <v>20263054891</v>
      </c>
      <c r="F862" s="5" t="s">
        <v>4465</v>
      </c>
      <c r="G862" s="5" t="s">
        <v>4466</v>
      </c>
      <c r="H862" s="5" t="s">
        <v>115</v>
      </c>
      <c r="I862" s="5" t="s">
        <v>115</v>
      </c>
      <c r="J862" s="5" t="s">
        <v>159</v>
      </c>
      <c r="K862" s="5" t="s">
        <v>323</v>
      </c>
      <c r="L862" s="5"/>
      <c r="M862" s="5"/>
      <c r="N862" s="5"/>
      <c r="O862" s="5"/>
      <c r="P862" s="5"/>
      <c r="Q862" s="5"/>
      <c r="R862" s="5"/>
      <c r="S862" s="5"/>
      <c r="T862" s="5"/>
      <c r="U862" s="5">
        <v>4000</v>
      </c>
      <c r="V862" s="6">
        <v>39036</v>
      </c>
      <c r="W862" s="5" t="s">
        <v>31</v>
      </c>
      <c r="X862" s="5" t="s">
        <v>4467</v>
      </c>
    </row>
    <row r="863" spans="1:24" ht="27.95" x14ac:dyDescent="0.3">
      <c r="A863" s="3">
        <v>857</v>
      </c>
      <c r="B863" s="3" t="str">
        <f>"1587327"</f>
        <v>1587327</v>
      </c>
      <c r="C863" s="3" t="str">
        <f>"1315"</f>
        <v>1315</v>
      </c>
      <c r="D863" s="3" t="s">
        <v>4468</v>
      </c>
      <c r="E863" s="3">
        <v>20213788524</v>
      </c>
      <c r="F863" s="3" t="s">
        <v>4469</v>
      </c>
      <c r="G863" s="3" t="s">
        <v>4470</v>
      </c>
      <c r="H863" s="3" t="s">
        <v>285</v>
      </c>
      <c r="I863" s="3" t="s">
        <v>286</v>
      </c>
      <c r="J863" s="3" t="s">
        <v>470</v>
      </c>
      <c r="K863" s="3" t="s">
        <v>259</v>
      </c>
      <c r="L863" s="3"/>
      <c r="M863" s="3"/>
      <c r="N863" s="3"/>
      <c r="O863" s="3"/>
      <c r="P863" s="3"/>
      <c r="Q863" s="3"/>
      <c r="R863" s="3"/>
      <c r="S863" s="3"/>
      <c r="T863" s="3"/>
      <c r="U863" s="3">
        <v>6000</v>
      </c>
      <c r="V863" s="4">
        <v>38747</v>
      </c>
      <c r="W863" s="3" t="s">
        <v>31</v>
      </c>
      <c r="X863" s="3" t="s">
        <v>4471</v>
      </c>
    </row>
    <row r="864" spans="1:24" x14ac:dyDescent="0.3">
      <c r="A864" s="5">
        <v>858</v>
      </c>
      <c r="B864" s="5" t="str">
        <f>"201400123309"</f>
        <v>201400123309</v>
      </c>
      <c r="C864" s="5" t="str">
        <f>"111711"</f>
        <v>111711</v>
      </c>
      <c r="D864" s="5" t="s">
        <v>4472</v>
      </c>
      <c r="E864" s="5">
        <v>20174513245</v>
      </c>
      <c r="F864" s="5" t="s">
        <v>4473</v>
      </c>
      <c r="G864" s="5" t="s">
        <v>4474</v>
      </c>
      <c r="H864" s="5" t="s">
        <v>115</v>
      </c>
      <c r="I864" s="5" t="s">
        <v>115</v>
      </c>
      <c r="J864" s="5" t="s">
        <v>159</v>
      </c>
      <c r="K864" s="5" t="s">
        <v>4475</v>
      </c>
      <c r="L864" s="5"/>
      <c r="M864" s="5"/>
      <c r="N864" s="5"/>
      <c r="O864" s="5"/>
      <c r="P864" s="5"/>
      <c r="Q864" s="5"/>
      <c r="R864" s="5"/>
      <c r="S864" s="5"/>
      <c r="T864" s="5"/>
      <c r="U864" s="5">
        <v>5120</v>
      </c>
      <c r="V864" s="6">
        <v>41919</v>
      </c>
      <c r="W864" s="5" t="s">
        <v>31</v>
      </c>
      <c r="X864" s="5" t="s">
        <v>4476</v>
      </c>
    </row>
    <row r="865" spans="1:24" ht="27.95" x14ac:dyDescent="0.3">
      <c r="A865" s="3">
        <v>859</v>
      </c>
      <c r="B865" s="3" t="str">
        <f>"201800170247"</f>
        <v>201800170247</v>
      </c>
      <c r="C865" s="3" t="str">
        <f>"128825"</f>
        <v>128825</v>
      </c>
      <c r="D865" s="3" t="s">
        <v>4477</v>
      </c>
      <c r="E865" s="3">
        <v>10242937657</v>
      </c>
      <c r="F865" s="3" t="s">
        <v>4478</v>
      </c>
      <c r="G865" s="3" t="s">
        <v>4479</v>
      </c>
      <c r="H865" s="3" t="s">
        <v>165</v>
      </c>
      <c r="I865" s="3" t="s">
        <v>732</v>
      </c>
      <c r="J865" s="3" t="s">
        <v>1065</v>
      </c>
      <c r="K865" s="3" t="s">
        <v>130</v>
      </c>
      <c r="L865" s="3" t="s">
        <v>4480</v>
      </c>
      <c r="M865" s="3"/>
      <c r="N865" s="3"/>
      <c r="O865" s="3"/>
      <c r="P865" s="3"/>
      <c r="Q865" s="3"/>
      <c r="R865" s="3"/>
      <c r="S865" s="3"/>
      <c r="T865" s="3"/>
      <c r="U865" s="3">
        <v>12219</v>
      </c>
      <c r="V865" s="4">
        <v>43389</v>
      </c>
      <c r="W865" s="3" t="s">
        <v>31</v>
      </c>
      <c r="X865" s="3" t="s">
        <v>4478</v>
      </c>
    </row>
    <row r="866" spans="1:24" x14ac:dyDescent="0.3">
      <c r="A866" s="5">
        <v>860</v>
      </c>
      <c r="B866" s="5" t="str">
        <f>"1707889"</f>
        <v>1707889</v>
      </c>
      <c r="C866" s="5" t="str">
        <f>"516"</f>
        <v>516</v>
      </c>
      <c r="D866" s="5" t="s">
        <v>4481</v>
      </c>
      <c r="E866" s="5">
        <v>20103795631</v>
      </c>
      <c r="F866" s="5" t="s">
        <v>4482</v>
      </c>
      <c r="G866" s="5" t="s">
        <v>4483</v>
      </c>
      <c r="H866" s="5" t="s">
        <v>373</v>
      </c>
      <c r="I866" s="5" t="s">
        <v>373</v>
      </c>
      <c r="J866" s="5" t="s">
        <v>4484</v>
      </c>
      <c r="K866" s="5" t="s">
        <v>4485</v>
      </c>
      <c r="L866" s="5" t="s">
        <v>4486</v>
      </c>
      <c r="M866" s="5" t="s">
        <v>4486</v>
      </c>
      <c r="N866" s="5" t="s">
        <v>1694</v>
      </c>
      <c r="O866" s="5" t="s">
        <v>1694</v>
      </c>
      <c r="P866" s="5"/>
      <c r="Q866" s="5"/>
      <c r="R866" s="5"/>
      <c r="S866" s="5"/>
      <c r="T866" s="5"/>
      <c r="U866" s="5">
        <v>201500</v>
      </c>
      <c r="V866" s="6">
        <v>39281</v>
      </c>
      <c r="W866" s="5" t="s">
        <v>31</v>
      </c>
      <c r="X866" s="5" t="s">
        <v>4487</v>
      </c>
    </row>
    <row r="867" spans="1:24" x14ac:dyDescent="0.3">
      <c r="A867" s="3">
        <v>861</v>
      </c>
      <c r="B867" s="3" t="str">
        <f>"1572052"</f>
        <v>1572052</v>
      </c>
      <c r="C867" s="3" t="str">
        <f>"15416"</f>
        <v>15416</v>
      </c>
      <c r="D867" s="3" t="s">
        <v>4488</v>
      </c>
      <c r="E867" s="3">
        <v>20163898200</v>
      </c>
      <c r="F867" s="3" t="s">
        <v>4489</v>
      </c>
      <c r="G867" s="3" t="s">
        <v>4490</v>
      </c>
      <c r="H867" s="3" t="s">
        <v>264</v>
      </c>
      <c r="I867" s="3" t="s">
        <v>265</v>
      </c>
      <c r="J867" s="3" t="s">
        <v>265</v>
      </c>
      <c r="K867" s="3" t="s">
        <v>4491</v>
      </c>
      <c r="L867" s="3" t="s">
        <v>1694</v>
      </c>
      <c r="M867" s="3"/>
      <c r="N867" s="3"/>
      <c r="O867" s="3"/>
      <c r="P867" s="3"/>
      <c r="Q867" s="3"/>
      <c r="R867" s="3"/>
      <c r="S867" s="3"/>
      <c r="T867" s="3"/>
      <c r="U867" s="3">
        <v>27900</v>
      </c>
      <c r="V867" s="4">
        <v>38643</v>
      </c>
      <c r="W867" s="3" t="s">
        <v>31</v>
      </c>
      <c r="X867" s="3" t="s">
        <v>4492</v>
      </c>
    </row>
    <row r="868" spans="1:24" ht="27.95" x14ac:dyDescent="0.3">
      <c r="A868" s="5">
        <v>862</v>
      </c>
      <c r="B868" s="5" t="str">
        <f>"1936925"</f>
        <v>1936925</v>
      </c>
      <c r="C868" s="5" t="str">
        <f>"84188"</f>
        <v>84188</v>
      </c>
      <c r="D868" s="5" t="s">
        <v>4493</v>
      </c>
      <c r="E868" s="5">
        <v>20106076635</v>
      </c>
      <c r="F868" s="5" t="s">
        <v>2023</v>
      </c>
      <c r="G868" s="5" t="s">
        <v>4494</v>
      </c>
      <c r="H868" s="5" t="s">
        <v>135</v>
      </c>
      <c r="I868" s="5" t="s">
        <v>135</v>
      </c>
      <c r="J868" s="5" t="s">
        <v>135</v>
      </c>
      <c r="K868" s="5" t="s">
        <v>4014</v>
      </c>
      <c r="L868" s="5"/>
      <c r="M868" s="5"/>
      <c r="N868" s="5"/>
      <c r="O868" s="5"/>
      <c r="P868" s="5"/>
      <c r="Q868" s="5"/>
      <c r="R868" s="5"/>
      <c r="S868" s="5"/>
      <c r="T868" s="5"/>
      <c r="U868" s="5">
        <v>12000</v>
      </c>
      <c r="V868" s="6">
        <v>40120</v>
      </c>
      <c r="W868" s="5" t="s">
        <v>31</v>
      </c>
      <c r="X868" s="5" t="s">
        <v>2026</v>
      </c>
    </row>
    <row r="869" spans="1:24" x14ac:dyDescent="0.3">
      <c r="A869" s="3">
        <v>863</v>
      </c>
      <c r="B869" s="3" t="str">
        <f>"1871445"</f>
        <v>1871445</v>
      </c>
      <c r="C869" s="3" t="str">
        <f>"62965"</f>
        <v>62965</v>
      </c>
      <c r="D869" s="3" t="s">
        <v>4495</v>
      </c>
      <c r="E869" s="3">
        <v>20498697381</v>
      </c>
      <c r="F869" s="3" t="s">
        <v>4496</v>
      </c>
      <c r="G869" s="3" t="s">
        <v>4497</v>
      </c>
      <c r="H869" s="3" t="s">
        <v>51</v>
      </c>
      <c r="I869" s="3" t="s">
        <v>51</v>
      </c>
      <c r="J869" s="3" t="s">
        <v>2563</v>
      </c>
      <c r="K869" s="3" t="s">
        <v>4498</v>
      </c>
      <c r="L869" s="3"/>
      <c r="M869" s="3"/>
      <c r="N869" s="3"/>
      <c r="O869" s="3"/>
      <c r="P869" s="3"/>
      <c r="Q869" s="3"/>
      <c r="R869" s="3"/>
      <c r="S869" s="3"/>
      <c r="T869" s="3"/>
      <c r="U869" s="3">
        <v>3800</v>
      </c>
      <c r="V869" s="4">
        <v>39896</v>
      </c>
      <c r="W869" s="3" t="s">
        <v>31</v>
      </c>
      <c r="X869" s="3" t="s">
        <v>4499</v>
      </c>
    </row>
    <row r="870" spans="1:24" x14ac:dyDescent="0.3">
      <c r="A870" s="5">
        <v>864</v>
      </c>
      <c r="B870" s="5" t="str">
        <f>"201600118228"</f>
        <v>201600118228</v>
      </c>
      <c r="C870" s="5" t="str">
        <f>"110"</f>
        <v>110</v>
      </c>
      <c r="D870" s="5" t="s">
        <v>4500</v>
      </c>
      <c r="E870" s="5">
        <v>20100120152</v>
      </c>
      <c r="F870" s="5" t="s">
        <v>4501</v>
      </c>
      <c r="G870" s="5" t="s">
        <v>4502</v>
      </c>
      <c r="H870" s="5" t="s">
        <v>36</v>
      </c>
      <c r="I870" s="5" t="s">
        <v>37</v>
      </c>
      <c r="J870" s="5" t="s">
        <v>38</v>
      </c>
      <c r="K870" s="5" t="s">
        <v>4503</v>
      </c>
      <c r="L870" s="5" t="s">
        <v>4504</v>
      </c>
      <c r="M870" s="5" t="s">
        <v>4505</v>
      </c>
      <c r="N870" s="5"/>
      <c r="O870" s="5"/>
      <c r="P870" s="5"/>
      <c r="Q870" s="5"/>
      <c r="R870" s="5"/>
      <c r="S870" s="5"/>
      <c r="T870" s="5"/>
      <c r="U870" s="5">
        <v>9022</v>
      </c>
      <c r="V870" s="6">
        <v>42607</v>
      </c>
      <c r="W870" s="5" t="s">
        <v>31</v>
      </c>
      <c r="X870" s="5" t="s">
        <v>4506</v>
      </c>
    </row>
    <row r="871" spans="1:24" ht="41.95" x14ac:dyDescent="0.3">
      <c r="A871" s="3">
        <v>865</v>
      </c>
      <c r="B871" s="3" t="str">
        <f>"201700027339"</f>
        <v>201700027339</v>
      </c>
      <c r="C871" s="3" t="str">
        <f>"126836"</f>
        <v>126836</v>
      </c>
      <c r="D871" s="3" t="s">
        <v>4507</v>
      </c>
      <c r="E871" s="3">
        <v>20343443961</v>
      </c>
      <c r="F871" s="3" t="s">
        <v>4508</v>
      </c>
      <c r="G871" s="3" t="s">
        <v>4509</v>
      </c>
      <c r="H871" s="3" t="s">
        <v>135</v>
      </c>
      <c r="I871" s="3" t="s">
        <v>673</v>
      </c>
      <c r="J871" s="3" t="s">
        <v>4510</v>
      </c>
      <c r="K871" s="3" t="s">
        <v>4511</v>
      </c>
      <c r="L871" s="3" t="s">
        <v>4512</v>
      </c>
      <c r="M871" s="3" t="s">
        <v>4512</v>
      </c>
      <c r="N871" s="3" t="s">
        <v>4512</v>
      </c>
      <c r="O871" s="3" t="s">
        <v>4512</v>
      </c>
      <c r="P871" s="3"/>
      <c r="Q871" s="3"/>
      <c r="R871" s="3"/>
      <c r="S871" s="3"/>
      <c r="T871" s="3"/>
      <c r="U871" s="3">
        <v>37066</v>
      </c>
      <c r="V871" s="4">
        <v>42878</v>
      </c>
      <c r="W871" s="3" t="s">
        <v>31</v>
      </c>
      <c r="X871" s="3" t="s">
        <v>4513</v>
      </c>
    </row>
    <row r="872" spans="1:24" x14ac:dyDescent="0.3">
      <c r="A872" s="5">
        <v>866</v>
      </c>
      <c r="B872" s="5" t="str">
        <f>"201900009105"</f>
        <v>201900009105</v>
      </c>
      <c r="C872" s="5" t="str">
        <f>"1433"</f>
        <v>1433</v>
      </c>
      <c r="D872" s="5" t="s">
        <v>4514</v>
      </c>
      <c r="E872" s="5">
        <v>20100163552</v>
      </c>
      <c r="F872" s="5" t="s">
        <v>4515</v>
      </c>
      <c r="G872" s="5" t="s">
        <v>4516</v>
      </c>
      <c r="H872" s="5" t="s">
        <v>970</v>
      </c>
      <c r="I872" s="5" t="s">
        <v>4517</v>
      </c>
      <c r="J872" s="5" t="s">
        <v>4518</v>
      </c>
      <c r="K872" s="5" t="s">
        <v>4519</v>
      </c>
      <c r="L872" s="5" t="s">
        <v>4520</v>
      </c>
      <c r="M872" s="5" t="s">
        <v>4520</v>
      </c>
      <c r="N872" s="5" t="s">
        <v>4521</v>
      </c>
      <c r="O872" s="5" t="s">
        <v>4520</v>
      </c>
      <c r="P872" s="5"/>
      <c r="Q872" s="5"/>
      <c r="R872" s="5"/>
      <c r="S872" s="5"/>
      <c r="T872" s="5"/>
      <c r="U872" s="5">
        <v>64244</v>
      </c>
      <c r="V872" s="6">
        <v>43486</v>
      </c>
      <c r="W872" s="5" t="s">
        <v>31</v>
      </c>
      <c r="X872" s="5" t="s">
        <v>4522</v>
      </c>
    </row>
    <row r="873" spans="1:24" ht="27.95" x14ac:dyDescent="0.3">
      <c r="A873" s="3">
        <v>867</v>
      </c>
      <c r="B873" s="3" t="str">
        <f>"1525047"</f>
        <v>1525047</v>
      </c>
      <c r="C873" s="3" t="str">
        <f>"40993"</f>
        <v>40993</v>
      </c>
      <c r="D873" s="3" t="s">
        <v>4523</v>
      </c>
      <c r="E873" s="3">
        <v>20103117560</v>
      </c>
      <c r="F873" s="3" t="s">
        <v>4524</v>
      </c>
      <c r="G873" s="3" t="s">
        <v>4525</v>
      </c>
      <c r="H873" s="3" t="s">
        <v>978</v>
      </c>
      <c r="I873" s="3" t="s">
        <v>4526</v>
      </c>
      <c r="J873" s="3" t="s">
        <v>4526</v>
      </c>
      <c r="K873" s="3" t="s">
        <v>4527</v>
      </c>
      <c r="L873" s="3" t="s">
        <v>4528</v>
      </c>
      <c r="M873" s="3"/>
      <c r="N873" s="3"/>
      <c r="O873" s="3"/>
      <c r="P873" s="3"/>
      <c r="Q873" s="3"/>
      <c r="R873" s="3"/>
      <c r="S873" s="3"/>
      <c r="T873" s="3"/>
      <c r="U873" s="3">
        <v>5980</v>
      </c>
      <c r="V873" s="4">
        <v>38434</v>
      </c>
      <c r="W873" s="3" t="s">
        <v>31</v>
      </c>
      <c r="X873" s="3" t="s">
        <v>4529</v>
      </c>
    </row>
    <row r="874" spans="1:24" x14ac:dyDescent="0.3">
      <c r="A874" s="5">
        <v>868</v>
      </c>
      <c r="B874" s="5" t="str">
        <f>"201600033747"</f>
        <v>201600033747</v>
      </c>
      <c r="C874" s="5" t="str">
        <f>"1177"</f>
        <v>1177</v>
      </c>
      <c r="D874" s="5" t="s">
        <v>4530</v>
      </c>
      <c r="E874" s="5">
        <v>20509512869</v>
      </c>
      <c r="F874" s="5" t="s">
        <v>4531</v>
      </c>
      <c r="G874" s="5" t="s">
        <v>4532</v>
      </c>
      <c r="H874" s="5" t="s">
        <v>285</v>
      </c>
      <c r="I874" s="5" t="s">
        <v>1083</v>
      </c>
      <c r="J874" s="5" t="s">
        <v>4533</v>
      </c>
      <c r="K874" s="5" t="s">
        <v>4534</v>
      </c>
      <c r="L874" s="5" t="s">
        <v>4534</v>
      </c>
      <c r="M874" s="5"/>
      <c r="N874" s="5"/>
      <c r="O874" s="5"/>
      <c r="P874" s="5"/>
      <c r="Q874" s="5"/>
      <c r="R874" s="5"/>
      <c r="S874" s="5"/>
      <c r="T874" s="5"/>
      <c r="U874" s="5">
        <v>6146</v>
      </c>
      <c r="V874" s="6">
        <v>42439</v>
      </c>
      <c r="W874" s="5" t="s">
        <v>31</v>
      </c>
      <c r="X874" s="5" t="s">
        <v>4535</v>
      </c>
    </row>
    <row r="875" spans="1:24" x14ac:dyDescent="0.3">
      <c r="A875" s="3">
        <v>869</v>
      </c>
      <c r="B875" s="3" t="str">
        <f>"201800125710"</f>
        <v>201800125710</v>
      </c>
      <c r="C875" s="3" t="str">
        <f>"970"</f>
        <v>970</v>
      </c>
      <c r="D875" s="3" t="s">
        <v>4536</v>
      </c>
      <c r="E875" s="3">
        <v>20100136741</v>
      </c>
      <c r="F875" s="3" t="s">
        <v>4537</v>
      </c>
      <c r="G875" s="3" t="s">
        <v>4538</v>
      </c>
      <c r="H875" s="3" t="s">
        <v>135</v>
      </c>
      <c r="I875" s="3" t="s">
        <v>943</v>
      </c>
      <c r="J875" s="3" t="s">
        <v>944</v>
      </c>
      <c r="K875" s="3" t="s">
        <v>4539</v>
      </c>
      <c r="L875" s="3" t="s">
        <v>4540</v>
      </c>
      <c r="M875" s="3"/>
      <c r="N875" s="3"/>
      <c r="O875" s="3"/>
      <c r="P875" s="3"/>
      <c r="Q875" s="3"/>
      <c r="R875" s="3"/>
      <c r="S875" s="3"/>
      <c r="T875" s="3"/>
      <c r="U875" s="3">
        <v>36724</v>
      </c>
      <c r="V875" s="4">
        <v>43312</v>
      </c>
      <c r="W875" s="3" t="s">
        <v>31</v>
      </c>
      <c r="X875" s="3" t="s">
        <v>4541</v>
      </c>
    </row>
    <row r="876" spans="1:24" ht="27.95" x14ac:dyDescent="0.3">
      <c r="A876" s="5">
        <v>870</v>
      </c>
      <c r="B876" s="5" t="str">
        <f>"201600144013"</f>
        <v>201600144013</v>
      </c>
      <c r="C876" s="5" t="str">
        <f>"123488"</f>
        <v>123488</v>
      </c>
      <c r="D876" s="5" t="s">
        <v>4542</v>
      </c>
      <c r="E876" s="5">
        <v>20543480291</v>
      </c>
      <c r="F876" s="5" t="s">
        <v>4543</v>
      </c>
      <c r="G876" s="5" t="s">
        <v>4544</v>
      </c>
      <c r="H876" s="5" t="s">
        <v>58</v>
      </c>
      <c r="I876" s="5" t="s">
        <v>507</v>
      </c>
      <c r="J876" s="5" t="s">
        <v>508</v>
      </c>
      <c r="K876" s="5" t="s">
        <v>4545</v>
      </c>
      <c r="L876" s="5" t="s">
        <v>4545</v>
      </c>
      <c r="M876" s="5"/>
      <c r="N876" s="5"/>
      <c r="O876" s="5"/>
      <c r="P876" s="5"/>
      <c r="Q876" s="5"/>
      <c r="R876" s="5"/>
      <c r="S876" s="5"/>
      <c r="T876" s="5"/>
      <c r="U876" s="5">
        <v>12000</v>
      </c>
      <c r="V876" s="6">
        <v>42688</v>
      </c>
      <c r="W876" s="5" t="s">
        <v>31</v>
      </c>
      <c r="X876" s="5" t="s">
        <v>4546</v>
      </c>
    </row>
    <row r="877" spans="1:24" ht="27.95" x14ac:dyDescent="0.3">
      <c r="A877" s="3">
        <v>871</v>
      </c>
      <c r="B877" s="3" t="str">
        <f>"1341116"</f>
        <v>1341116</v>
      </c>
      <c r="C877" s="3" t="str">
        <f>"21561"</f>
        <v>21561</v>
      </c>
      <c r="D877" s="3" t="s">
        <v>4547</v>
      </c>
      <c r="E877" s="3">
        <v>20488806221</v>
      </c>
      <c r="F877" s="3" t="s">
        <v>4548</v>
      </c>
      <c r="G877" s="3" t="s">
        <v>4549</v>
      </c>
      <c r="H877" s="3" t="s">
        <v>373</v>
      </c>
      <c r="I877" s="3" t="s">
        <v>374</v>
      </c>
      <c r="J877" s="3" t="s">
        <v>375</v>
      </c>
      <c r="K877" s="3" t="s">
        <v>4550</v>
      </c>
      <c r="L877" s="3" t="s">
        <v>4550</v>
      </c>
      <c r="M877" s="3"/>
      <c r="N877" s="3"/>
      <c r="O877" s="3"/>
      <c r="P877" s="3"/>
      <c r="Q877" s="3"/>
      <c r="R877" s="3"/>
      <c r="S877" s="3"/>
      <c r="T877" s="3"/>
      <c r="U877" s="3">
        <v>2200</v>
      </c>
      <c r="V877" s="4">
        <v>37168</v>
      </c>
      <c r="W877" s="3" t="s">
        <v>31</v>
      </c>
      <c r="X877" s="3" t="s">
        <v>4551</v>
      </c>
    </row>
    <row r="878" spans="1:24" ht="55.9" x14ac:dyDescent="0.3">
      <c r="A878" s="5">
        <v>872</v>
      </c>
      <c r="B878" s="5" t="str">
        <f>"201400050635"</f>
        <v>201400050635</v>
      </c>
      <c r="C878" s="5" t="str">
        <f>"109070"</f>
        <v>109070</v>
      </c>
      <c r="D878" s="5" t="s">
        <v>4552</v>
      </c>
      <c r="E878" s="5">
        <v>20131257750</v>
      </c>
      <c r="F878" s="5" t="s">
        <v>4553</v>
      </c>
      <c r="G878" s="5" t="s">
        <v>4554</v>
      </c>
      <c r="H878" s="5" t="s">
        <v>36</v>
      </c>
      <c r="I878" s="5" t="s">
        <v>234</v>
      </c>
      <c r="J878" s="5" t="s">
        <v>998</v>
      </c>
      <c r="K878" s="5" t="s">
        <v>4545</v>
      </c>
      <c r="L878" s="5"/>
      <c r="M878" s="5"/>
      <c r="N878" s="5"/>
      <c r="O878" s="5"/>
      <c r="P878" s="5"/>
      <c r="Q878" s="5"/>
      <c r="R878" s="5"/>
      <c r="S878" s="5"/>
      <c r="T878" s="5"/>
      <c r="U878" s="5">
        <v>6000</v>
      </c>
      <c r="V878" s="6">
        <v>41775</v>
      </c>
      <c r="W878" s="5" t="s">
        <v>31</v>
      </c>
      <c r="X878" s="5" t="s">
        <v>4555</v>
      </c>
    </row>
    <row r="879" spans="1:24" x14ac:dyDescent="0.3">
      <c r="A879" s="3">
        <v>873</v>
      </c>
      <c r="B879" s="3" t="str">
        <f>"201300149731"</f>
        <v>201300149731</v>
      </c>
      <c r="C879" s="3" t="str">
        <f>"20157"</f>
        <v>20157</v>
      </c>
      <c r="D879" s="3" t="s">
        <v>4556</v>
      </c>
      <c r="E879" s="3">
        <v>20100190797</v>
      </c>
      <c r="F879" s="3" t="s">
        <v>2794</v>
      </c>
      <c r="G879" s="3" t="s">
        <v>4557</v>
      </c>
      <c r="H879" s="3" t="s">
        <v>28</v>
      </c>
      <c r="I879" s="3" t="s">
        <v>28</v>
      </c>
      <c r="J879" s="3" t="s">
        <v>1432</v>
      </c>
      <c r="K879" s="3" t="s">
        <v>2425</v>
      </c>
      <c r="L879" s="3"/>
      <c r="M879" s="3"/>
      <c r="N879" s="3"/>
      <c r="O879" s="3"/>
      <c r="P879" s="3"/>
      <c r="Q879" s="3"/>
      <c r="R879" s="3"/>
      <c r="S879" s="3"/>
      <c r="T879" s="3"/>
      <c r="U879" s="3">
        <v>25000</v>
      </c>
      <c r="V879" s="4">
        <v>41550</v>
      </c>
      <c r="W879" s="3" t="s">
        <v>31</v>
      </c>
      <c r="X879" s="3" t="s">
        <v>4558</v>
      </c>
    </row>
    <row r="880" spans="1:24" ht="27.95" x14ac:dyDescent="0.3">
      <c r="A880" s="5">
        <v>874</v>
      </c>
      <c r="B880" s="5" t="str">
        <f>"1489506"</f>
        <v>1489506</v>
      </c>
      <c r="C880" s="5" t="str">
        <f>"50"</f>
        <v>50</v>
      </c>
      <c r="D880" s="5" t="s">
        <v>4559</v>
      </c>
      <c r="E880" s="5">
        <v>20100120314</v>
      </c>
      <c r="F880" s="5" t="s">
        <v>4560</v>
      </c>
      <c r="G880" s="5" t="s">
        <v>1472</v>
      </c>
      <c r="H880" s="5" t="s">
        <v>285</v>
      </c>
      <c r="I880" s="5" t="s">
        <v>1473</v>
      </c>
      <c r="J880" s="5" t="s">
        <v>1474</v>
      </c>
      <c r="K880" s="5" t="s">
        <v>4561</v>
      </c>
      <c r="L880" s="5" t="s">
        <v>4562</v>
      </c>
      <c r="M880" s="5" t="s">
        <v>4561</v>
      </c>
      <c r="N880" s="5" t="s">
        <v>4563</v>
      </c>
      <c r="O880" s="5" t="s">
        <v>4561</v>
      </c>
      <c r="P880" s="5" t="s">
        <v>1725</v>
      </c>
      <c r="Q880" s="5" t="s">
        <v>1058</v>
      </c>
      <c r="R880" s="5" t="s">
        <v>4564</v>
      </c>
      <c r="S880" s="5" t="s">
        <v>4562</v>
      </c>
      <c r="T880" s="5"/>
      <c r="U880" s="5">
        <v>147500</v>
      </c>
      <c r="V880" s="6">
        <v>40718</v>
      </c>
      <c r="W880" s="5" t="s">
        <v>31</v>
      </c>
      <c r="X880" s="5" t="s">
        <v>2431</v>
      </c>
    </row>
    <row r="881" spans="1:24" x14ac:dyDescent="0.3">
      <c r="A881" s="3">
        <v>875</v>
      </c>
      <c r="B881" s="3" t="str">
        <f>"201000000115"</f>
        <v>201000000115</v>
      </c>
      <c r="C881" s="3" t="str">
        <f>"93961"</f>
        <v>93961</v>
      </c>
      <c r="D881" s="3" t="s">
        <v>4565</v>
      </c>
      <c r="E881" s="3">
        <v>20100120314</v>
      </c>
      <c r="F881" s="3" t="s">
        <v>1471</v>
      </c>
      <c r="G881" s="3" t="s">
        <v>2642</v>
      </c>
      <c r="H881" s="3" t="s">
        <v>285</v>
      </c>
      <c r="I881" s="3" t="s">
        <v>1473</v>
      </c>
      <c r="J881" s="3" t="s">
        <v>2643</v>
      </c>
      <c r="K881" s="3" t="s">
        <v>4566</v>
      </c>
      <c r="L881" s="3"/>
      <c r="M881" s="3"/>
      <c r="N881" s="3"/>
      <c r="O881" s="3"/>
      <c r="P881" s="3"/>
      <c r="Q881" s="3"/>
      <c r="R881" s="3"/>
      <c r="S881" s="3"/>
      <c r="T881" s="3"/>
      <c r="U881" s="3">
        <v>21100</v>
      </c>
      <c r="V881" s="4">
        <v>40323</v>
      </c>
      <c r="W881" s="3" t="s">
        <v>31</v>
      </c>
      <c r="X881" s="3"/>
    </row>
    <row r="882" spans="1:24" ht="27.95" x14ac:dyDescent="0.3">
      <c r="A882" s="5">
        <v>876</v>
      </c>
      <c r="B882" s="5" t="str">
        <f>"201000000118"</f>
        <v>201000000118</v>
      </c>
      <c r="C882" s="5" t="str">
        <f>"18625"</f>
        <v>18625</v>
      </c>
      <c r="D882" s="5" t="s">
        <v>4567</v>
      </c>
      <c r="E882" s="5">
        <v>20100017491</v>
      </c>
      <c r="F882" s="5" t="s">
        <v>4568</v>
      </c>
      <c r="G882" s="5" t="s">
        <v>4569</v>
      </c>
      <c r="H882" s="5" t="s">
        <v>28</v>
      </c>
      <c r="I882" s="5" t="s">
        <v>28</v>
      </c>
      <c r="J882" s="5" t="s">
        <v>426</v>
      </c>
      <c r="K882" s="5" t="s">
        <v>4570</v>
      </c>
      <c r="L882" s="5"/>
      <c r="M882" s="5"/>
      <c r="N882" s="5"/>
      <c r="O882" s="5"/>
      <c r="P882" s="5"/>
      <c r="Q882" s="5"/>
      <c r="R882" s="5"/>
      <c r="S882" s="5"/>
      <c r="T882" s="5"/>
      <c r="U882" s="5">
        <v>3060</v>
      </c>
      <c r="V882" s="6">
        <v>38039</v>
      </c>
      <c r="W882" s="5" t="s">
        <v>31</v>
      </c>
      <c r="X882" s="5"/>
    </row>
    <row r="883" spans="1:24" ht="27.95" x14ac:dyDescent="0.3">
      <c r="A883" s="3">
        <v>877</v>
      </c>
      <c r="B883" s="3" t="str">
        <f>"1119638"</f>
        <v>1119638</v>
      </c>
      <c r="C883" s="3" t="str">
        <f>"1064"</f>
        <v>1064</v>
      </c>
      <c r="D883" s="3" t="s">
        <v>4571</v>
      </c>
      <c r="E883" s="3">
        <v>20106156400</v>
      </c>
      <c r="F883" s="3" t="s">
        <v>4572</v>
      </c>
      <c r="G883" s="3" t="s">
        <v>4573</v>
      </c>
      <c r="H883" s="3" t="s">
        <v>2002</v>
      </c>
      <c r="I883" s="3" t="s">
        <v>4574</v>
      </c>
      <c r="J883" s="3" t="s">
        <v>4575</v>
      </c>
      <c r="K883" s="3" t="s">
        <v>4576</v>
      </c>
      <c r="L883" s="3"/>
      <c r="M883" s="3"/>
      <c r="N883" s="3"/>
      <c r="O883" s="3"/>
      <c r="P883" s="3"/>
      <c r="Q883" s="3"/>
      <c r="R883" s="3"/>
      <c r="S883" s="3"/>
      <c r="T883" s="3"/>
      <c r="U883" s="3">
        <v>550</v>
      </c>
      <c r="V883" s="4">
        <v>36801</v>
      </c>
      <c r="W883" s="3" t="s">
        <v>31</v>
      </c>
      <c r="X883" s="3" t="s">
        <v>4577</v>
      </c>
    </row>
    <row r="884" spans="1:24" x14ac:dyDescent="0.3">
      <c r="A884" s="5">
        <v>878</v>
      </c>
      <c r="B884" s="5" t="str">
        <f>"201000000117"</f>
        <v>201000000117</v>
      </c>
      <c r="C884" s="5" t="str">
        <f>"16525"</f>
        <v>16525</v>
      </c>
      <c r="D884" s="5" t="s">
        <v>4578</v>
      </c>
      <c r="E884" s="5">
        <v>20100017491</v>
      </c>
      <c r="F884" s="5" t="s">
        <v>4568</v>
      </c>
      <c r="G884" s="5" t="s">
        <v>4579</v>
      </c>
      <c r="H884" s="5" t="s">
        <v>28</v>
      </c>
      <c r="I884" s="5" t="s">
        <v>28</v>
      </c>
      <c r="J884" s="5" t="s">
        <v>180</v>
      </c>
      <c r="K884" s="5" t="s">
        <v>4580</v>
      </c>
      <c r="L884" s="5"/>
      <c r="M884" s="5"/>
      <c r="N884" s="5"/>
      <c r="O884" s="5"/>
      <c r="P884" s="5"/>
      <c r="Q884" s="5"/>
      <c r="R884" s="5"/>
      <c r="S884" s="5"/>
      <c r="T884" s="5"/>
      <c r="U884" s="5">
        <v>661</v>
      </c>
      <c r="V884" s="6">
        <v>38039</v>
      </c>
      <c r="W884" s="5" t="s">
        <v>31</v>
      </c>
      <c r="X884" s="5"/>
    </row>
    <row r="885" spans="1:24" x14ac:dyDescent="0.3">
      <c r="A885" s="3">
        <v>879</v>
      </c>
      <c r="B885" s="3" t="str">
        <f>"201400130975"</f>
        <v>201400130975</v>
      </c>
      <c r="C885" s="3" t="str">
        <f>"102678"</f>
        <v>102678</v>
      </c>
      <c r="D885" s="3" t="s">
        <v>4581</v>
      </c>
      <c r="E885" s="3">
        <v>20527245037</v>
      </c>
      <c r="F885" s="3" t="s">
        <v>4582</v>
      </c>
      <c r="G885" s="3" t="s">
        <v>4583</v>
      </c>
      <c r="H885" s="3" t="s">
        <v>165</v>
      </c>
      <c r="I885" s="3" t="s">
        <v>166</v>
      </c>
      <c r="J885" s="3" t="s">
        <v>167</v>
      </c>
      <c r="K885" s="3" t="s">
        <v>4584</v>
      </c>
      <c r="L885" s="3"/>
      <c r="M885" s="3"/>
      <c r="N885" s="3"/>
      <c r="O885" s="3"/>
      <c r="P885" s="3"/>
      <c r="Q885" s="3"/>
      <c r="R885" s="3"/>
      <c r="S885" s="3"/>
      <c r="T885" s="3"/>
      <c r="U885" s="3">
        <v>9307</v>
      </c>
      <c r="V885" s="4">
        <v>41991</v>
      </c>
      <c r="W885" s="3" t="s">
        <v>31</v>
      </c>
      <c r="X885" s="3" t="s">
        <v>4585</v>
      </c>
    </row>
    <row r="886" spans="1:24" x14ac:dyDescent="0.3">
      <c r="A886" s="5">
        <v>880</v>
      </c>
      <c r="B886" s="5" t="str">
        <f>"1126448"</f>
        <v>1126448</v>
      </c>
      <c r="C886" s="5" t="str">
        <f>"1129"</f>
        <v>1129</v>
      </c>
      <c r="D886" s="5">
        <v>1101204</v>
      </c>
      <c r="E886" s="5">
        <v>20280111130</v>
      </c>
      <c r="F886" s="5" t="s">
        <v>4586</v>
      </c>
      <c r="G886" s="5" t="s">
        <v>4587</v>
      </c>
      <c r="H886" s="5" t="s">
        <v>58</v>
      </c>
      <c r="I886" s="5" t="s">
        <v>507</v>
      </c>
      <c r="J886" s="5" t="s">
        <v>4286</v>
      </c>
      <c r="K886" s="5" t="s">
        <v>4588</v>
      </c>
      <c r="L886" s="5" t="s">
        <v>4589</v>
      </c>
      <c r="M886" s="5"/>
      <c r="N886" s="5"/>
      <c r="O886" s="5"/>
      <c r="P886" s="5"/>
      <c r="Q886" s="5"/>
      <c r="R886" s="5"/>
      <c r="S886" s="5"/>
      <c r="T886" s="5"/>
      <c r="U886" s="5">
        <v>110000</v>
      </c>
      <c r="V886" s="6">
        <v>35627</v>
      </c>
      <c r="W886" s="5" t="s">
        <v>31</v>
      </c>
      <c r="X886" s="5" t="s">
        <v>4590</v>
      </c>
    </row>
    <row r="887" spans="1:24" ht="27.95" x14ac:dyDescent="0.3">
      <c r="A887" s="3">
        <v>881</v>
      </c>
      <c r="B887" s="3" t="str">
        <f>"1119635"</f>
        <v>1119635</v>
      </c>
      <c r="C887" s="3" t="str">
        <f>"1060"</f>
        <v>1060</v>
      </c>
      <c r="D887" s="3" t="s">
        <v>4591</v>
      </c>
      <c r="E887" s="3">
        <v>20106156400</v>
      </c>
      <c r="F887" s="3" t="s">
        <v>4592</v>
      </c>
      <c r="G887" s="3" t="s">
        <v>4593</v>
      </c>
      <c r="H887" s="3" t="s">
        <v>292</v>
      </c>
      <c r="I887" s="3" t="s">
        <v>293</v>
      </c>
      <c r="J887" s="3" t="s">
        <v>2404</v>
      </c>
      <c r="K887" s="3" t="s">
        <v>4594</v>
      </c>
      <c r="L887" s="3"/>
      <c r="M887" s="3"/>
      <c r="N887" s="3"/>
      <c r="O887" s="3"/>
      <c r="P887" s="3"/>
      <c r="Q887" s="3"/>
      <c r="R887" s="3"/>
      <c r="S887" s="3"/>
      <c r="T887" s="3"/>
      <c r="U887" s="3">
        <v>1325</v>
      </c>
      <c r="V887" s="4">
        <v>36803</v>
      </c>
      <c r="W887" s="3" t="s">
        <v>31</v>
      </c>
      <c r="X887" s="3" t="s">
        <v>4577</v>
      </c>
    </row>
    <row r="888" spans="1:24" x14ac:dyDescent="0.3">
      <c r="A888" s="5">
        <v>882</v>
      </c>
      <c r="B888" s="5" t="str">
        <f>"1331559"</f>
        <v>1331559</v>
      </c>
      <c r="C888" s="5" t="str">
        <f>"21175"</f>
        <v>21175</v>
      </c>
      <c r="D888" s="5" t="s">
        <v>4595</v>
      </c>
      <c r="E888" s="5">
        <v>20100170419</v>
      </c>
      <c r="F888" s="5" t="s">
        <v>4596</v>
      </c>
      <c r="G888" s="5" t="s">
        <v>4597</v>
      </c>
      <c r="H888" s="5" t="s">
        <v>28</v>
      </c>
      <c r="I888" s="5" t="s">
        <v>28</v>
      </c>
      <c r="J888" s="5" t="s">
        <v>208</v>
      </c>
      <c r="K888" s="5" t="s">
        <v>4598</v>
      </c>
      <c r="L888" s="5"/>
      <c r="M888" s="5"/>
      <c r="N888" s="5"/>
      <c r="O888" s="5"/>
      <c r="P888" s="5"/>
      <c r="Q888" s="5"/>
      <c r="R888" s="5"/>
      <c r="S888" s="5"/>
      <c r="T888" s="5"/>
      <c r="U888" s="5">
        <v>7700</v>
      </c>
      <c r="V888" s="6">
        <v>37123</v>
      </c>
      <c r="W888" s="5" t="s">
        <v>31</v>
      </c>
      <c r="X888" s="5" t="s">
        <v>4599</v>
      </c>
    </row>
    <row r="889" spans="1:24" ht="27.95" x14ac:dyDescent="0.3">
      <c r="A889" s="3">
        <v>883</v>
      </c>
      <c r="B889" s="3" t="str">
        <f>"201000000119"</f>
        <v>201000000119</v>
      </c>
      <c r="C889" s="3" t="str">
        <f>"18746"</f>
        <v>18746</v>
      </c>
      <c r="D889" s="3" t="s">
        <v>4600</v>
      </c>
      <c r="E889" s="3">
        <v>20405011698</v>
      </c>
      <c r="F889" s="3" t="s">
        <v>4601</v>
      </c>
      <c r="G889" s="3" t="s">
        <v>4602</v>
      </c>
      <c r="H889" s="3" t="s">
        <v>970</v>
      </c>
      <c r="I889" s="3" t="s">
        <v>970</v>
      </c>
      <c r="J889" s="3" t="s">
        <v>1798</v>
      </c>
      <c r="K889" s="3" t="s">
        <v>323</v>
      </c>
      <c r="L889" s="3"/>
      <c r="M889" s="3"/>
      <c r="N889" s="3"/>
      <c r="O889" s="3"/>
      <c r="P889" s="3"/>
      <c r="Q889" s="3"/>
      <c r="R889" s="3"/>
      <c r="S889" s="3"/>
      <c r="T889" s="3"/>
      <c r="U889" s="3">
        <v>4000</v>
      </c>
      <c r="V889" s="4">
        <v>36825</v>
      </c>
      <c r="W889" s="3" t="s">
        <v>31</v>
      </c>
      <c r="X889" s="3" t="s">
        <v>4603</v>
      </c>
    </row>
    <row r="890" spans="1:24" ht="27.95" x14ac:dyDescent="0.3">
      <c r="A890" s="5">
        <v>884</v>
      </c>
      <c r="B890" s="5" t="str">
        <f>"1127058"</f>
        <v>1127058</v>
      </c>
      <c r="C890" s="5" t="str">
        <f>"1052"</f>
        <v>1052</v>
      </c>
      <c r="D890" s="5" t="s">
        <v>4604</v>
      </c>
      <c r="E890" s="5">
        <v>20380415926</v>
      </c>
      <c r="F890" s="5" t="s">
        <v>4605</v>
      </c>
      <c r="G890" s="5" t="s">
        <v>4606</v>
      </c>
      <c r="H890" s="5" t="s">
        <v>51</v>
      </c>
      <c r="I890" s="5" t="s">
        <v>51</v>
      </c>
      <c r="J890" s="5" t="s">
        <v>4607</v>
      </c>
      <c r="K890" s="5" t="s">
        <v>4608</v>
      </c>
      <c r="L890" s="5"/>
      <c r="M890" s="5"/>
      <c r="N890" s="5"/>
      <c r="O890" s="5"/>
      <c r="P890" s="5"/>
      <c r="Q890" s="5"/>
      <c r="R890" s="5"/>
      <c r="S890" s="5"/>
      <c r="T890" s="5"/>
      <c r="U890" s="5">
        <v>3740</v>
      </c>
      <c r="V890" s="6">
        <v>36804</v>
      </c>
      <c r="W890" s="5" t="s">
        <v>31</v>
      </c>
      <c r="X890" s="5" t="s">
        <v>4609</v>
      </c>
    </row>
    <row r="891" spans="1:24" ht="27.95" x14ac:dyDescent="0.3">
      <c r="A891" s="3">
        <v>885</v>
      </c>
      <c r="B891" s="3" t="str">
        <f>"201600182090"</f>
        <v>201600182090</v>
      </c>
      <c r="C891" s="3" t="str">
        <f>"123557"</f>
        <v>123557</v>
      </c>
      <c r="D891" s="3" t="s">
        <v>4610</v>
      </c>
      <c r="E891" s="3">
        <v>20101250572</v>
      </c>
      <c r="F891" s="3" t="s">
        <v>4611</v>
      </c>
      <c r="G891" s="3" t="s">
        <v>4612</v>
      </c>
      <c r="H891" s="3" t="s">
        <v>550</v>
      </c>
      <c r="I891" s="3" t="s">
        <v>1804</v>
      </c>
      <c r="J891" s="3" t="s">
        <v>360</v>
      </c>
      <c r="K891" s="3" t="s">
        <v>4613</v>
      </c>
      <c r="L891" s="3" t="s">
        <v>4614</v>
      </c>
      <c r="M891" s="3" t="s">
        <v>4614</v>
      </c>
      <c r="N891" s="3"/>
      <c r="O891" s="3"/>
      <c r="P891" s="3"/>
      <c r="Q891" s="3"/>
      <c r="R891" s="3"/>
      <c r="S891" s="3"/>
      <c r="T891" s="3"/>
      <c r="U891" s="3">
        <v>19587</v>
      </c>
      <c r="V891" s="4">
        <v>42760</v>
      </c>
      <c r="W891" s="3" t="s">
        <v>31</v>
      </c>
      <c r="X891" s="3" t="s">
        <v>4615</v>
      </c>
    </row>
    <row r="892" spans="1:24" x14ac:dyDescent="0.3">
      <c r="A892" s="5">
        <v>886</v>
      </c>
      <c r="B892" s="5" t="str">
        <f>"1712701"</f>
        <v>1712701</v>
      </c>
      <c r="C892" s="5" t="str">
        <f>"60722"</f>
        <v>60722</v>
      </c>
      <c r="D892" s="5" t="s">
        <v>4616</v>
      </c>
      <c r="E892" s="5">
        <v>20100112214</v>
      </c>
      <c r="F892" s="5" t="s">
        <v>4617</v>
      </c>
      <c r="G892" s="5" t="s">
        <v>4618</v>
      </c>
      <c r="H892" s="5" t="s">
        <v>28</v>
      </c>
      <c r="I892" s="5" t="s">
        <v>28</v>
      </c>
      <c r="J892" s="5" t="s">
        <v>208</v>
      </c>
      <c r="K892" s="5" t="s">
        <v>870</v>
      </c>
      <c r="L892" s="5" t="s">
        <v>4619</v>
      </c>
      <c r="M892" s="5" t="s">
        <v>4620</v>
      </c>
      <c r="N892" s="5"/>
      <c r="O892" s="5"/>
      <c r="P892" s="5"/>
      <c r="Q892" s="5"/>
      <c r="R892" s="5"/>
      <c r="S892" s="5"/>
      <c r="T892" s="5"/>
      <c r="U892" s="5">
        <v>6800</v>
      </c>
      <c r="V892" s="6">
        <v>39308</v>
      </c>
      <c r="W892" s="5" t="s">
        <v>31</v>
      </c>
      <c r="X892" s="5" t="s">
        <v>3136</v>
      </c>
    </row>
    <row r="893" spans="1:24" ht="27.95" x14ac:dyDescent="0.3">
      <c r="A893" s="3">
        <v>887</v>
      </c>
      <c r="B893" s="3" t="str">
        <f>"201000000121"</f>
        <v>201000000121</v>
      </c>
      <c r="C893" s="3" t="str">
        <f>"14791"</f>
        <v>14791</v>
      </c>
      <c r="D893" s="3">
        <v>1202280</v>
      </c>
      <c r="E893" s="3">
        <v>20357324204</v>
      </c>
      <c r="F893" s="3" t="s">
        <v>4621</v>
      </c>
      <c r="G893" s="3" t="s">
        <v>4622</v>
      </c>
      <c r="H893" s="3" t="s">
        <v>80</v>
      </c>
      <c r="I893" s="3" t="s">
        <v>309</v>
      </c>
      <c r="J893" s="3" t="s">
        <v>309</v>
      </c>
      <c r="K893" s="3" t="s">
        <v>1736</v>
      </c>
      <c r="L893" s="3"/>
      <c r="M893" s="3"/>
      <c r="N893" s="3"/>
      <c r="O893" s="3"/>
      <c r="P893" s="3"/>
      <c r="Q893" s="3"/>
      <c r="R893" s="3"/>
      <c r="S893" s="3"/>
      <c r="T893" s="3"/>
      <c r="U893" s="3">
        <v>3200</v>
      </c>
      <c r="V893" s="4">
        <v>36056</v>
      </c>
      <c r="W893" s="3" t="s">
        <v>31</v>
      </c>
      <c r="X893" s="3" t="s">
        <v>4623</v>
      </c>
    </row>
    <row r="894" spans="1:24" ht="27.95" x14ac:dyDescent="0.3">
      <c r="A894" s="5">
        <v>888</v>
      </c>
      <c r="B894" s="5" t="str">
        <f>"201000000123"</f>
        <v>201000000123</v>
      </c>
      <c r="C894" s="5" t="str">
        <f>"528"</f>
        <v>528</v>
      </c>
      <c r="D894" s="5" t="s">
        <v>4624</v>
      </c>
      <c r="E894" s="5">
        <v>20128847881</v>
      </c>
      <c r="F894" s="5" t="s">
        <v>4625</v>
      </c>
      <c r="G894" s="5" t="s">
        <v>4626</v>
      </c>
      <c r="H894" s="5" t="s">
        <v>334</v>
      </c>
      <c r="I894" s="5" t="s">
        <v>335</v>
      </c>
      <c r="J894" s="5" t="s">
        <v>336</v>
      </c>
      <c r="K894" s="5" t="s">
        <v>4627</v>
      </c>
      <c r="L894" s="5"/>
      <c r="M894" s="5"/>
      <c r="N894" s="5"/>
      <c r="O894" s="5"/>
      <c r="P894" s="5"/>
      <c r="Q894" s="5"/>
      <c r="R894" s="5"/>
      <c r="S894" s="5"/>
      <c r="T894" s="5"/>
      <c r="U894" s="5">
        <v>8100</v>
      </c>
      <c r="V894" s="6">
        <v>36950</v>
      </c>
      <c r="W894" s="5" t="s">
        <v>31</v>
      </c>
      <c r="X894" s="5" t="s">
        <v>2621</v>
      </c>
    </row>
    <row r="895" spans="1:24" x14ac:dyDescent="0.3">
      <c r="A895" s="3">
        <v>889</v>
      </c>
      <c r="B895" s="3" t="str">
        <f>"202000074676"</f>
        <v>202000074676</v>
      </c>
      <c r="C895" s="3" t="str">
        <f>"19646"</f>
        <v>19646</v>
      </c>
      <c r="D895" s="3" t="s">
        <v>4628</v>
      </c>
      <c r="E895" s="3">
        <v>20205572229</v>
      </c>
      <c r="F895" s="3" t="s">
        <v>4629</v>
      </c>
      <c r="G895" s="3" t="s">
        <v>4630</v>
      </c>
      <c r="H895" s="3" t="s">
        <v>80</v>
      </c>
      <c r="I895" s="3" t="s">
        <v>309</v>
      </c>
      <c r="J895" s="3" t="s">
        <v>309</v>
      </c>
      <c r="K895" s="3" t="s">
        <v>972</v>
      </c>
      <c r="L895" s="3" t="s">
        <v>972</v>
      </c>
      <c r="M895" s="3" t="s">
        <v>30</v>
      </c>
      <c r="N895" s="3" t="s">
        <v>515</v>
      </c>
      <c r="O895" s="3"/>
      <c r="P895" s="3"/>
      <c r="Q895" s="3"/>
      <c r="R895" s="3"/>
      <c r="S895" s="3"/>
      <c r="T895" s="3"/>
      <c r="U895" s="3">
        <v>25000</v>
      </c>
      <c r="V895" s="4">
        <v>44015</v>
      </c>
      <c r="W895" s="3" t="s">
        <v>31</v>
      </c>
      <c r="X895" s="3" t="s">
        <v>4631</v>
      </c>
    </row>
    <row r="896" spans="1:24" ht="27.95" x14ac:dyDescent="0.3">
      <c r="A896" s="5">
        <v>890</v>
      </c>
      <c r="B896" s="5" t="str">
        <f>"201400032001"</f>
        <v>201400032001</v>
      </c>
      <c r="C896" s="5" t="str">
        <f>"105741"</f>
        <v>105741</v>
      </c>
      <c r="D896" s="5" t="s">
        <v>4632</v>
      </c>
      <c r="E896" s="5">
        <v>20506394369</v>
      </c>
      <c r="F896" s="5" t="s">
        <v>4633</v>
      </c>
      <c r="G896" s="5" t="s">
        <v>4634</v>
      </c>
      <c r="H896" s="5" t="s">
        <v>135</v>
      </c>
      <c r="I896" s="5" t="s">
        <v>943</v>
      </c>
      <c r="J896" s="5" t="s">
        <v>944</v>
      </c>
      <c r="K896" s="5" t="s">
        <v>4635</v>
      </c>
      <c r="L896" s="5" t="s">
        <v>4636</v>
      </c>
      <c r="M896" s="5"/>
      <c r="N896" s="5"/>
      <c r="O896" s="5"/>
      <c r="P896" s="5"/>
      <c r="Q896" s="5"/>
      <c r="R896" s="5"/>
      <c r="S896" s="5"/>
      <c r="T896" s="5"/>
      <c r="U896" s="5">
        <v>5132</v>
      </c>
      <c r="V896" s="6">
        <v>41751</v>
      </c>
      <c r="W896" s="5" t="s">
        <v>31</v>
      </c>
      <c r="X896" s="5" t="s">
        <v>4637</v>
      </c>
    </row>
    <row r="897" spans="1:24" ht="27.95" x14ac:dyDescent="0.3">
      <c r="A897" s="3">
        <v>891</v>
      </c>
      <c r="B897" s="3" t="str">
        <f>"201600020345"</f>
        <v>201600020345</v>
      </c>
      <c r="C897" s="3" t="str">
        <f>"93802"</f>
        <v>93802</v>
      </c>
      <c r="D897" s="3" t="s">
        <v>4638</v>
      </c>
      <c r="E897" s="3">
        <v>20330262428</v>
      </c>
      <c r="F897" s="3" t="s">
        <v>1106</v>
      </c>
      <c r="G897" s="3" t="s">
        <v>4639</v>
      </c>
      <c r="H897" s="3" t="s">
        <v>285</v>
      </c>
      <c r="I897" s="3" t="s">
        <v>1087</v>
      </c>
      <c r="J897" s="3" t="s">
        <v>1088</v>
      </c>
      <c r="K897" s="3" t="s">
        <v>3181</v>
      </c>
      <c r="L897" s="3" t="s">
        <v>3181</v>
      </c>
      <c r="M897" s="3" t="s">
        <v>3181</v>
      </c>
      <c r="N897" s="3" t="s">
        <v>3181</v>
      </c>
      <c r="O897" s="3" t="s">
        <v>4640</v>
      </c>
      <c r="P897" s="3" t="s">
        <v>4640</v>
      </c>
      <c r="Q897" s="3" t="s">
        <v>4640</v>
      </c>
      <c r="R897" s="3"/>
      <c r="S897" s="3"/>
      <c r="T897" s="3"/>
      <c r="U897" s="3">
        <v>84500</v>
      </c>
      <c r="V897" s="4">
        <v>42416</v>
      </c>
      <c r="W897" s="3" t="s">
        <v>31</v>
      </c>
      <c r="X897" s="3" t="s">
        <v>1110</v>
      </c>
    </row>
    <row r="898" spans="1:24" ht="27.95" x14ac:dyDescent="0.3">
      <c r="A898" s="5">
        <v>892</v>
      </c>
      <c r="B898" s="5" t="str">
        <f>"201800122588"</f>
        <v>201800122588</v>
      </c>
      <c r="C898" s="5" t="str">
        <f>"137659"</f>
        <v>137659</v>
      </c>
      <c r="D898" s="5" t="s">
        <v>4641</v>
      </c>
      <c r="E898" s="5">
        <v>20364156490</v>
      </c>
      <c r="F898" s="5" t="s">
        <v>4642</v>
      </c>
      <c r="G898" s="5" t="s">
        <v>4643</v>
      </c>
      <c r="H898" s="5" t="s">
        <v>51</v>
      </c>
      <c r="I898" s="5" t="s">
        <v>51</v>
      </c>
      <c r="J898" s="5" t="s">
        <v>241</v>
      </c>
      <c r="K898" s="5" t="s">
        <v>4644</v>
      </c>
      <c r="L898" s="5"/>
      <c r="M898" s="5"/>
      <c r="N898" s="5"/>
      <c r="O898" s="5"/>
      <c r="P898" s="5"/>
      <c r="Q898" s="5"/>
      <c r="R898" s="5"/>
      <c r="S898" s="5"/>
      <c r="T898" s="5"/>
      <c r="U898" s="5">
        <v>5926</v>
      </c>
      <c r="V898" s="6">
        <v>43315</v>
      </c>
      <c r="W898" s="5" t="s">
        <v>31</v>
      </c>
      <c r="X898" s="5" t="s">
        <v>4645</v>
      </c>
    </row>
    <row r="899" spans="1:24" ht="27.95" x14ac:dyDescent="0.3">
      <c r="A899" s="3">
        <v>893</v>
      </c>
      <c r="B899" s="3" t="str">
        <f>"201600020349"</f>
        <v>201600020349</v>
      </c>
      <c r="C899" s="3" t="str">
        <f>"42864"</f>
        <v>42864</v>
      </c>
      <c r="D899" s="3" t="s">
        <v>4646</v>
      </c>
      <c r="E899" s="3">
        <v>20330262428</v>
      </c>
      <c r="F899" s="3" t="s">
        <v>1106</v>
      </c>
      <c r="G899" s="3" t="s">
        <v>4647</v>
      </c>
      <c r="H899" s="3" t="s">
        <v>285</v>
      </c>
      <c r="I899" s="3" t="s">
        <v>1087</v>
      </c>
      <c r="J899" s="3" t="s">
        <v>1088</v>
      </c>
      <c r="K899" s="3" t="s">
        <v>4648</v>
      </c>
      <c r="L899" s="3" t="s">
        <v>4648</v>
      </c>
      <c r="M899" s="3" t="s">
        <v>4649</v>
      </c>
      <c r="N899" s="3" t="s">
        <v>4650</v>
      </c>
      <c r="O899" s="3" t="s">
        <v>4650</v>
      </c>
      <c r="P899" s="3"/>
      <c r="Q899" s="3"/>
      <c r="R899" s="3"/>
      <c r="S899" s="3"/>
      <c r="T899" s="3"/>
      <c r="U899" s="3">
        <v>697800</v>
      </c>
      <c r="V899" s="4">
        <v>42415</v>
      </c>
      <c r="W899" s="3" t="s">
        <v>31</v>
      </c>
      <c r="X899" s="3" t="s">
        <v>4651</v>
      </c>
    </row>
    <row r="900" spans="1:24" ht="27.95" x14ac:dyDescent="0.3">
      <c r="A900" s="5">
        <v>894</v>
      </c>
      <c r="B900" s="5" t="str">
        <f>"1889208"</f>
        <v>1889208</v>
      </c>
      <c r="C900" s="5" t="str">
        <f>"15676"</f>
        <v>15676</v>
      </c>
      <c r="D900" s="5" t="s">
        <v>4652</v>
      </c>
      <c r="E900" s="5">
        <v>20100047641</v>
      </c>
      <c r="F900" s="5" t="s">
        <v>4653</v>
      </c>
      <c r="G900" s="5" t="s">
        <v>4654</v>
      </c>
      <c r="H900" s="5" t="s">
        <v>28</v>
      </c>
      <c r="I900" s="5" t="s">
        <v>490</v>
      </c>
      <c r="J900" s="5" t="s">
        <v>491</v>
      </c>
      <c r="K900" s="5" t="s">
        <v>4655</v>
      </c>
      <c r="L900" s="5" t="s">
        <v>4655</v>
      </c>
      <c r="M900" s="5" t="s">
        <v>4656</v>
      </c>
      <c r="N900" s="5" t="s">
        <v>4656</v>
      </c>
      <c r="O900" s="5" t="s">
        <v>4657</v>
      </c>
      <c r="P900" s="5"/>
      <c r="Q900" s="5"/>
      <c r="R900" s="5"/>
      <c r="S900" s="5"/>
      <c r="T900" s="5"/>
      <c r="U900" s="5">
        <v>1368300</v>
      </c>
      <c r="V900" s="6">
        <v>40004</v>
      </c>
      <c r="W900" s="5" t="s">
        <v>31</v>
      </c>
      <c r="X900" s="5" t="s">
        <v>4658</v>
      </c>
    </row>
    <row r="901" spans="1:24" x14ac:dyDescent="0.3">
      <c r="A901" s="3">
        <v>895</v>
      </c>
      <c r="B901" s="3" t="str">
        <f>"201000000127"</f>
        <v>201000000127</v>
      </c>
      <c r="C901" s="3" t="str">
        <f>"1501"</f>
        <v>1501</v>
      </c>
      <c r="D901" s="3" t="s">
        <v>4659</v>
      </c>
      <c r="E901" s="3">
        <v>20100188628</v>
      </c>
      <c r="F901" s="3" t="s">
        <v>4660</v>
      </c>
      <c r="G901" s="3" t="s">
        <v>4661</v>
      </c>
      <c r="H901" s="3" t="s">
        <v>51</v>
      </c>
      <c r="I901" s="3" t="s">
        <v>316</v>
      </c>
      <c r="J901" s="3" t="s">
        <v>316</v>
      </c>
      <c r="K901" s="3" t="s">
        <v>46</v>
      </c>
      <c r="L901" s="3"/>
      <c r="M901" s="3"/>
      <c r="N901" s="3"/>
      <c r="O901" s="3"/>
      <c r="P901" s="3"/>
      <c r="Q901" s="3"/>
      <c r="R901" s="3"/>
      <c r="S901" s="3"/>
      <c r="T901" s="3"/>
      <c r="U901" s="3">
        <v>3000</v>
      </c>
      <c r="V901" s="4">
        <v>37077</v>
      </c>
      <c r="W901" s="3" t="s">
        <v>31</v>
      </c>
      <c r="X901" s="3" t="s">
        <v>4662</v>
      </c>
    </row>
    <row r="902" spans="1:24" x14ac:dyDescent="0.3">
      <c r="A902" s="5">
        <v>896</v>
      </c>
      <c r="B902" s="5" t="str">
        <f>"201900117678"</f>
        <v>201900117678</v>
      </c>
      <c r="C902" s="5" t="str">
        <f>"90970"</f>
        <v>90970</v>
      </c>
      <c r="D902" s="5" t="s">
        <v>4663</v>
      </c>
      <c r="E902" s="5">
        <v>20119407738</v>
      </c>
      <c r="F902" s="5" t="s">
        <v>4664</v>
      </c>
      <c r="G902" s="5" t="s">
        <v>4665</v>
      </c>
      <c r="H902" s="5" t="s">
        <v>28</v>
      </c>
      <c r="I902" s="5" t="s">
        <v>28</v>
      </c>
      <c r="J902" s="5" t="s">
        <v>266</v>
      </c>
      <c r="K902" s="5" t="s">
        <v>4666</v>
      </c>
      <c r="L902" s="5"/>
      <c r="M902" s="5"/>
      <c r="N902" s="5"/>
      <c r="O902" s="5"/>
      <c r="P902" s="5"/>
      <c r="Q902" s="5"/>
      <c r="R902" s="5"/>
      <c r="S902" s="5"/>
      <c r="T902" s="5"/>
      <c r="U902" s="5">
        <v>10536</v>
      </c>
      <c r="V902" s="6">
        <v>43683</v>
      </c>
      <c r="W902" s="5" t="s">
        <v>31</v>
      </c>
      <c r="X902" s="5" t="s">
        <v>4667</v>
      </c>
    </row>
    <row r="903" spans="1:24" ht="27.95" x14ac:dyDescent="0.3">
      <c r="A903" s="3">
        <v>897</v>
      </c>
      <c r="B903" s="3" t="str">
        <f>"201000000126"</f>
        <v>201000000126</v>
      </c>
      <c r="C903" s="3" t="str">
        <f>"1502"</f>
        <v>1502</v>
      </c>
      <c r="D903" s="3" t="s">
        <v>4668</v>
      </c>
      <c r="E903" s="3">
        <v>20100188628</v>
      </c>
      <c r="F903" s="3" t="s">
        <v>4669</v>
      </c>
      <c r="G903" s="3" t="s">
        <v>4670</v>
      </c>
      <c r="H903" s="3" t="s">
        <v>51</v>
      </c>
      <c r="I903" s="3" t="s">
        <v>316</v>
      </c>
      <c r="J903" s="3" t="s">
        <v>4100</v>
      </c>
      <c r="K903" s="3" t="s">
        <v>46</v>
      </c>
      <c r="L903" s="3"/>
      <c r="M903" s="3"/>
      <c r="N903" s="3"/>
      <c r="O903" s="3"/>
      <c r="P903" s="3"/>
      <c r="Q903" s="3"/>
      <c r="R903" s="3"/>
      <c r="S903" s="3"/>
      <c r="T903" s="3"/>
      <c r="U903" s="3">
        <v>3000</v>
      </c>
      <c r="V903" s="4">
        <v>37077</v>
      </c>
      <c r="W903" s="3" t="s">
        <v>31</v>
      </c>
      <c r="X903" s="3" t="s">
        <v>4671</v>
      </c>
    </row>
    <row r="904" spans="1:24" ht="41.95" x14ac:dyDescent="0.3">
      <c r="A904" s="5">
        <v>898</v>
      </c>
      <c r="B904" s="5" t="str">
        <f>"202000005565"</f>
        <v>202000005565</v>
      </c>
      <c r="C904" s="5" t="str">
        <f>"45516"</f>
        <v>45516</v>
      </c>
      <c r="D904" s="5" t="s">
        <v>4672</v>
      </c>
      <c r="E904" s="5">
        <v>20100108292</v>
      </c>
      <c r="F904" s="5" t="s">
        <v>4673</v>
      </c>
      <c r="G904" s="5" t="s">
        <v>4674</v>
      </c>
      <c r="H904" s="5" t="s">
        <v>28</v>
      </c>
      <c r="I904" s="5" t="s">
        <v>72</v>
      </c>
      <c r="J904" s="5" t="s">
        <v>1057</v>
      </c>
      <c r="K904" s="5" t="s">
        <v>4675</v>
      </c>
      <c r="L904" s="5" t="s">
        <v>4675</v>
      </c>
      <c r="M904" s="5" t="s">
        <v>4675</v>
      </c>
      <c r="N904" s="5" t="s">
        <v>4675</v>
      </c>
      <c r="O904" s="5" t="s">
        <v>81</v>
      </c>
      <c r="P904" s="5"/>
      <c r="Q904" s="5"/>
      <c r="R904" s="5"/>
      <c r="S904" s="5"/>
      <c r="T904" s="5"/>
      <c r="U904" s="5">
        <v>62000</v>
      </c>
      <c r="V904" s="6">
        <v>43846</v>
      </c>
      <c r="W904" s="5" t="s">
        <v>31</v>
      </c>
      <c r="X904" s="5" t="s">
        <v>4676</v>
      </c>
    </row>
    <row r="905" spans="1:24" x14ac:dyDescent="0.3">
      <c r="A905" s="3">
        <v>899</v>
      </c>
      <c r="B905" s="3" t="str">
        <f>"202000059153"</f>
        <v>202000059153</v>
      </c>
      <c r="C905" s="3" t="str">
        <f>"1462"</f>
        <v>1462</v>
      </c>
      <c r="D905" s="3" t="s">
        <v>4677</v>
      </c>
      <c r="E905" s="3">
        <v>20356922311</v>
      </c>
      <c r="F905" s="3" t="s">
        <v>4678</v>
      </c>
      <c r="G905" s="3" t="s">
        <v>4679</v>
      </c>
      <c r="H905" s="3" t="s">
        <v>80</v>
      </c>
      <c r="I905" s="3" t="s">
        <v>309</v>
      </c>
      <c r="J905" s="3" t="s">
        <v>309</v>
      </c>
      <c r="K905" s="3" t="s">
        <v>1475</v>
      </c>
      <c r="L905" s="3"/>
      <c r="M905" s="3"/>
      <c r="N905" s="3"/>
      <c r="O905" s="3"/>
      <c r="P905" s="3"/>
      <c r="Q905" s="3"/>
      <c r="R905" s="3"/>
      <c r="S905" s="3"/>
      <c r="T905" s="3"/>
      <c r="U905" s="3">
        <v>35000</v>
      </c>
      <c r="V905" s="4">
        <v>43976</v>
      </c>
      <c r="W905" s="3" t="s">
        <v>31</v>
      </c>
      <c r="X905" s="3" t="s">
        <v>4680</v>
      </c>
    </row>
    <row r="906" spans="1:24" x14ac:dyDescent="0.3">
      <c r="A906" s="5">
        <v>900</v>
      </c>
      <c r="B906" s="5" t="str">
        <f>"201000000129"</f>
        <v>201000000129</v>
      </c>
      <c r="C906" s="5" t="str">
        <f>"620"</f>
        <v>620</v>
      </c>
      <c r="D906" s="5" t="s">
        <v>4681</v>
      </c>
      <c r="E906" s="5">
        <v>20100188628</v>
      </c>
      <c r="F906" s="5" t="s">
        <v>4660</v>
      </c>
      <c r="G906" s="5" t="s">
        <v>4682</v>
      </c>
      <c r="H906" s="5" t="s">
        <v>51</v>
      </c>
      <c r="I906" s="5" t="s">
        <v>1198</v>
      </c>
      <c r="J906" s="5" t="s">
        <v>4683</v>
      </c>
      <c r="K906" s="5" t="s">
        <v>46</v>
      </c>
      <c r="L906" s="5"/>
      <c r="M906" s="5"/>
      <c r="N906" s="5"/>
      <c r="O906" s="5"/>
      <c r="P906" s="5"/>
      <c r="Q906" s="5"/>
      <c r="R906" s="5"/>
      <c r="S906" s="5"/>
      <c r="T906" s="5"/>
      <c r="U906" s="5">
        <v>3000</v>
      </c>
      <c r="V906" s="6">
        <v>37077</v>
      </c>
      <c r="W906" s="5" t="s">
        <v>31</v>
      </c>
      <c r="X906" s="5" t="s">
        <v>4662</v>
      </c>
    </row>
    <row r="907" spans="1:24" x14ac:dyDescent="0.3">
      <c r="A907" s="3">
        <v>901</v>
      </c>
      <c r="B907" s="3" t="str">
        <f>"201000000128"</f>
        <v>201000000128</v>
      </c>
      <c r="C907" s="3" t="str">
        <f>"630"</f>
        <v>630</v>
      </c>
      <c r="D907" s="3" t="s">
        <v>4684</v>
      </c>
      <c r="E907" s="3">
        <v>20100188628</v>
      </c>
      <c r="F907" s="3" t="s">
        <v>4660</v>
      </c>
      <c r="G907" s="3" t="s">
        <v>4685</v>
      </c>
      <c r="H907" s="3" t="s">
        <v>51</v>
      </c>
      <c r="I907" s="3" t="s">
        <v>129</v>
      </c>
      <c r="J907" s="3" t="s">
        <v>4686</v>
      </c>
      <c r="K907" s="3" t="s">
        <v>4687</v>
      </c>
      <c r="L907" s="3" t="s">
        <v>4688</v>
      </c>
      <c r="M907" s="3"/>
      <c r="N907" s="3"/>
      <c r="O907" s="3"/>
      <c r="P907" s="3"/>
      <c r="Q907" s="3"/>
      <c r="R907" s="3"/>
      <c r="S907" s="3"/>
      <c r="T907" s="3"/>
      <c r="U907" s="3">
        <v>9673</v>
      </c>
      <c r="V907" s="4">
        <v>37077</v>
      </c>
      <c r="W907" s="3" t="s">
        <v>31</v>
      </c>
      <c r="X907" s="3" t="s">
        <v>4662</v>
      </c>
    </row>
    <row r="908" spans="1:24" x14ac:dyDescent="0.3">
      <c r="A908" s="5">
        <v>902</v>
      </c>
      <c r="B908" s="5" t="str">
        <f>"1450632"</f>
        <v>1450632</v>
      </c>
      <c r="C908" s="5" t="str">
        <f>"16468"</f>
        <v>16468</v>
      </c>
      <c r="D908" s="5" t="s">
        <v>4689</v>
      </c>
      <c r="E908" s="5">
        <v>20214334039</v>
      </c>
      <c r="F908" s="5" t="s">
        <v>4690</v>
      </c>
      <c r="G908" s="5" t="s">
        <v>4691</v>
      </c>
      <c r="H908" s="5" t="s">
        <v>58</v>
      </c>
      <c r="I908" s="5" t="s">
        <v>4692</v>
      </c>
      <c r="J908" s="5" t="s">
        <v>4693</v>
      </c>
      <c r="K908" s="5" t="s">
        <v>4272</v>
      </c>
      <c r="L908" s="5" t="s">
        <v>329</v>
      </c>
      <c r="M908" s="5"/>
      <c r="N908" s="5"/>
      <c r="O908" s="5"/>
      <c r="P908" s="5"/>
      <c r="Q908" s="5"/>
      <c r="R908" s="5"/>
      <c r="S908" s="5"/>
      <c r="T908" s="5"/>
      <c r="U908" s="5">
        <v>11000</v>
      </c>
      <c r="V908" s="6">
        <v>37949</v>
      </c>
      <c r="W908" s="5" t="s">
        <v>31</v>
      </c>
      <c r="X908" s="5" t="s">
        <v>4694</v>
      </c>
    </row>
    <row r="909" spans="1:24" x14ac:dyDescent="0.3">
      <c r="A909" s="3">
        <v>903</v>
      </c>
      <c r="B909" s="3" t="str">
        <f>"201000000130"</f>
        <v>201000000130</v>
      </c>
      <c r="C909" s="3" t="str">
        <f>"16515"</f>
        <v>16515</v>
      </c>
      <c r="D909" s="3" t="s">
        <v>4695</v>
      </c>
      <c r="E909" s="3">
        <v>20100192650</v>
      </c>
      <c r="F909" s="3" t="s">
        <v>3128</v>
      </c>
      <c r="G909" s="3" t="s">
        <v>4696</v>
      </c>
      <c r="H909" s="3" t="s">
        <v>51</v>
      </c>
      <c r="I909" s="3" t="s">
        <v>51</v>
      </c>
      <c r="J909" s="3" t="s">
        <v>4697</v>
      </c>
      <c r="K909" s="3" t="s">
        <v>4698</v>
      </c>
      <c r="L909" s="3" t="s">
        <v>4699</v>
      </c>
      <c r="M909" s="3" t="s">
        <v>4700</v>
      </c>
      <c r="N909" s="3" t="s">
        <v>4701</v>
      </c>
      <c r="O909" s="3"/>
      <c r="P909" s="3"/>
      <c r="Q909" s="3"/>
      <c r="R909" s="3"/>
      <c r="S909" s="3"/>
      <c r="T909" s="3"/>
      <c r="U909" s="3">
        <v>16420</v>
      </c>
      <c r="V909" s="4">
        <v>37221</v>
      </c>
      <c r="W909" s="3" t="s">
        <v>31</v>
      </c>
      <c r="X909" s="3" t="s">
        <v>3130</v>
      </c>
    </row>
    <row r="910" spans="1:24" ht="27.95" x14ac:dyDescent="0.3">
      <c r="A910" s="5">
        <v>904</v>
      </c>
      <c r="B910" s="5" t="str">
        <f>"1554376"</f>
        <v>1554376</v>
      </c>
      <c r="C910" s="5" t="str">
        <f>"41332"</f>
        <v>41332</v>
      </c>
      <c r="D910" s="5" t="s">
        <v>4702</v>
      </c>
      <c r="E910" s="5">
        <v>20141032284</v>
      </c>
      <c r="F910" s="5" t="s">
        <v>4703</v>
      </c>
      <c r="G910" s="5" t="s">
        <v>4704</v>
      </c>
      <c r="H910" s="5" t="s">
        <v>28</v>
      </c>
      <c r="I910" s="5" t="s">
        <v>28</v>
      </c>
      <c r="J910" s="5" t="s">
        <v>208</v>
      </c>
      <c r="K910" s="5" t="s">
        <v>4705</v>
      </c>
      <c r="L910" s="5"/>
      <c r="M910" s="5"/>
      <c r="N910" s="5"/>
      <c r="O910" s="5"/>
      <c r="P910" s="5"/>
      <c r="Q910" s="5"/>
      <c r="R910" s="5"/>
      <c r="S910" s="5"/>
      <c r="T910" s="5"/>
      <c r="U910" s="5">
        <v>4735</v>
      </c>
      <c r="V910" s="6">
        <v>38601</v>
      </c>
      <c r="W910" s="5" t="s">
        <v>31</v>
      </c>
      <c r="X910" s="5" t="s">
        <v>4706</v>
      </c>
    </row>
    <row r="911" spans="1:24" ht="27.95" x14ac:dyDescent="0.3">
      <c r="A911" s="3">
        <v>905</v>
      </c>
      <c r="B911" s="3" t="str">
        <f>"201300111876"</f>
        <v>201300111876</v>
      </c>
      <c r="C911" s="3" t="str">
        <f>"103803"</f>
        <v>103803</v>
      </c>
      <c r="D911" s="3" t="s">
        <v>4707</v>
      </c>
      <c r="E911" s="3">
        <v>20481126411</v>
      </c>
      <c r="F911" s="3" t="s">
        <v>4708</v>
      </c>
      <c r="G911" s="3" t="s">
        <v>4709</v>
      </c>
      <c r="H911" s="3" t="s">
        <v>36</v>
      </c>
      <c r="I911" s="3" t="s">
        <v>37</v>
      </c>
      <c r="J911" s="3" t="s">
        <v>4710</v>
      </c>
      <c r="K911" s="3" t="s">
        <v>826</v>
      </c>
      <c r="L911" s="3"/>
      <c r="M911" s="3"/>
      <c r="N911" s="3"/>
      <c r="O911" s="3"/>
      <c r="P911" s="3"/>
      <c r="Q911" s="3"/>
      <c r="R911" s="3"/>
      <c r="S911" s="3"/>
      <c r="T911" s="3"/>
      <c r="U911" s="3">
        <v>8000</v>
      </c>
      <c r="V911" s="4">
        <v>41482</v>
      </c>
      <c r="W911" s="3" t="s">
        <v>31</v>
      </c>
      <c r="X911" s="3" t="s">
        <v>4711</v>
      </c>
    </row>
    <row r="912" spans="1:24" ht="27.95" x14ac:dyDescent="0.3">
      <c r="A912" s="5">
        <v>906</v>
      </c>
      <c r="B912" s="5" t="str">
        <f>"201000000133"</f>
        <v>201000000133</v>
      </c>
      <c r="C912" s="5" t="str">
        <f>"529"</f>
        <v>529</v>
      </c>
      <c r="D912" s="5" t="s">
        <v>4712</v>
      </c>
      <c r="E912" s="5">
        <v>20128847881</v>
      </c>
      <c r="F912" s="5" t="s">
        <v>4713</v>
      </c>
      <c r="G912" s="5" t="s">
        <v>4714</v>
      </c>
      <c r="H912" s="5" t="s">
        <v>334</v>
      </c>
      <c r="I912" s="5" t="s">
        <v>335</v>
      </c>
      <c r="J912" s="5" t="s">
        <v>336</v>
      </c>
      <c r="K912" s="5" t="s">
        <v>421</v>
      </c>
      <c r="L912" s="5"/>
      <c r="M912" s="5"/>
      <c r="N912" s="5"/>
      <c r="O912" s="5"/>
      <c r="P912" s="5"/>
      <c r="Q912" s="5"/>
      <c r="R912" s="5"/>
      <c r="S912" s="5"/>
      <c r="T912" s="5"/>
      <c r="U912" s="5">
        <v>5000</v>
      </c>
      <c r="V912" s="6">
        <v>39391</v>
      </c>
      <c r="W912" s="5" t="s">
        <v>31</v>
      </c>
      <c r="X912" s="5" t="s">
        <v>2621</v>
      </c>
    </row>
    <row r="913" spans="1:24" x14ac:dyDescent="0.3">
      <c r="A913" s="3">
        <v>907</v>
      </c>
      <c r="B913" s="3" t="str">
        <f>"201200188189"</f>
        <v>201200188189</v>
      </c>
      <c r="C913" s="3" t="str">
        <f>"98808"</f>
        <v>98808</v>
      </c>
      <c r="D913" s="3" t="s">
        <v>4715</v>
      </c>
      <c r="E913" s="3">
        <v>20100079501</v>
      </c>
      <c r="F913" s="3" t="s">
        <v>844</v>
      </c>
      <c r="G913" s="3" t="s">
        <v>4716</v>
      </c>
      <c r="H913" s="3" t="s">
        <v>28</v>
      </c>
      <c r="I913" s="3" t="s">
        <v>4717</v>
      </c>
      <c r="J913" s="3" t="s">
        <v>4717</v>
      </c>
      <c r="K913" s="3" t="s">
        <v>168</v>
      </c>
      <c r="L913" s="3" t="s">
        <v>168</v>
      </c>
      <c r="M913" s="3" t="s">
        <v>168</v>
      </c>
      <c r="N913" s="3" t="s">
        <v>168</v>
      </c>
      <c r="O913" s="3"/>
      <c r="P913" s="3"/>
      <c r="Q913" s="3"/>
      <c r="R913" s="3"/>
      <c r="S913" s="3"/>
      <c r="T913" s="3"/>
      <c r="U913" s="3">
        <v>40000</v>
      </c>
      <c r="V913" s="4">
        <v>41242</v>
      </c>
      <c r="W913" s="3" t="s">
        <v>31</v>
      </c>
      <c r="X913" s="3" t="s">
        <v>848</v>
      </c>
    </row>
    <row r="914" spans="1:24" x14ac:dyDescent="0.3">
      <c r="A914" s="5">
        <v>908</v>
      </c>
      <c r="B914" s="5" t="str">
        <f>"1286686"</f>
        <v>1286686</v>
      </c>
      <c r="C914" s="5" t="str">
        <f>"19563"</f>
        <v>19563</v>
      </c>
      <c r="D914" s="5" t="s">
        <v>4718</v>
      </c>
      <c r="E914" s="5">
        <v>20131257750</v>
      </c>
      <c r="F914" s="5" t="s">
        <v>4553</v>
      </c>
      <c r="G914" s="5" t="s">
        <v>4719</v>
      </c>
      <c r="H914" s="5" t="s">
        <v>36</v>
      </c>
      <c r="I914" s="5" t="s">
        <v>1269</v>
      </c>
      <c r="J914" s="5" t="s">
        <v>4720</v>
      </c>
      <c r="K914" s="5" t="s">
        <v>4721</v>
      </c>
      <c r="L914" s="5" t="s">
        <v>4721</v>
      </c>
      <c r="M914" s="5"/>
      <c r="N914" s="5"/>
      <c r="O914" s="5"/>
      <c r="P914" s="5"/>
      <c r="Q914" s="5"/>
      <c r="R914" s="5"/>
      <c r="S914" s="5"/>
      <c r="T914" s="5"/>
      <c r="U914" s="5">
        <v>3100</v>
      </c>
      <c r="V914" s="6">
        <v>36689</v>
      </c>
      <c r="W914" s="5" t="s">
        <v>31</v>
      </c>
      <c r="X914" s="5" t="s">
        <v>1423</v>
      </c>
    </row>
    <row r="915" spans="1:24" ht="27.95" x14ac:dyDescent="0.3">
      <c r="A915" s="3">
        <v>909</v>
      </c>
      <c r="B915" s="3" t="str">
        <f>"1173823"</f>
        <v>1173823</v>
      </c>
      <c r="C915" s="3" t="str">
        <f>"1393"</f>
        <v>1393</v>
      </c>
      <c r="D915" s="3">
        <v>1173823</v>
      </c>
      <c r="E915" s="3">
        <v>20171092354</v>
      </c>
      <c r="F915" s="3" t="s">
        <v>4722</v>
      </c>
      <c r="G915" s="3" t="s">
        <v>4723</v>
      </c>
      <c r="H915" s="3" t="s">
        <v>214</v>
      </c>
      <c r="I915" s="3" t="s">
        <v>214</v>
      </c>
      <c r="J915" s="3" t="s">
        <v>214</v>
      </c>
      <c r="K915" s="3" t="s">
        <v>4724</v>
      </c>
      <c r="L915" s="3" t="s">
        <v>4724</v>
      </c>
      <c r="M915" s="3"/>
      <c r="N915" s="3"/>
      <c r="O915" s="3"/>
      <c r="P915" s="3"/>
      <c r="Q915" s="3"/>
      <c r="R915" s="3"/>
      <c r="S915" s="3"/>
      <c r="T915" s="3"/>
      <c r="U915" s="3">
        <v>8660</v>
      </c>
      <c r="V915" s="4">
        <v>35844</v>
      </c>
      <c r="W915" s="3" t="s">
        <v>31</v>
      </c>
      <c r="X915" s="3" t="s">
        <v>4725</v>
      </c>
    </row>
    <row r="916" spans="1:24" ht="27.95" x14ac:dyDescent="0.3">
      <c r="A916" s="5">
        <v>910</v>
      </c>
      <c r="B916" s="5" t="str">
        <f>"202000059811"</f>
        <v>202000059811</v>
      </c>
      <c r="C916" s="5" t="str">
        <f>"149606"</f>
        <v>149606</v>
      </c>
      <c r="D916" s="5" t="s">
        <v>4726</v>
      </c>
      <c r="E916" s="5">
        <v>10800586793</v>
      </c>
      <c r="F916" s="5" t="s">
        <v>4727</v>
      </c>
      <c r="G916" s="5" t="s">
        <v>4728</v>
      </c>
      <c r="H916" s="5" t="s">
        <v>165</v>
      </c>
      <c r="I916" s="5" t="s">
        <v>166</v>
      </c>
      <c r="J916" s="5" t="s">
        <v>167</v>
      </c>
      <c r="K916" s="5" t="s">
        <v>3396</v>
      </c>
      <c r="L916" s="5"/>
      <c r="M916" s="5"/>
      <c r="N916" s="5"/>
      <c r="O916" s="5"/>
      <c r="P916" s="5"/>
      <c r="Q916" s="5"/>
      <c r="R916" s="5"/>
      <c r="S916" s="5"/>
      <c r="T916" s="5"/>
      <c r="U916" s="5">
        <v>7500</v>
      </c>
      <c r="V916" s="6">
        <v>43981</v>
      </c>
      <c r="W916" s="5" t="s">
        <v>31</v>
      </c>
      <c r="X916" s="5" t="s">
        <v>4727</v>
      </c>
    </row>
    <row r="917" spans="1:24" ht="27.95" x14ac:dyDescent="0.3">
      <c r="A917" s="3">
        <v>911</v>
      </c>
      <c r="B917" s="3" t="str">
        <f>"201300052529"</f>
        <v>201300052529</v>
      </c>
      <c r="C917" s="3" t="str">
        <f>"100217"</f>
        <v>100217</v>
      </c>
      <c r="D917" s="3" t="s">
        <v>4729</v>
      </c>
      <c r="E917" s="3">
        <v>20506285314</v>
      </c>
      <c r="F917" s="3" t="s">
        <v>4730</v>
      </c>
      <c r="G917" s="3" t="s">
        <v>4731</v>
      </c>
      <c r="H917" s="3" t="s">
        <v>80</v>
      </c>
      <c r="I917" s="3" t="s">
        <v>228</v>
      </c>
      <c r="J917" s="3" t="s">
        <v>228</v>
      </c>
      <c r="K917" s="3" t="s">
        <v>4732</v>
      </c>
      <c r="L917" s="3" t="s">
        <v>4732</v>
      </c>
      <c r="M917" s="3" t="s">
        <v>4732</v>
      </c>
      <c r="N917" s="3" t="s">
        <v>4732</v>
      </c>
      <c r="O917" s="3" t="s">
        <v>4732</v>
      </c>
      <c r="P917" s="3"/>
      <c r="Q917" s="3"/>
      <c r="R917" s="3"/>
      <c r="S917" s="3"/>
      <c r="T917" s="3"/>
      <c r="U917" s="3">
        <v>13200</v>
      </c>
      <c r="V917" s="4">
        <v>41379</v>
      </c>
      <c r="W917" s="3" t="s">
        <v>31</v>
      </c>
      <c r="X917" s="3" t="s">
        <v>4733</v>
      </c>
    </row>
    <row r="918" spans="1:24" x14ac:dyDescent="0.3">
      <c r="A918" s="5">
        <v>912</v>
      </c>
      <c r="B918" s="5" t="str">
        <f>"201800167557"</f>
        <v>201800167557</v>
      </c>
      <c r="C918" s="5" t="str">
        <f>"83338"</f>
        <v>83338</v>
      </c>
      <c r="D918" s="5" t="s">
        <v>4734</v>
      </c>
      <c r="E918" s="5">
        <v>20347646891</v>
      </c>
      <c r="F918" s="5" t="s">
        <v>4735</v>
      </c>
      <c r="G918" s="5" t="s">
        <v>4736</v>
      </c>
      <c r="H918" s="5" t="s">
        <v>115</v>
      </c>
      <c r="I918" s="5" t="s">
        <v>115</v>
      </c>
      <c r="J918" s="5" t="s">
        <v>159</v>
      </c>
      <c r="K918" s="5" t="s">
        <v>87</v>
      </c>
      <c r="L918" s="5"/>
      <c r="M918" s="5"/>
      <c r="N918" s="5"/>
      <c r="O918" s="5"/>
      <c r="P918" s="5"/>
      <c r="Q918" s="5"/>
      <c r="R918" s="5"/>
      <c r="S918" s="5"/>
      <c r="T918" s="5"/>
      <c r="U918" s="5">
        <v>6000</v>
      </c>
      <c r="V918" s="6">
        <v>43385</v>
      </c>
      <c r="W918" s="5" t="s">
        <v>31</v>
      </c>
      <c r="X918" s="5" t="s">
        <v>4737</v>
      </c>
    </row>
    <row r="919" spans="1:24" ht="27.95" x14ac:dyDescent="0.3">
      <c r="A919" s="3">
        <v>913</v>
      </c>
      <c r="B919" s="3" t="str">
        <f>"201800203196"</f>
        <v>201800203196</v>
      </c>
      <c r="C919" s="3" t="str">
        <f>"140222"</f>
        <v>140222</v>
      </c>
      <c r="D919" s="3" t="s">
        <v>4738</v>
      </c>
      <c r="E919" s="3">
        <v>20145380546</v>
      </c>
      <c r="F919" s="3" t="s">
        <v>3480</v>
      </c>
      <c r="G919" s="3" t="s">
        <v>4739</v>
      </c>
      <c r="H919" s="3" t="s">
        <v>28</v>
      </c>
      <c r="I919" s="3" t="s">
        <v>28</v>
      </c>
      <c r="J919" s="3" t="s">
        <v>109</v>
      </c>
      <c r="K919" s="3" t="s">
        <v>30</v>
      </c>
      <c r="L919" s="3"/>
      <c r="M919" s="3"/>
      <c r="N919" s="3"/>
      <c r="O919" s="3"/>
      <c r="P919" s="3"/>
      <c r="Q919" s="3"/>
      <c r="R919" s="3"/>
      <c r="S919" s="3"/>
      <c r="T919" s="3"/>
      <c r="U919" s="3">
        <v>8000</v>
      </c>
      <c r="V919" s="4">
        <v>43452</v>
      </c>
      <c r="W919" s="3" t="s">
        <v>31</v>
      </c>
      <c r="X919" s="3" t="s">
        <v>4740</v>
      </c>
    </row>
    <row r="920" spans="1:24" ht="27.95" x14ac:dyDescent="0.3">
      <c r="A920" s="5">
        <v>914</v>
      </c>
      <c r="B920" s="5" t="str">
        <f>"201200029560"</f>
        <v>201200029560</v>
      </c>
      <c r="C920" s="5" t="str">
        <f>"42052"</f>
        <v>42052</v>
      </c>
      <c r="D920" s="5" t="s">
        <v>4741</v>
      </c>
      <c r="E920" s="5">
        <v>20502751248</v>
      </c>
      <c r="F920" s="5" t="s">
        <v>4742</v>
      </c>
      <c r="G920" s="5" t="s">
        <v>4743</v>
      </c>
      <c r="H920" s="5" t="s">
        <v>28</v>
      </c>
      <c r="I920" s="5" t="s">
        <v>28</v>
      </c>
      <c r="J920" s="5" t="s">
        <v>699</v>
      </c>
      <c r="K920" s="5" t="s">
        <v>130</v>
      </c>
      <c r="L920" s="5"/>
      <c r="M920" s="5"/>
      <c r="N920" s="5"/>
      <c r="O920" s="5"/>
      <c r="P920" s="5"/>
      <c r="Q920" s="5"/>
      <c r="R920" s="5"/>
      <c r="S920" s="5"/>
      <c r="T920" s="5"/>
      <c r="U920" s="5">
        <v>3000</v>
      </c>
      <c r="V920" s="6">
        <v>40990</v>
      </c>
      <c r="W920" s="5" t="s">
        <v>31</v>
      </c>
      <c r="X920" s="5" t="s">
        <v>4744</v>
      </c>
    </row>
    <row r="921" spans="1:24" ht="27.95" x14ac:dyDescent="0.3">
      <c r="A921" s="3">
        <v>915</v>
      </c>
      <c r="B921" s="3" t="str">
        <f>"201300152507"</f>
        <v>201300152507</v>
      </c>
      <c r="C921" s="3" t="str">
        <f>"423"</f>
        <v>423</v>
      </c>
      <c r="D921" s="3" t="s">
        <v>4745</v>
      </c>
      <c r="E921" s="3">
        <v>20551670105</v>
      </c>
      <c r="F921" s="3" t="s">
        <v>4746</v>
      </c>
      <c r="G921" s="3" t="s">
        <v>4747</v>
      </c>
      <c r="H921" s="3" t="s">
        <v>51</v>
      </c>
      <c r="I921" s="3" t="s">
        <v>316</v>
      </c>
      <c r="J921" s="3" t="s">
        <v>316</v>
      </c>
      <c r="K921" s="3" t="s">
        <v>168</v>
      </c>
      <c r="L921" s="3" t="s">
        <v>168</v>
      </c>
      <c r="M921" s="3" t="s">
        <v>181</v>
      </c>
      <c r="N921" s="3"/>
      <c r="O921" s="3"/>
      <c r="P921" s="3"/>
      <c r="Q921" s="3"/>
      <c r="R921" s="3"/>
      <c r="S921" s="3"/>
      <c r="T921" s="3"/>
      <c r="U921" s="3">
        <v>25000</v>
      </c>
      <c r="V921" s="4">
        <v>41550</v>
      </c>
      <c r="W921" s="3" t="s">
        <v>31</v>
      </c>
      <c r="X921" s="3" t="s">
        <v>4748</v>
      </c>
    </row>
    <row r="922" spans="1:24" ht="27.95" x14ac:dyDescent="0.3">
      <c r="A922" s="5">
        <v>916</v>
      </c>
      <c r="B922" s="5" t="str">
        <f>"201800062236"</f>
        <v>201800062236</v>
      </c>
      <c r="C922" s="5" t="str">
        <f>"135656"</f>
        <v>135656</v>
      </c>
      <c r="D922" s="5" t="s">
        <v>4749</v>
      </c>
      <c r="E922" s="5">
        <v>10251934156</v>
      </c>
      <c r="F922" s="5" t="s">
        <v>4750</v>
      </c>
      <c r="G922" s="5" t="s">
        <v>4751</v>
      </c>
      <c r="H922" s="5" t="s">
        <v>165</v>
      </c>
      <c r="I922" s="5" t="s">
        <v>166</v>
      </c>
      <c r="J922" s="5" t="s">
        <v>165</v>
      </c>
      <c r="K922" s="5" t="s">
        <v>4752</v>
      </c>
      <c r="L922" s="5"/>
      <c r="M922" s="5"/>
      <c r="N922" s="5"/>
      <c r="O922" s="5"/>
      <c r="P922" s="5"/>
      <c r="Q922" s="5"/>
      <c r="R922" s="5"/>
      <c r="S922" s="5"/>
      <c r="T922" s="5"/>
      <c r="U922" s="5">
        <v>7200</v>
      </c>
      <c r="V922" s="6">
        <v>43212</v>
      </c>
      <c r="W922" s="5" t="s">
        <v>31</v>
      </c>
      <c r="X922" s="5" t="s">
        <v>4750</v>
      </c>
    </row>
    <row r="923" spans="1:24" x14ac:dyDescent="0.3">
      <c r="A923" s="3">
        <v>917</v>
      </c>
      <c r="B923" s="3" t="str">
        <f>"1113496"</f>
        <v>1113496</v>
      </c>
      <c r="C923" s="3" t="str">
        <f>"451"</f>
        <v>451</v>
      </c>
      <c r="D923" s="3">
        <v>991273</v>
      </c>
      <c r="E923" s="3">
        <v>20131257750</v>
      </c>
      <c r="F923" s="3" t="s">
        <v>4753</v>
      </c>
      <c r="G923" s="3" t="s">
        <v>4754</v>
      </c>
      <c r="H923" s="3" t="s">
        <v>51</v>
      </c>
      <c r="I923" s="3" t="s">
        <v>51</v>
      </c>
      <c r="J923" s="3" t="s">
        <v>51</v>
      </c>
      <c r="K923" s="3" t="s">
        <v>46</v>
      </c>
      <c r="L923" s="3" t="s">
        <v>46</v>
      </c>
      <c r="M923" s="3" t="s">
        <v>46</v>
      </c>
      <c r="N923" s="3" t="s">
        <v>421</v>
      </c>
      <c r="O923" s="3" t="s">
        <v>421</v>
      </c>
      <c r="P923" s="3"/>
      <c r="Q923" s="3"/>
      <c r="R923" s="3"/>
      <c r="S923" s="3"/>
      <c r="T923" s="3"/>
      <c r="U923" s="3">
        <v>19000</v>
      </c>
      <c r="V923" s="4">
        <v>35524</v>
      </c>
      <c r="W923" s="3" t="s">
        <v>31</v>
      </c>
      <c r="X923" s="3" t="s">
        <v>1423</v>
      </c>
    </row>
    <row r="924" spans="1:24" ht="27.95" x14ac:dyDescent="0.3">
      <c r="A924" s="5">
        <v>918</v>
      </c>
      <c r="B924" s="5" t="str">
        <f>"1833903"</f>
        <v>1833903</v>
      </c>
      <c r="C924" s="5" t="str">
        <f>"64362"</f>
        <v>64362</v>
      </c>
      <c r="D924" s="5" t="s">
        <v>4755</v>
      </c>
      <c r="E924" s="5">
        <v>20100147514</v>
      </c>
      <c r="F924" s="5" t="s">
        <v>4756</v>
      </c>
      <c r="G924" s="5" t="s">
        <v>4757</v>
      </c>
      <c r="H924" s="5" t="s">
        <v>1147</v>
      </c>
      <c r="I924" s="5" t="s">
        <v>1148</v>
      </c>
      <c r="J924" s="5" t="s">
        <v>2741</v>
      </c>
      <c r="K924" s="5" t="s">
        <v>4272</v>
      </c>
      <c r="L924" s="5" t="s">
        <v>1259</v>
      </c>
      <c r="M924" s="5"/>
      <c r="N924" s="5"/>
      <c r="O924" s="5"/>
      <c r="P924" s="5"/>
      <c r="Q924" s="5"/>
      <c r="R924" s="5"/>
      <c r="S924" s="5"/>
      <c r="T924" s="5"/>
      <c r="U924" s="5">
        <v>30600</v>
      </c>
      <c r="V924" s="6">
        <v>39749</v>
      </c>
      <c r="W924" s="5" t="s">
        <v>31</v>
      </c>
      <c r="X924" s="5" t="s">
        <v>4758</v>
      </c>
    </row>
    <row r="925" spans="1:24" x14ac:dyDescent="0.3">
      <c r="A925" s="3">
        <v>919</v>
      </c>
      <c r="B925" s="3" t="str">
        <f>"1460670"</f>
        <v>1460670</v>
      </c>
      <c r="C925" s="3" t="str">
        <f>"88588"</f>
        <v>88588</v>
      </c>
      <c r="D925" s="3" t="s">
        <v>4759</v>
      </c>
      <c r="E925" s="3">
        <v>20100154057</v>
      </c>
      <c r="F925" s="3" t="s">
        <v>4760</v>
      </c>
      <c r="G925" s="3" t="s">
        <v>4761</v>
      </c>
      <c r="H925" s="3" t="s">
        <v>28</v>
      </c>
      <c r="I925" s="3" t="s">
        <v>28</v>
      </c>
      <c r="J925" s="3" t="s">
        <v>45</v>
      </c>
      <c r="K925" s="3" t="s">
        <v>4762</v>
      </c>
      <c r="L925" s="3"/>
      <c r="M925" s="3"/>
      <c r="N925" s="3"/>
      <c r="O925" s="3"/>
      <c r="P925" s="3"/>
      <c r="Q925" s="3"/>
      <c r="R925" s="3"/>
      <c r="S925" s="3"/>
      <c r="T925" s="3"/>
      <c r="U925" s="3">
        <v>1200</v>
      </c>
      <c r="V925" s="4">
        <v>40564</v>
      </c>
      <c r="W925" s="3" t="s">
        <v>31</v>
      </c>
      <c r="X925" s="3" t="s">
        <v>4763</v>
      </c>
    </row>
    <row r="926" spans="1:24" ht="27.95" x14ac:dyDescent="0.3">
      <c r="A926" s="5">
        <v>920</v>
      </c>
      <c r="B926" s="5" t="str">
        <f>"1792515"</f>
        <v>1792515</v>
      </c>
      <c r="C926" s="5" t="str">
        <f>"61985"</f>
        <v>61985</v>
      </c>
      <c r="D926" s="5" t="s">
        <v>4764</v>
      </c>
      <c r="E926" s="5">
        <v>20509910597</v>
      </c>
      <c r="F926" s="5" t="s">
        <v>4765</v>
      </c>
      <c r="G926" s="5" t="s">
        <v>4766</v>
      </c>
      <c r="H926" s="5" t="s">
        <v>28</v>
      </c>
      <c r="I926" s="5" t="s">
        <v>28</v>
      </c>
      <c r="J926" s="5" t="s">
        <v>109</v>
      </c>
      <c r="K926" s="5" t="s">
        <v>345</v>
      </c>
      <c r="L926" s="5"/>
      <c r="M926" s="5"/>
      <c r="N926" s="5"/>
      <c r="O926" s="5"/>
      <c r="P926" s="5"/>
      <c r="Q926" s="5"/>
      <c r="R926" s="5"/>
      <c r="S926" s="5"/>
      <c r="T926" s="5"/>
      <c r="U926" s="5">
        <v>750</v>
      </c>
      <c r="V926" s="6">
        <v>39624</v>
      </c>
      <c r="W926" s="5" t="s">
        <v>31</v>
      </c>
      <c r="X926" s="5" t="s">
        <v>4767</v>
      </c>
    </row>
    <row r="927" spans="1:24" x14ac:dyDescent="0.3">
      <c r="A927" s="3">
        <v>921</v>
      </c>
      <c r="B927" s="3" t="str">
        <f>"1115696"</f>
        <v>1115696</v>
      </c>
      <c r="C927" s="3" t="str">
        <f>"672"</f>
        <v>672</v>
      </c>
      <c r="D927" s="3">
        <v>1005800</v>
      </c>
      <c r="E927" s="3">
        <v>20100290406</v>
      </c>
      <c r="F927" s="3" t="s">
        <v>4768</v>
      </c>
      <c r="G927" s="3" t="s">
        <v>4769</v>
      </c>
      <c r="H927" s="3" t="s">
        <v>28</v>
      </c>
      <c r="I927" s="3" t="s">
        <v>28</v>
      </c>
      <c r="J927" s="3" t="s">
        <v>91</v>
      </c>
      <c r="K927" s="3" t="s">
        <v>4770</v>
      </c>
      <c r="L927" s="3"/>
      <c r="M927" s="3"/>
      <c r="N927" s="3"/>
      <c r="O927" s="3"/>
      <c r="P927" s="3"/>
      <c r="Q927" s="3"/>
      <c r="R927" s="3"/>
      <c r="S927" s="3"/>
      <c r="T927" s="3"/>
      <c r="U927" s="3">
        <v>8212</v>
      </c>
      <c r="V927" s="4">
        <v>35535</v>
      </c>
      <c r="W927" s="3" t="s">
        <v>31</v>
      </c>
      <c r="X927" s="3" t="s">
        <v>4771</v>
      </c>
    </row>
    <row r="928" spans="1:24" ht="27.95" x14ac:dyDescent="0.3">
      <c r="A928" s="5">
        <v>922</v>
      </c>
      <c r="B928" s="5" t="str">
        <f>"201900030379"</f>
        <v>201900030379</v>
      </c>
      <c r="C928" s="5" t="str">
        <f>"42197"</f>
        <v>42197</v>
      </c>
      <c r="D928" s="5" t="s">
        <v>4772</v>
      </c>
      <c r="E928" s="5">
        <v>20102110421</v>
      </c>
      <c r="F928" s="5" t="s">
        <v>4773</v>
      </c>
      <c r="G928" s="5" t="s">
        <v>4774</v>
      </c>
      <c r="H928" s="5" t="s">
        <v>28</v>
      </c>
      <c r="I928" s="5" t="s">
        <v>28</v>
      </c>
      <c r="J928" s="5" t="s">
        <v>501</v>
      </c>
      <c r="K928" s="5" t="s">
        <v>397</v>
      </c>
      <c r="L928" s="5" t="s">
        <v>4775</v>
      </c>
      <c r="M928" s="5"/>
      <c r="N928" s="5"/>
      <c r="O928" s="5"/>
      <c r="P928" s="5"/>
      <c r="Q928" s="5"/>
      <c r="R928" s="5"/>
      <c r="S928" s="5"/>
      <c r="T928" s="5"/>
      <c r="U928" s="5">
        <v>4400</v>
      </c>
      <c r="V928" s="6">
        <v>43529</v>
      </c>
      <c r="W928" s="5" t="s">
        <v>31</v>
      </c>
      <c r="X928" s="5" t="s">
        <v>4776</v>
      </c>
    </row>
    <row r="929" spans="1:24" x14ac:dyDescent="0.3">
      <c r="A929" s="3">
        <v>923</v>
      </c>
      <c r="B929" s="3" t="str">
        <f>"201600143753"</f>
        <v>201600143753</v>
      </c>
      <c r="C929" s="3" t="str">
        <f>"40719"</f>
        <v>40719</v>
      </c>
      <c r="D929" s="3" t="s">
        <v>4777</v>
      </c>
      <c r="E929" s="3">
        <v>20104420282</v>
      </c>
      <c r="F929" s="3" t="s">
        <v>4778</v>
      </c>
      <c r="G929" s="3" t="s">
        <v>4779</v>
      </c>
      <c r="H929" s="3" t="s">
        <v>264</v>
      </c>
      <c r="I929" s="3" t="s">
        <v>264</v>
      </c>
      <c r="J929" s="3" t="s">
        <v>895</v>
      </c>
      <c r="K929" s="3" t="s">
        <v>4780</v>
      </c>
      <c r="L929" s="3"/>
      <c r="M929" s="3"/>
      <c r="N929" s="3"/>
      <c r="O929" s="3"/>
      <c r="P929" s="3"/>
      <c r="Q929" s="3"/>
      <c r="R929" s="3"/>
      <c r="S929" s="3"/>
      <c r="T929" s="3"/>
      <c r="U929" s="3">
        <v>130000</v>
      </c>
      <c r="V929" s="4">
        <v>42656</v>
      </c>
      <c r="W929" s="3" t="s">
        <v>31</v>
      </c>
      <c r="X929" s="3" t="s">
        <v>4781</v>
      </c>
    </row>
    <row r="930" spans="1:24" ht="27.95" x14ac:dyDescent="0.3">
      <c r="A930" s="5">
        <v>924</v>
      </c>
      <c r="B930" s="5" t="str">
        <f>"1294366"</f>
        <v>1294366</v>
      </c>
      <c r="C930" s="5" t="str">
        <f>"19673"</f>
        <v>19673</v>
      </c>
      <c r="D930" s="5">
        <v>1294366</v>
      </c>
      <c r="E930" s="5">
        <v>20262254268</v>
      </c>
      <c r="F930" s="5" t="s">
        <v>4782</v>
      </c>
      <c r="G930" s="5" t="s">
        <v>4783</v>
      </c>
      <c r="H930" s="5" t="s">
        <v>115</v>
      </c>
      <c r="I930" s="5" t="s">
        <v>115</v>
      </c>
      <c r="J930" s="5" t="s">
        <v>159</v>
      </c>
      <c r="K930" s="5" t="s">
        <v>421</v>
      </c>
      <c r="L930" s="5"/>
      <c r="M930" s="5"/>
      <c r="N930" s="5"/>
      <c r="O930" s="5"/>
      <c r="P930" s="5"/>
      <c r="Q930" s="5"/>
      <c r="R930" s="5"/>
      <c r="S930" s="5"/>
      <c r="T930" s="5"/>
      <c r="U930" s="5">
        <v>5000</v>
      </c>
      <c r="V930" s="6">
        <v>36784</v>
      </c>
      <c r="W930" s="5" t="s">
        <v>31</v>
      </c>
      <c r="X930" s="5" t="s">
        <v>4784</v>
      </c>
    </row>
    <row r="931" spans="1:24" ht="27.95" x14ac:dyDescent="0.3">
      <c r="A931" s="3">
        <v>925</v>
      </c>
      <c r="B931" s="3" t="str">
        <f>"1392805"</f>
        <v>1392805</v>
      </c>
      <c r="C931" s="3" t="str">
        <f>"87605"</f>
        <v>87605</v>
      </c>
      <c r="D931" s="3" t="s">
        <v>4785</v>
      </c>
      <c r="E931" s="3">
        <v>20513462388</v>
      </c>
      <c r="F931" s="3" t="s">
        <v>4786</v>
      </c>
      <c r="G931" s="3" t="s">
        <v>4787</v>
      </c>
      <c r="H931" s="3" t="s">
        <v>115</v>
      </c>
      <c r="I931" s="3" t="s">
        <v>115</v>
      </c>
      <c r="J931" s="3" t="s">
        <v>159</v>
      </c>
      <c r="K931" s="3" t="s">
        <v>4788</v>
      </c>
      <c r="L931" s="3"/>
      <c r="M931" s="3"/>
      <c r="N931" s="3"/>
      <c r="O931" s="3"/>
      <c r="P931" s="3"/>
      <c r="Q931" s="3"/>
      <c r="R931" s="3"/>
      <c r="S931" s="3"/>
      <c r="T931" s="3"/>
      <c r="U931" s="3">
        <v>24000</v>
      </c>
      <c r="V931" s="4">
        <v>40407</v>
      </c>
      <c r="W931" s="3" t="s">
        <v>31</v>
      </c>
      <c r="X931" s="3" t="s">
        <v>4789</v>
      </c>
    </row>
    <row r="932" spans="1:24" x14ac:dyDescent="0.3">
      <c r="A932" s="5">
        <v>926</v>
      </c>
      <c r="B932" s="5" t="str">
        <f>"201600120704"</f>
        <v>201600120704</v>
      </c>
      <c r="C932" s="5" t="str">
        <f>"83022"</f>
        <v>83022</v>
      </c>
      <c r="D932" s="5" t="s">
        <v>4790</v>
      </c>
      <c r="E932" s="5">
        <v>20439331918</v>
      </c>
      <c r="F932" s="5" t="s">
        <v>4791</v>
      </c>
      <c r="G932" s="5" t="s">
        <v>4792</v>
      </c>
      <c r="H932" s="5" t="s">
        <v>36</v>
      </c>
      <c r="I932" s="5" t="s">
        <v>234</v>
      </c>
      <c r="J932" s="5" t="s">
        <v>587</v>
      </c>
      <c r="K932" s="5" t="s">
        <v>2625</v>
      </c>
      <c r="L932" s="5"/>
      <c r="M932" s="5"/>
      <c r="N932" s="5"/>
      <c r="O932" s="5"/>
      <c r="P932" s="5"/>
      <c r="Q932" s="5"/>
      <c r="R932" s="5"/>
      <c r="S932" s="5"/>
      <c r="T932" s="5"/>
      <c r="U932" s="5">
        <v>5000</v>
      </c>
      <c r="V932" s="6">
        <v>42639</v>
      </c>
      <c r="W932" s="5" t="s">
        <v>31</v>
      </c>
      <c r="X932" s="5" t="s">
        <v>4793</v>
      </c>
    </row>
    <row r="933" spans="1:24" ht="27.95" x14ac:dyDescent="0.3">
      <c r="A933" s="3">
        <v>927</v>
      </c>
      <c r="B933" s="3" t="str">
        <f>"202000135035"</f>
        <v>202000135035</v>
      </c>
      <c r="C933" s="3" t="str">
        <f>"92936"</f>
        <v>92936</v>
      </c>
      <c r="D933" s="3" t="s">
        <v>4794</v>
      </c>
      <c r="E933" s="3">
        <v>20106076635</v>
      </c>
      <c r="F933" s="3" t="s">
        <v>4795</v>
      </c>
      <c r="G933" s="3" t="s">
        <v>4796</v>
      </c>
      <c r="H933" s="3" t="s">
        <v>135</v>
      </c>
      <c r="I933" s="3" t="s">
        <v>135</v>
      </c>
      <c r="J933" s="3" t="s">
        <v>135</v>
      </c>
      <c r="K933" s="3" t="s">
        <v>4797</v>
      </c>
      <c r="L933" s="3"/>
      <c r="M933" s="3"/>
      <c r="N933" s="3"/>
      <c r="O933" s="3"/>
      <c r="P933" s="3"/>
      <c r="Q933" s="3"/>
      <c r="R933" s="3"/>
      <c r="S933" s="3"/>
      <c r="T933" s="3"/>
      <c r="U933" s="3">
        <v>12181</v>
      </c>
      <c r="V933" s="4">
        <v>44106</v>
      </c>
      <c r="W933" s="3" t="s">
        <v>31</v>
      </c>
      <c r="X933" s="3" t="s">
        <v>4798</v>
      </c>
    </row>
    <row r="934" spans="1:24" x14ac:dyDescent="0.3">
      <c r="A934" s="5">
        <v>928</v>
      </c>
      <c r="B934" s="5" t="str">
        <f>"201200141499"</f>
        <v>201200141499</v>
      </c>
      <c r="C934" s="5" t="str">
        <f>"97538"</f>
        <v>97538</v>
      </c>
      <c r="D934" s="5" t="s">
        <v>4799</v>
      </c>
      <c r="E934" s="5">
        <v>20515418041</v>
      </c>
      <c r="F934" s="5" t="s">
        <v>4800</v>
      </c>
      <c r="G934" s="5" t="s">
        <v>4801</v>
      </c>
      <c r="H934" s="5" t="s">
        <v>28</v>
      </c>
      <c r="I934" s="5" t="s">
        <v>28</v>
      </c>
      <c r="J934" s="5" t="s">
        <v>172</v>
      </c>
      <c r="K934" s="5" t="s">
        <v>4802</v>
      </c>
      <c r="L934" s="5"/>
      <c r="M934" s="5"/>
      <c r="N934" s="5"/>
      <c r="O934" s="5"/>
      <c r="P934" s="5"/>
      <c r="Q934" s="5"/>
      <c r="R934" s="5"/>
      <c r="S934" s="5"/>
      <c r="T934" s="5"/>
      <c r="U934" s="5">
        <v>880</v>
      </c>
      <c r="V934" s="6">
        <v>41127</v>
      </c>
      <c r="W934" s="5" t="s">
        <v>31</v>
      </c>
      <c r="X934" s="5" t="s">
        <v>4803</v>
      </c>
    </row>
    <row r="935" spans="1:24" ht="27.95" x14ac:dyDescent="0.3">
      <c r="A935" s="3">
        <v>929</v>
      </c>
      <c r="B935" s="3" t="str">
        <f>"201600182000"</f>
        <v>201600182000</v>
      </c>
      <c r="C935" s="3" t="str">
        <f>"55994"</f>
        <v>55994</v>
      </c>
      <c r="D935" s="3" t="s">
        <v>4804</v>
      </c>
      <c r="E935" s="3">
        <v>20555901179</v>
      </c>
      <c r="F935" s="3" t="s">
        <v>4805</v>
      </c>
      <c r="G935" s="3" t="s">
        <v>4806</v>
      </c>
      <c r="H935" s="3" t="s">
        <v>264</v>
      </c>
      <c r="I935" s="3" t="s">
        <v>265</v>
      </c>
      <c r="J935" s="3" t="s">
        <v>265</v>
      </c>
      <c r="K935" s="3" t="s">
        <v>4807</v>
      </c>
      <c r="L935" s="3"/>
      <c r="M935" s="3"/>
      <c r="N935" s="3"/>
      <c r="O935" s="3"/>
      <c r="P935" s="3"/>
      <c r="Q935" s="3"/>
      <c r="R935" s="3"/>
      <c r="S935" s="3"/>
      <c r="T935" s="3"/>
      <c r="U935" s="3">
        <v>5130</v>
      </c>
      <c r="V935" s="4">
        <v>42720</v>
      </c>
      <c r="W935" s="3" t="s">
        <v>31</v>
      </c>
      <c r="X935" s="3" t="s">
        <v>1042</v>
      </c>
    </row>
    <row r="936" spans="1:24" x14ac:dyDescent="0.3">
      <c r="A936" s="5">
        <v>930</v>
      </c>
      <c r="B936" s="5" t="str">
        <f>"1424869"</f>
        <v>1424869</v>
      </c>
      <c r="C936" s="5" t="str">
        <f>"40603"</f>
        <v>40603</v>
      </c>
      <c r="D936" s="5" t="s">
        <v>4808</v>
      </c>
      <c r="E936" s="5">
        <v>20100094135</v>
      </c>
      <c r="F936" s="5" t="s">
        <v>4809</v>
      </c>
      <c r="G936" s="5" t="s">
        <v>4810</v>
      </c>
      <c r="H936" s="5" t="s">
        <v>769</v>
      </c>
      <c r="I936" s="5" t="s">
        <v>769</v>
      </c>
      <c r="J936" s="5" t="s">
        <v>4811</v>
      </c>
      <c r="K936" s="5" t="s">
        <v>2121</v>
      </c>
      <c r="L936" s="5"/>
      <c r="M936" s="5"/>
      <c r="N936" s="5"/>
      <c r="O936" s="5"/>
      <c r="P936" s="5"/>
      <c r="Q936" s="5"/>
      <c r="R936" s="5"/>
      <c r="S936" s="5"/>
      <c r="T936" s="5"/>
      <c r="U936" s="5">
        <v>8000</v>
      </c>
      <c r="V936" s="6">
        <v>37726</v>
      </c>
      <c r="W936" s="5" t="s">
        <v>31</v>
      </c>
      <c r="X936" s="5" t="s">
        <v>4812</v>
      </c>
    </row>
    <row r="937" spans="1:24" x14ac:dyDescent="0.3">
      <c r="A937" s="3">
        <v>931</v>
      </c>
      <c r="B937" s="3" t="str">
        <f>"1108268"</f>
        <v>1108268</v>
      </c>
      <c r="C937" s="3" t="str">
        <f>"106"</f>
        <v>106</v>
      </c>
      <c r="D937" s="3">
        <v>959860</v>
      </c>
      <c r="E937" s="3">
        <v>20101315291</v>
      </c>
      <c r="F937" s="3" t="s">
        <v>4813</v>
      </c>
      <c r="G937" s="3" t="s">
        <v>4814</v>
      </c>
      <c r="H937" s="3" t="s">
        <v>28</v>
      </c>
      <c r="I937" s="3" t="s">
        <v>28</v>
      </c>
      <c r="J937" s="3" t="s">
        <v>202</v>
      </c>
      <c r="K937" s="3" t="s">
        <v>74</v>
      </c>
      <c r="L937" s="3"/>
      <c r="M937" s="3"/>
      <c r="N937" s="3"/>
      <c r="O937" s="3"/>
      <c r="P937" s="3"/>
      <c r="Q937" s="3"/>
      <c r="R937" s="3"/>
      <c r="S937" s="3"/>
      <c r="T937" s="3"/>
      <c r="U937" s="3">
        <v>1850</v>
      </c>
      <c r="V937" s="4">
        <v>35479</v>
      </c>
      <c r="W937" s="3" t="s">
        <v>31</v>
      </c>
      <c r="X937" s="3" t="s">
        <v>4815</v>
      </c>
    </row>
    <row r="938" spans="1:24" x14ac:dyDescent="0.3">
      <c r="A938" s="5">
        <v>932</v>
      </c>
      <c r="B938" s="5" t="str">
        <f>"201600000187"</f>
        <v>201600000187</v>
      </c>
      <c r="C938" s="5" t="str">
        <f>"119292"</f>
        <v>119292</v>
      </c>
      <c r="D938" s="5" t="s">
        <v>4816</v>
      </c>
      <c r="E938" s="5">
        <v>20538428524</v>
      </c>
      <c r="F938" s="5" t="s">
        <v>4817</v>
      </c>
      <c r="G938" s="5" t="s">
        <v>4818</v>
      </c>
      <c r="H938" s="5" t="s">
        <v>743</v>
      </c>
      <c r="I938" s="5" t="s">
        <v>744</v>
      </c>
      <c r="J938" s="5" t="s">
        <v>4819</v>
      </c>
      <c r="K938" s="5" t="s">
        <v>4820</v>
      </c>
      <c r="L938" s="5" t="s">
        <v>4820</v>
      </c>
      <c r="M938" s="5" t="s">
        <v>4821</v>
      </c>
      <c r="N938" s="5" t="s">
        <v>4821</v>
      </c>
      <c r="O938" s="5"/>
      <c r="P938" s="5"/>
      <c r="Q938" s="5"/>
      <c r="R938" s="5"/>
      <c r="S938" s="5"/>
      <c r="T938" s="5"/>
      <c r="U938" s="5">
        <v>34342</v>
      </c>
      <c r="V938" s="6">
        <v>42395</v>
      </c>
      <c r="W938" s="5" t="s">
        <v>31</v>
      </c>
      <c r="X938" s="5" t="s">
        <v>4822</v>
      </c>
    </row>
    <row r="939" spans="1:24" x14ac:dyDescent="0.3">
      <c r="A939" s="3">
        <v>933</v>
      </c>
      <c r="B939" s="3" t="str">
        <f>"201500133083"</f>
        <v>201500133083</v>
      </c>
      <c r="C939" s="3" t="str">
        <f>"117787"</f>
        <v>117787</v>
      </c>
      <c r="D939" s="3" t="s">
        <v>4823</v>
      </c>
      <c r="E939" s="3">
        <v>20171895147</v>
      </c>
      <c r="F939" s="3" t="s">
        <v>4824</v>
      </c>
      <c r="G939" s="3" t="s">
        <v>4825</v>
      </c>
      <c r="H939" s="3" t="s">
        <v>769</v>
      </c>
      <c r="I939" s="3" t="s">
        <v>770</v>
      </c>
      <c r="J939" s="3" t="s">
        <v>771</v>
      </c>
      <c r="K939" s="3" t="s">
        <v>4826</v>
      </c>
      <c r="L939" s="3" t="s">
        <v>4827</v>
      </c>
      <c r="M939" s="3"/>
      <c r="N939" s="3"/>
      <c r="O939" s="3"/>
      <c r="P939" s="3"/>
      <c r="Q939" s="3"/>
      <c r="R939" s="3"/>
      <c r="S939" s="3"/>
      <c r="T939" s="3"/>
      <c r="U939" s="3">
        <v>8253</v>
      </c>
      <c r="V939" s="4">
        <v>42348</v>
      </c>
      <c r="W939" s="3" t="s">
        <v>31</v>
      </c>
      <c r="X939" s="3" t="s">
        <v>4828</v>
      </c>
    </row>
    <row r="940" spans="1:24" ht="41.95" x14ac:dyDescent="0.3">
      <c r="A940" s="5">
        <v>934</v>
      </c>
      <c r="B940" s="5" t="str">
        <f>"1386642"</f>
        <v>1386642</v>
      </c>
      <c r="C940" s="5" t="str">
        <f>"87078"</f>
        <v>87078</v>
      </c>
      <c r="D940" s="5" t="s">
        <v>4829</v>
      </c>
      <c r="E940" s="5">
        <v>20484251861</v>
      </c>
      <c r="F940" s="5" t="s">
        <v>4830</v>
      </c>
      <c r="G940" s="5" t="s">
        <v>4831</v>
      </c>
      <c r="H940" s="5" t="s">
        <v>80</v>
      </c>
      <c r="I940" s="5" t="s">
        <v>192</v>
      </c>
      <c r="J940" s="5" t="s">
        <v>192</v>
      </c>
      <c r="K940" s="5" t="s">
        <v>396</v>
      </c>
      <c r="L940" s="5"/>
      <c r="M940" s="5"/>
      <c r="N940" s="5"/>
      <c r="O940" s="5"/>
      <c r="P940" s="5"/>
      <c r="Q940" s="5"/>
      <c r="R940" s="5"/>
      <c r="S940" s="5"/>
      <c r="T940" s="5"/>
      <c r="U940" s="5">
        <v>6000</v>
      </c>
      <c r="V940" s="6">
        <v>40416</v>
      </c>
      <c r="W940" s="5" t="s">
        <v>31</v>
      </c>
      <c r="X940" s="5" t="s">
        <v>4832</v>
      </c>
    </row>
    <row r="941" spans="1:24" ht="27.95" x14ac:dyDescent="0.3">
      <c r="A941" s="3">
        <v>935</v>
      </c>
      <c r="B941" s="3" t="str">
        <f>"201600143760"</f>
        <v>201600143760</v>
      </c>
      <c r="C941" s="3" t="str">
        <f>"124246"</f>
        <v>124246</v>
      </c>
      <c r="D941" s="3" t="s">
        <v>4833</v>
      </c>
      <c r="E941" s="3">
        <v>20101024645</v>
      </c>
      <c r="F941" s="3" t="s">
        <v>3166</v>
      </c>
      <c r="G941" s="3" t="s">
        <v>4834</v>
      </c>
      <c r="H941" s="3" t="s">
        <v>115</v>
      </c>
      <c r="I941" s="3" t="s">
        <v>115</v>
      </c>
      <c r="J941" s="3" t="s">
        <v>159</v>
      </c>
      <c r="K941" s="3" t="s">
        <v>4835</v>
      </c>
      <c r="L941" s="3"/>
      <c r="M941" s="3"/>
      <c r="N941" s="3"/>
      <c r="O941" s="3"/>
      <c r="P941" s="3"/>
      <c r="Q941" s="3"/>
      <c r="R941" s="3"/>
      <c r="S941" s="3"/>
      <c r="T941" s="3"/>
      <c r="U941" s="3">
        <v>900</v>
      </c>
      <c r="V941" s="4">
        <v>42829</v>
      </c>
      <c r="W941" s="3" t="s">
        <v>31</v>
      </c>
      <c r="X941" s="3" t="s">
        <v>4836</v>
      </c>
    </row>
    <row r="942" spans="1:24" ht="27.95" x14ac:dyDescent="0.3">
      <c r="A942" s="5">
        <v>936</v>
      </c>
      <c r="B942" s="5" t="str">
        <f>"201800205304"</f>
        <v>201800205304</v>
      </c>
      <c r="C942" s="5" t="str">
        <f>"64097"</f>
        <v>64097</v>
      </c>
      <c r="D942" s="5" t="s">
        <v>4837</v>
      </c>
      <c r="E942" s="5">
        <v>20396365490</v>
      </c>
      <c r="F942" s="5" t="s">
        <v>4838</v>
      </c>
      <c r="G942" s="5" t="s">
        <v>4839</v>
      </c>
      <c r="H942" s="5" t="s">
        <v>36</v>
      </c>
      <c r="I942" s="5" t="s">
        <v>234</v>
      </c>
      <c r="J942" s="5" t="s">
        <v>587</v>
      </c>
      <c r="K942" s="5" t="s">
        <v>193</v>
      </c>
      <c r="L942" s="5"/>
      <c r="M942" s="5"/>
      <c r="N942" s="5"/>
      <c r="O942" s="5"/>
      <c r="P942" s="5"/>
      <c r="Q942" s="5"/>
      <c r="R942" s="5"/>
      <c r="S942" s="5"/>
      <c r="T942" s="5"/>
      <c r="U942" s="5">
        <v>2500</v>
      </c>
      <c r="V942" s="6">
        <v>43455</v>
      </c>
      <c r="W942" s="5" t="s">
        <v>31</v>
      </c>
      <c r="X942" s="5" t="s">
        <v>4840</v>
      </c>
    </row>
    <row r="943" spans="1:24" x14ac:dyDescent="0.3">
      <c r="A943" s="3">
        <v>937</v>
      </c>
      <c r="B943" s="3" t="str">
        <f>"1117429"</f>
        <v>1117429</v>
      </c>
      <c r="C943" s="3" t="str">
        <f>"1434"</f>
        <v>1434</v>
      </c>
      <c r="D943" s="3">
        <v>985873</v>
      </c>
      <c r="E943" s="3">
        <v>20100044031</v>
      </c>
      <c r="F943" s="3" t="s">
        <v>4841</v>
      </c>
      <c r="G943" s="3" t="s">
        <v>4842</v>
      </c>
      <c r="H943" s="3" t="s">
        <v>28</v>
      </c>
      <c r="I943" s="3" t="s">
        <v>28</v>
      </c>
      <c r="J943" s="3" t="s">
        <v>436</v>
      </c>
      <c r="K943" s="3" t="s">
        <v>329</v>
      </c>
      <c r="L943" s="3" t="s">
        <v>4843</v>
      </c>
      <c r="M943" s="3"/>
      <c r="N943" s="3"/>
      <c r="O943" s="3"/>
      <c r="P943" s="3"/>
      <c r="Q943" s="3"/>
      <c r="R943" s="3"/>
      <c r="S943" s="3"/>
      <c r="T943" s="3"/>
      <c r="U943" s="3">
        <v>13200</v>
      </c>
      <c r="V943" s="4">
        <v>35562</v>
      </c>
      <c r="W943" s="3" t="s">
        <v>31</v>
      </c>
      <c r="X943" s="3" t="s">
        <v>4844</v>
      </c>
    </row>
    <row r="944" spans="1:24" x14ac:dyDescent="0.3">
      <c r="A944" s="5">
        <v>938</v>
      </c>
      <c r="B944" s="5" t="str">
        <f>"201900194224"</f>
        <v>201900194224</v>
      </c>
      <c r="C944" s="5" t="str">
        <f>"124111"</f>
        <v>124111</v>
      </c>
      <c r="D944" s="5" t="s">
        <v>4845</v>
      </c>
      <c r="E944" s="5">
        <v>20602221505</v>
      </c>
      <c r="F944" s="5" t="s">
        <v>4846</v>
      </c>
      <c r="G944" s="5" t="s">
        <v>4847</v>
      </c>
      <c r="H944" s="5" t="s">
        <v>28</v>
      </c>
      <c r="I944" s="5" t="s">
        <v>574</v>
      </c>
      <c r="J944" s="5" t="s">
        <v>2499</v>
      </c>
      <c r="K944" s="5" t="s">
        <v>30</v>
      </c>
      <c r="L944" s="5"/>
      <c r="M944" s="5"/>
      <c r="N944" s="5"/>
      <c r="O944" s="5"/>
      <c r="P944" s="5"/>
      <c r="Q944" s="5"/>
      <c r="R944" s="5"/>
      <c r="S944" s="5"/>
      <c r="T944" s="5"/>
      <c r="U944" s="5">
        <v>8000</v>
      </c>
      <c r="V944" s="6">
        <v>43795</v>
      </c>
      <c r="W944" s="5" t="s">
        <v>31</v>
      </c>
      <c r="X944" s="5" t="s">
        <v>4848</v>
      </c>
    </row>
    <row r="945" spans="1:24" ht="27.95" x14ac:dyDescent="0.3">
      <c r="A945" s="3">
        <v>939</v>
      </c>
      <c r="B945" s="3" t="str">
        <f>"1320029"</f>
        <v>1320029</v>
      </c>
      <c r="C945" s="3" t="str">
        <f>"20748"</f>
        <v>20748</v>
      </c>
      <c r="D945" s="3" t="s">
        <v>4849</v>
      </c>
      <c r="E945" s="3">
        <v>20262254268</v>
      </c>
      <c r="F945" s="3" t="s">
        <v>4782</v>
      </c>
      <c r="G945" s="3" t="s">
        <v>4850</v>
      </c>
      <c r="H945" s="3" t="s">
        <v>28</v>
      </c>
      <c r="I945" s="3" t="s">
        <v>28</v>
      </c>
      <c r="J945" s="3" t="s">
        <v>1432</v>
      </c>
      <c r="K945" s="3" t="s">
        <v>1260</v>
      </c>
      <c r="L945" s="3"/>
      <c r="M945" s="3"/>
      <c r="N945" s="3"/>
      <c r="O945" s="3"/>
      <c r="P945" s="3"/>
      <c r="Q945" s="3"/>
      <c r="R945" s="3"/>
      <c r="S945" s="3"/>
      <c r="T945" s="3"/>
      <c r="U945" s="3">
        <v>1500</v>
      </c>
      <c r="V945" s="4">
        <v>37028</v>
      </c>
      <c r="W945" s="3" t="s">
        <v>31</v>
      </c>
      <c r="X945" s="3" t="s">
        <v>4784</v>
      </c>
    </row>
    <row r="946" spans="1:24" x14ac:dyDescent="0.3">
      <c r="A946" s="5">
        <v>940</v>
      </c>
      <c r="B946" s="5" t="str">
        <f>"1831284"</f>
        <v>1831284</v>
      </c>
      <c r="C946" s="5" t="str">
        <f>"82628"</f>
        <v>82628</v>
      </c>
      <c r="D946" s="5" t="s">
        <v>4851</v>
      </c>
      <c r="E946" s="5">
        <v>20503155096</v>
      </c>
      <c r="F946" s="5" t="s">
        <v>4852</v>
      </c>
      <c r="G946" s="5" t="s">
        <v>4853</v>
      </c>
      <c r="H946" s="5" t="s">
        <v>28</v>
      </c>
      <c r="I946" s="5" t="s">
        <v>28</v>
      </c>
      <c r="J946" s="5" t="s">
        <v>28</v>
      </c>
      <c r="K946" s="5" t="s">
        <v>4854</v>
      </c>
      <c r="L946" s="5" t="s">
        <v>1902</v>
      </c>
      <c r="M946" s="5" t="s">
        <v>4855</v>
      </c>
      <c r="N946" s="5" t="s">
        <v>4856</v>
      </c>
      <c r="O946" s="5"/>
      <c r="P946" s="5"/>
      <c r="Q946" s="5"/>
      <c r="R946" s="5"/>
      <c r="S946" s="5"/>
      <c r="T946" s="5"/>
      <c r="U946" s="5">
        <v>2200</v>
      </c>
      <c r="V946" s="6">
        <v>39848</v>
      </c>
      <c r="W946" s="5" t="s">
        <v>31</v>
      </c>
      <c r="X946" s="5" t="s">
        <v>4857</v>
      </c>
    </row>
    <row r="947" spans="1:24" ht="27.95" x14ac:dyDescent="0.3">
      <c r="A947" s="3">
        <v>941</v>
      </c>
      <c r="B947" s="3" t="str">
        <f>"1791450"</f>
        <v>1791450</v>
      </c>
      <c r="C947" s="3" t="str">
        <f>"63209"</f>
        <v>63209</v>
      </c>
      <c r="D947" s="3" t="s">
        <v>4858</v>
      </c>
      <c r="E947" s="3">
        <v>20379038761</v>
      </c>
      <c r="F947" s="3" t="s">
        <v>4859</v>
      </c>
      <c r="G947" s="3" t="s">
        <v>4860</v>
      </c>
      <c r="H947" s="3" t="s">
        <v>28</v>
      </c>
      <c r="I947" s="3" t="s">
        <v>28</v>
      </c>
      <c r="J947" s="3" t="s">
        <v>109</v>
      </c>
      <c r="K947" s="3" t="s">
        <v>3955</v>
      </c>
      <c r="L947" s="3"/>
      <c r="M947" s="3"/>
      <c r="N947" s="3"/>
      <c r="O947" s="3"/>
      <c r="P947" s="3"/>
      <c r="Q947" s="3"/>
      <c r="R947" s="3"/>
      <c r="S947" s="3"/>
      <c r="T947" s="3"/>
      <c r="U947" s="3">
        <v>4600</v>
      </c>
      <c r="V947" s="4">
        <v>39618</v>
      </c>
      <c r="W947" s="3" t="s">
        <v>31</v>
      </c>
      <c r="X947" s="3" t="s">
        <v>4861</v>
      </c>
    </row>
    <row r="948" spans="1:24" x14ac:dyDescent="0.3">
      <c r="A948" s="5">
        <v>942</v>
      </c>
      <c r="B948" s="5" t="str">
        <f>"1502555"</f>
        <v>1502555</v>
      </c>
      <c r="C948" s="5" t="str">
        <f>"1185"</f>
        <v>1185</v>
      </c>
      <c r="D948" s="5" t="s">
        <v>4862</v>
      </c>
      <c r="E948" s="5">
        <v>20507447369</v>
      </c>
      <c r="F948" s="5" t="s">
        <v>4863</v>
      </c>
      <c r="G948" s="5" t="s">
        <v>4864</v>
      </c>
      <c r="H948" s="5" t="s">
        <v>214</v>
      </c>
      <c r="I948" s="5" t="s">
        <v>692</v>
      </c>
      <c r="J948" s="5" t="s">
        <v>4865</v>
      </c>
      <c r="K948" s="5" t="s">
        <v>4866</v>
      </c>
      <c r="L948" s="5"/>
      <c r="M948" s="5"/>
      <c r="N948" s="5"/>
      <c r="O948" s="5"/>
      <c r="P948" s="5"/>
      <c r="Q948" s="5"/>
      <c r="R948" s="5"/>
      <c r="S948" s="5"/>
      <c r="T948" s="5"/>
      <c r="U948" s="5">
        <v>26417</v>
      </c>
      <c r="V948" s="6">
        <v>40803</v>
      </c>
      <c r="W948" s="5" t="s">
        <v>31</v>
      </c>
      <c r="X948" s="5" t="s">
        <v>4867</v>
      </c>
    </row>
    <row r="949" spans="1:24" ht="27.95" x14ac:dyDescent="0.3">
      <c r="A949" s="3">
        <v>943</v>
      </c>
      <c r="B949" s="3" t="str">
        <f>"1668860"</f>
        <v>1668860</v>
      </c>
      <c r="C949" s="3" t="str">
        <f>"45050"</f>
        <v>45050</v>
      </c>
      <c r="D949" s="3" t="s">
        <v>4868</v>
      </c>
      <c r="E949" s="3">
        <v>20148044989</v>
      </c>
      <c r="F949" s="3" t="s">
        <v>4869</v>
      </c>
      <c r="G949" s="3" t="s">
        <v>4870</v>
      </c>
      <c r="H949" s="3" t="s">
        <v>28</v>
      </c>
      <c r="I949" s="3" t="s">
        <v>28</v>
      </c>
      <c r="J949" s="3" t="s">
        <v>409</v>
      </c>
      <c r="K949" s="3" t="s">
        <v>46</v>
      </c>
      <c r="L949" s="3" t="s">
        <v>46</v>
      </c>
      <c r="M949" s="3"/>
      <c r="N949" s="3"/>
      <c r="O949" s="3"/>
      <c r="P949" s="3"/>
      <c r="Q949" s="3"/>
      <c r="R949" s="3"/>
      <c r="S949" s="3"/>
      <c r="T949" s="3"/>
      <c r="U949" s="3">
        <v>6000</v>
      </c>
      <c r="V949" s="4">
        <v>39140</v>
      </c>
      <c r="W949" s="3" t="s">
        <v>31</v>
      </c>
      <c r="X949" s="3" t="s">
        <v>4871</v>
      </c>
    </row>
    <row r="950" spans="1:24" ht="27.95" x14ac:dyDescent="0.3">
      <c r="A950" s="5">
        <v>944</v>
      </c>
      <c r="B950" s="5" t="str">
        <f>"201400163009"</f>
        <v>201400163009</v>
      </c>
      <c r="C950" s="5" t="str">
        <f>"112860"</f>
        <v>112860</v>
      </c>
      <c r="D950" s="5" t="s">
        <v>4872</v>
      </c>
      <c r="E950" s="5">
        <v>20433226641</v>
      </c>
      <c r="F950" s="5" t="s">
        <v>4873</v>
      </c>
      <c r="G950" s="5" t="s">
        <v>4874</v>
      </c>
      <c r="H950" s="5" t="s">
        <v>28</v>
      </c>
      <c r="I950" s="5" t="s">
        <v>28</v>
      </c>
      <c r="J950" s="5" t="s">
        <v>501</v>
      </c>
      <c r="K950" s="5" t="s">
        <v>4875</v>
      </c>
      <c r="L950" s="5"/>
      <c r="M950" s="5"/>
      <c r="N950" s="5"/>
      <c r="O950" s="5"/>
      <c r="P950" s="5"/>
      <c r="Q950" s="5"/>
      <c r="R950" s="5"/>
      <c r="S950" s="5"/>
      <c r="T950" s="5"/>
      <c r="U950" s="5">
        <v>3688</v>
      </c>
      <c r="V950" s="6">
        <v>42062</v>
      </c>
      <c r="W950" s="5" t="s">
        <v>31</v>
      </c>
      <c r="X950" s="5" t="s">
        <v>4876</v>
      </c>
    </row>
    <row r="951" spans="1:24" ht="27.95" x14ac:dyDescent="0.3">
      <c r="A951" s="3">
        <v>945</v>
      </c>
      <c r="B951" s="3" t="str">
        <f>"1791831"</f>
        <v>1791831</v>
      </c>
      <c r="C951" s="3" t="str">
        <f>"63089"</f>
        <v>63089</v>
      </c>
      <c r="D951" s="3" t="s">
        <v>4877</v>
      </c>
      <c r="E951" s="3">
        <v>20445256154</v>
      </c>
      <c r="F951" s="3" t="s">
        <v>4878</v>
      </c>
      <c r="G951" s="3" t="s">
        <v>4879</v>
      </c>
      <c r="H951" s="3" t="s">
        <v>36</v>
      </c>
      <c r="I951" s="3" t="s">
        <v>37</v>
      </c>
      <c r="J951" s="3" t="s">
        <v>4710</v>
      </c>
      <c r="K951" s="3" t="s">
        <v>4880</v>
      </c>
      <c r="L951" s="3"/>
      <c r="M951" s="3"/>
      <c r="N951" s="3"/>
      <c r="O951" s="3"/>
      <c r="P951" s="3"/>
      <c r="Q951" s="3"/>
      <c r="R951" s="3"/>
      <c r="S951" s="3"/>
      <c r="T951" s="3"/>
      <c r="U951" s="3">
        <v>4523</v>
      </c>
      <c r="V951" s="4">
        <v>39603</v>
      </c>
      <c r="W951" s="3" t="s">
        <v>31</v>
      </c>
      <c r="X951" s="3" t="s">
        <v>4881</v>
      </c>
    </row>
    <row r="952" spans="1:24" ht="27.95" x14ac:dyDescent="0.3">
      <c r="A952" s="5">
        <v>946</v>
      </c>
      <c r="B952" s="5" t="str">
        <f>"201400114092"</f>
        <v>201400114092</v>
      </c>
      <c r="C952" s="5" t="str">
        <f>"103402"</f>
        <v>103402</v>
      </c>
      <c r="D952" s="5" t="s">
        <v>4882</v>
      </c>
      <c r="E952" s="5">
        <v>20450688381</v>
      </c>
      <c r="F952" s="5" t="s">
        <v>4883</v>
      </c>
      <c r="G952" s="5" t="s">
        <v>4884</v>
      </c>
      <c r="H952" s="5" t="s">
        <v>165</v>
      </c>
      <c r="I952" s="5" t="s">
        <v>166</v>
      </c>
      <c r="J952" s="5" t="s">
        <v>167</v>
      </c>
      <c r="K952" s="5" t="s">
        <v>4378</v>
      </c>
      <c r="L952" s="5" t="s">
        <v>734</v>
      </c>
      <c r="M952" s="5"/>
      <c r="N952" s="5"/>
      <c r="O952" s="5"/>
      <c r="P952" s="5"/>
      <c r="Q952" s="5"/>
      <c r="R952" s="5"/>
      <c r="S952" s="5"/>
      <c r="T952" s="5"/>
      <c r="U952" s="5">
        <v>10650</v>
      </c>
      <c r="V952" s="6">
        <v>41918</v>
      </c>
      <c r="W952" s="5" t="s">
        <v>31</v>
      </c>
      <c r="X952" s="5" t="s">
        <v>4885</v>
      </c>
    </row>
    <row r="953" spans="1:24" ht="27.95" x14ac:dyDescent="0.3">
      <c r="A953" s="3">
        <v>947</v>
      </c>
      <c r="B953" s="3" t="str">
        <f>"201900193151"</f>
        <v>201900193151</v>
      </c>
      <c r="C953" s="3" t="str">
        <f>"83472"</f>
        <v>83472</v>
      </c>
      <c r="D953" s="3" t="s">
        <v>4886</v>
      </c>
      <c r="E953" s="3">
        <v>20505174896</v>
      </c>
      <c r="F953" s="3" t="s">
        <v>4887</v>
      </c>
      <c r="G953" s="3" t="s">
        <v>4888</v>
      </c>
      <c r="H953" s="3" t="s">
        <v>28</v>
      </c>
      <c r="I953" s="3" t="s">
        <v>4889</v>
      </c>
      <c r="J953" s="3" t="s">
        <v>4890</v>
      </c>
      <c r="K953" s="3" t="s">
        <v>4891</v>
      </c>
      <c r="L953" s="3" t="s">
        <v>4891</v>
      </c>
      <c r="M953" s="3"/>
      <c r="N953" s="3"/>
      <c r="O953" s="3"/>
      <c r="P953" s="3"/>
      <c r="Q953" s="3"/>
      <c r="R953" s="3"/>
      <c r="S953" s="3"/>
      <c r="T953" s="3"/>
      <c r="U953" s="3">
        <v>20534</v>
      </c>
      <c r="V953" s="4">
        <v>43805</v>
      </c>
      <c r="W953" s="3" t="s">
        <v>31</v>
      </c>
      <c r="X953" s="3" t="s">
        <v>4892</v>
      </c>
    </row>
    <row r="954" spans="1:24" ht="27.95" x14ac:dyDescent="0.3">
      <c r="A954" s="5">
        <v>948</v>
      </c>
      <c r="B954" s="5" t="str">
        <f>"201600126454"</f>
        <v>201600126454</v>
      </c>
      <c r="C954" s="5" t="str">
        <f>"122683"</f>
        <v>122683</v>
      </c>
      <c r="D954" s="5" t="s">
        <v>4893</v>
      </c>
      <c r="E954" s="5">
        <v>20450125904</v>
      </c>
      <c r="F954" s="5" t="s">
        <v>4894</v>
      </c>
      <c r="G954" s="5" t="s">
        <v>4895</v>
      </c>
      <c r="H954" s="5" t="s">
        <v>58</v>
      </c>
      <c r="I954" s="5" t="s">
        <v>507</v>
      </c>
      <c r="J954" s="5" t="s">
        <v>508</v>
      </c>
      <c r="K954" s="5" t="s">
        <v>2180</v>
      </c>
      <c r="L954" s="5" t="s">
        <v>273</v>
      </c>
      <c r="M954" s="5"/>
      <c r="N954" s="5"/>
      <c r="O954" s="5"/>
      <c r="P954" s="5"/>
      <c r="Q954" s="5"/>
      <c r="R954" s="5"/>
      <c r="S954" s="5"/>
      <c r="T954" s="5"/>
      <c r="U954" s="5">
        <v>15000</v>
      </c>
      <c r="V954" s="6">
        <v>42619</v>
      </c>
      <c r="W954" s="5" t="s">
        <v>31</v>
      </c>
      <c r="X954" s="5" t="s">
        <v>4896</v>
      </c>
    </row>
    <row r="955" spans="1:24" ht="27.95" x14ac:dyDescent="0.3">
      <c r="A955" s="3">
        <v>949</v>
      </c>
      <c r="B955" s="3" t="str">
        <f>"1321046"</f>
        <v>1321046</v>
      </c>
      <c r="C955" s="3" t="str">
        <f>"18647"</f>
        <v>18647</v>
      </c>
      <c r="D955" s="3" t="s">
        <v>4897</v>
      </c>
      <c r="E955" s="3">
        <v>20351016753</v>
      </c>
      <c r="F955" s="3" t="s">
        <v>4898</v>
      </c>
      <c r="G955" s="3" t="s">
        <v>4899</v>
      </c>
      <c r="H955" s="3" t="s">
        <v>334</v>
      </c>
      <c r="I955" s="3" t="s">
        <v>335</v>
      </c>
      <c r="J955" s="3" t="s">
        <v>336</v>
      </c>
      <c r="K955" s="3" t="s">
        <v>421</v>
      </c>
      <c r="L955" s="3"/>
      <c r="M955" s="3"/>
      <c r="N955" s="3"/>
      <c r="O955" s="3"/>
      <c r="P955" s="3"/>
      <c r="Q955" s="3"/>
      <c r="R955" s="3"/>
      <c r="S955" s="3"/>
      <c r="T955" s="3"/>
      <c r="U955" s="3">
        <v>5000</v>
      </c>
      <c r="V955" s="4">
        <v>36951</v>
      </c>
      <c r="W955" s="3" t="s">
        <v>31</v>
      </c>
      <c r="X955" s="3" t="s">
        <v>4900</v>
      </c>
    </row>
    <row r="956" spans="1:24" ht="27.95" x14ac:dyDescent="0.3">
      <c r="A956" s="5">
        <v>950</v>
      </c>
      <c r="B956" s="5" t="str">
        <f>"201600014755"</f>
        <v>201600014755</v>
      </c>
      <c r="C956" s="5" t="str">
        <f>"119724"</f>
        <v>119724</v>
      </c>
      <c r="D956" s="5" t="s">
        <v>4901</v>
      </c>
      <c r="E956" s="5">
        <v>20448033482</v>
      </c>
      <c r="F956" s="5" t="s">
        <v>4902</v>
      </c>
      <c r="G956" s="5" t="s">
        <v>4903</v>
      </c>
      <c r="H956" s="5" t="s">
        <v>550</v>
      </c>
      <c r="I956" s="5" t="s">
        <v>1780</v>
      </c>
      <c r="J956" s="5" t="s">
        <v>1781</v>
      </c>
      <c r="K956" s="5" t="s">
        <v>181</v>
      </c>
      <c r="L956" s="5"/>
      <c r="M956" s="5"/>
      <c r="N956" s="5"/>
      <c r="O956" s="5"/>
      <c r="P956" s="5"/>
      <c r="Q956" s="5"/>
      <c r="R956" s="5"/>
      <c r="S956" s="5"/>
      <c r="T956" s="5"/>
      <c r="U956" s="5">
        <v>5000</v>
      </c>
      <c r="V956" s="6">
        <v>42419</v>
      </c>
      <c r="W956" s="5" t="s">
        <v>31</v>
      </c>
      <c r="X956" s="5" t="s">
        <v>4904</v>
      </c>
    </row>
    <row r="957" spans="1:24" ht="27.95" x14ac:dyDescent="0.3">
      <c r="A957" s="3">
        <v>951</v>
      </c>
      <c r="B957" s="3" t="str">
        <f>"1690128"</f>
        <v>1690128</v>
      </c>
      <c r="C957" s="3" t="str">
        <f>"1116"</f>
        <v>1116</v>
      </c>
      <c r="D957" s="3" t="s">
        <v>4905</v>
      </c>
      <c r="E957" s="3">
        <v>20129854953</v>
      </c>
      <c r="F957" s="3" t="s">
        <v>4906</v>
      </c>
      <c r="G957" s="3" t="s">
        <v>4907</v>
      </c>
      <c r="H957" s="3" t="s">
        <v>51</v>
      </c>
      <c r="I957" s="3" t="s">
        <v>52</v>
      </c>
      <c r="J957" s="3" t="s">
        <v>3491</v>
      </c>
      <c r="K957" s="3" t="s">
        <v>421</v>
      </c>
      <c r="L957" s="3"/>
      <c r="M957" s="3"/>
      <c r="N957" s="3"/>
      <c r="O957" s="3"/>
      <c r="P957" s="3"/>
      <c r="Q957" s="3"/>
      <c r="R957" s="3"/>
      <c r="S957" s="3"/>
      <c r="T957" s="3"/>
      <c r="U957" s="3">
        <v>5000</v>
      </c>
      <c r="V957" s="4">
        <v>39206</v>
      </c>
      <c r="W957" s="3" t="s">
        <v>31</v>
      </c>
      <c r="X957" s="3" t="s">
        <v>4908</v>
      </c>
    </row>
    <row r="958" spans="1:24" ht="27.95" x14ac:dyDescent="0.3">
      <c r="A958" s="5">
        <v>952</v>
      </c>
      <c r="B958" s="5" t="str">
        <f>"201300021479"</f>
        <v>201300021479</v>
      </c>
      <c r="C958" s="5" t="str">
        <f>"99033"</f>
        <v>99033</v>
      </c>
      <c r="D958" s="5" t="s">
        <v>4909</v>
      </c>
      <c r="E958" s="5">
        <v>20166514607</v>
      </c>
      <c r="F958" s="5" t="s">
        <v>4910</v>
      </c>
      <c r="G958" s="5" t="s">
        <v>4911</v>
      </c>
      <c r="H958" s="5" t="s">
        <v>28</v>
      </c>
      <c r="I958" s="5" t="s">
        <v>28</v>
      </c>
      <c r="J958" s="5" t="s">
        <v>4912</v>
      </c>
      <c r="K958" s="5" t="s">
        <v>3829</v>
      </c>
      <c r="L958" s="5"/>
      <c r="M958" s="5"/>
      <c r="N958" s="5"/>
      <c r="O958" s="5"/>
      <c r="P958" s="5"/>
      <c r="Q958" s="5"/>
      <c r="R958" s="5"/>
      <c r="S958" s="5"/>
      <c r="T958" s="5"/>
      <c r="U958" s="5">
        <v>3950</v>
      </c>
      <c r="V958" s="6">
        <v>41347</v>
      </c>
      <c r="W958" s="5" t="s">
        <v>31</v>
      </c>
      <c r="X958" s="5" t="s">
        <v>4913</v>
      </c>
    </row>
    <row r="959" spans="1:24" ht="27.95" x14ac:dyDescent="0.3">
      <c r="A959" s="3">
        <v>953</v>
      </c>
      <c r="B959" s="3" t="str">
        <f>"201400074015"</f>
        <v>201400074015</v>
      </c>
      <c r="C959" s="3" t="str">
        <f>"64318"</f>
        <v>64318</v>
      </c>
      <c r="D959" s="3" t="s">
        <v>4914</v>
      </c>
      <c r="E959" s="3">
        <v>20428882653</v>
      </c>
      <c r="F959" s="3" t="s">
        <v>4915</v>
      </c>
      <c r="G959" s="3" t="s">
        <v>4916</v>
      </c>
      <c r="H959" s="3" t="s">
        <v>28</v>
      </c>
      <c r="I959" s="3" t="s">
        <v>72</v>
      </c>
      <c r="J959" s="3" t="s">
        <v>322</v>
      </c>
      <c r="K959" s="3" t="s">
        <v>720</v>
      </c>
      <c r="L959" s="3"/>
      <c r="M959" s="3"/>
      <c r="N959" s="3"/>
      <c r="O959" s="3"/>
      <c r="P959" s="3"/>
      <c r="Q959" s="3"/>
      <c r="R959" s="3"/>
      <c r="S959" s="3"/>
      <c r="T959" s="3"/>
      <c r="U959" s="3">
        <v>4500</v>
      </c>
      <c r="V959" s="4">
        <v>41817</v>
      </c>
      <c r="W959" s="3" t="s">
        <v>31</v>
      </c>
      <c r="X959" s="3" t="s">
        <v>4917</v>
      </c>
    </row>
    <row r="960" spans="1:24" ht="27.95" x14ac:dyDescent="0.3">
      <c r="A960" s="5">
        <v>954</v>
      </c>
      <c r="B960" s="5" t="str">
        <f>"201900171242"</f>
        <v>201900171242</v>
      </c>
      <c r="C960" s="5" t="str">
        <f>"115858"</f>
        <v>115858</v>
      </c>
      <c r="D960" s="5" t="s">
        <v>4918</v>
      </c>
      <c r="E960" s="5">
        <v>20143632114</v>
      </c>
      <c r="F960" s="5" t="s">
        <v>4919</v>
      </c>
      <c r="G960" s="5" t="s">
        <v>4920</v>
      </c>
      <c r="H960" s="5" t="s">
        <v>292</v>
      </c>
      <c r="I960" s="5" t="s">
        <v>991</v>
      </c>
      <c r="J960" s="5" t="s">
        <v>4921</v>
      </c>
      <c r="K960" s="5" t="s">
        <v>2410</v>
      </c>
      <c r="L960" s="5"/>
      <c r="M960" s="5"/>
      <c r="N960" s="5"/>
      <c r="O960" s="5"/>
      <c r="P960" s="5"/>
      <c r="Q960" s="5"/>
      <c r="R960" s="5"/>
      <c r="S960" s="5"/>
      <c r="T960" s="5"/>
      <c r="U960" s="5">
        <v>5200</v>
      </c>
      <c r="V960" s="6">
        <v>43761</v>
      </c>
      <c r="W960" s="5" t="s">
        <v>31</v>
      </c>
      <c r="X960" s="5" t="s">
        <v>4922</v>
      </c>
    </row>
    <row r="961" spans="1:24" ht="41.95" x14ac:dyDescent="0.3">
      <c r="A961" s="3">
        <v>955</v>
      </c>
      <c r="B961" s="3" t="str">
        <f>"202000103026"</f>
        <v>202000103026</v>
      </c>
      <c r="C961" s="3" t="str">
        <f>"140061"</f>
        <v>140061</v>
      </c>
      <c r="D961" s="3" t="s">
        <v>4923</v>
      </c>
      <c r="E961" s="3">
        <v>20508972734</v>
      </c>
      <c r="F961" s="3" t="s">
        <v>4924</v>
      </c>
      <c r="G961" s="3" t="s">
        <v>4925</v>
      </c>
      <c r="H961" s="3" t="s">
        <v>135</v>
      </c>
      <c r="I961" s="3" t="s">
        <v>673</v>
      </c>
      <c r="J961" s="3" t="s">
        <v>674</v>
      </c>
      <c r="K961" s="3" t="s">
        <v>4926</v>
      </c>
      <c r="L961" s="3" t="s">
        <v>4926</v>
      </c>
      <c r="M961" s="3" t="s">
        <v>4927</v>
      </c>
      <c r="N961" s="3" t="s">
        <v>4927</v>
      </c>
      <c r="O961" s="3" t="s">
        <v>4928</v>
      </c>
      <c r="P961" s="3" t="s">
        <v>4929</v>
      </c>
      <c r="Q961" s="3" t="s">
        <v>4929</v>
      </c>
      <c r="R961" s="3" t="s">
        <v>4820</v>
      </c>
      <c r="S961" s="3" t="s">
        <v>4929</v>
      </c>
      <c r="T961" s="3" t="s">
        <v>1060</v>
      </c>
      <c r="U961" s="3">
        <v>231434</v>
      </c>
      <c r="V961" s="4">
        <v>44059</v>
      </c>
      <c r="W961" s="3" t="s">
        <v>31</v>
      </c>
      <c r="X961" s="3" t="s">
        <v>4930</v>
      </c>
    </row>
    <row r="962" spans="1:24" x14ac:dyDescent="0.3">
      <c r="A962" s="5">
        <v>956</v>
      </c>
      <c r="B962" s="5" t="str">
        <f>"201300017031"</f>
        <v>201300017031</v>
      </c>
      <c r="C962" s="5" t="str">
        <f>"100368"</f>
        <v>100368</v>
      </c>
      <c r="D962" s="5" t="s">
        <v>4931</v>
      </c>
      <c r="E962" s="5">
        <v>20510656629</v>
      </c>
      <c r="F962" s="5" t="s">
        <v>4932</v>
      </c>
      <c r="G962" s="5" t="s">
        <v>745</v>
      </c>
      <c r="H962" s="5" t="s">
        <v>743</v>
      </c>
      <c r="I962" s="5" t="s">
        <v>744</v>
      </c>
      <c r="J962" s="5" t="s">
        <v>4819</v>
      </c>
      <c r="K962" s="5" t="s">
        <v>4933</v>
      </c>
      <c r="L962" s="5"/>
      <c r="M962" s="5"/>
      <c r="N962" s="5"/>
      <c r="O962" s="5"/>
      <c r="P962" s="5"/>
      <c r="Q962" s="5"/>
      <c r="R962" s="5"/>
      <c r="S962" s="5"/>
      <c r="T962" s="5"/>
      <c r="U962" s="5">
        <v>9500</v>
      </c>
      <c r="V962" s="6">
        <v>41299</v>
      </c>
      <c r="W962" s="5" t="s">
        <v>31</v>
      </c>
      <c r="X962" s="5" t="s">
        <v>4934</v>
      </c>
    </row>
    <row r="963" spans="1:24" ht="41.95" x14ac:dyDescent="0.3">
      <c r="A963" s="3">
        <v>957</v>
      </c>
      <c r="B963" s="3" t="str">
        <f>"201500113642"</f>
        <v>201500113642</v>
      </c>
      <c r="C963" s="3" t="str">
        <f>"116108"</f>
        <v>116108</v>
      </c>
      <c r="D963" s="3" t="s">
        <v>1380</v>
      </c>
      <c r="E963" s="3">
        <v>20429350264</v>
      </c>
      <c r="F963" s="3" t="s">
        <v>1381</v>
      </c>
      <c r="G963" s="3" t="s">
        <v>1382</v>
      </c>
      <c r="H963" s="3" t="s">
        <v>51</v>
      </c>
      <c r="I963" s="3" t="s">
        <v>51</v>
      </c>
      <c r="J963" s="3" t="s">
        <v>241</v>
      </c>
      <c r="K963" s="3" t="s">
        <v>154</v>
      </c>
      <c r="L963" s="3" t="s">
        <v>154</v>
      </c>
      <c r="M963" s="3" t="s">
        <v>154</v>
      </c>
      <c r="N963" s="3"/>
      <c r="O963" s="3"/>
      <c r="P963" s="3"/>
      <c r="Q963" s="3"/>
      <c r="R963" s="3"/>
      <c r="S963" s="3"/>
      <c r="T963" s="3"/>
      <c r="U963" s="3">
        <v>37500</v>
      </c>
      <c r="V963" s="4">
        <v>42276</v>
      </c>
      <c r="W963" s="3" t="s">
        <v>31</v>
      </c>
      <c r="X963" s="3" t="s">
        <v>1383</v>
      </c>
    </row>
    <row r="964" spans="1:24" x14ac:dyDescent="0.3">
      <c r="A964" s="5">
        <v>958</v>
      </c>
      <c r="B964" s="5" t="str">
        <f>"1580541"</f>
        <v>1580541</v>
      </c>
      <c r="C964" s="5" t="str">
        <f>"18319"</f>
        <v>18319</v>
      </c>
      <c r="D964" s="5" t="s">
        <v>4935</v>
      </c>
      <c r="E964" s="5">
        <v>20417036360</v>
      </c>
      <c r="F964" s="5" t="s">
        <v>4936</v>
      </c>
      <c r="G964" s="5" t="s">
        <v>4937</v>
      </c>
      <c r="H964" s="5" t="s">
        <v>28</v>
      </c>
      <c r="I964" s="5" t="s">
        <v>28</v>
      </c>
      <c r="J964" s="5" t="s">
        <v>409</v>
      </c>
      <c r="K964" s="5" t="s">
        <v>46</v>
      </c>
      <c r="L964" s="5" t="s">
        <v>3740</v>
      </c>
      <c r="M964" s="5"/>
      <c r="N964" s="5"/>
      <c r="O964" s="5"/>
      <c r="P964" s="5"/>
      <c r="Q964" s="5"/>
      <c r="R964" s="5"/>
      <c r="S964" s="5"/>
      <c r="T964" s="5"/>
      <c r="U964" s="5">
        <v>9000</v>
      </c>
      <c r="V964" s="6">
        <v>38726</v>
      </c>
      <c r="W964" s="5" t="s">
        <v>31</v>
      </c>
      <c r="X964" s="5" t="s">
        <v>4938</v>
      </c>
    </row>
    <row r="965" spans="1:24" x14ac:dyDescent="0.3">
      <c r="A965" s="3">
        <v>959</v>
      </c>
      <c r="B965" s="3" t="str">
        <f>"1124735"</f>
        <v>1124735</v>
      </c>
      <c r="C965" s="3" t="str">
        <f>"793"</f>
        <v>793</v>
      </c>
      <c r="D965" s="3">
        <v>1011281</v>
      </c>
      <c r="E965" s="3">
        <v>20130330054</v>
      </c>
      <c r="F965" s="3" t="s">
        <v>4939</v>
      </c>
      <c r="G965" s="3" t="s">
        <v>4940</v>
      </c>
      <c r="H965" s="3" t="s">
        <v>566</v>
      </c>
      <c r="I965" s="3" t="s">
        <v>3842</v>
      </c>
      <c r="J965" s="3" t="s">
        <v>4941</v>
      </c>
      <c r="K965" s="3" t="s">
        <v>2937</v>
      </c>
      <c r="L965" s="3" t="s">
        <v>4942</v>
      </c>
      <c r="M965" s="3" t="s">
        <v>4943</v>
      </c>
      <c r="N965" s="3"/>
      <c r="O965" s="3"/>
      <c r="P965" s="3"/>
      <c r="Q965" s="3"/>
      <c r="R965" s="3"/>
      <c r="S965" s="3"/>
      <c r="T965" s="3"/>
      <c r="U965" s="3">
        <v>17000</v>
      </c>
      <c r="V965" s="4">
        <v>35634</v>
      </c>
      <c r="W965" s="3" t="s">
        <v>31</v>
      </c>
      <c r="X965" s="3" t="s">
        <v>4944</v>
      </c>
    </row>
    <row r="966" spans="1:24" x14ac:dyDescent="0.3">
      <c r="A966" s="5">
        <v>960</v>
      </c>
      <c r="B966" s="5" t="str">
        <f>"1922967"</f>
        <v>1922967</v>
      </c>
      <c r="C966" s="5" t="str">
        <f>"83897"</f>
        <v>83897</v>
      </c>
      <c r="D966" s="5" t="s">
        <v>4945</v>
      </c>
      <c r="E966" s="5">
        <v>20155945860</v>
      </c>
      <c r="F966" s="5" t="s">
        <v>4946</v>
      </c>
      <c r="G966" s="5" t="s">
        <v>4947</v>
      </c>
      <c r="H966" s="5" t="s">
        <v>28</v>
      </c>
      <c r="I966" s="5" t="s">
        <v>28</v>
      </c>
      <c r="J966" s="5" t="s">
        <v>1706</v>
      </c>
      <c r="K966" s="5" t="s">
        <v>1965</v>
      </c>
      <c r="L966" s="5"/>
      <c r="M966" s="5"/>
      <c r="N966" s="5"/>
      <c r="O966" s="5"/>
      <c r="P966" s="5"/>
      <c r="Q966" s="5"/>
      <c r="R966" s="5"/>
      <c r="S966" s="5"/>
      <c r="T966" s="5"/>
      <c r="U966" s="5">
        <v>750</v>
      </c>
      <c r="V966" s="6">
        <v>40091</v>
      </c>
      <c r="W966" s="5" t="s">
        <v>31</v>
      </c>
      <c r="X966" s="5" t="s">
        <v>4948</v>
      </c>
    </row>
    <row r="967" spans="1:24" ht="27.95" x14ac:dyDescent="0.3">
      <c r="A967" s="3">
        <v>961</v>
      </c>
      <c r="B967" s="3" t="str">
        <f>"201300096233"</f>
        <v>201300096233</v>
      </c>
      <c r="C967" s="3" t="str">
        <f>"18442"</f>
        <v>18442</v>
      </c>
      <c r="D967" s="3" t="s">
        <v>4949</v>
      </c>
      <c r="E967" s="3">
        <v>20100971772</v>
      </c>
      <c r="F967" s="3" t="s">
        <v>914</v>
      </c>
      <c r="G967" s="3" t="s">
        <v>4950</v>
      </c>
      <c r="H967" s="3" t="s">
        <v>51</v>
      </c>
      <c r="I967" s="3" t="s">
        <v>52</v>
      </c>
      <c r="J967" s="3" t="s">
        <v>52</v>
      </c>
      <c r="K967" s="3" t="s">
        <v>4951</v>
      </c>
      <c r="L967" s="3" t="s">
        <v>4952</v>
      </c>
      <c r="M967" s="3" t="s">
        <v>4953</v>
      </c>
      <c r="N967" s="3"/>
      <c r="O967" s="3"/>
      <c r="P967" s="3"/>
      <c r="Q967" s="3"/>
      <c r="R967" s="3"/>
      <c r="S967" s="3"/>
      <c r="T967" s="3"/>
      <c r="U967" s="3">
        <v>84616</v>
      </c>
      <c r="V967" s="4">
        <v>41448</v>
      </c>
      <c r="W967" s="3" t="s">
        <v>31</v>
      </c>
      <c r="X967" s="3" t="s">
        <v>4954</v>
      </c>
    </row>
    <row r="968" spans="1:24" x14ac:dyDescent="0.3">
      <c r="A968" s="5">
        <v>962</v>
      </c>
      <c r="B968" s="5" t="str">
        <f>"201400132682"</f>
        <v>201400132682</v>
      </c>
      <c r="C968" s="5" t="str">
        <f>"96592"</f>
        <v>96592</v>
      </c>
      <c r="D968" s="5" t="s">
        <v>4955</v>
      </c>
      <c r="E968" s="5">
        <v>20116544289</v>
      </c>
      <c r="F968" s="5" t="s">
        <v>4956</v>
      </c>
      <c r="G968" s="5" t="s">
        <v>4957</v>
      </c>
      <c r="H968" s="5" t="s">
        <v>165</v>
      </c>
      <c r="I968" s="5" t="s">
        <v>2330</v>
      </c>
      <c r="J968" s="5" t="s">
        <v>4958</v>
      </c>
      <c r="K968" s="5" t="s">
        <v>4959</v>
      </c>
      <c r="L968" s="5"/>
      <c r="M968" s="5"/>
      <c r="N968" s="5"/>
      <c r="O968" s="5"/>
      <c r="P968" s="5"/>
      <c r="Q968" s="5"/>
      <c r="R968" s="5"/>
      <c r="S968" s="5"/>
      <c r="T968" s="5"/>
      <c r="U968" s="5">
        <v>30632</v>
      </c>
      <c r="V968" s="6">
        <v>41970</v>
      </c>
      <c r="W968" s="5" t="s">
        <v>31</v>
      </c>
      <c r="X968" s="5" t="s">
        <v>4960</v>
      </c>
    </row>
    <row r="969" spans="1:24" x14ac:dyDescent="0.3">
      <c r="A969" s="3">
        <v>963</v>
      </c>
      <c r="B969" s="3" t="str">
        <f>"1842269"</f>
        <v>1842269</v>
      </c>
      <c r="C969" s="3" t="str">
        <f>"24"</f>
        <v>24</v>
      </c>
      <c r="D969" s="3" t="s">
        <v>4961</v>
      </c>
      <c r="E969" s="3">
        <v>20517272583</v>
      </c>
      <c r="F969" s="3" t="s">
        <v>4962</v>
      </c>
      <c r="G969" s="3" t="s">
        <v>4963</v>
      </c>
      <c r="H969" s="3" t="s">
        <v>28</v>
      </c>
      <c r="I969" s="3" t="s">
        <v>667</v>
      </c>
      <c r="J969" s="3" t="s">
        <v>1340</v>
      </c>
      <c r="K969" s="3" t="s">
        <v>329</v>
      </c>
      <c r="L969" s="3" t="s">
        <v>4964</v>
      </c>
      <c r="M969" s="3"/>
      <c r="N969" s="3"/>
      <c r="O969" s="3"/>
      <c r="P969" s="3"/>
      <c r="Q969" s="3"/>
      <c r="R969" s="3"/>
      <c r="S969" s="3"/>
      <c r="T969" s="3"/>
      <c r="U969" s="3">
        <v>45700</v>
      </c>
      <c r="V969" s="4">
        <v>39840</v>
      </c>
      <c r="W969" s="3" t="s">
        <v>31</v>
      </c>
      <c r="X969" s="3" t="s">
        <v>4965</v>
      </c>
    </row>
    <row r="970" spans="1:24" ht="27.95" x14ac:dyDescent="0.3">
      <c r="A970" s="5">
        <v>964</v>
      </c>
      <c r="B970" s="5" t="str">
        <f>"1685536"</f>
        <v>1685536</v>
      </c>
      <c r="C970" s="5" t="str">
        <f>"21431"</f>
        <v>21431</v>
      </c>
      <c r="D970" s="5" t="s">
        <v>4966</v>
      </c>
      <c r="E970" s="5">
        <v>20498130403</v>
      </c>
      <c r="F970" s="5" t="s">
        <v>4967</v>
      </c>
      <c r="G970" s="5" t="s">
        <v>4968</v>
      </c>
      <c r="H970" s="5" t="s">
        <v>51</v>
      </c>
      <c r="I970" s="5" t="s">
        <v>51</v>
      </c>
      <c r="J970" s="5" t="s">
        <v>1205</v>
      </c>
      <c r="K970" s="5" t="s">
        <v>229</v>
      </c>
      <c r="L970" s="5"/>
      <c r="M970" s="5"/>
      <c r="N970" s="5"/>
      <c r="O970" s="5"/>
      <c r="P970" s="5"/>
      <c r="Q970" s="5"/>
      <c r="R970" s="5"/>
      <c r="S970" s="5"/>
      <c r="T970" s="5"/>
      <c r="U970" s="5">
        <v>2000</v>
      </c>
      <c r="V970" s="6">
        <v>39192</v>
      </c>
      <c r="W970" s="5" t="s">
        <v>31</v>
      </c>
      <c r="X970" s="5" t="s">
        <v>4969</v>
      </c>
    </row>
    <row r="971" spans="1:24" ht="27.95" x14ac:dyDescent="0.3">
      <c r="A971" s="3">
        <v>965</v>
      </c>
      <c r="B971" s="3" t="str">
        <f>"201700001924"</f>
        <v>201700001924</v>
      </c>
      <c r="C971" s="3" t="str">
        <f>"124090"</f>
        <v>124090</v>
      </c>
      <c r="D971" s="3" t="s">
        <v>4970</v>
      </c>
      <c r="E971" s="3">
        <v>20100102171</v>
      </c>
      <c r="F971" s="3" t="s">
        <v>4971</v>
      </c>
      <c r="G971" s="3" t="s">
        <v>4972</v>
      </c>
      <c r="H971" s="3" t="s">
        <v>566</v>
      </c>
      <c r="I971" s="3" t="s">
        <v>2671</v>
      </c>
      <c r="J971" s="3" t="s">
        <v>2672</v>
      </c>
      <c r="K971" s="3" t="s">
        <v>110</v>
      </c>
      <c r="L971" s="3"/>
      <c r="M971" s="3"/>
      <c r="N971" s="3"/>
      <c r="O971" s="3"/>
      <c r="P971" s="3"/>
      <c r="Q971" s="3"/>
      <c r="R971" s="3"/>
      <c r="S971" s="3"/>
      <c r="T971" s="3"/>
      <c r="U971" s="3">
        <v>4000</v>
      </c>
      <c r="V971" s="4">
        <v>42745</v>
      </c>
      <c r="W971" s="3" t="s">
        <v>31</v>
      </c>
      <c r="X971" s="3" t="s">
        <v>4973</v>
      </c>
    </row>
    <row r="972" spans="1:24" ht="27.95" x14ac:dyDescent="0.3">
      <c r="A972" s="5">
        <v>966</v>
      </c>
      <c r="B972" s="5" t="str">
        <f>"201300065658"</f>
        <v>201300065658</v>
      </c>
      <c r="C972" s="5" t="str">
        <f>"102164"</f>
        <v>102164</v>
      </c>
      <c r="D972" s="5" t="s">
        <v>4974</v>
      </c>
      <c r="E972" s="5">
        <v>20531887531</v>
      </c>
      <c r="F972" s="5" t="s">
        <v>4975</v>
      </c>
      <c r="G972" s="5" t="s">
        <v>4976</v>
      </c>
      <c r="H972" s="5" t="s">
        <v>285</v>
      </c>
      <c r="I972" s="5" t="s">
        <v>286</v>
      </c>
      <c r="J972" s="5" t="s">
        <v>286</v>
      </c>
      <c r="K972" s="5" t="s">
        <v>4977</v>
      </c>
      <c r="L972" s="5"/>
      <c r="M972" s="5"/>
      <c r="N972" s="5"/>
      <c r="O972" s="5"/>
      <c r="P972" s="5"/>
      <c r="Q972" s="5"/>
      <c r="R972" s="5"/>
      <c r="S972" s="5"/>
      <c r="T972" s="5"/>
      <c r="U972" s="5">
        <v>1745</v>
      </c>
      <c r="V972" s="6">
        <v>41405</v>
      </c>
      <c r="W972" s="5" t="s">
        <v>31</v>
      </c>
      <c r="X972" s="5" t="s">
        <v>4978</v>
      </c>
    </row>
    <row r="973" spans="1:24" x14ac:dyDescent="0.3">
      <c r="A973" s="3">
        <v>967</v>
      </c>
      <c r="B973" s="3" t="str">
        <f>"1242302"</f>
        <v>1242302</v>
      </c>
      <c r="C973" s="3" t="str">
        <f>"6"</f>
        <v>6</v>
      </c>
      <c r="D973" s="3" t="s">
        <v>4979</v>
      </c>
      <c r="E973" s="3">
        <v>20391760684</v>
      </c>
      <c r="F973" s="3" t="s">
        <v>4980</v>
      </c>
      <c r="G973" s="3" t="s">
        <v>4981</v>
      </c>
      <c r="H973" s="3" t="s">
        <v>28</v>
      </c>
      <c r="I973" s="3" t="s">
        <v>28</v>
      </c>
      <c r="J973" s="3" t="s">
        <v>91</v>
      </c>
      <c r="K973" s="3" t="s">
        <v>4982</v>
      </c>
      <c r="L973" s="3"/>
      <c r="M973" s="3"/>
      <c r="N973" s="3"/>
      <c r="O973" s="3"/>
      <c r="P973" s="3"/>
      <c r="Q973" s="3"/>
      <c r="R973" s="3"/>
      <c r="S973" s="3"/>
      <c r="T973" s="3"/>
      <c r="U973" s="3">
        <v>5700</v>
      </c>
      <c r="V973" s="4">
        <v>36363</v>
      </c>
      <c r="W973" s="3" t="s">
        <v>31</v>
      </c>
      <c r="X973" s="3" t="s">
        <v>4983</v>
      </c>
    </row>
    <row r="974" spans="1:24" ht="27.95" x14ac:dyDescent="0.3">
      <c r="A974" s="5">
        <v>968</v>
      </c>
      <c r="B974" s="5" t="str">
        <f>"201600126452"</f>
        <v>201600126452</v>
      </c>
      <c r="C974" s="5" t="str">
        <f>"122685"</f>
        <v>122685</v>
      </c>
      <c r="D974" s="5" t="s">
        <v>4984</v>
      </c>
      <c r="E974" s="5">
        <v>20450137821</v>
      </c>
      <c r="F974" s="5" t="s">
        <v>4985</v>
      </c>
      <c r="G974" s="5" t="s">
        <v>4895</v>
      </c>
      <c r="H974" s="5" t="s">
        <v>58</v>
      </c>
      <c r="I974" s="5" t="s">
        <v>507</v>
      </c>
      <c r="J974" s="5" t="s">
        <v>508</v>
      </c>
      <c r="K974" s="5" t="s">
        <v>2180</v>
      </c>
      <c r="L974" s="5"/>
      <c r="M974" s="5"/>
      <c r="N974" s="5"/>
      <c r="O974" s="5"/>
      <c r="P974" s="5"/>
      <c r="Q974" s="5"/>
      <c r="R974" s="5"/>
      <c r="S974" s="5"/>
      <c r="T974" s="5"/>
      <c r="U974" s="5">
        <v>10000</v>
      </c>
      <c r="V974" s="6">
        <v>42619</v>
      </c>
      <c r="W974" s="5" t="s">
        <v>31</v>
      </c>
      <c r="X974" s="5" t="s">
        <v>4896</v>
      </c>
    </row>
    <row r="975" spans="1:24" ht="27.95" x14ac:dyDescent="0.3">
      <c r="A975" s="3">
        <v>969</v>
      </c>
      <c r="B975" s="3" t="str">
        <f>"201900007190"</f>
        <v>201900007190</v>
      </c>
      <c r="C975" s="3" t="str">
        <f>"140785"</f>
        <v>140785</v>
      </c>
      <c r="D975" s="3" t="s">
        <v>4986</v>
      </c>
      <c r="E975" s="3">
        <v>20563806398</v>
      </c>
      <c r="F975" s="3" t="s">
        <v>4987</v>
      </c>
      <c r="G975" s="3" t="s">
        <v>4988</v>
      </c>
      <c r="H975" s="3" t="s">
        <v>165</v>
      </c>
      <c r="I975" s="3" t="s">
        <v>732</v>
      </c>
      <c r="J975" s="3" t="s">
        <v>4989</v>
      </c>
      <c r="K975" s="3" t="s">
        <v>4480</v>
      </c>
      <c r="L975" s="3" t="s">
        <v>4480</v>
      </c>
      <c r="M975" s="3"/>
      <c r="N975" s="3"/>
      <c r="O975" s="3"/>
      <c r="P975" s="3"/>
      <c r="Q975" s="3"/>
      <c r="R975" s="3"/>
      <c r="S975" s="3"/>
      <c r="T975" s="3"/>
      <c r="U975" s="3">
        <v>18438</v>
      </c>
      <c r="V975" s="4">
        <v>43482</v>
      </c>
      <c r="W975" s="3" t="s">
        <v>31</v>
      </c>
      <c r="X975" s="3" t="s">
        <v>4990</v>
      </c>
    </row>
    <row r="976" spans="1:24" ht="27.95" x14ac:dyDescent="0.3">
      <c r="A976" s="5">
        <v>970</v>
      </c>
      <c r="B976" s="5" t="str">
        <f>"202000059022"</f>
        <v>202000059022</v>
      </c>
      <c r="C976" s="5" t="str">
        <f>"84573"</f>
        <v>84573</v>
      </c>
      <c r="D976" s="5" t="s">
        <v>4991</v>
      </c>
      <c r="E976" s="5">
        <v>20100039207</v>
      </c>
      <c r="F976" s="5" t="s">
        <v>1856</v>
      </c>
      <c r="G976" s="5" t="s">
        <v>4992</v>
      </c>
      <c r="H976" s="5" t="s">
        <v>80</v>
      </c>
      <c r="I976" s="5" t="s">
        <v>309</v>
      </c>
      <c r="J976" s="5" t="s">
        <v>309</v>
      </c>
      <c r="K976" s="5" t="s">
        <v>485</v>
      </c>
      <c r="L976" s="5" t="s">
        <v>4993</v>
      </c>
      <c r="M976" s="5"/>
      <c r="N976" s="5"/>
      <c r="O976" s="5"/>
      <c r="P976" s="5"/>
      <c r="Q976" s="5"/>
      <c r="R976" s="5"/>
      <c r="S976" s="5"/>
      <c r="T976" s="5"/>
      <c r="U976" s="5">
        <v>2450</v>
      </c>
      <c r="V976" s="6">
        <v>43980</v>
      </c>
      <c r="W976" s="5" t="s">
        <v>31</v>
      </c>
      <c r="X976" s="5" t="s">
        <v>4994</v>
      </c>
    </row>
    <row r="977" spans="1:24" x14ac:dyDescent="0.3">
      <c r="A977" s="3">
        <v>971</v>
      </c>
      <c r="B977" s="3" t="str">
        <f>"1354694"</f>
        <v>1354694</v>
      </c>
      <c r="C977" s="3" t="str">
        <f>"21705"</f>
        <v>21705</v>
      </c>
      <c r="D977" s="3" t="s">
        <v>4995</v>
      </c>
      <c r="E977" s="3">
        <v>20136907400</v>
      </c>
      <c r="F977" s="3" t="s">
        <v>4996</v>
      </c>
      <c r="G977" s="3" t="s">
        <v>4997</v>
      </c>
      <c r="H977" s="3" t="s">
        <v>28</v>
      </c>
      <c r="I977" s="3" t="s">
        <v>28</v>
      </c>
      <c r="J977" s="3" t="s">
        <v>102</v>
      </c>
      <c r="K977" s="3" t="s">
        <v>3938</v>
      </c>
      <c r="L977" s="3"/>
      <c r="M977" s="3"/>
      <c r="N977" s="3"/>
      <c r="O977" s="3"/>
      <c r="P977" s="3"/>
      <c r="Q977" s="3"/>
      <c r="R977" s="3"/>
      <c r="S977" s="3"/>
      <c r="T977" s="3"/>
      <c r="U977" s="3">
        <v>2000</v>
      </c>
      <c r="V977" s="4">
        <v>37322</v>
      </c>
      <c r="W977" s="3" t="s">
        <v>31</v>
      </c>
      <c r="X977" s="3" t="s">
        <v>4998</v>
      </c>
    </row>
    <row r="978" spans="1:24" ht="27.95" x14ac:dyDescent="0.3">
      <c r="A978" s="5">
        <v>972</v>
      </c>
      <c r="B978" s="5" t="str">
        <f>"1336806"</f>
        <v>1336806</v>
      </c>
      <c r="C978" s="5" t="str">
        <f>"21438"</f>
        <v>21438</v>
      </c>
      <c r="D978" s="5" t="s">
        <v>4999</v>
      </c>
      <c r="E978" s="5">
        <v>20125628291</v>
      </c>
      <c r="F978" s="5" t="s">
        <v>5000</v>
      </c>
      <c r="G978" s="5" t="s">
        <v>5001</v>
      </c>
      <c r="H978" s="5" t="s">
        <v>28</v>
      </c>
      <c r="I978" s="5" t="s">
        <v>28</v>
      </c>
      <c r="J978" s="5" t="s">
        <v>501</v>
      </c>
      <c r="K978" s="5" t="s">
        <v>259</v>
      </c>
      <c r="L978" s="5"/>
      <c r="M978" s="5"/>
      <c r="N978" s="5"/>
      <c r="O978" s="5"/>
      <c r="P978" s="5"/>
      <c r="Q978" s="5"/>
      <c r="R978" s="5"/>
      <c r="S978" s="5"/>
      <c r="T978" s="5"/>
      <c r="U978" s="5">
        <v>6000</v>
      </c>
      <c r="V978" s="6">
        <v>37165</v>
      </c>
      <c r="W978" s="5" t="s">
        <v>31</v>
      </c>
      <c r="X978" s="5" t="s">
        <v>5002</v>
      </c>
    </row>
    <row r="979" spans="1:24" x14ac:dyDescent="0.3">
      <c r="A979" s="3">
        <v>973</v>
      </c>
      <c r="B979" s="3" t="str">
        <f>"1565178"</f>
        <v>1565178</v>
      </c>
      <c r="C979" s="3" t="str">
        <f>"41077"</f>
        <v>41077</v>
      </c>
      <c r="D979" s="3" t="s">
        <v>5003</v>
      </c>
      <c r="E979" s="3">
        <v>20100032709</v>
      </c>
      <c r="F979" s="3" t="s">
        <v>5004</v>
      </c>
      <c r="G979" s="3" t="s">
        <v>5005</v>
      </c>
      <c r="H979" s="3" t="s">
        <v>28</v>
      </c>
      <c r="I979" s="3" t="s">
        <v>28</v>
      </c>
      <c r="J979" s="3" t="s">
        <v>1824</v>
      </c>
      <c r="K979" s="3" t="s">
        <v>5006</v>
      </c>
      <c r="L979" s="3"/>
      <c r="M979" s="3"/>
      <c r="N979" s="3"/>
      <c r="O979" s="3"/>
      <c r="P979" s="3"/>
      <c r="Q979" s="3"/>
      <c r="R979" s="3"/>
      <c r="S979" s="3"/>
      <c r="T979" s="3"/>
      <c r="U979" s="3">
        <v>4870</v>
      </c>
      <c r="V979" s="4">
        <v>38621</v>
      </c>
      <c r="W979" s="3" t="s">
        <v>31</v>
      </c>
      <c r="X979" s="3" t="s">
        <v>5007</v>
      </c>
    </row>
    <row r="980" spans="1:24" x14ac:dyDescent="0.3">
      <c r="A980" s="5">
        <v>974</v>
      </c>
      <c r="B980" s="5" t="str">
        <f>"1891953"</f>
        <v>1891953</v>
      </c>
      <c r="C980" s="5" t="str">
        <f>"43134"</f>
        <v>43134</v>
      </c>
      <c r="D980" s="5" t="s">
        <v>5008</v>
      </c>
      <c r="E980" s="5">
        <v>20100021685</v>
      </c>
      <c r="F980" s="5" t="s">
        <v>5009</v>
      </c>
      <c r="G980" s="5" t="s">
        <v>5010</v>
      </c>
      <c r="H980" s="5" t="s">
        <v>28</v>
      </c>
      <c r="I980" s="5" t="s">
        <v>28</v>
      </c>
      <c r="J980" s="5" t="s">
        <v>28</v>
      </c>
      <c r="K980" s="5" t="s">
        <v>5011</v>
      </c>
      <c r="L980" s="5" t="s">
        <v>5012</v>
      </c>
      <c r="M980" s="5" t="s">
        <v>2816</v>
      </c>
      <c r="N980" s="5" t="s">
        <v>5013</v>
      </c>
      <c r="O980" s="5" t="s">
        <v>5014</v>
      </c>
      <c r="P980" s="5" t="s">
        <v>5014</v>
      </c>
      <c r="Q980" s="5"/>
      <c r="R980" s="5"/>
      <c r="S980" s="5"/>
      <c r="T980" s="5"/>
      <c r="U980" s="5">
        <v>19300</v>
      </c>
      <c r="V980" s="6">
        <v>39981</v>
      </c>
      <c r="W980" s="5" t="s">
        <v>31</v>
      </c>
      <c r="X980" s="5" t="s">
        <v>5015</v>
      </c>
    </row>
    <row r="981" spans="1:24" ht="27.95" x14ac:dyDescent="0.3">
      <c r="A981" s="3">
        <v>975</v>
      </c>
      <c r="B981" s="3" t="str">
        <f>"1831257"</f>
        <v>1831257</v>
      </c>
      <c r="C981" s="3" t="str">
        <f>"64424"</f>
        <v>64424</v>
      </c>
      <c r="D981" s="3" t="s">
        <v>5016</v>
      </c>
      <c r="E981" s="3">
        <v>20160314452</v>
      </c>
      <c r="F981" s="3" t="s">
        <v>5017</v>
      </c>
      <c r="G981" s="3" t="s">
        <v>5018</v>
      </c>
      <c r="H981" s="3" t="s">
        <v>28</v>
      </c>
      <c r="I981" s="3" t="s">
        <v>28</v>
      </c>
      <c r="J981" s="3" t="s">
        <v>102</v>
      </c>
      <c r="K981" s="3" t="s">
        <v>857</v>
      </c>
      <c r="L981" s="3"/>
      <c r="M981" s="3"/>
      <c r="N981" s="3"/>
      <c r="O981" s="3"/>
      <c r="P981" s="3"/>
      <c r="Q981" s="3"/>
      <c r="R981" s="3"/>
      <c r="S981" s="3"/>
      <c r="T981" s="3"/>
      <c r="U981" s="3">
        <v>4500</v>
      </c>
      <c r="V981" s="4">
        <v>39750</v>
      </c>
      <c r="W981" s="3" t="s">
        <v>31</v>
      </c>
      <c r="X981" s="3"/>
    </row>
    <row r="982" spans="1:24" x14ac:dyDescent="0.3">
      <c r="A982" s="5">
        <v>976</v>
      </c>
      <c r="B982" s="5" t="str">
        <f>"1132565"</f>
        <v>1132565</v>
      </c>
      <c r="C982" s="5" t="str">
        <f>"246"</f>
        <v>246</v>
      </c>
      <c r="D982" s="5" t="s">
        <v>5019</v>
      </c>
      <c r="E982" s="5">
        <v>20132365424</v>
      </c>
      <c r="F982" s="5" t="s">
        <v>5020</v>
      </c>
      <c r="G982" s="5" t="s">
        <v>5021</v>
      </c>
      <c r="H982" s="5" t="s">
        <v>36</v>
      </c>
      <c r="I982" s="5" t="s">
        <v>234</v>
      </c>
      <c r="J982" s="5" t="s">
        <v>234</v>
      </c>
      <c r="K982" s="5" t="s">
        <v>1872</v>
      </c>
      <c r="L982" s="5" t="s">
        <v>229</v>
      </c>
      <c r="M982" s="5"/>
      <c r="N982" s="5"/>
      <c r="O982" s="5"/>
      <c r="P982" s="5"/>
      <c r="Q982" s="5"/>
      <c r="R982" s="5"/>
      <c r="S982" s="5"/>
      <c r="T982" s="5"/>
      <c r="U982" s="5">
        <v>7000</v>
      </c>
      <c r="V982" s="6">
        <v>36803</v>
      </c>
      <c r="W982" s="5" t="s">
        <v>31</v>
      </c>
      <c r="X982" s="5" t="s">
        <v>5022</v>
      </c>
    </row>
    <row r="983" spans="1:24" ht="27.95" x14ac:dyDescent="0.3">
      <c r="A983" s="3">
        <v>977</v>
      </c>
      <c r="B983" s="3" t="str">
        <f>"1374471"</f>
        <v>1374471</v>
      </c>
      <c r="C983" s="3" t="str">
        <f>"486"</f>
        <v>486</v>
      </c>
      <c r="D983" s="3" t="s">
        <v>5023</v>
      </c>
      <c r="E983" s="3">
        <v>20129610221</v>
      </c>
      <c r="F983" s="3" t="s">
        <v>5024</v>
      </c>
      <c r="G983" s="3" t="s">
        <v>5025</v>
      </c>
      <c r="H983" s="3" t="s">
        <v>566</v>
      </c>
      <c r="I983" s="3" t="s">
        <v>3842</v>
      </c>
      <c r="J983" s="3" t="s">
        <v>3842</v>
      </c>
      <c r="K983" s="3" t="s">
        <v>5026</v>
      </c>
      <c r="L983" s="3" t="s">
        <v>5027</v>
      </c>
      <c r="M983" s="3"/>
      <c r="N983" s="3"/>
      <c r="O983" s="3"/>
      <c r="P983" s="3"/>
      <c r="Q983" s="3"/>
      <c r="R983" s="3"/>
      <c r="S983" s="3"/>
      <c r="T983" s="3"/>
      <c r="U983" s="3">
        <v>30000</v>
      </c>
      <c r="V983" s="4">
        <v>37475</v>
      </c>
      <c r="W983" s="3" t="s">
        <v>31</v>
      </c>
      <c r="X983" s="3" t="s">
        <v>5028</v>
      </c>
    </row>
    <row r="984" spans="1:24" ht="27.95" x14ac:dyDescent="0.3">
      <c r="A984" s="5">
        <v>978</v>
      </c>
      <c r="B984" s="5" t="str">
        <f>"202000009987"</f>
        <v>202000009987</v>
      </c>
      <c r="C984" s="5" t="str">
        <f>"44497"</f>
        <v>44497</v>
      </c>
      <c r="D984" s="5" t="s">
        <v>5029</v>
      </c>
      <c r="E984" s="5">
        <v>20563759373</v>
      </c>
      <c r="F984" s="5" t="s">
        <v>5030</v>
      </c>
      <c r="G984" s="5" t="s">
        <v>5031</v>
      </c>
      <c r="H984" s="5" t="s">
        <v>28</v>
      </c>
      <c r="I984" s="5" t="s">
        <v>72</v>
      </c>
      <c r="J984" s="5" t="s">
        <v>322</v>
      </c>
      <c r="K984" s="5" t="s">
        <v>5032</v>
      </c>
      <c r="L984" s="5"/>
      <c r="M984" s="5"/>
      <c r="N984" s="5"/>
      <c r="O984" s="5"/>
      <c r="P984" s="5"/>
      <c r="Q984" s="5"/>
      <c r="R984" s="5"/>
      <c r="S984" s="5"/>
      <c r="T984" s="5"/>
      <c r="U984" s="5">
        <v>5047</v>
      </c>
      <c r="V984" s="6">
        <v>43851</v>
      </c>
      <c r="W984" s="5" t="s">
        <v>31</v>
      </c>
      <c r="X984" s="5" t="s">
        <v>5033</v>
      </c>
    </row>
    <row r="985" spans="1:24" x14ac:dyDescent="0.3">
      <c r="A985" s="3">
        <v>979</v>
      </c>
      <c r="B985" s="3" t="str">
        <f>"201200132426"</f>
        <v>201200132426</v>
      </c>
      <c r="C985" s="3" t="str">
        <f>"490"</f>
        <v>490</v>
      </c>
      <c r="D985" s="3" t="s">
        <v>5034</v>
      </c>
      <c r="E985" s="3">
        <v>20301494590</v>
      </c>
      <c r="F985" s="3" t="s">
        <v>5035</v>
      </c>
      <c r="G985" s="3" t="s">
        <v>5036</v>
      </c>
      <c r="H985" s="3" t="s">
        <v>28</v>
      </c>
      <c r="I985" s="3" t="s">
        <v>28</v>
      </c>
      <c r="J985" s="3" t="s">
        <v>91</v>
      </c>
      <c r="K985" s="3" t="s">
        <v>130</v>
      </c>
      <c r="L985" s="3" t="s">
        <v>3631</v>
      </c>
      <c r="M985" s="3" t="s">
        <v>5037</v>
      </c>
      <c r="N985" s="3"/>
      <c r="O985" s="3"/>
      <c r="P985" s="3"/>
      <c r="Q985" s="3"/>
      <c r="R985" s="3"/>
      <c r="S985" s="3"/>
      <c r="T985" s="3"/>
      <c r="U985" s="3">
        <v>11000</v>
      </c>
      <c r="V985" s="4">
        <v>41113</v>
      </c>
      <c r="W985" s="3" t="s">
        <v>31</v>
      </c>
      <c r="X985" s="3" t="s">
        <v>5038</v>
      </c>
    </row>
    <row r="986" spans="1:24" x14ac:dyDescent="0.3">
      <c r="A986" s="5">
        <v>980</v>
      </c>
      <c r="B986" s="5" t="str">
        <f>"1281620"</f>
        <v>1281620</v>
      </c>
      <c r="C986" s="5" t="str">
        <f>"14805"</f>
        <v>14805</v>
      </c>
      <c r="D986" s="5" t="s">
        <v>5039</v>
      </c>
      <c r="E986" s="5">
        <v>20361159048</v>
      </c>
      <c r="F986" s="5" t="s">
        <v>4042</v>
      </c>
      <c r="G986" s="5" t="s">
        <v>5040</v>
      </c>
      <c r="H986" s="5" t="s">
        <v>80</v>
      </c>
      <c r="I986" s="5" t="s">
        <v>228</v>
      </c>
      <c r="J986" s="5" t="s">
        <v>228</v>
      </c>
      <c r="K986" s="5" t="s">
        <v>5041</v>
      </c>
      <c r="L986" s="5" t="s">
        <v>5042</v>
      </c>
      <c r="M986" s="5"/>
      <c r="N986" s="5"/>
      <c r="O986" s="5"/>
      <c r="P986" s="5"/>
      <c r="Q986" s="5"/>
      <c r="R986" s="5"/>
      <c r="S986" s="5"/>
      <c r="T986" s="5"/>
      <c r="U986" s="5">
        <v>206190</v>
      </c>
      <c r="V986" s="6">
        <v>36672</v>
      </c>
      <c r="W986" s="5" t="s">
        <v>31</v>
      </c>
      <c r="X986" s="5" t="s">
        <v>4046</v>
      </c>
    </row>
    <row r="987" spans="1:24" ht="27.95" x14ac:dyDescent="0.3">
      <c r="A987" s="3">
        <v>981</v>
      </c>
      <c r="B987" s="3" t="str">
        <f>"1755207"</f>
        <v>1755207</v>
      </c>
      <c r="C987" s="3" t="str">
        <f>"104"</f>
        <v>104</v>
      </c>
      <c r="D987" s="3" t="s">
        <v>5043</v>
      </c>
      <c r="E987" s="3">
        <v>20100113610</v>
      </c>
      <c r="F987" s="3" t="s">
        <v>1973</v>
      </c>
      <c r="G987" s="3" t="s">
        <v>5044</v>
      </c>
      <c r="H987" s="3" t="s">
        <v>51</v>
      </c>
      <c r="I987" s="3" t="s">
        <v>51</v>
      </c>
      <c r="J987" s="3" t="s">
        <v>5045</v>
      </c>
      <c r="K987" s="3" t="s">
        <v>5046</v>
      </c>
      <c r="L987" s="3" t="s">
        <v>4320</v>
      </c>
      <c r="M987" s="3" t="s">
        <v>4320</v>
      </c>
      <c r="N987" s="3" t="s">
        <v>5047</v>
      </c>
      <c r="O987" s="3" t="s">
        <v>5048</v>
      </c>
      <c r="P987" s="3" t="s">
        <v>5048</v>
      </c>
      <c r="Q987" s="3" t="s">
        <v>5046</v>
      </c>
      <c r="R987" s="3"/>
      <c r="S987" s="3"/>
      <c r="T987" s="3"/>
      <c r="U987" s="3">
        <v>183152</v>
      </c>
      <c r="V987" s="4">
        <v>39477</v>
      </c>
      <c r="W987" s="3" t="s">
        <v>31</v>
      </c>
      <c r="X987" s="3" t="s">
        <v>5049</v>
      </c>
    </row>
    <row r="988" spans="1:24" ht="27.95" x14ac:dyDescent="0.3">
      <c r="A988" s="5">
        <v>982</v>
      </c>
      <c r="B988" s="5" t="str">
        <f>"201200073618"</f>
        <v>201200073618</v>
      </c>
      <c r="C988" s="5" t="str">
        <f>"96675"</f>
        <v>96675</v>
      </c>
      <c r="D988" s="5" t="s">
        <v>5050</v>
      </c>
      <c r="E988" s="5">
        <v>20147726342</v>
      </c>
      <c r="F988" s="5" t="s">
        <v>5051</v>
      </c>
      <c r="G988" s="5" t="s">
        <v>5052</v>
      </c>
      <c r="H988" s="5" t="s">
        <v>28</v>
      </c>
      <c r="I988" s="5" t="s">
        <v>28</v>
      </c>
      <c r="J988" s="5" t="s">
        <v>409</v>
      </c>
      <c r="K988" s="5" t="s">
        <v>181</v>
      </c>
      <c r="L988" s="5"/>
      <c r="M988" s="5"/>
      <c r="N988" s="5"/>
      <c r="O988" s="5"/>
      <c r="P988" s="5"/>
      <c r="Q988" s="5"/>
      <c r="R988" s="5"/>
      <c r="S988" s="5"/>
      <c r="T988" s="5"/>
      <c r="U988" s="5">
        <v>5000</v>
      </c>
      <c r="V988" s="6">
        <v>41052</v>
      </c>
      <c r="W988" s="5" t="s">
        <v>31</v>
      </c>
      <c r="X988" s="5" t="s">
        <v>5053</v>
      </c>
    </row>
    <row r="989" spans="1:24" ht="27.95" x14ac:dyDescent="0.3">
      <c r="A989" s="3">
        <v>983</v>
      </c>
      <c r="B989" s="3" t="str">
        <f>"202000124091"</f>
        <v>202000124091</v>
      </c>
      <c r="C989" s="3" t="str">
        <f>"39726"</f>
        <v>39726</v>
      </c>
      <c r="D989" s="3" t="s">
        <v>5054</v>
      </c>
      <c r="E989" s="3">
        <v>20106076635</v>
      </c>
      <c r="F989" s="3" t="s">
        <v>4795</v>
      </c>
      <c r="G989" s="3" t="s">
        <v>5055</v>
      </c>
      <c r="H989" s="3" t="s">
        <v>28</v>
      </c>
      <c r="I989" s="3" t="s">
        <v>28</v>
      </c>
      <c r="J989" s="3" t="s">
        <v>266</v>
      </c>
      <c r="K989" s="3" t="s">
        <v>5056</v>
      </c>
      <c r="L989" s="3"/>
      <c r="M989" s="3"/>
      <c r="N989" s="3"/>
      <c r="O989" s="3"/>
      <c r="P989" s="3"/>
      <c r="Q989" s="3"/>
      <c r="R989" s="3"/>
      <c r="S989" s="3"/>
      <c r="T989" s="3"/>
      <c r="U989" s="3">
        <v>12160</v>
      </c>
      <c r="V989" s="4">
        <v>44092</v>
      </c>
      <c r="W989" s="3" t="s">
        <v>31</v>
      </c>
      <c r="X989" s="3" t="s">
        <v>4798</v>
      </c>
    </row>
    <row r="990" spans="1:24" ht="27.95" x14ac:dyDescent="0.3">
      <c r="A990" s="5">
        <v>984</v>
      </c>
      <c r="B990" s="5" t="str">
        <f>"201900079374"</f>
        <v>201900079374</v>
      </c>
      <c r="C990" s="5" t="str">
        <f>"121586"</f>
        <v>121586</v>
      </c>
      <c r="D990" s="5" t="s">
        <v>5057</v>
      </c>
      <c r="E990" s="5">
        <v>20206872234</v>
      </c>
      <c r="F990" s="5" t="s">
        <v>5058</v>
      </c>
      <c r="G990" s="5" t="s">
        <v>5059</v>
      </c>
      <c r="H990" s="5" t="s">
        <v>28</v>
      </c>
      <c r="I990" s="5" t="s">
        <v>28</v>
      </c>
      <c r="J990" s="5" t="s">
        <v>91</v>
      </c>
      <c r="K990" s="5" t="s">
        <v>168</v>
      </c>
      <c r="L990" s="5" t="s">
        <v>168</v>
      </c>
      <c r="M990" s="5"/>
      <c r="N990" s="5"/>
      <c r="O990" s="5"/>
      <c r="P990" s="5"/>
      <c r="Q990" s="5"/>
      <c r="R990" s="5"/>
      <c r="S990" s="5"/>
      <c r="T990" s="5"/>
      <c r="U990" s="5">
        <v>20000</v>
      </c>
      <c r="V990" s="6">
        <v>43603</v>
      </c>
      <c r="W990" s="5" t="s">
        <v>31</v>
      </c>
      <c r="X990" s="5" t="s">
        <v>5060</v>
      </c>
    </row>
    <row r="991" spans="1:24" x14ac:dyDescent="0.3">
      <c r="A991" s="3">
        <v>985</v>
      </c>
      <c r="B991" s="3" t="str">
        <f>"1122505"</f>
        <v>1122505</v>
      </c>
      <c r="C991" s="3" t="str">
        <f>"1176"</f>
        <v>1176</v>
      </c>
      <c r="D991" s="3">
        <v>1122505</v>
      </c>
      <c r="E991" s="3">
        <v>20483797614</v>
      </c>
      <c r="F991" s="3" t="s">
        <v>5061</v>
      </c>
      <c r="G991" s="3" t="s">
        <v>5062</v>
      </c>
      <c r="H991" s="3" t="s">
        <v>80</v>
      </c>
      <c r="I991" s="3" t="s">
        <v>309</v>
      </c>
      <c r="J991" s="3" t="s">
        <v>309</v>
      </c>
      <c r="K991" s="3" t="s">
        <v>5063</v>
      </c>
      <c r="L991" s="3"/>
      <c r="M991" s="3"/>
      <c r="N991" s="3"/>
      <c r="O991" s="3"/>
      <c r="P991" s="3"/>
      <c r="Q991" s="3"/>
      <c r="R991" s="3"/>
      <c r="S991" s="3"/>
      <c r="T991" s="3"/>
      <c r="U991" s="3">
        <v>3875</v>
      </c>
      <c r="V991" s="4">
        <v>35632</v>
      </c>
      <c r="W991" s="3" t="s">
        <v>31</v>
      </c>
      <c r="X991" s="3" t="s">
        <v>5064</v>
      </c>
    </row>
    <row r="992" spans="1:24" x14ac:dyDescent="0.3">
      <c r="A992" s="5">
        <v>986</v>
      </c>
      <c r="B992" s="5" t="str">
        <f>"1763775"</f>
        <v>1763775</v>
      </c>
      <c r="C992" s="5" t="str">
        <f>"16479"</f>
        <v>16479</v>
      </c>
      <c r="D992" s="5" t="s">
        <v>5065</v>
      </c>
      <c r="E992" s="5">
        <v>20195923753</v>
      </c>
      <c r="F992" s="5" t="s">
        <v>5066</v>
      </c>
      <c r="G992" s="5" t="s">
        <v>5067</v>
      </c>
      <c r="H992" s="5" t="s">
        <v>970</v>
      </c>
      <c r="I992" s="5" t="s">
        <v>2578</v>
      </c>
      <c r="J992" s="5" t="s">
        <v>5068</v>
      </c>
      <c r="K992" s="5" t="s">
        <v>5069</v>
      </c>
      <c r="L992" s="5" t="s">
        <v>5070</v>
      </c>
      <c r="M992" s="5" t="s">
        <v>5071</v>
      </c>
      <c r="N992" s="5" t="s">
        <v>5072</v>
      </c>
      <c r="O992" s="5" t="s">
        <v>5070</v>
      </c>
      <c r="P992" s="5"/>
      <c r="Q992" s="5"/>
      <c r="R992" s="5"/>
      <c r="S992" s="5"/>
      <c r="T992" s="5"/>
      <c r="U992" s="5">
        <v>33012</v>
      </c>
      <c r="V992" s="6">
        <v>39478</v>
      </c>
      <c r="W992" s="5" t="s">
        <v>31</v>
      </c>
      <c r="X992" s="5" t="s">
        <v>5073</v>
      </c>
    </row>
    <row r="993" spans="1:24" x14ac:dyDescent="0.3">
      <c r="A993" s="3">
        <v>987</v>
      </c>
      <c r="B993" s="3" t="str">
        <f>"1458003"</f>
        <v>1458003</v>
      </c>
      <c r="C993" s="3" t="str">
        <f>"1519"</f>
        <v>1519</v>
      </c>
      <c r="D993" s="3" t="s">
        <v>5074</v>
      </c>
      <c r="E993" s="3">
        <v>20390386924</v>
      </c>
      <c r="F993" s="3" t="s">
        <v>5075</v>
      </c>
      <c r="G993" s="3" t="s">
        <v>5076</v>
      </c>
      <c r="H993" s="3" t="s">
        <v>51</v>
      </c>
      <c r="I993" s="3" t="s">
        <v>52</v>
      </c>
      <c r="J993" s="3" t="s">
        <v>1050</v>
      </c>
      <c r="K993" s="3" t="s">
        <v>259</v>
      </c>
      <c r="L993" s="3"/>
      <c r="M993" s="3"/>
      <c r="N993" s="3"/>
      <c r="O993" s="3"/>
      <c r="P993" s="3"/>
      <c r="Q993" s="3"/>
      <c r="R993" s="3"/>
      <c r="S993" s="3"/>
      <c r="T993" s="3"/>
      <c r="U993" s="3">
        <v>6000</v>
      </c>
      <c r="V993" s="4">
        <v>38065</v>
      </c>
      <c r="W993" s="3" t="s">
        <v>31</v>
      </c>
      <c r="X993" s="3" t="s">
        <v>5077</v>
      </c>
    </row>
    <row r="994" spans="1:24" ht="41.95" x14ac:dyDescent="0.3">
      <c r="A994" s="5">
        <v>988</v>
      </c>
      <c r="B994" s="5" t="str">
        <f>"201800143951"</f>
        <v>201800143951</v>
      </c>
      <c r="C994" s="5" t="str">
        <f>"95045"</f>
        <v>95045</v>
      </c>
      <c r="D994" s="5" t="s">
        <v>5078</v>
      </c>
      <c r="E994" s="5">
        <v>20603512503</v>
      </c>
      <c r="F994" s="5" t="s">
        <v>5079</v>
      </c>
      <c r="G994" s="5" t="s">
        <v>5080</v>
      </c>
      <c r="H994" s="5" t="s">
        <v>36</v>
      </c>
      <c r="I994" s="5" t="s">
        <v>1652</v>
      </c>
      <c r="J994" s="5" t="s">
        <v>1653</v>
      </c>
      <c r="K994" s="5" t="s">
        <v>5081</v>
      </c>
      <c r="L994" s="5" t="s">
        <v>5082</v>
      </c>
      <c r="M994" s="5" t="s">
        <v>5083</v>
      </c>
      <c r="N994" s="5"/>
      <c r="O994" s="5"/>
      <c r="P994" s="5"/>
      <c r="Q994" s="5"/>
      <c r="R994" s="5"/>
      <c r="S994" s="5"/>
      <c r="T994" s="5"/>
      <c r="U994" s="5">
        <v>4265</v>
      </c>
      <c r="V994" s="6">
        <v>43350</v>
      </c>
      <c r="W994" s="5" t="s">
        <v>31</v>
      </c>
      <c r="X994" s="5" t="s">
        <v>5084</v>
      </c>
    </row>
    <row r="995" spans="1:24" ht="27.95" x14ac:dyDescent="0.3">
      <c r="A995" s="3">
        <v>989</v>
      </c>
      <c r="B995" s="3" t="str">
        <f>"201700040784"</f>
        <v>201700040784</v>
      </c>
      <c r="C995" s="3" t="str">
        <f>"125922"</f>
        <v>125922</v>
      </c>
      <c r="D995" s="3" t="s">
        <v>5085</v>
      </c>
      <c r="E995" s="3">
        <v>20215195539</v>
      </c>
      <c r="F995" s="3" t="s">
        <v>5086</v>
      </c>
      <c r="G995" s="3" t="s">
        <v>5087</v>
      </c>
      <c r="H995" s="3" t="s">
        <v>28</v>
      </c>
      <c r="I995" s="3" t="s">
        <v>28</v>
      </c>
      <c r="J995" s="3" t="s">
        <v>699</v>
      </c>
      <c r="K995" s="3" t="s">
        <v>5088</v>
      </c>
      <c r="L995" s="3"/>
      <c r="M995" s="3"/>
      <c r="N995" s="3"/>
      <c r="O995" s="3"/>
      <c r="P995" s="3"/>
      <c r="Q995" s="3"/>
      <c r="R995" s="3"/>
      <c r="S995" s="3"/>
      <c r="T995" s="3"/>
      <c r="U995" s="3">
        <v>15900</v>
      </c>
      <c r="V995" s="4">
        <v>42842</v>
      </c>
      <c r="W995" s="3" t="s">
        <v>31</v>
      </c>
      <c r="X995" s="3" t="s">
        <v>5089</v>
      </c>
    </row>
    <row r="996" spans="1:24" x14ac:dyDescent="0.3">
      <c r="A996" s="5">
        <v>990</v>
      </c>
      <c r="B996" s="5" t="str">
        <f>"1110646"</f>
        <v>1110646</v>
      </c>
      <c r="C996" s="5" t="str">
        <f>"1443"</f>
        <v>1443</v>
      </c>
      <c r="D996" s="5">
        <v>995113</v>
      </c>
      <c r="E996" s="5">
        <v>20100257298</v>
      </c>
      <c r="F996" s="5" t="s">
        <v>5090</v>
      </c>
      <c r="G996" s="5" t="s">
        <v>5091</v>
      </c>
      <c r="H996" s="5" t="s">
        <v>28</v>
      </c>
      <c r="I996" s="5" t="s">
        <v>28</v>
      </c>
      <c r="J996" s="5" t="s">
        <v>28</v>
      </c>
      <c r="K996" s="5" t="s">
        <v>5092</v>
      </c>
      <c r="L996" s="5" t="s">
        <v>5093</v>
      </c>
      <c r="M996" s="5"/>
      <c r="N996" s="5"/>
      <c r="O996" s="5"/>
      <c r="P996" s="5"/>
      <c r="Q996" s="5"/>
      <c r="R996" s="5"/>
      <c r="S996" s="5"/>
      <c r="T996" s="5"/>
      <c r="U996" s="5">
        <v>21720</v>
      </c>
      <c r="V996" s="6">
        <v>35508</v>
      </c>
      <c r="W996" s="5" t="s">
        <v>31</v>
      </c>
      <c r="X996" s="5" t="s">
        <v>5094</v>
      </c>
    </row>
    <row r="997" spans="1:24" ht="27.95" x14ac:dyDescent="0.3">
      <c r="A997" s="3">
        <v>991</v>
      </c>
      <c r="B997" s="3" t="str">
        <f>"201900129665"</f>
        <v>201900129665</v>
      </c>
      <c r="C997" s="3" t="str">
        <f>"145787"</f>
        <v>145787</v>
      </c>
      <c r="D997" s="3" t="s">
        <v>5095</v>
      </c>
      <c r="E997" s="3">
        <v>20218339167</v>
      </c>
      <c r="F997" s="3" t="s">
        <v>5096</v>
      </c>
      <c r="G997" s="3" t="s">
        <v>5097</v>
      </c>
      <c r="H997" s="3" t="s">
        <v>214</v>
      </c>
      <c r="I997" s="3" t="s">
        <v>215</v>
      </c>
      <c r="J997" s="3" t="s">
        <v>216</v>
      </c>
      <c r="K997" s="3" t="s">
        <v>30</v>
      </c>
      <c r="L997" s="3"/>
      <c r="M997" s="3"/>
      <c r="N997" s="3"/>
      <c r="O997" s="3"/>
      <c r="P997" s="3"/>
      <c r="Q997" s="3"/>
      <c r="R997" s="3"/>
      <c r="S997" s="3"/>
      <c r="T997" s="3"/>
      <c r="U997" s="3">
        <v>8000</v>
      </c>
      <c r="V997" s="4">
        <v>43688</v>
      </c>
      <c r="W997" s="3" t="s">
        <v>31</v>
      </c>
      <c r="X997" s="3" t="s">
        <v>5098</v>
      </c>
    </row>
    <row r="998" spans="1:24" x14ac:dyDescent="0.3">
      <c r="A998" s="5">
        <v>992</v>
      </c>
      <c r="B998" s="5" t="str">
        <f>"201700090527"</f>
        <v>201700090527</v>
      </c>
      <c r="C998" s="5" t="str">
        <f>"129308"</f>
        <v>129308</v>
      </c>
      <c r="D998" s="5" t="s">
        <v>5099</v>
      </c>
      <c r="E998" s="5">
        <v>20101026001</v>
      </c>
      <c r="F998" s="5" t="s">
        <v>5100</v>
      </c>
      <c r="G998" s="5" t="s">
        <v>5101</v>
      </c>
      <c r="H998" s="5" t="s">
        <v>28</v>
      </c>
      <c r="I998" s="5" t="s">
        <v>28</v>
      </c>
      <c r="J998" s="5" t="s">
        <v>447</v>
      </c>
      <c r="K998" s="5" t="s">
        <v>30</v>
      </c>
      <c r="L998" s="5"/>
      <c r="M998" s="5"/>
      <c r="N998" s="5"/>
      <c r="O998" s="5"/>
      <c r="P998" s="5"/>
      <c r="Q998" s="5"/>
      <c r="R998" s="5"/>
      <c r="S998" s="5"/>
      <c r="T998" s="5"/>
      <c r="U998" s="5">
        <v>8000</v>
      </c>
      <c r="V998" s="6">
        <v>42902</v>
      </c>
      <c r="W998" s="5" t="s">
        <v>31</v>
      </c>
      <c r="X998" s="5" t="s">
        <v>1961</v>
      </c>
    </row>
    <row r="999" spans="1:24" ht="27.95" x14ac:dyDescent="0.3">
      <c r="A999" s="3">
        <v>993</v>
      </c>
      <c r="B999" s="3" t="str">
        <f>"201400071305"</f>
        <v>201400071305</v>
      </c>
      <c r="C999" s="3" t="str">
        <f>"21183"</f>
        <v>21183</v>
      </c>
      <c r="D999" s="3" t="s">
        <v>5102</v>
      </c>
      <c r="E999" s="3">
        <v>20512868046</v>
      </c>
      <c r="F999" s="3" t="s">
        <v>1455</v>
      </c>
      <c r="G999" s="3" t="s">
        <v>5103</v>
      </c>
      <c r="H999" s="3" t="s">
        <v>285</v>
      </c>
      <c r="I999" s="3" t="s">
        <v>286</v>
      </c>
      <c r="J999" s="3" t="s">
        <v>470</v>
      </c>
      <c r="K999" s="3" t="s">
        <v>5104</v>
      </c>
      <c r="L999" s="3" t="s">
        <v>5105</v>
      </c>
      <c r="M999" s="3" t="s">
        <v>5106</v>
      </c>
      <c r="N999" s="3" t="s">
        <v>5107</v>
      </c>
      <c r="O999" s="3" t="s">
        <v>5108</v>
      </c>
      <c r="P999" s="3"/>
      <c r="Q999" s="3"/>
      <c r="R999" s="3"/>
      <c r="S999" s="3"/>
      <c r="T999" s="3"/>
      <c r="U999" s="3">
        <v>124124</v>
      </c>
      <c r="V999" s="4">
        <v>41800</v>
      </c>
      <c r="W999" s="3" t="s">
        <v>31</v>
      </c>
      <c r="X999" s="3" t="s">
        <v>1461</v>
      </c>
    </row>
    <row r="1000" spans="1:24" ht="27.95" x14ac:dyDescent="0.3">
      <c r="A1000" s="5">
        <v>994</v>
      </c>
      <c r="B1000" s="5" t="str">
        <f>"202000044723"</f>
        <v>202000044723</v>
      </c>
      <c r="C1000" s="5" t="str">
        <f>"133207"</f>
        <v>133207</v>
      </c>
      <c r="D1000" s="5" t="s">
        <v>5109</v>
      </c>
      <c r="E1000" s="5">
        <v>20444314240</v>
      </c>
      <c r="F1000" s="5" t="s">
        <v>5110</v>
      </c>
      <c r="G1000" s="5" t="s">
        <v>5111</v>
      </c>
      <c r="H1000" s="5" t="s">
        <v>566</v>
      </c>
      <c r="I1000" s="5" t="s">
        <v>3842</v>
      </c>
      <c r="J1000" s="5" t="s">
        <v>4177</v>
      </c>
      <c r="K1000" s="5" t="s">
        <v>168</v>
      </c>
      <c r="L1000" s="5"/>
      <c r="M1000" s="5"/>
      <c r="N1000" s="5"/>
      <c r="O1000" s="5"/>
      <c r="P1000" s="5"/>
      <c r="Q1000" s="5"/>
      <c r="R1000" s="5"/>
      <c r="S1000" s="5"/>
      <c r="T1000" s="5"/>
      <c r="U1000" s="5">
        <v>10000</v>
      </c>
      <c r="V1000" s="6">
        <v>43902</v>
      </c>
      <c r="W1000" s="5" t="s">
        <v>31</v>
      </c>
      <c r="X1000" s="5" t="s">
        <v>5112</v>
      </c>
    </row>
    <row r="1001" spans="1:24" x14ac:dyDescent="0.3">
      <c r="A1001" s="3">
        <v>995</v>
      </c>
      <c r="B1001" s="3" t="str">
        <f>"1122501"</f>
        <v>1122501</v>
      </c>
      <c r="C1001" s="3" t="str">
        <f>"1012"</f>
        <v>1012</v>
      </c>
      <c r="D1001" s="3" t="s">
        <v>5113</v>
      </c>
      <c r="E1001" s="3">
        <v>20156046974</v>
      </c>
      <c r="F1001" s="3" t="s">
        <v>5114</v>
      </c>
      <c r="G1001" s="3" t="s">
        <v>5115</v>
      </c>
      <c r="H1001" s="3" t="s">
        <v>978</v>
      </c>
      <c r="I1001" s="3" t="s">
        <v>2254</v>
      </c>
      <c r="J1001" s="3" t="s">
        <v>2255</v>
      </c>
      <c r="K1001" s="3" t="s">
        <v>3037</v>
      </c>
      <c r="L1001" s="3"/>
      <c r="M1001" s="3"/>
      <c r="N1001" s="3"/>
      <c r="O1001" s="3"/>
      <c r="P1001" s="3"/>
      <c r="Q1001" s="3"/>
      <c r="R1001" s="3"/>
      <c r="S1001" s="3"/>
      <c r="T1001" s="3"/>
      <c r="U1001" s="3">
        <v>15000</v>
      </c>
      <c r="V1001" s="4">
        <v>36797</v>
      </c>
      <c r="W1001" s="3" t="s">
        <v>31</v>
      </c>
      <c r="X1001" s="3" t="s">
        <v>5116</v>
      </c>
    </row>
    <row r="1002" spans="1:24" ht="27.95" x14ac:dyDescent="0.3">
      <c r="A1002" s="5">
        <v>996</v>
      </c>
      <c r="B1002" s="5" t="str">
        <f>"202000032623"</f>
        <v>202000032623</v>
      </c>
      <c r="C1002" s="5" t="str">
        <f>"149304"</f>
        <v>149304</v>
      </c>
      <c r="D1002" s="5" t="s">
        <v>5117</v>
      </c>
      <c r="E1002" s="5">
        <v>20490643657</v>
      </c>
      <c r="F1002" s="5" t="s">
        <v>5118</v>
      </c>
      <c r="G1002" s="5" t="s">
        <v>5119</v>
      </c>
      <c r="H1002" s="5" t="s">
        <v>165</v>
      </c>
      <c r="I1002" s="5" t="s">
        <v>166</v>
      </c>
      <c r="J1002" s="5" t="s">
        <v>167</v>
      </c>
      <c r="K1002" s="5" t="s">
        <v>5120</v>
      </c>
      <c r="L1002" s="5" t="s">
        <v>5120</v>
      </c>
      <c r="M1002" s="5" t="s">
        <v>5120</v>
      </c>
      <c r="N1002" s="5"/>
      <c r="O1002" s="5"/>
      <c r="P1002" s="5"/>
      <c r="Q1002" s="5"/>
      <c r="R1002" s="5"/>
      <c r="S1002" s="5"/>
      <c r="T1002" s="5"/>
      <c r="U1002" s="5">
        <v>15900</v>
      </c>
      <c r="V1002" s="6">
        <v>43886</v>
      </c>
      <c r="W1002" s="5" t="s">
        <v>31</v>
      </c>
      <c r="X1002" s="5" t="s">
        <v>5121</v>
      </c>
    </row>
    <row r="1003" spans="1:24" ht="27.95" x14ac:dyDescent="0.3">
      <c r="A1003" s="3">
        <v>997</v>
      </c>
      <c r="B1003" s="3" t="str">
        <f>"1116283"</f>
        <v>1116283</v>
      </c>
      <c r="C1003" s="3" t="str">
        <f>"336"</f>
        <v>336</v>
      </c>
      <c r="D1003" s="3">
        <v>986749</v>
      </c>
      <c r="E1003" s="3">
        <v>20120332067</v>
      </c>
      <c r="F1003" s="3" t="s">
        <v>5122</v>
      </c>
      <c r="G1003" s="3" t="s">
        <v>5123</v>
      </c>
      <c r="H1003" s="3" t="s">
        <v>566</v>
      </c>
      <c r="I1003" s="3" t="s">
        <v>2671</v>
      </c>
      <c r="J1003" s="3" t="s">
        <v>2671</v>
      </c>
      <c r="K1003" s="3" t="s">
        <v>4942</v>
      </c>
      <c r="L1003" s="3"/>
      <c r="M1003" s="3"/>
      <c r="N1003" s="3"/>
      <c r="O1003" s="3"/>
      <c r="P1003" s="3"/>
      <c r="Q1003" s="3"/>
      <c r="R1003" s="3"/>
      <c r="S1003" s="3"/>
      <c r="T1003" s="3"/>
      <c r="U1003" s="3">
        <v>5500</v>
      </c>
      <c r="V1003" s="4">
        <v>35593</v>
      </c>
      <c r="W1003" s="3" t="s">
        <v>31</v>
      </c>
      <c r="X1003" s="3" t="s">
        <v>5124</v>
      </c>
    </row>
    <row r="1004" spans="1:24" x14ac:dyDescent="0.3">
      <c r="A1004" s="5">
        <v>998</v>
      </c>
      <c r="B1004" s="5" t="str">
        <f>"1754615"</f>
        <v>1754615</v>
      </c>
      <c r="C1004" s="5" t="str">
        <f>"55"</f>
        <v>55</v>
      </c>
      <c r="D1004" s="5" t="s">
        <v>5125</v>
      </c>
      <c r="E1004" s="5">
        <v>20101759416</v>
      </c>
      <c r="F1004" s="5" t="s">
        <v>5126</v>
      </c>
      <c r="G1004" s="5" t="s">
        <v>5127</v>
      </c>
      <c r="H1004" s="5" t="s">
        <v>28</v>
      </c>
      <c r="I1004" s="5" t="s">
        <v>28</v>
      </c>
      <c r="J1004" s="5" t="s">
        <v>545</v>
      </c>
      <c r="K1004" s="5" t="s">
        <v>329</v>
      </c>
      <c r="L1004" s="5"/>
      <c r="M1004" s="5"/>
      <c r="N1004" s="5"/>
      <c r="O1004" s="5"/>
      <c r="P1004" s="5"/>
      <c r="Q1004" s="5"/>
      <c r="R1004" s="5"/>
      <c r="S1004" s="5"/>
      <c r="T1004" s="5"/>
      <c r="U1004" s="5">
        <v>10000</v>
      </c>
      <c r="V1004" s="6">
        <v>39801</v>
      </c>
      <c r="W1004" s="5" t="s">
        <v>31</v>
      </c>
      <c r="X1004" s="5" t="s">
        <v>5128</v>
      </c>
    </row>
    <row r="1005" spans="1:24" x14ac:dyDescent="0.3">
      <c r="A1005" s="3">
        <v>999</v>
      </c>
      <c r="B1005" s="3" t="str">
        <f>"1739081"</f>
        <v>1739081</v>
      </c>
      <c r="C1005" s="3" t="str">
        <f>"18641"</f>
        <v>18641</v>
      </c>
      <c r="D1005" s="3" t="s">
        <v>5129</v>
      </c>
      <c r="E1005" s="3">
        <v>20113239795</v>
      </c>
      <c r="F1005" s="3" t="s">
        <v>5130</v>
      </c>
      <c r="G1005" s="3" t="s">
        <v>5131</v>
      </c>
      <c r="H1005" s="3" t="s">
        <v>28</v>
      </c>
      <c r="I1005" s="3" t="s">
        <v>28</v>
      </c>
      <c r="J1005" s="3" t="s">
        <v>409</v>
      </c>
      <c r="K1005" s="3" t="s">
        <v>323</v>
      </c>
      <c r="L1005" s="3"/>
      <c r="M1005" s="3"/>
      <c r="N1005" s="3"/>
      <c r="O1005" s="3"/>
      <c r="P1005" s="3"/>
      <c r="Q1005" s="3"/>
      <c r="R1005" s="3"/>
      <c r="S1005" s="3"/>
      <c r="T1005" s="3"/>
      <c r="U1005" s="3">
        <v>4000</v>
      </c>
      <c r="V1005" s="4">
        <v>39415</v>
      </c>
      <c r="W1005" s="3" t="s">
        <v>31</v>
      </c>
      <c r="X1005" s="3" t="s">
        <v>5132</v>
      </c>
    </row>
    <row r="1006" spans="1:24" ht="27.95" x14ac:dyDescent="0.3">
      <c r="A1006" s="5">
        <v>1000</v>
      </c>
      <c r="B1006" s="5" t="str">
        <f>"1599994"</f>
        <v>1599994</v>
      </c>
      <c r="C1006" s="5" t="str">
        <f>"42784"</f>
        <v>42784</v>
      </c>
      <c r="D1006" s="5" t="s">
        <v>5133</v>
      </c>
      <c r="E1006" s="5">
        <v>20145915164</v>
      </c>
      <c r="F1006" s="5" t="s">
        <v>5134</v>
      </c>
      <c r="G1006" s="5" t="s">
        <v>5135</v>
      </c>
      <c r="H1006" s="5" t="s">
        <v>28</v>
      </c>
      <c r="I1006" s="5" t="s">
        <v>28</v>
      </c>
      <c r="J1006" s="5" t="s">
        <v>28</v>
      </c>
      <c r="K1006" s="5" t="s">
        <v>5136</v>
      </c>
      <c r="L1006" s="5"/>
      <c r="M1006" s="5"/>
      <c r="N1006" s="5"/>
      <c r="O1006" s="5"/>
      <c r="P1006" s="5"/>
      <c r="Q1006" s="5"/>
      <c r="R1006" s="5"/>
      <c r="S1006" s="5"/>
      <c r="T1006" s="5"/>
      <c r="U1006" s="5">
        <v>2083</v>
      </c>
      <c r="V1006" s="6">
        <v>38824</v>
      </c>
      <c r="W1006" s="5" t="s">
        <v>31</v>
      </c>
      <c r="X1006" s="5" t="s">
        <v>5137</v>
      </c>
    </row>
    <row r="1007" spans="1:24" ht="27.95" x14ac:dyDescent="0.3">
      <c r="A1007" s="3">
        <v>1001</v>
      </c>
      <c r="B1007" s="3" t="str">
        <f>"201200007104"</f>
        <v>201200007104</v>
      </c>
      <c r="C1007" s="3" t="str">
        <f>"1020"</f>
        <v>1020</v>
      </c>
      <c r="D1007" s="3" t="s">
        <v>5138</v>
      </c>
      <c r="E1007" s="3">
        <v>20122478930</v>
      </c>
      <c r="F1007" s="3" t="s">
        <v>5139</v>
      </c>
      <c r="G1007" s="3" t="s">
        <v>5140</v>
      </c>
      <c r="H1007" s="3" t="s">
        <v>28</v>
      </c>
      <c r="I1007" s="3" t="s">
        <v>72</v>
      </c>
      <c r="J1007" s="3" t="s">
        <v>2418</v>
      </c>
      <c r="K1007" s="3" t="s">
        <v>4545</v>
      </c>
      <c r="L1007" s="3" t="s">
        <v>2180</v>
      </c>
      <c r="M1007" s="3"/>
      <c r="N1007" s="3"/>
      <c r="O1007" s="3"/>
      <c r="P1007" s="3"/>
      <c r="Q1007" s="3"/>
      <c r="R1007" s="3"/>
      <c r="S1007" s="3"/>
      <c r="T1007" s="3"/>
      <c r="U1007" s="3">
        <v>16000</v>
      </c>
      <c r="V1007" s="4">
        <v>40925</v>
      </c>
      <c r="W1007" s="3" t="s">
        <v>31</v>
      </c>
      <c r="X1007" s="3" t="s">
        <v>5141</v>
      </c>
    </row>
    <row r="1008" spans="1:24" ht="27.95" x14ac:dyDescent="0.3">
      <c r="A1008" s="5">
        <v>1002</v>
      </c>
      <c r="B1008" s="5" t="str">
        <f>"1120503"</f>
        <v>1120503</v>
      </c>
      <c r="C1008" s="5" t="str">
        <f>"830"</f>
        <v>830</v>
      </c>
      <c r="D1008" s="5" t="s">
        <v>5142</v>
      </c>
      <c r="E1008" s="5">
        <v>20100227895</v>
      </c>
      <c r="F1008" s="5" t="s">
        <v>5143</v>
      </c>
      <c r="G1008" s="5" t="s">
        <v>5144</v>
      </c>
      <c r="H1008" s="5" t="s">
        <v>51</v>
      </c>
      <c r="I1008" s="5" t="s">
        <v>51</v>
      </c>
      <c r="J1008" s="5" t="s">
        <v>5045</v>
      </c>
      <c r="K1008" s="5" t="s">
        <v>323</v>
      </c>
      <c r="L1008" s="5"/>
      <c r="M1008" s="5"/>
      <c r="N1008" s="5"/>
      <c r="O1008" s="5"/>
      <c r="P1008" s="5"/>
      <c r="Q1008" s="5"/>
      <c r="R1008" s="5"/>
      <c r="S1008" s="5"/>
      <c r="T1008" s="5"/>
      <c r="U1008" s="5">
        <v>4000</v>
      </c>
      <c r="V1008" s="6">
        <v>36796</v>
      </c>
      <c r="W1008" s="5" t="s">
        <v>31</v>
      </c>
      <c r="X1008" s="5" t="s">
        <v>5145</v>
      </c>
    </row>
    <row r="1009" spans="1:24" x14ac:dyDescent="0.3">
      <c r="A1009" s="3">
        <v>1003</v>
      </c>
      <c r="B1009" s="3" t="str">
        <f>"202000060100"</f>
        <v>202000060100</v>
      </c>
      <c r="C1009" s="3" t="str">
        <f>"96091"</f>
        <v>96091</v>
      </c>
      <c r="D1009" s="3" t="s">
        <v>5146</v>
      </c>
      <c r="E1009" s="3">
        <v>20305875539</v>
      </c>
      <c r="F1009" s="3" t="s">
        <v>5147</v>
      </c>
      <c r="G1009" s="3" t="s">
        <v>5148</v>
      </c>
      <c r="H1009" s="3" t="s">
        <v>80</v>
      </c>
      <c r="I1009" s="3" t="s">
        <v>309</v>
      </c>
      <c r="J1009" s="3" t="s">
        <v>5149</v>
      </c>
      <c r="K1009" s="3" t="s">
        <v>2580</v>
      </c>
      <c r="L1009" s="3" t="s">
        <v>2580</v>
      </c>
      <c r="M1009" s="3"/>
      <c r="N1009" s="3"/>
      <c r="O1009" s="3"/>
      <c r="P1009" s="3"/>
      <c r="Q1009" s="3"/>
      <c r="R1009" s="3"/>
      <c r="S1009" s="3"/>
      <c r="T1009" s="3"/>
      <c r="U1009" s="3">
        <v>42000</v>
      </c>
      <c r="V1009" s="4">
        <v>43995</v>
      </c>
      <c r="W1009" s="3" t="s">
        <v>31</v>
      </c>
      <c r="X1009" s="3" t="s">
        <v>5150</v>
      </c>
    </row>
    <row r="1010" spans="1:24" x14ac:dyDescent="0.3">
      <c r="A1010" s="5">
        <v>1004</v>
      </c>
      <c r="B1010" s="5" t="str">
        <f>"1665217"</f>
        <v>1665217</v>
      </c>
      <c r="C1010" s="5" t="str">
        <f>"31930"</f>
        <v>31930</v>
      </c>
      <c r="D1010" s="5" t="s">
        <v>5151</v>
      </c>
      <c r="E1010" s="5">
        <v>20100095450</v>
      </c>
      <c r="F1010" s="5" t="s">
        <v>5152</v>
      </c>
      <c r="G1010" s="5" t="s">
        <v>5153</v>
      </c>
      <c r="H1010" s="5" t="s">
        <v>28</v>
      </c>
      <c r="I1010" s="5" t="s">
        <v>28</v>
      </c>
      <c r="J1010" s="5" t="s">
        <v>91</v>
      </c>
      <c r="K1010" s="5" t="s">
        <v>74</v>
      </c>
      <c r="L1010" s="5" t="s">
        <v>421</v>
      </c>
      <c r="M1010" s="5"/>
      <c r="N1010" s="5"/>
      <c r="O1010" s="5"/>
      <c r="P1010" s="5"/>
      <c r="Q1010" s="5"/>
      <c r="R1010" s="5"/>
      <c r="S1010" s="5"/>
      <c r="T1010" s="5"/>
      <c r="U1010" s="5">
        <v>9000</v>
      </c>
      <c r="V1010" s="6">
        <v>39114</v>
      </c>
      <c r="W1010" s="5" t="s">
        <v>31</v>
      </c>
      <c r="X1010" s="5" t="s">
        <v>5154</v>
      </c>
    </row>
    <row r="1011" spans="1:24" x14ac:dyDescent="0.3">
      <c r="A1011" s="3">
        <v>1005</v>
      </c>
      <c r="B1011" s="3" t="str">
        <f>"1931523"</f>
        <v>1931523</v>
      </c>
      <c r="C1011" s="3" t="str">
        <f>"84133"</f>
        <v>84133</v>
      </c>
      <c r="D1011" s="3" t="s">
        <v>5155</v>
      </c>
      <c r="E1011" s="3">
        <v>20297543653</v>
      </c>
      <c r="F1011" s="3" t="s">
        <v>884</v>
      </c>
      <c r="G1011" s="3" t="s">
        <v>5156</v>
      </c>
      <c r="H1011" s="3" t="s">
        <v>115</v>
      </c>
      <c r="I1011" s="3" t="s">
        <v>115</v>
      </c>
      <c r="J1011" s="3" t="s">
        <v>159</v>
      </c>
      <c r="K1011" s="3" t="s">
        <v>5157</v>
      </c>
      <c r="L1011" s="3"/>
      <c r="M1011" s="3"/>
      <c r="N1011" s="3"/>
      <c r="O1011" s="3"/>
      <c r="P1011" s="3"/>
      <c r="Q1011" s="3"/>
      <c r="R1011" s="3"/>
      <c r="S1011" s="3"/>
      <c r="T1011" s="3"/>
      <c r="U1011" s="3">
        <v>10000</v>
      </c>
      <c r="V1011" s="4">
        <v>40108</v>
      </c>
      <c r="W1011" s="3" t="s">
        <v>31</v>
      </c>
      <c r="X1011" s="3" t="s">
        <v>1854</v>
      </c>
    </row>
    <row r="1012" spans="1:24" x14ac:dyDescent="0.3">
      <c r="A1012" s="5">
        <v>1006</v>
      </c>
      <c r="B1012" s="5" t="str">
        <f>"1536266"</f>
        <v>1536266</v>
      </c>
      <c r="C1012" s="5" t="str">
        <f>"15688"</f>
        <v>15688</v>
      </c>
      <c r="D1012" s="5" t="s">
        <v>5158</v>
      </c>
      <c r="E1012" s="5">
        <v>20417926632</v>
      </c>
      <c r="F1012" s="5" t="s">
        <v>5159</v>
      </c>
      <c r="G1012" s="5" t="s">
        <v>5160</v>
      </c>
      <c r="H1012" s="5" t="s">
        <v>28</v>
      </c>
      <c r="I1012" s="5" t="s">
        <v>28</v>
      </c>
      <c r="J1012" s="5" t="s">
        <v>91</v>
      </c>
      <c r="K1012" s="5" t="s">
        <v>229</v>
      </c>
      <c r="L1012" s="5"/>
      <c r="M1012" s="5"/>
      <c r="N1012" s="5"/>
      <c r="O1012" s="5"/>
      <c r="P1012" s="5"/>
      <c r="Q1012" s="5"/>
      <c r="R1012" s="5"/>
      <c r="S1012" s="5"/>
      <c r="T1012" s="5"/>
      <c r="U1012" s="5">
        <v>2000</v>
      </c>
      <c r="V1012" s="6">
        <v>38511</v>
      </c>
      <c r="W1012" s="5" t="s">
        <v>31</v>
      </c>
      <c r="X1012" s="5" t="s">
        <v>5161</v>
      </c>
    </row>
    <row r="1013" spans="1:24" ht="27.95" x14ac:dyDescent="0.3">
      <c r="A1013" s="3">
        <v>1007</v>
      </c>
      <c r="B1013" s="3" t="str">
        <f>"1931527"</f>
        <v>1931527</v>
      </c>
      <c r="C1013" s="3" t="str">
        <f>"232"</f>
        <v>232</v>
      </c>
      <c r="D1013" s="3">
        <v>970654</v>
      </c>
      <c r="E1013" s="3">
        <v>20100177421</v>
      </c>
      <c r="F1013" s="3" t="s">
        <v>5162</v>
      </c>
      <c r="G1013" s="3" t="s">
        <v>5163</v>
      </c>
      <c r="H1013" s="3" t="s">
        <v>566</v>
      </c>
      <c r="I1013" s="3" t="s">
        <v>1724</v>
      </c>
      <c r="J1013" s="3" t="s">
        <v>5164</v>
      </c>
      <c r="K1013" s="3" t="s">
        <v>5165</v>
      </c>
      <c r="L1013" s="3" t="s">
        <v>5166</v>
      </c>
      <c r="M1013" s="3" t="s">
        <v>5167</v>
      </c>
      <c r="N1013" s="3" t="s">
        <v>5168</v>
      </c>
      <c r="O1013" s="3" t="s">
        <v>5169</v>
      </c>
      <c r="P1013" s="3" t="s">
        <v>5165</v>
      </c>
      <c r="Q1013" s="3" t="s">
        <v>5170</v>
      </c>
      <c r="R1013" s="3" t="s">
        <v>5165</v>
      </c>
      <c r="S1013" s="3" t="s">
        <v>5165</v>
      </c>
      <c r="T1013" s="3" t="s">
        <v>5165</v>
      </c>
      <c r="U1013" s="3">
        <v>134176</v>
      </c>
      <c r="V1013" s="4">
        <v>40120</v>
      </c>
      <c r="W1013" s="3" t="s">
        <v>31</v>
      </c>
      <c r="X1013" s="3" t="s">
        <v>5171</v>
      </c>
    </row>
    <row r="1014" spans="1:24" ht="27.95" x14ac:dyDescent="0.3">
      <c r="A1014" s="5">
        <v>1008</v>
      </c>
      <c r="B1014" s="5" t="str">
        <f>"201300099023"</f>
        <v>201300099023</v>
      </c>
      <c r="C1014" s="5" t="str">
        <f>"89079"</f>
        <v>89079</v>
      </c>
      <c r="D1014" s="5" t="s">
        <v>5172</v>
      </c>
      <c r="E1014" s="5">
        <v>20522634418</v>
      </c>
      <c r="F1014" s="5" t="s">
        <v>5173</v>
      </c>
      <c r="G1014" s="5" t="s">
        <v>5174</v>
      </c>
      <c r="H1014" s="5" t="s">
        <v>28</v>
      </c>
      <c r="I1014" s="5" t="s">
        <v>28</v>
      </c>
      <c r="J1014" s="5" t="s">
        <v>1432</v>
      </c>
      <c r="K1014" s="5" t="s">
        <v>2309</v>
      </c>
      <c r="L1014" s="5"/>
      <c r="M1014" s="5"/>
      <c r="N1014" s="5"/>
      <c r="O1014" s="5"/>
      <c r="P1014" s="5"/>
      <c r="Q1014" s="5"/>
      <c r="R1014" s="5"/>
      <c r="S1014" s="5"/>
      <c r="T1014" s="5"/>
      <c r="U1014" s="5">
        <v>2200</v>
      </c>
      <c r="V1014" s="6">
        <v>41439</v>
      </c>
      <c r="W1014" s="5" t="s">
        <v>31</v>
      </c>
      <c r="X1014" s="5" t="s">
        <v>5175</v>
      </c>
    </row>
    <row r="1015" spans="1:24" x14ac:dyDescent="0.3">
      <c r="A1015" s="3">
        <v>1009</v>
      </c>
      <c r="B1015" s="3" t="str">
        <f>"1108296"</f>
        <v>1108296</v>
      </c>
      <c r="C1015" s="3" t="str">
        <f>"30"</f>
        <v>30</v>
      </c>
      <c r="D1015" s="3">
        <v>952312</v>
      </c>
      <c r="E1015" s="3">
        <v>20100174325</v>
      </c>
      <c r="F1015" s="3" t="s">
        <v>5176</v>
      </c>
      <c r="G1015" s="3" t="s">
        <v>5177</v>
      </c>
      <c r="H1015" s="3" t="s">
        <v>80</v>
      </c>
      <c r="I1015" s="3" t="s">
        <v>80</v>
      </c>
      <c r="J1015" s="3" t="s">
        <v>80</v>
      </c>
      <c r="K1015" s="3" t="s">
        <v>5178</v>
      </c>
      <c r="L1015" s="3"/>
      <c r="M1015" s="3"/>
      <c r="N1015" s="3"/>
      <c r="O1015" s="3"/>
      <c r="P1015" s="3"/>
      <c r="Q1015" s="3"/>
      <c r="R1015" s="3"/>
      <c r="S1015" s="3"/>
      <c r="T1015" s="3"/>
      <c r="U1015" s="3">
        <v>5280</v>
      </c>
      <c r="V1015" s="4">
        <v>35487</v>
      </c>
      <c r="W1015" s="3" t="s">
        <v>31</v>
      </c>
      <c r="X1015" s="3" t="s">
        <v>5179</v>
      </c>
    </row>
    <row r="1016" spans="1:24" ht="41.95" x14ac:dyDescent="0.3">
      <c r="A1016" s="5">
        <v>1010</v>
      </c>
      <c r="B1016" s="5" t="str">
        <f>"1629313"</f>
        <v>1629313</v>
      </c>
      <c r="C1016" s="5" t="str">
        <f>"18511"</f>
        <v>18511</v>
      </c>
      <c r="D1016" s="5" t="s">
        <v>5180</v>
      </c>
      <c r="E1016" s="5">
        <v>20131589086</v>
      </c>
      <c r="F1016" s="5" t="s">
        <v>418</v>
      </c>
      <c r="G1016" s="5" t="s">
        <v>5181</v>
      </c>
      <c r="H1016" s="5" t="s">
        <v>36</v>
      </c>
      <c r="I1016" s="5" t="s">
        <v>234</v>
      </c>
      <c r="J1016" s="5" t="s">
        <v>234</v>
      </c>
      <c r="K1016" s="5" t="s">
        <v>5182</v>
      </c>
      <c r="L1016" s="5" t="s">
        <v>1936</v>
      </c>
      <c r="M1016" s="5"/>
      <c r="N1016" s="5"/>
      <c r="O1016" s="5"/>
      <c r="P1016" s="5"/>
      <c r="Q1016" s="5"/>
      <c r="R1016" s="5"/>
      <c r="S1016" s="5"/>
      <c r="T1016" s="5"/>
      <c r="U1016" s="5">
        <v>4600</v>
      </c>
      <c r="V1016" s="6">
        <v>38944</v>
      </c>
      <c r="W1016" s="5" t="s">
        <v>31</v>
      </c>
      <c r="X1016" s="5" t="s">
        <v>5183</v>
      </c>
    </row>
    <row r="1017" spans="1:24" x14ac:dyDescent="0.3">
      <c r="A1017" s="3">
        <v>1011</v>
      </c>
      <c r="B1017" s="3" t="str">
        <f>"1928281"</f>
        <v>1928281</v>
      </c>
      <c r="C1017" s="3" t="str">
        <f>"1442"</f>
        <v>1442</v>
      </c>
      <c r="D1017" s="3" t="s">
        <v>5184</v>
      </c>
      <c r="E1017" s="3">
        <v>20278966004</v>
      </c>
      <c r="F1017" s="3" t="s">
        <v>5185</v>
      </c>
      <c r="G1017" s="3" t="s">
        <v>5186</v>
      </c>
      <c r="H1017" s="3" t="s">
        <v>28</v>
      </c>
      <c r="I1017" s="3" t="s">
        <v>667</v>
      </c>
      <c r="J1017" s="3" t="s">
        <v>1340</v>
      </c>
      <c r="K1017" s="3" t="s">
        <v>5187</v>
      </c>
      <c r="L1017" s="3" t="s">
        <v>2848</v>
      </c>
      <c r="M1017" s="3"/>
      <c r="N1017" s="3"/>
      <c r="O1017" s="3"/>
      <c r="P1017" s="3"/>
      <c r="Q1017" s="3"/>
      <c r="R1017" s="3"/>
      <c r="S1017" s="3"/>
      <c r="T1017" s="3"/>
      <c r="U1017" s="3">
        <v>80000</v>
      </c>
      <c r="V1017" s="4">
        <v>40105</v>
      </c>
      <c r="W1017" s="3" t="s">
        <v>31</v>
      </c>
      <c r="X1017" s="3" t="s">
        <v>5188</v>
      </c>
    </row>
    <row r="1018" spans="1:24" ht="41.95" x14ac:dyDescent="0.3">
      <c r="A1018" s="5">
        <v>1012</v>
      </c>
      <c r="B1018" s="5" t="str">
        <f>"1199400"</f>
        <v>1199400</v>
      </c>
      <c r="C1018" s="5" t="str">
        <f>"14647"</f>
        <v>14647</v>
      </c>
      <c r="D1018" s="5">
        <v>1203415</v>
      </c>
      <c r="E1018" s="5">
        <v>20145915164</v>
      </c>
      <c r="F1018" s="5" t="s">
        <v>5189</v>
      </c>
      <c r="G1018" s="5" t="s">
        <v>5190</v>
      </c>
      <c r="H1018" s="5" t="s">
        <v>28</v>
      </c>
      <c r="I1018" s="5" t="s">
        <v>28</v>
      </c>
      <c r="J1018" s="5" t="s">
        <v>1295</v>
      </c>
      <c r="K1018" s="5" t="s">
        <v>323</v>
      </c>
      <c r="L1018" s="5"/>
      <c r="M1018" s="5"/>
      <c r="N1018" s="5"/>
      <c r="O1018" s="5"/>
      <c r="P1018" s="5"/>
      <c r="Q1018" s="5"/>
      <c r="R1018" s="5"/>
      <c r="S1018" s="5"/>
      <c r="T1018" s="5"/>
      <c r="U1018" s="5">
        <v>4000</v>
      </c>
      <c r="V1018" s="6">
        <v>36010</v>
      </c>
      <c r="W1018" s="5" t="s">
        <v>31</v>
      </c>
      <c r="X1018" s="5" t="s">
        <v>5137</v>
      </c>
    </row>
    <row r="1019" spans="1:24" ht="27.95" x14ac:dyDescent="0.3">
      <c r="A1019" s="3">
        <v>1013</v>
      </c>
      <c r="B1019" s="3" t="str">
        <f>"1872251"</f>
        <v>1872251</v>
      </c>
      <c r="C1019" s="3" t="str">
        <f>"62645"</f>
        <v>62645</v>
      </c>
      <c r="D1019" s="3" t="s">
        <v>5191</v>
      </c>
      <c r="E1019" s="3">
        <v>20100011701</v>
      </c>
      <c r="F1019" s="3" t="s">
        <v>5192</v>
      </c>
      <c r="G1019" s="3" t="s">
        <v>5193</v>
      </c>
      <c r="H1019" s="3" t="s">
        <v>28</v>
      </c>
      <c r="I1019" s="3" t="s">
        <v>28</v>
      </c>
      <c r="J1019" s="3" t="s">
        <v>180</v>
      </c>
      <c r="K1019" s="3" t="s">
        <v>5194</v>
      </c>
      <c r="L1019" s="3"/>
      <c r="M1019" s="3"/>
      <c r="N1019" s="3"/>
      <c r="O1019" s="3"/>
      <c r="P1019" s="3"/>
      <c r="Q1019" s="3"/>
      <c r="R1019" s="3"/>
      <c r="S1019" s="3"/>
      <c r="T1019" s="3"/>
      <c r="U1019" s="3">
        <v>30700</v>
      </c>
      <c r="V1019" s="4">
        <v>39923</v>
      </c>
      <c r="W1019" s="3" t="s">
        <v>31</v>
      </c>
      <c r="X1019" s="3" t="s">
        <v>4015</v>
      </c>
    </row>
    <row r="1020" spans="1:24" ht="27.95" x14ac:dyDescent="0.3">
      <c r="A1020" s="5">
        <v>1014</v>
      </c>
      <c r="B1020" s="5" t="str">
        <f>"1650292"</f>
        <v>1650292</v>
      </c>
      <c r="C1020" s="5" t="str">
        <f>"44408"</f>
        <v>44408</v>
      </c>
      <c r="D1020" s="5" t="s">
        <v>5195</v>
      </c>
      <c r="E1020" s="5">
        <v>20139889437</v>
      </c>
      <c r="F1020" s="5" t="s">
        <v>5196</v>
      </c>
      <c r="G1020" s="5" t="s">
        <v>5197</v>
      </c>
      <c r="H1020" s="5" t="s">
        <v>28</v>
      </c>
      <c r="I1020" s="5" t="s">
        <v>72</v>
      </c>
      <c r="J1020" s="5" t="s">
        <v>322</v>
      </c>
      <c r="K1020" s="5" t="s">
        <v>5198</v>
      </c>
      <c r="L1020" s="5"/>
      <c r="M1020" s="5"/>
      <c r="N1020" s="5"/>
      <c r="O1020" s="5"/>
      <c r="P1020" s="5"/>
      <c r="Q1020" s="5"/>
      <c r="R1020" s="5"/>
      <c r="S1020" s="5"/>
      <c r="T1020" s="5"/>
      <c r="U1020" s="5">
        <v>4994</v>
      </c>
      <c r="V1020" s="6">
        <v>39055</v>
      </c>
      <c r="W1020" s="5" t="s">
        <v>31</v>
      </c>
      <c r="X1020" s="5" t="s">
        <v>5199</v>
      </c>
    </row>
    <row r="1021" spans="1:24" x14ac:dyDescent="0.3">
      <c r="A1021" s="3">
        <v>1015</v>
      </c>
      <c r="B1021" s="3" t="str">
        <f>"1449871"</f>
        <v>1449871</v>
      </c>
      <c r="C1021" s="3" t="str">
        <f>"753"</f>
        <v>753</v>
      </c>
      <c r="D1021" s="3" t="s">
        <v>5200</v>
      </c>
      <c r="E1021" s="3">
        <v>20104392564</v>
      </c>
      <c r="F1021" s="3" t="s">
        <v>5201</v>
      </c>
      <c r="G1021" s="3" t="s">
        <v>5202</v>
      </c>
      <c r="H1021" s="3" t="s">
        <v>135</v>
      </c>
      <c r="I1021" s="3" t="s">
        <v>402</v>
      </c>
      <c r="J1021" s="3" t="s">
        <v>5203</v>
      </c>
      <c r="K1021" s="3" t="s">
        <v>2121</v>
      </c>
      <c r="L1021" s="3"/>
      <c r="M1021" s="3"/>
      <c r="N1021" s="3"/>
      <c r="O1021" s="3"/>
      <c r="P1021" s="3"/>
      <c r="Q1021" s="3"/>
      <c r="R1021" s="3"/>
      <c r="S1021" s="3"/>
      <c r="T1021" s="3"/>
      <c r="U1021" s="3">
        <v>8000</v>
      </c>
      <c r="V1021" s="4">
        <v>37967</v>
      </c>
      <c r="W1021" s="3" t="s">
        <v>31</v>
      </c>
      <c r="X1021" s="3" t="s">
        <v>5204</v>
      </c>
    </row>
    <row r="1022" spans="1:24" ht="41.95" x14ac:dyDescent="0.3">
      <c r="A1022" s="5">
        <v>1016</v>
      </c>
      <c r="B1022" s="5" t="str">
        <f>"202000022404"</f>
        <v>202000022404</v>
      </c>
      <c r="C1022" s="5" t="str">
        <f>"149158"</f>
        <v>149158</v>
      </c>
      <c r="D1022" s="5" t="s">
        <v>5205</v>
      </c>
      <c r="E1022" s="5">
        <v>20528134760</v>
      </c>
      <c r="F1022" s="5" t="s">
        <v>5206</v>
      </c>
      <c r="G1022" s="5" t="s">
        <v>5207</v>
      </c>
      <c r="H1022" s="5" t="s">
        <v>58</v>
      </c>
      <c r="I1022" s="5" t="s">
        <v>4692</v>
      </c>
      <c r="J1022" s="5" t="s">
        <v>5208</v>
      </c>
      <c r="K1022" s="5" t="s">
        <v>535</v>
      </c>
      <c r="L1022" s="5"/>
      <c r="M1022" s="5"/>
      <c r="N1022" s="5"/>
      <c r="O1022" s="5"/>
      <c r="P1022" s="5"/>
      <c r="Q1022" s="5"/>
      <c r="R1022" s="5"/>
      <c r="S1022" s="5"/>
      <c r="T1022" s="5"/>
      <c r="U1022" s="5">
        <v>500</v>
      </c>
      <c r="V1022" s="6">
        <v>43873</v>
      </c>
      <c r="W1022" s="5" t="s">
        <v>31</v>
      </c>
      <c r="X1022" s="5" t="s">
        <v>5209</v>
      </c>
    </row>
    <row r="1023" spans="1:24" ht="27.95" x14ac:dyDescent="0.3">
      <c r="A1023" s="3">
        <v>1017</v>
      </c>
      <c r="B1023" s="3" t="str">
        <f>"201700035804"</f>
        <v>201700035804</v>
      </c>
      <c r="C1023" s="3" t="str">
        <f>"127178"</f>
        <v>127178</v>
      </c>
      <c r="D1023" s="3" t="s">
        <v>5210</v>
      </c>
      <c r="E1023" s="3">
        <v>20480582561</v>
      </c>
      <c r="F1023" s="3" t="s">
        <v>5211</v>
      </c>
      <c r="G1023" s="3" t="s">
        <v>5212</v>
      </c>
      <c r="H1023" s="3" t="s">
        <v>264</v>
      </c>
      <c r="I1023" s="3" t="s">
        <v>264</v>
      </c>
      <c r="J1023" s="3" t="s">
        <v>264</v>
      </c>
      <c r="K1023" s="3" t="s">
        <v>168</v>
      </c>
      <c r="L1023" s="3"/>
      <c r="M1023" s="3"/>
      <c r="N1023" s="3"/>
      <c r="O1023" s="3"/>
      <c r="P1023" s="3"/>
      <c r="Q1023" s="3"/>
      <c r="R1023" s="3"/>
      <c r="S1023" s="3"/>
      <c r="T1023" s="3"/>
      <c r="U1023" s="3">
        <v>10000</v>
      </c>
      <c r="V1023" s="4">
        <v>42874</v>
      </c>
      <c r="W1023" s="3" t="s">
        <v>31</v>
      </c>
      <c r="X1023" s="3" t="s">
        <v>5213</v>
      </c>
    </row>
    <row r="1024" spans="1:24" ht="41.95" x14ac:dyDescent="0.3">
      <c r="A1024" s="5">
        <v>1018</v>
      </c>
      <c r="B1024" s="5" t="str">
        <f>"201800177044"</f>
        <v>201800177044</v>
      </c>
      <c r="C1024" s="5" t="str">
        <f>"132168"</f>
        <v>132168</v>
      </c>
      <c r="D1024" s="5" t="s">
        <v>5214</v>
      </c>
      <c r="E1024" s="5">
        <v>20602038417</v>
      </c>
      <c r="F1024" s="5" t="s">
        <v>5215</v>
      </c>
      <c r="G1024" s="5" t="s">
        <v>5216</v>
      </c>
      <c r="H1024" s="5" t="s">
        <v>28</v>
      </c>
      <c r="I1024" s="5" t="s">
        <v>28</v>
      </c>
      <c r="J1024" s="5" t="s">
        <v>4912</v>
      </c>
      <c r="K1024" s="5" t="s">
        <v>181</v>
      </c>
      <c r="L1024" s="5"/>
      <c r="M1024" s="5"/>
      <c r="N1024" s="5"/>
      <c r="O1024" s="5"/>
      <c r="P1024" s="5"/>
      <c r="Q1024" s="5"/>
      <c r="R1024" s="5"/>
      <c r="S1024" s="5"/>
      <c r="T1024" s="5"/>
      <c r="U1024" s="5">
        <v>5000</v>
      </c>
      <c r="V1024" s="6">
        <v>43398</v>
      </c>
      <c r="W1024" s="5" t="s">
        <v>31</v>
      </c>
      <c r="X1024" s="5" t="s">
        <v>5217</v>
      </c>
    </row>
    <row r="1025" spans="1:24" ht="27.95" x14ac:dyDescent="0.3">
      <c r="A1025" s="3">
        <v>1019</v>
      </c>
      <c r="B1025" s="3" t="str">
        <f>"1119663"</f>
        <v>1119663</v>
      </c>
      <c r="C1025" s="3" t="str">
        <f>"1505"</f>
        <v>1505</v>
      </c>
      <c r="D1025" s="3" t="s">
        <v>5218</v>
      </c>
      <c r="E1025" s="3">
        <v>20106156400</v>
      </c>
      <c r="F1025" s="3" t="s">
        <v>5219</v>
      </c>
      <c r="G1025" s="3" t="s">
        <v>5220</v>
      </c>
      <c r="H1025" s="3" t="s">
        <v>2002</v>
      </c>
      <c r="I1025" s="3" t="s">
        <v>4574</v>
      </c>
      <c r="J1025" s="3" t="s">
        <v>5221</v>
      </c>
      <c r="K1025" s="3" t="s">
        <v>345</v>
      </c>
      <c r="L1025" s="3" t="s">
        <v>5222</v>
      </c>
      <c r="M1025" s="3"/>
      <c r="N1025" s="3"/>
      <c r="O1025" s="3"/>
      <c r="P1025" s="3"/>
      <c r="Q1025" s="3"/>
      <c r="R1025" s="3"/>
      <c r="S1025" s="3"/>
      <c r="T1025" s="3"/>
      <c r="U1025" s="3">
        <v>1575</v>
      </c>
      <c r="V1025" s="4">
        <v>36801</v>
      </c>
      <c r="W1025" s="3" t="s">
        <v>31</v>
      </c>
      <c r="X1025" s="3" t="s">
        <v>4577</v>
      </c>
    </row>
    <row r="1026" spans="1:24" ht="27.95" x14ac:dyDescent="0.3">
      <c r="A1026" s="5">
        <v>1020</v>
      </c>
      <c r="B1026" s="5" t="str">
        <f>"1364969"</f>
        <v>1364969</v>
      </c>
      <c r="C1026" s="5" t="str">
        <f>"33658"</f>
        <v>33658</v>
      </c>
      <c r="D1026" s="5" t="s">
        <v>5223</v>
      </c>
      <c r="E1026" s="5">
        <v>20375714150</v>
      </c>
      <c r="F1026" s="5" t="s">
        <v>5224</v>
      </c>
      <c r="G1026" s="5" t="s">
        <v>5225</v>
      </c>
      <c r="H1026" s="5" t="s">
        <v>28</v>
      </c>
      <c r="I1026" s="5" t="s">
        <v>28</v>
      </c>
      <c r="J1026" s="5" t="s">
        <v>172</v>
      </c>
      <c r="K1026" s="5" t="s">
        <v>46</v>
      </c>
      <c r="L1026" s="5"/>
      <c r="M1026" s="5"/>
      <c r="N1026" s="5"/>
      <c r="O1026" s="5"/>
      <c r="P1026" s="5"/>
      <c r="Q1026" s="5"/>
      <c r="R1026" s="5"/>
      <c r="S1026" s="5"/>
      <c r="T1026" s="5"/>
      <c r="U1026" s="5">
        <v>3000</v>
      </c>
      <c r="V1026" s="6">
        <v>37419</v>
      </c>
      <c r="W1026" s="5" t="s">
        <v>31</v>
      </c>
      <c r="X1026" s="5" t="s">
        <v>5226</v>
      </c>
    </row>
    <row r="1027" spans="1:24" ht="27.95" x14ac:dyDescent="0.3">
      <c r="A1027" s="3">
        <v>1021</v>
      </c>
      <c r="B1027" s="3" t="str">
        <f>"1119660"</f>
        <v>1119660</v>
      </c>
      <c r="C1027" s="3" t="str">
        <f>"1063"</f>
        <v>1063</v>
      </c>
      <c r="D1027" s="3" t="s">
        <v>5227</v>
      </c>
      <c r="E1027" s="3">
        <v>20106156400</v>
      </c>
      <c r="F1027" s="3" t="s">
        <v>5228</v>
      </c>
      <c r="G1027" s="3" t="s">
        <v>5229</v>
      </c>
      <c r="H1027" s="3" t="s">
        <v>2002</v>
      </c>
      <c r="I1027" s="3" t="s">
        <v>3595</v>
      </c>
      <c r="J1027" s="3" t="s">
        <v>5230</v>
      </c>
      <c r="K1027" s="3" t="s">
        <v>5231</v>
      </c>
      <c r="L1027" s="3"/>
      <c r="M1027" s="3"/>
      <c r="N1027" s="3"/>
      <c r="O1027" s="3"/>
      <c r="P1027" s="3"/>
      <c r="Q1027" s="3"/>
      <c r="R1027" s="3"/>
      <c r="S1027" s="3"/>
      <c r="T1027" s="3"/>
      <c r="U1027" s="3">
        <v>3060</v>
      </c>
      <c r="V1027" s="4">
        <v>36801</v>
      </c>
      <c r="W1027" s="3" t="s">
        <v>31</v>
      </c>
      <c r="X1027" s="3" t="s">
        <v>4577</v>
      </c>
    </row>
    <row r="1028" spans="1:24" ht="41.95" x14ac:dyDescent="0.3">
      <c r="A1028" s="5">
        <v>1022</v>
      </c>
      <c r="B1028" s="5" t="str">
        <f>"202000022400"</f>
        <v>202000022400</v>
      </c>
      <c r="C1028" s="5" t="str">
        <f>"149159"</f>
        <v>149159</v>
      </c>
      <c r="D1028" s="5" t="s">
        <v>5232</v>
      </c>
      <c r="E1028" s="5">
        <v>20528134760</v>
      </c>
      <c r="F1028" s="5" t="s">
        <v>5206</v>
      </c>
      <c r="G1028" s="5" t="s">
        <v>5233</v>
      </c>
      <c r="H1028" s="5" t="s">
        <v>58</v>
      </c>
      <c r="I1028" s="5" t="s">
        <v>4692</v>
      </c>
      <c r="J1028" s="5" t="s">
        <v>5208</v>
      </c>
      <c r="K1028" s="5" t="s">
        <v>535</v>
      </c>
      <c r="L1028" s="5"/>
      <c r="M1028" s="5"/>
      <c r="N1028" s="5"/>
      <c r="O1028" s="5"/>
      <c r="P1028" s="5"/>
      <c r="Q1028" s="5"/>
      <c r="R1028" s="5"/>
      <c r="S1028" s="5"/>
      <c r="T1028" s="5"/>
      <c r="U1028" s="5">
        <v>500</v>
      </c>
      <c r="V1028" s="6">
        <v>43872</v>
      </c>
      <c r="W1028" s="5" t="s">
        <v>31</v>
      </c>
      <c r="X1028" s="5" t="s">
        <v>5209</v>
      </c>
    </row>
    <row r="1029" spans="1:24" ht="27.95" x14ac:dyDescent="0.3">
      <c r="A1029" s="3">
        <v>1023</v>
      </c>
      <c r="B1029" s="3" t="str">
        <f>"1547616"</f>
        <v>1547616</v>
      </c>
      <c r="C1029" s="3" t="str">
        <f>"40837"</f>
        <v>40837</v>
      </c>
      <c r="D1029" s="3" t="s">
        <v>5234</v>
      </c>
      <c r="E1029" s="3">
        <v>20506228515</v>
      </c>
      <c r="F1029" s="3" t="s">
        <v>5235</v>
      </c>
      <c r="G1029" s="3" t="s">
        <v>5236</v>
      </c>
      <c r="H1029" s="3" t="s">
        <v>28</v>
      </c>
      <c r="I1029" s="3" t="s">
        <v>28</v>
      </c>
      <c r="J1029" s="3" t="s">
        <v>1432</v>
      </c>
      <c r="K1029" s="3" t="s">
        <v>2424</v>
      </c>
      <c r="L1029" s="3" t="s">
        <v>1260</v>
      </c>
      <c r="M1029" s="3"/>
      <c r="N1029" s="3"/>
      <c r="O1029" s="3"/>
      <c r="P1029" s="3"/>
      <c r="Q1029" s="3"/>
      <c r="R1029" s="3"/>
      <c r="S1029" s="3"/>
      <c r="T1029" s="3"/>
      <c r="U1029" s="3">
        <v>26500</v>
      </c>
      <c r="V1029" s="4">
        <v>38553</v>
      </c>
      <c r="W1029" s="3" t="s">
        <v>31</v>
      </c>
      <c r="X1029" s="3" t="s">
        <v>5237</v>
      </c>
    </row>
    <row r="1030" spans="1:24" ht="27.95" x14ac:dyDescent="0.3">
      <c r="A1030" s="5">
        <v>1024</v>
      </c>
      <c r="B1030" s="5" t="str">
        <f>"1171940"</f>
        <v>1171940</v>
      </c>
      <c r="C1030" s="5" t="str">
        <f>"1389"</f>
        <v>1389</v>
      </c>
      <c r="D1030" s="5">
        <v>1171940</v>
      </c>
      <c r="E1030" s="5">
        <v>20267967505</v>
      </c>
      <c r="F1030" s="5" t="s">
        <v>5238</v>
      </c>
      <c r="G1030" s="5" t="s">
        <v>5239</v>
      </c>
      <c r="H1030" s="5" t="s">
        <v>28</v>
      </c>
      <c r="I1030" s="5" t="s">
        <v>28</v>
      </c>
      <c r="J1030" s="5" t="s">
        <v>102</v>
      </c>
      <c r="K1030" s="5" t="s">
        <v>323</v>
      </c>
      <c r="L1030" s="5"/>
      <c r="M1030" s="5"/>
      <c r="N1030" s="5"/>
      <c r="O1030" s="5"/>
      <c r="P1030" s="5"/>
      <c r="Q1030" s="5"/>
      <c r="R1030" s="5"/>
      <c r="S1030" s="5"/>
      <c r="T1030" s="5"/>
      <c r="U1030" s="5">
        <v>4000</v>
      </c>
      <c r="V1030" s="6">
        <v>35844</v>
      </c>
      <c r="W1030" s="5" t="s">
        <v>31</v>
      </c>
      <c r="X1030" s="5" t="s">
        <v>5240</v>
      </c>
    </row>
    <row r="1031" spans="1:24" ht="55.9" x14ac:dyDescent="0.3">
      <c r="A1031" s="3">
        <v>1025</v>
      </c>
      <c r="B1031" s="3" t="str">
        <f>"201900140262"</f>
        <v>201900140262</v>
      </c>
      <c r="C1031" s="3" t="str">
        <f>"135230"</f>
        <v>135230</v>
      </c>
      <c r="D1031" s="3" t="s">
        <v>5241</v>
      </c>
      <c r="E1031" s="3">
        <v>20454158050</v>
      </c>
      <c r="F1031" s="3" t="s">
        <v>5242</v>
      </c>
      <c r="G1031" s="3" t="s">
        <v>5243</v>
      </c>
      <c r="H1031" s="3" t="s">
        <v>51</v>
      </c>
      <c r="I1031" s="3" t="s">
        <v>51</v>
      </c>
      <c r="J1031" s="3" t="s">
        <v>241</v>
      </c>
      <c r="K1031" s="3" t="s">
        <v>5244</v>
      </c>
      <c r="L1031" s="3" t="s">
        <v>5244</v>
      </c>
      <c r="M1031" s="3"/>
      <c r="N1031" s="3"/>
      <c r="O1031" s="3"/>
      <c r="P1031" s="3"/>
      <c r="Q1031" s="3"/>
      <c r="R1031" s="3"/>
      <c r="S1031" s="3"/>
      <c r="T1031" s="3"/>
      <c r="U1031" s="3">
        <v>10668</v>
      </c>
      <c r="V1031" s="4">
        <v>43707</v>
      </c>
      <c r="W1031" s="3" t="s">
        <v>31</v>
      </c>
      <c r="X1031" s="3" t="s">
        <v>5245</v>
      </c>
    </row>
    <row r="1032" spans="1:24" ht="27.95" x14ac:dyDescent="0.3">
      <c r="A1032" s="5">
        <v>1026</v>
      </c>
      <c r="B1032" s="5" t="str">
        <f>"1150919"</f>
        <v>1150919</v>
      </c>
      <c r="C1032" s="5" t="str">
        <f>"1307"</f>
        <v>1307</v>
      </c>
      <c r="D1032" s="5">
        <v>1035160</v>
      </c>
      <c r="E1032" s="5">
        <v>20100216699</v>
      </c>
      <c r="F1032" s="5" t="s">
        <v>5246</v>
      </c>
      <c r="G1032" s="5" t="s">
        <v>5247</v>
      </c>
      <c r="H1032" s="5" t="s">
        <v>51</v>
      </c>
      <c r="I1032" s="5" t="s">
        <v>51</v>
      </c>
      <c r="J1032" s="5" t="s">
        <v>5248</v>
      </c>
      <c r="K1032" s="5" t="s">
        <v>5249</v>
      </c>
      <c r="L1032" s="5" t="s">
        <v>5250</v>
      </c>
      <c r="M1032" s="5"/>
      <c r="N1032" s="5"/>
      <c r="O1032" s="5"/>
      <c r="P1032" s="5"/>
      <c r="Q1032" s="5"/>
      <c r="R1032" s="5"/>
      <c r="S1032" s="5"/>
      <c r="T1032" s="5"/>
      <c r="U1032" s="5">
        <v>44000</v>
      </c>
      <c r="V1032" s="6">
        <v>35716</v>
      </c>
      <c r="W1032" s="5" t="s">
        <v>31</v>
      </c>
      <c r="X1032" s="5" t="s">
        <v>5251</v>
      </c>
    </row>
    <row r="1033" spans="1:24" x14ac:dyDescent="0.3">
      <c r="A1033" s="3">
        <v>1027</v>
      </c>
      <c r="B1033" s="3" t="str">
        <f>"201800088234"</f>
        <v>201800088234</v>
      </c>
      <c r="C1033" s="3" t="str">
        <f>"136496"</f>
        <v>136496</v>
      </c>
      <c r="D1033" s="3" t="s">
        <v>5252</v>
      </c>
      <c r="E1033" s="3">
        <v>20538810682</v>
      </c>
      <c r="F1033" s="3" t="s">
        <v>5253</v>
      </c>
      <c r="G1033" s="3" t="s">
        <v>5254</v>
      </c>
      <c r="H1033" s="3" t="s">
        <v>2002</v>
      </c>
      <c r="I1033" s="3" t="s">
        <v>3873</v>
      </c>
      <c r="J1033" s="3" t="s">
        <v>5255</v>
      </c>
      <c r="K1033" s="3" t="s">
        <v>168</v>
      </c>
      <c r="L1033" s="3"/>
      <c r="M1033" s="3"/>
      <c r="N1033" s="3"/>
      <c r="O1033" s="3"/>
      <c r="P1033" s="3"/>
      <c r="Q1033" s="3"/>
      <c r="R1033" s="3"/>
      <c r="S1033" s="3"/>
      <c r="T1033" s="3"/>
      <c r="U1033" s="3">
        <v>10000</v>
      </c>
      <c r="V1033" s="4">
        <v>43256</v>
      </c>
      <c r="W1033" s="3" t="s">
        <v>31</v>
      </c>
      <c r="X1033" s="3" t="s">
        <v>5256</v>
      </c>
    </row>
    <row r="1034" spans="1:24" x14ac:dyDescent="0.3">
      <c r="A1034" s="5">
        <v>1028</v>
      </c>
      <c r="B1034" s="5" t="str">
        <f>"1119215"</f>
        <v>1119215</v>
      </c>
      <c r="C1034" s="5" t="str">
        <f>"271"</f>
        <v>271</v>
      </c>
      <c r="D1034" s="5">
        <v>973598</v>
      </c>
      <c r="E1034" s="5">
        <v>20109968219</v>
      </c>
      <c r="F1034" s="5" t="s">
        <v>5257</v>
      </c>
      <c r="G1034" s="5" t="s">
        <v>5258</v>
      </c>
      <c r="H1034" s="5" t="s">
        <v>978</v>
      </c>
      <c r="I1034" s="5" t="s">
        <v>979</v>
      </c>
      <c r="J1034" s="5" t="s">
        <v>979</v>
      </c>
      <c r="K1034" s="5" t="s">
        <v>1260</v>
      </c>
      <c r="L1034" s="5" t="s">
        <v>5259</v>
      </c>
      <c r="M1034" s="5" t="s">
        <v>1775</v>
      </c>
      <c r="N1034" s="5"/>
      <c r="O1034" s="5"/>
      <c r="P1034" s="5"/>
      <c r="Q1034" s="5"/>
      <c r="R1034" s="5"/>
      <c r="S1034" s="5"/>
      <c r="T1034" s="5"/>
      <c r="U1034" s="5">
        <v>29000</v>
      </c>
      <c r="V1034" s="6">
        <v>35585</v>
      </c>
      <c r="W1034" s="5" t="s">
        <v>31</v>
      </c>
      <c r="X1034" s="5" t="s">
        <v>5260</v>
      </c>
    </row>
    <row r="1035" spans="1:24" x14ac:dyDescent="0.3">
      <c r="A1035" s="3">
        <v>1029</v>
      </c>
      <c r="B1035" s="3" t="str">
        <f>"201200146608"</f>
        <v>201200146608</v>
      </c>
      <c r="C1035" s="3" t="str">
        <f>"97715"</f>
        <v>97715</v>
      </c>
      <c r="D1035" s="3" t="s">
        <v>5261</v>
      </c>
      <c r="E1035" s="3">
        <v>10251886411</v>
      </c>
      <c r="F1035" s="3" t="s">
        <v>5262</v>
      </c>
      <c r="G1035" s="3" t="s">
        <v>5263</v>
      </c>
      <c r="H1035" s="3" t="s">
        <v>214</v>
      </c>
      <c r="I1035" s="3" t="s">
        <v>797</v>
      </c>
      <c r="J1035" s="3" t="s">
        <v>798</v>
      </c>
      <c r="K1035" s="3" t="s">
        <v>5120</v>
      </c>
      <c r="L1035" s="3" t="s">
        <v>5120</v>
      </c>
      <c r="M1035" s="3"/>
      <c r="N1035" s="3"/>
      <c r="O1035" s="3"/>
      <c r="P1035" s="3"/>
      <c r="Q1035" s="3"/>
      <c r="R1035" s="3"/>
      <c r="S1035" s="3"/>
      <c r="T1035" s="3"/>
      <c r="U1035" s="3">
        <v>10600</v>
      </c>
      <c r="V1035" s="4">
        <v>41131</v>
      </c>
      <c r="W1035" s="3" t="s">
        <v>31</v>
      </c>
      <c r="X1035" s="3" t="s">
        <v>5262</v>
      </c>
    </row>
    <row r="1036" spans="1:24" x14ac:dyDescent="0.3">
      <c r="A1036" s="5">
        <v>1030</v>
      </c>
      <c r="B1036" s="5" t="str">
        <f>"201300182769"</f>
        <v>201300182769</v>
      </c>
      <c r="C1036" s="5" t="str">
        <f>"18342"</f>
        <v>18342</v>
      </c>
      <c r="D1036" s="5" t="s">
        <v>5264</v>
      </c>
      <c r="E1036" s="5">
        <v>20224748711</v>
      </c>
      <c r="F1036" s="5" t="s">
        <v>3761</v>
      </c>
      <c r="G1036" s="5" t="s">
        <v>5265</v>
      </c>
      <c r="H1036" s="5" t="s">
        <v>28</v>
      </c>
      <c r="I1036" s="5" t="s">
        <v>667</v>
      </c>
      <c r="J1036" s="5" t="s">
        <v>1340</v>
      </c>
      <c r="K1036" s="5" t="s">
        <v>5266</v>
      </c>
      <c r="L1036" s="5" t="s">
        <v>5267</v>
      </c>
      <c r="M1036" s="5"/>
      <c r="N1036" s="5"/>
      <c r="O1036" s="5"/>
      <c r="P1036" s="5"/>
      <c r="Q1036" s="5"/>
      <c r="R1036" s="5"/>
      <c r="S1036" s="5"/>
      <c r="T1036" s="5"/>
      <c r="U1036" s="5">
        <v>160000</v>
      </c>
      <c r="V1036" s="6">
        <v>41625</v>
      </c>
      <c r="W1036" s="5" t="s">
        <v>31</v>
      </c>
      <c r="X1036" s="5" t="s">
        <v>5268</v>
      </c>
    </row>
    <row r="1037" spans="1:24" ht="27.95" x14ac:dyDescent="0.3">
      <c r="A1037" s="3">
        <v>1031</v>
      </c>
      <c r="B1037" s="3" t="str">
        <f>"201500003986"</f>
        <v>201500003986</v>
      </c>
      <c r="C1037" s="3" t="str">
        <f>"16544"</f>
        <v>16544</v>
      </c>
      <c r="D1037" s="3" t="s">
        <v>5269</v>
      </c>
      <c r="E1037" s="3">
        <v>20266352337</v>
      </c>
      <c r="F1037" s="3" t="s">
        <v>5270</v>
      </c>
      <c r="G1037" s="3" t="s">
        <v>5271</v>
      </c>
      <c r="H1037" s="3" t="s">
        <v>28</v>
      </c>
      <c r="I1037" s="3" t="s">
        <v>28</v>
      </c>
      <c r="J1037" s="3" t="s">
        <v>545</v>
      </c>
      <c r="K1037" s="3" t="s">
        <v>4675</v>
      </c>
      <c r="L1037" s="3" t="s">
        <v>5272</v>
      </c>
      <c r="M1037" s="3" t="s">
        <v>92</v>
      </c>
      <c r="N1037" s="3"/>
      <c r="O1037" s="3"/>
      <c r="P1037" s="3"/>
      <c r="Q1037" s="3"/>
      <c r="R1037" s="3"/>
      <c r="S1037" s="3"/>
      <c r="T1037" s="3"/>
      <c r="U1037" s="3">
        <v>30500</v>
      </c>
      <c r="V1037" s="4">
        <v>42080</v>
      </c>
      <c r="W1037" s="3" t="s">
        <v>31</v>
      </c>
      <c r="X1037" s="3" t="s">
        <v>5273</v>
      </c>
    </row>
    <row r="1038" spans="1:24" ht="27.95" x14ac:dyDescent="0.3">
      <c r="A1038" s="5">
        <v>1032</v>
      </c>
      <c r="B1038" s="5" t="str">
        <f>"201900009068"</f>
        <v>201900009068</v>
      </c>
      <c r="C1038" s="5" t="str">
        <f>"140852"</f>
        <v>140852</v>
      </c>
      <c r="D1038" s="5" t="s">
        <v>5274</v>
      </c>
      <c r="E1038" s="5">
        <v>20540059463</v>
      </c>
      <c r="F1038" s="5" t="s">
        <v>5275</v>
      </c>
      <c r="G1038" s="5" t="s">
        <v>5276</v>
      </c>
      <c r="H1038" s="5" t="s">
        <v>36</v>
      </c>
      <c r="I1038" s="5" t="s">
        <v>234</v>
      </c>
      <c r="J1038" s="5" t="s">
        <v>998</v>
      </c>
      <c r="K1038" s="5" t="s">
        <v>2083</v>
      </c>
      <c r="L1038" s="5"/>
      <c r="M1038" s="5"/>
      <c r="N1038" s="5"/>
      <c r="O1038" s="5"/>
      <c r="P1038" s="5"/>
      <c r="Q1038" s="5"/>
      <c r="R1038" s="5"/>
      <c r="S1038" s="5"/>
      <c r="T1038" s="5"/>
      <c r="U1038" s="5">
        <v>3400</v>
      </c>
      <c r="V1038" s="6">
        <v>43495</v>
      </c>
      <c r="W1038" s="5" t="s">
        <v>31</v>
      </c>
      <c r="X1038" s="5" t="s">
        <v>1599</v>
      </c>
    </row>
    <row r="1039" spans="1:24" x14ac:dyDescent="0.3">
      <c r="A1039" s="3">
        <v>1033</v>
      </c>
      <c r="B1039" s="3" t="str">
        <f>"201900149710"</f>
        <v>201900149710</v>
      </c>
      <c r="C1039" s="3" t="str">
        <f>"1524"</f>
        <v>1524</v>
      </c>
      <c r="D1039" s="3" t="s">
        <v>5277</v>
      </c>
      <c r="E1039" s="3">
        <v>20538379302</v>
      </c>
      <c r="F1039" s="3" t="s">
        <v>2957</v>
      </c>
      <c r="G1039" s="3" t="s">
        <v>5278</v>
      </c>
      <c r="H1039" s="3" t="s">
        <v>28</v>
      </c>
      <c r="I1039" s="3" t="s">
        <v>28</v>
      </c>
      <c r="J1039" s="3" t="s">
        <v>28</v>
      </c>
      <c r="K1039" s="3" t="s">
        <v>168</v>
      </c>
      <c r="L1039" s="3" t="s">
        <v>397</v>
      </c>
      <c r="M1039" s="3" t="s">
        <v>2899</v>
      </c>
      <c r="N1039" s="3" t="s">
        <v>30</v>
      </c>
      <c r="O1039" s="3" t="s">
        <v>5279</v>
      </c>
      <c r="P1039" s="3"/>
      <c r="Q1039" s="3"/>
      <c r="R1039" s="3"/>
      <c r="S1039" s="3"/>
      <c r="T1039" s="3"/>
      <c r="U1039" s="3">
        <v>73000</v>
      </c>
      <c r="V1039" s="4">
        <v>43727</v>
      </c>
      <c r="W1039" s="3" t="s">
        <v>31</v>
      </c>
      <c r="X1039" s="3" t="s">
        <v>5280</v>
      </c>
    </row>
    <row r="1040" spans="1:24" ht="27.95" x14ac:dyDescent="0.3">
      <c r="A1040" s="5">
        <v>1034</v>
      </c>
      <c r="B1040" s="5" t="str">
        <f>"201500000712"</f>
        <v>201500000712</v>
      </c>
      <c r="C1040" s="5" t="str">
        <f>"113223"</f>
        <v>113223</v>
      </c>
      <c r="D1040" s="5" t="s">
        <v>5281</v>
      </c>
      <c r="E1040" s="5">
        <v>20502656334</v>
      </c>
      <c r="F1040" s="5" t="s">
        <v>5282</v>
      </c>
      <c r="G1040" s="5" t="s">
        <v>5283</v>
      </c>
      <c r="H1040" s="5" t="s">
        <v>51</v>
      </c>
      <c r="I1040" s="5" t="s">
        <v>316</v>
      </c>
      <c r="J1040" s="5" t="s">
        <v>317</v>
      </c>
      <c r="K1040" s="5" t="s">
        <v>87</v>
      </c>
      <c r="L1040" s="5"/>
      <c r="M1040" s="5"/>
      <c r="N1040" s="5"/>
      <c r="O1040" s="5"/>
      <c r="P1040" s="5"/>
      <c r="Q1040" s="5"/>
      <c r="R1040" s="5"/>
      <c r="S1040" s="5"/>
      <c r="T1040" s="5"/>
      <c r="U1040" s="5">
        <v>6000</v>
      </c>
      <c r="V1040" s="6">
        <v>42095</v>
      </c>
      <c r="W1040" s="5" t="s">
        <v>31</v>
      </c>
      <c r="X1040" s="5" t="s">
        <v>5284</v>
      </c>
    </row>
    <row r="1041" spans="1:24" ht="27.95" x14ac:dyDescent="0.3">
      <c r="A1041" s="3">
        <v>1035</v>
      </c>
      <c r="B1041" s="3" t="str">
        <f>"1771641"</f>
        <v>1771641</v>
      </c>
      <c r="C1041" s="3" t="str">
        <f>"21180"</f>
        <v>21180</v>
      </c>
      <c r="D1041" s="3" t="s">
        <v>5285</v>
      </c>
      <c r="E1041" s="3">
        <v>20224748711</v>
      </c>
      <c r="F1041" s="3" t="s">
        <v>5286</v>
      </c>
      <c r="G1041" s="3" t="s">
        <v>5287</v>
      </c>
      <c r="H1041" s="3" t="s">
        <v>36</v>
      </c>
      <c r="I1041" s="3" t="s">
        <v>1269</v>
      </c>
      <c r="J1041" s="3" t="s">
        <v>1270</v>
      </c>
      <c r="K1041" s="3" t="s">
        <v>4062</v>
      </c>
      <c r="L1041" s="3" t="s">
        <v>5288</v>
      </c>
      <c r="M1041" s="3" t="s">
        <v>1368</v>
      </c>
      <c r="N1041" s="3" t="s">
        <v>5289</v>
      </c>
      <c r="O1041" s="3"/>
      <c r="P1041" s="3"/>
      <c r="Q1041" s="3"/>
      <c r="R1041" s="3"/>
      <c r="S1041" s="3"/>
      <c r="T1041" s="3"/>
      <c r="U1041" s="3">
        <v>225000</v>
      </c>
      <c r="V1041" s="4">
        <v>39538</v>
      </c>
      <c r="W1041" s="3" t="s">
        <v>31</v>
      </c>
      <c r="X1041" s="3" t="s">
        <v>5290</v>
      </c>
    </row>
    <row r="1042" spans="1:24" ht="27.95" x14ac:dyDescent="0.3">
      <c r="A1042" s="5">
        <v>1036</v>
      </c>
      <c r="B1042" s="5" t="str">
        <f>"1119657"</f>
        <v>1119657</v>
      </c>
      <c r="C1042" s="5" t="str">
        <f>"1061"</f>
        <v>1061</v>
      </c>
      <c r="D1042" s="5" t="s">
        <v>5291</v>
      </c>
      <c r="E1042" s="5">
        <v>20106156400</v>
      </c>
      <c r="F1042" s="5" t="s">
        <v>5292</v>
      </c>
      <c r="G1042" s="5" t="s">
        <v>5293</v>
      </c>
      <c r="H1042" s="5" t="s">
        <v>292</v>
      </c>
      <c r="I1042" s="5" t="s">
        <v>3217</v>
      </c>
      <c r="J1042" s="5" t="s">
        <v>5294</v>
      </c>
      <c r="K1042" s="5" t="s">
        <v>5295</v>
      </c>
      <c r="L1042" s="5"/>
      <c r="M1042" s="5"/>
      <c r="N1042" s="5"/>
      <c r="O1042" s="5"/>
      <c r="P1042" s="5"/>
      <c r="Q1042" s="5"/>
      <c r="R1042" s="5"/>
      <c r="S1042" s="5"/>
      <c r="T1042" s="5"/>
      <c r="U1042" s="5">
        <v>1320</v>
      </c>
      <c r="V1042" s="6">
        <v>36803</v>
      </c>
      <c r="W1042" s="5" t="s">
        <v>31</v>
      </c>
      <c r="X1042" s="5" t="s">
        <v>4577</v>
      </c>
    </row>
    <row r="1043" spans="1:24" x14ac:dyDescent="0.3">
      <c r="A1043" s="3">
        <v>1037</v>
      </c>
      <c r="B1043" s="3" t="str">
        <f>"1311588"</f>
        <v>1311588</v>
      </c>
      <c r="C1043" s="3" t="str">
        <f>"18217"</f>
        <v>18217</v>
      </c>
      <c r="D1043" s="3" t="s">
        <v>5296</v>
      </c>
      <c r="E1043" s="3">
        <v>20119605459</v>
      </c>
      <c r="F1043" s="3" t="s">
        <v>5297</v>
      </c>
      <c r="G1043" s="3" t="s">
        <v>5298</v>
      </c>
      <c r="H1043" s="3" t="s">
        <v>28</v>
      </c>
      <c r="I1043" s="3" t="s">
        <v>490</v>
      </c>
      <c r="J1043" s="3" t="s">
        <v>985</v>
      </c>
      <c r="K1043" s="3" t="s">
        <v>5299</v>
      </c>
      <c r="L1043" s="3"/>
      <c r="M1043" s="3"/>
      <c r="N1043" s="3"/>
      <c r="O1043" s="3"/>
      <c r="P1043" s="3"/>
      <c r="Q1043" s="3"/>
      <c r="R1043" s="3"/>
      <c r="S1043" s="3"/>
      <c r="T1043" s="3"/>
      <c r="U1043" s="3">
        <v>3100</v>
      </c>
      <c r="V1043" s="4">
        <v>36951</v>
      </c>
      <c r="W1043" s="3" t="s">
        <v>31</v>
      </c>
      <c r="X1043" s="3" t="s">
        <v>5300</v>
      </c>
    </row>
    <row r="1044" spans="1:24" ht="27.95" x14ac:dyDescent="0.3">
      <c r="A1044" s="5">
        <v>1038</v>
      </c>
      <c r="B1044" s="5" t="str">
        <f>"1399214"</f>
        <v>1399214</v>
      </c>
      <c r="C1044" s="5" t="str">
        <f>"34292"</f>
        <v>34292</v>
      </c>
      <c r="D1044" s="5" t="s">
        <v>5301</v>
      </c>
      <c r="E1044" s="5">
        <v>20164169759</v>
      </c>
      <c r="F1044" s="5" t="s">
        <v>5302</v>
      </c>
      <c r="G1044" s="5" t="s">
        <v>5303</v>
      </c>
      <c r="H1044" s="5" t="s">
        <v>36</v>
      </c>
      <c r="I1044" s="5" t="s">
        <v>234</v>
      </c>
      <c r="J1044" s="5" t="s">
        <v>1009</v>
      </c>
      <c r="K1044" s="5" t="s">
        <v>1193</v>
      </c>
      <c r="L1044" s="5" t="s">
        <v>5304</v>
      </c>
      <c r="M1044" s="5"/>
      <c r="N1044" s="5"/>
      <c r="O1044" s="5"/>
      <c r="P1044" s="5"/>
      <c r="Q1044" s="5"/>
      <c r="R1044" s="5"/>
      <c r="S1044" s="5"/>
      <c r="T1044" s="5"/>
      <c r="U1044" s="5">
        <v>4900</v>
      </c>
      <c r="V1044" s="6">
        <v>37659</v>
      </c>
      <c r="W1044" s="5" t="s">
        <v>31</v>
      </c>
      <c r="X1044" s="5" t="s">
        <v>5305</v>
      </c>
    </row>
    <row r="1045" spans="1:24" ht="27.95" x14ac:dyDescent="0.3">
      <c r="A1045" s="3">
        <v>1039</v>
      </c>
      <c r="B1045" s="3" t="str">
        <f>"201800088231"</f>
        <v>201800088231</v>
      </c>
      <c r="C1045" s="3" t="str">
        <f>"136497"</f>
        <v>136497</v>
      </c>
      <c r="D1045" s="3" t="s">
        <v>5306</v>
      </c>
      <c r="E1045" s="3">
        <v>20538810682</v>
      </c>
      <c r="F1045" s="3" t="s">
        <v>5253</v>
      </c>
      <c r="G1045" s="3" t="s">
        <v>5307</v>
      </c>
      <c r="H1045" s="3" t="s">
        <v>2002</v>
      </c>
      <c r="I1045" s="3" t="s">
        <v>3873</v>
      </c>
      <c r="J1045" s="3" t="s">
        <v>5308</v>
      </c>
      <c r="K1045" s="3" t="s">
        <v>168</v>
      </c>
      <c r="L1045" s="3" t="s">
        <v>168</v>
      </c>
      <c r="M1045" s="3"/>
      <c r="N1045" s="3"/>
      <c r="O1045" s="3"/>
      <c r="P1045" s="3"/>
      <c r="Q1045" s="3"/>
      <c r="R1045" s="3"/>
      <c r="S1045" s="3"/>
      <c r="T1045" s="3"/>
      <c r="U1045" s="3">
        <v>20000</v>
      </c>
      <c r="V1045" s="4">
        <v>43249</v>
      </c>
      <c r="W1045" s="3" t="s">
        <v>31</v>
      </c>
      <c r="X1045" s="3" t="s">
        <v>5256</v>
      </c>
    </row>
    <row r="1046" spans="1:24" ht="41.95" x14ac:dyDescent="0.3">
      <c r="A1046" s="5">
        <v>1040</v>
      </c>
      <c r="B1046" s="5" t="str">
        <f>"202000022416"</f>
        <v>202000022416</v>
      </c>
      <c r="C1046" s="5" t="str">
        <f>"149155"</f>
        <v>149155</v>
      </c>
      <c r="D1046" s="5" t="s">
        <v>5309</v>
      </c>
      <c r="E1046" s="5">
        <v>20528134760</v>
      </c>
      <c r="F1046" s="5" t="s">
        <v>5206</v>
      </c>
      <c r="G1046" s="5" t="s">
        <v>5310</v>
      </c>
      <c r="H1046" s="5" t="s">
        <v>58</v>
      </c>
      <c r="I1046" s="5" t="s">
        <v>4692</v>
      </c>
      <c r="J1046" s="5" t="s">
        <v>5311</v>
      </c>
      <c r="K1046" s="5" t="s">
        <v>535</v>
      </c>
      <c r="L1046" s="5"/>
      <c r="M1046" s="5"/>
      <c r="N1046" s="5"/>
      <c r="O1046" s="5"/>
      <c r="P1046" s="5"/>
      <c r="Q1046" s="5"/>
      <c r="R1046" s="5"/>
      <c r="S1046" s="5"/>
      <c r="T1046" s="5"/>
      <c r="U1046" s="5">
        <v>500</v>
      </c>
      <c r="V1046" s="6">
        <v>43872</v>
      </c>
      <c r="W1046" s="5" t="s">
        <v>31</v>
      </c>
      <c r="X1046" s="5" t="s">
        <v>5209</v>
      </c>
    </row>
    <row r="1047" spans="1:24" ht="41.95" x14ac:dyDescent="0.3">
      <c r="A1047" s="3">
        <v>1041</v>
      </c>
      <c r="B1047" s="3" t="str">
        <f>"1905901"</f>
        <v>1905901</v>
      </c>
      <c r="C1047" s="3" t="str">
        <f>"83649"</f>
        <v>83649</v>
      </c>
      <c r="D1047" s="3" t="s">
        <v>5312</v>
      </c>
      <c r="E1047" s="3">
        <v>20297310047</v>
      </c>
      <c r="F1047" s="3" t="s">
        <v>5313</v>
      </c>
      <c r="G1047" s="3" t="s">
        <v>5314</v>
      </c>
      <c r="H1047" s="3" t="s">
        <v>28</v>
      </c>
      <c r="I1047" s="3" t="s">
        <v>28</v>
      </c>
      <c r="J1047" s="3" t="s">
        <v>1565</v>
      </c>
      <c r="K1047" s="3" t="s">
        <v>1550</v>
      </c>
      <c r="L1047" s="3"/>
      <c r="M1047" s="3"/>
      <c r="N1047" s="3"/>
      <c r="O1047" s="3"/>
      <c r="P1047" s="3"/>
      <c r="Q1047" s="3"/>
      <c r="R1047" s="3"/>
      <c r="S1047" s="3"/>
      <c r="T1047" s="3"/>
      <c r="U1047" s="3">
        <v>3000</v>
      </c>
      <c r="V1047" s="4">
        <v>40036</v>
      </c>
      <c r="W1047" s="3" t="s">
        <v>31</v>
      </c>
      <c r="X1047" s="3" t="s">
        <v>5315</v>
      </c>
    </row>
    <row r="1048" spans="1:24" x14ac:dyDescent="0.3">
      <c r="A1048" s="5">
        <v>1042</v>
      </c>
      <c r="B1048" s="5" t="str">
        <f>"201500097368"</f>
        <v>201500097368</v>
      </c>
      <c r="C1048" s="5" t="str">
        <f>"116586"</f>
        <v>116586</v>
      </c>
      <c r="D1048" s="5" t="s">
        <v>5316</v>
      </c>
      <c r="E1048" s="5">
        <v>20109565017</v>
      </c>
      <c r="F1048" s="5" t="s">
        <v>531</v>
      </c>
      <c r="G1048" s="5" t="s">
        <v>5317</v>
      </c>
      <c r="H1048" s="5" t="s">
        <v>550</v>
      </c>
      <c r="I1048" s="5" t="s">
        <v>2649</v>
      </c>
      <c r="J1048" s="5" t="s">
        <v>2650</v>
      </c>
      <c r="K1048" s="5" t="s">
        <v>5318</v>
      </c>
      <c r="L1048" s="5"/>
      <c r="M1048" s="5"/>
      <c r="N1048" s="5"/>
      <c r="O1048" s="5"/>
      <c r="P1048" s="5"/>
      <c r="Q1048" s="5"/>
      <c r="R1048" s="5"/>
      <c r="S1048" s="5"/>
      <c r="T1048" s="5"/>
      <c r="U1048" s="5">
        <v>9220</v>
      </c>
      <c r="V1048" s="6">
        <v>42221</v>
      </c>
      <c r="W1048" s="5" t="s">
        <v>31</v>
      </c>
      <c r="X1048" s="5" t="s">
        <v>5319</v>
      </c>
    </row>
    <row r="1049" spans="1:24" ht="27.95" x14ac:dyDescent="0.3">
      <c r="A1049" s="3">
        <v>1043</v>
      </c>
      <c r="B1049" s="3" t="str">
        <f>"202000022412"</f>
        <v>202000022412</v>
      </c>
      <c r="C1049" s="3" t="str">
        <f>"149157"</f>
        <v>149157</v>
      </c>
      <c r="D1049" s="3" t="s">
        <v>5320</v>
      </c>
      <c r="E1049" s="3">
        <v>20528134760</v>
      </c>
      <c r="F1049" s="3" t="s">
        <v>5206</v>
      </c>
      <c r="G1049" s="3" t="s">
        <v>5321</v>
      </c>
      <c r="H1049" s="3" t="s">
        <v>58</v>
      </c>
      <c r="I1049" s="3" t="s">
        <v>4692</v>
      </c>
      <c r="J1049" s="3" t="s">
        <v>5311</v>
      </c>
      <c r="K1049" s="3" t="s">
        <v>5322</v>
      </c>
      <c r="L1049" s="3"/>
      <c r="M1049" s="3"/>
      <c r="N1049" s="3"/>
      <c r="O1049" s="3"/>
      <c r="P1049" s="3"/>
      <c r="Q1049" s="3"/>
      <c r="R1049" s="3"/>
      <c r="S1049" s="3"/>
      <c r="T1049" s="3"/>
      <c r="U1049" s="3">
        <v>3800</v>
      </c>
      <c r="V1049" s="4">
        <v>43872</v>
      </c>
      <c r="W1049" s="3" t="s">
        <v>31</v>
      </c>
      <c r="X1049" s="3" t="s">
        <v>5209</v>
      </c>
    </row>
    <row r="1050" spans="1:24" x14ac:dyDescent="0.3">
      <c r="A1050" s="5">
        <v>1044</v>
      </c>
      <c r="B1050" s="5" t="str">
        <f>"1876484"</f>
        <v>1876484</v>
      </c>
      <c r="C1050" s="5" t="str">
        <f>"62252"</f>
        <v>62252</v>
      </c>
      <c r="D1050" s="5" t="s">
        <v>5323</v>
      </c>
      <c r="E1050" s="5">
        <v>20100392152</v>
      </c>
      <c r="F1050" s="5" t="s">
        <v>5324</v>
      </c>
      <c r="G1050" s="5" t="s">
        <v>5325</v>
      </c>
      <c r="H1050" s="5" t="s">
        <v>115</v>
      </c>
      <c r="I1050" s="5" t="s">
        <v>115</v>
      </c>
      <c r="J1050" s="5" t="s">
        <v>1300</v>
      </c>
      <c r="K1050" s="5" t="s">
        <v>1182</v>
      </c>
      <c r="L1050" s="5"/>
      <c r="M1050" s="5"/>
      <c r="N1050" s="5"/>
      <c r="O1050" s="5"/>
      <c r="P1050" s="5"/>
      <c r="Q1050" s="5"/>
      <c r="R1050" s="5"/>
      <c r="S1050" s="5"/>
      <c r="T1050" s="5"/>
      <c r="U1050" s="5">
        <v>4000</v>
      </c>
      <c r="V1050" s="6">
        <v>39924</v>
      </c>
      <c r="W1050" s="5" t="s">
        <v>31</v>
      </c>
      <c r="X1050" s="5" t="s">
        <v>5326</v>
      </c>
    </row>
    <row r="1051" spans="1:24" x14ac:dyDescent="0.3">
      <c r="A1051" s="3">
        <v>1045</v>
      </c>
      <c r="B1051" s="3" t="str">
        <f>"202000060508"</f>
        <v>202000060508</v>
      </c>
      <c r="C1051" s="3" t="str">
        <f>"18667"</f>
        <v>18667</v>
      </c>
      <c r="D1051" s="3" t="s">
        <v>5327</v>
      </c>
      <c r="E1051" s="3">
        <v>20224748711</v>
      </c>
      <c r="F1051" s="3" t="s">
        <v>5328</v>
      </c>
      <c r="G1051" s="3" t="s">
        <v>5329</v>
      </c>
      <c r="H1051" s="3" t="s">
        <v>80</v>
      </c>
      <c r="I1051" s="3" t="s">
        <v>228</v>
      </c>
      <c r="J1051" s="3" t="s">
        <v>228</v>
      </c>
      <c r="K1051" s="3" t="s">
        <v>5330</v>
      </c>
      <c r="L1051" s="3" t="s">
        <v>5330</v>
      </c>
      <c r="M1051" s="3" t="s">
        <v>5331</v>
      </c>
      <c r="N1051" s="3" t="s">
        <v>1089</v>
      </c>
      <c r="O1051" s="3"/>
      <c r="P1051" s="3"/>
      <c r="Q1051" s="3"/>
      <c r="R1051" s="3"/>
      <c r="S1051" s="3"/>
      <c r="T1051" s="3"/>
      <c r="U1051" s="3">
        <v>103500</v>
      </c>
      <c r="V1051" s="4">
        <v>43992</v>
      </c>
      <c r="W1051" s="3" t="s">
        <v>31</v>
      </c>
      <c r="X1051" s="3" t="s">
        <v>5332</v>
      </c>
    </row>
    <row r="1052" spans="1:24" ht="27.95" x14ac:dyDescent="0.3">
      <c r="A1052" s="5">
        <v>1046</v>
      </c>
      <c r="B1052" s="5" t="str">
        <f>"201900056177"</f>
        <v>201900056177</v>
      </c>
      <c r="C1052" s="5" t="str">
        <f>"142508"</f>
        <v>142508</v>
      </c>
      <c r="D1052" s="5" t="s">
        <v>5333</v>
      </c>
      <c r="E1052" s="5">
        <v>20131377577</v>
      </c>
      <c r="F1052" s="5" t="s">
        <v>5334</v>
      </c>
      <c r="G1052" s="5" t="s">
        <v>5335</v>
      </c>
      <c r="H1052" s="5" t="s">
        <v>28</v>
      </c>
      <c r="I1052" s="5" t="s">
        <v>28</v>
      </c>
      <c r="J1052" s="5" t="s">
        <v>102</v>
      </c>
      <c r="K1052" s="5" t="s">
        <v>5336</v>
      </c>
      <c r="L1052" s="5"/>
      <c r="M1052" s="5"/>
      <c r="N1052" s="5"/>
      <c r="O1052" s="5"/>
      <c r="P1052" s="5"/>
      <c r="Q1052" s="5"/>
      <c r="R1052" s="5"/>
      <c r="S1052" s="5"/>
      <c r="T1052" s="5"/>
      <c r="U1052" s="5">
        <v>1060</v>
      </c>
      <c r="V1052" s="6">
        <v>43579</v>
      </c>
      <c r="W1052" s="5" t="s">
        <v>31</v>
      </c>
      <c r="X1052" s="5" t="s">
        <v>5337</v>
      </c>
    </row>
    <row r="1053" spans="1:24" x14ac:dyDescent="0.3">
      <c r="A1053" s="3">
        <v>1047</v>
      </c>
      <c r="B1053" s="3" t="str">
        <f>"201500053290"</f>
        <v>201500053290</v>
      </c>
      <c r="C1053" s="3" t="str">
        <f>"39370"</f>
        <v>39370</v>
      </c>
      <c r="D1053" s="3" t="s">
        <v>5338</v>
      </c>
      <c r="E1053" s="3">
        <v>20538848060</v>
      </c>
      <c r="F1053" s="3" t="s">
        <v>3123</v>
      </c>
      <c r="G1053" s="3" t="s">
        <v>5339</v>
      </c>
      <c r="H1053" s="3" t="s">
        <v>921</v>
      </c>
      <c r="I1053" s="3" t="s">
        <v>921</v>
      </c>
      <c r="J1053" s="3" t="s">
        <v>3125</v>
      </c>
      <c r="K1053" s="3" t="s">
        <v>5340</v>
      </c>
      <c r="L1053" s="3" t="s">
        <v>5341</v>
      </c>
      <c r="M1053" s="3" t="s">
        <v>5342</v>
      </c>
      <c r="N1053" s="3" t="s">
        <v>5343</v>
      </c>
      <c r="O1053" s="3" t="s">
        <v>5344</v>
      </c>
      <c r="P1053" s="3" t="s">
        <v>3904</v>
      </c>
      <c r="Q1053" s="3" t="s">
        <v>3904</v>
      </c>
      <c r="R1053" s="3" t="s">
        <v>2180</v>
      </c>
      <c r="S1053" s="3" t="s">
        <v>2180</v>
      </c>
      <c r="T1053" s="3"/>
      <c r="U1053" s="3">
        <v>259022</v>
      </c>
      <c r="V1053" s="4">
        <v>42136</v>
      </c>
      <c r="W1053" s="3" t="s">
        <v>31</v>
      </c>
      <c r="X1053" s="3" t="s">
        <v>5345</v>
      </c>
    </row>
    <row r="1054" spans="1:24" ht="27.95" x14ac:dyDescent="0.3">
      <c r="A1054" s="5">
        <v>1048</v>
      </c>
      <c r="B1054" s="5" t="str">
        <f>"1104304"</f>
        <v>1104304</v>
      </c>
      <c r="C1054" s="5" t="str">
        <f>"12"</f>
        <v>12</v>
      </c>
      <c r="D1054" s="5">
        <v>948374</v>
      </c>
      <c r="E1054" s="5">
        <v>20100113610</v>
      </c>
      <c r="F1054" s="5" t="s">
        <v>1973</v>
      </c>
      <c r="G1054" s="5" t="s">
        <v>5346</v>
      </c>
      <c r="H1054" s="5" t="s">
        <v>115</v>
      </c>
      <c r="I1054" s="5" t="s">
        <v>115</v>
      </c>
      <c r="J1054" s="5" t="s">
        <v>1877</v>
      </c>
      <c r="K1054" s="5" t="s">
        <v>5347</v>
      </c>
      <c r="L1054" s="5" t="s">
        <v>472</v>
      </c>
      <c r="M1054" s="5" t="s">
        <v>5348</v>
      </c>
      <c r="N1054" s="5" t="s">
        <v>5349</v>
      </c>
      <c r="O1054" s="5"/>
      <c r="P1054" s="5"/>
      <c r="Q1054" s="5"/>
      <c r="R1054" s="5"/>
      <c r="S1054" s="5"/>
      <c r="T1054" s="5"/>
      <c r="U1054" s="5">
        <v>103100</v>
      </c>
      <c r="V1054" s="6">
        <v>35473</v>
      </c>
      <c r="W1054" s="5" t="s">
        <v>31</v>
      </c>
      <c r="X1054" s="5" t="s">
        <v>3473</v>
      </c>
    </row>
    <row r="1055" spans="1:24" x14ac:dyDescent="0.3">
      <c r="A1055" s="3">
        <v>1049</v>
      </c>
      <c r="B1055" s="3" t="str">
        <f>"1104305"</f>
        <v>1104305</v>
      </c>
      <c r="C1055" s="3" t="str">
        <f>"78"</f>
        <v>78</v>
      </c>
      <c r="D1055" s="3" t="s">
        <v>5350</v>
      </c>
      <c r="E1055" s="3">
        <v>20268681737</v>
      </c>
      <c r="F1055" s="3" t="s">
        <v>5351</v>
      </c>
      <c r="G1055" s="3" t="s">
        <v>5352</v>
      </c>
      <c r="H1055" s="3" t="s">
        <v>28</v>
      </c>
      <c r="I1055" s="3" t="s">
        <v>28</v>
      </c>
      <c r="J1055" s="3" t="s">
        <v>5353</v>
      </c>
      <c r="K1055" s="3" t="s">
        <v>5354</v>
      </c>
      <c r="L1055" s="3"/>
      <c r="M1055" s="3"/>
      <c r="N1055" s="3"/>
      <c r="O1055" s="3"/>
      <c r="P1055" s="3"/>
      <c r="Q1055" s="3"/>
      <c r="R1055" s="3"/>
      <c r="S1055" s="3"/>
      <c r="T1055" s="3"/>
      <c r="U1055" s="3">
        <v>7370</v>
      </c>
      <c r="V1055" s="4">
        <v>36825</v>
      </c>
      <c r="W1055" s="3" t="s">
        <v>31</v>
      </c>
      <c r="X1055" s="3" t="s">
        <v>5355</v>
      </c>
    </row>
    <row r="1056" spans="1:24" x14ac:dyDescent="0.3">
      <c r="A1056" s="5">
        <v>1050</v>
      </c>
      <c r="B1056" s="5" t="str">
        <f>"201600106231"</f>
        <v>201600106231</v>
      </c>
      <c r="C1056" s="5" t="str">
        <f>"122885"</f>
        <v>122885</v>
      </c>
      <c r="D1056" s="5" t="s">
        <v>5356</v>
      </c>
      <c r="E1056" s="5">
        <v>20393671492</v>
      </c>
      <c r="F1056" s="5" t="s">
        <v>5357</v>
      </c>
      <c r="G1056" s="5" t="s">
        <v>5358</v>
      </c>
      <c r="H1056" s="5" t="s">
        <v>334</v>
      </c>
      <c r="I1056" s="5" t="s">
        <v>335</v>
      </c>
      <c r="J1056" s="5" t="s">
        <v>5359</v>
      </c>
      <c r="K1056" s="5" t="s">
        <v>5360</v>
      </c>
      <c r="L1056" s="5" t="s">
        <v>5361</v>
      </c>
      <c r="M1056" s="5"/>
      <c r="N1056" s="5"/>
      <c r="O1056" s="5"/>
      <c r="P1056" s="5"/>
      <c r="Q1056" s="5"/>
      <c r="R1056" s="5"/>
      <c r="S1056" s="5"/>
      <c r="T1056" s="5"/>
      <c r="U1056" s="5">
        <v>4548</v>
      </c>
      <c r="V1056" s="6">
        <v>42618</v>
      </c>
      <c r="W1056" s="5" t="s">
        <v>31</v>
      </c>
      <c r="X1056" s="5" t="s">
        <v>5362</v>
      </c>
    </row>
    <row r="1057" spans="1:24" x14ac:dyDescent="0.3">
      <c r="A1057" s="3">
        <v>1051</v>
      </c>
      <c r="B1057" s="3" t="str">
        <f>"1104309"</f>
        <v>1104309</v>
      </c>
      <c r="C1057" s="3" t="str">
        <f>"77"</f>
        <v>77</v>
      </c>
      <c r="D1057" s="3" t="s">
        <v>5363</v>
      </c>
      <c r="E1057" s="3">
        <v>20268681737</v>
      </c>
      <c r="F1057" s="3" t="s">
        <v>5351</v>
      </c>
      <c r="G1057" s="3" t="s">
        <v>5364</v>
      </c>
      <c r="H1057" s="3" t="s">
        <v>28</v>
      </c>
      <c r="I1057" s="3" t="s">
        <v>28</v>
      </c>
      <c r="J1057" s="3" t="s">
        <v>436</v>
      </c>
      <c r="K1057" s="3" t="s">
        <v>5365</v>
      </c>
      <c r="L1057" s="3"/>
      <c r="M1057" s="3"/>
      <c r="N1057" s="3"/>
      <c r="O1057" s="3"/>
      <c r="P1057" s="3"/>
      <c r="Q1057" s="3"/>
      <c r="R1057" s="3"/>
      <c r="S1057" s="3"/>
      <c r="T1057" s="3"/>
      <c r="U1057" s="3">
        <v>9200</v>
      </c>
      <c r="V1057" s="4">
        <v>36809</v>
      </c>
      <c r="W1057" s="3" t="s">
        <v>31</v>
      </c>
      <c r="X1057" s="3" t="s">
        <v>5355</v>
      </c>
    </row>
    <row r="1058" spans="1:24" x14ac:dyDescent="0.3">
      <c r="A1058" s="5">
        <v>1052</v>
      </c>
      <c r="B1058" s="5" t="str">
        <f>"1122945"</f>
        <v>1122945</v>
      </c>
      <c r="C1058" s="5" t="str">
        <f>"819"</f>
        <v>819</v>
      </c>
      <c r="D1058" s="5">
        <v>1013194</v>
      </c>
      <c r="E1058" s="5">
        <v>20132218472</v>
      </c>
      <c r="F1058" s="5" t="s">
        <v>5366</v>
      </c>
      <c r="G1058" s="5" t="s">
        <v>5367</v>
      </c>
      <c r="H1058" s="5" t="s">
        <v>36</v>
      </c>
      <c r="I1058" s="5" t="s">
        <v>234</v>
      </c>
      <c r="J1058" s="5" t="s">
        <v>234</v>
      </c>
      <c r="K1058" s="5" t="s">
        <v>5368</v>
      </c>
      <c r="L1058" s="5"/>
      <c r="M1058" s="5"/>
      <c r="N1058" s="5"/>
      <c r="O1058" s="5"/>
      <c r="P1058" s="5"/>
      <c r="Q1058" s="5"/>
      <c r="R1058" s="5"/>
      <c r="S1058" s="5"/>
      <c r="T1058" s="5"/>
      <c r="U1058" s="5">
        <v>19000</v>
      </c>
      <c r="V1058" s="6">
        <v>35618</v>
      </c>
      <c r="W1058" s="5" t="s">
        <v>31</v>
      </c>
      <c r="X1058" s="5" t="s">
        <v>5369</v>
      </c>
    </row>
    <row r="1059" spans="1:24" x14ac:dyDescent="0.3">
      <c r="A1059" s="3">
        <v>1053</v>
      </c>
      <c r="B1059" s="3" t="str">
        <f>"201900064308"</f>
        <v>201900064308</v>
      </c>
      <c r="C1059" s="3" t="str">
        <f>"142738"</f>
        <v>142738</v>
      </c>
      <c r="D1059" s="3" t="s">
        <v>5370</v>
      </c>
      <c r="E1059" s="3">
        <v>10048082713</v>
      </c>
      <c r="F1059" s="3" t="s">
        <v>5371</v>
      </c>
      <c r="G1059" s="3" t="s">
        <v>5372</v>
      </c>
      <c r="H1059" s="3" t="s">
        <v>165</v>
      </c>
      <c r="I1059" s="3" t="s">
        <v>732</v>
      </c>
      <c r="J1059" s="3" t="s">
        <v>733</v>
      </c>
      <c r="K1059" s="3" t="s">
        <v>5373</v>
      </c>
      <c r="L1059" s="3"/>
      <c r="M1059" s="3"/>
      <c r="N1059" s="3"/>
      <c r="O1059" s="3"/>
      <c r="P1059" s="3"/>
      <c r="Q1059" s="3"/>
      <c r="R1059" s="3"/>
      <c r="S1059" s="3"/>
      <c r="T1059" s="3"/>
      <c r="U1059" s="3">
        <v>11870</v>
      </c>
      <c r="V1059" s="4">
        <v>43577</v>
      </c>
      <c r="W1059" s="3" t="s">
        <v>31</v>
      </c>
      <c r="X1059" s="3" t="s">
        <v>5374</v>
      </c>
    </row>
    <row r="1060" spans="1:24" x14ac:dyDescent="0.3">
      <c r="A1060" s="5">
        <v>1054</v>
      </c>
      <c r="B1060" s="5" t="str">
        <f>"1311593"</f>
        <v>1311593</v>
      </c>
      <c r="C1060" s="5" t="str">
        <f>"20185"</f>
        <v>20185</v>
      </c>
      <c r="D1060" s="5" t="s">
        <v>5375</v>
      </c>
      <c r="E1060" s="5">
        <v>20100659418</v>
      </c>
      <c r="F1060" s="5" t="s">
        <v>5376</v>
      </c>
      <c r="G1060" s="5" t="s">
        <v>5377</v>
      </c>
      <c r="H1060" s="5" t="s">
        <v>28</v>
      </c>
      <c r="I1060" s="5" t="s">
        <v>28</v>
      </c>
      <c r="J1060" s="5" t="s">
        <v>91</v>
      </c>
      <c r="K1060" s="5" t="s">
        <v>2121</v>
      </c>
      <c r="L1060" s="5"/>
      <c r="M1060" s="5"/>
      <c r="N1060" s="5"/>
      <c r="O1060" s="5"/>
      <c r="P1060" s="5"/>
      <c r="Q1060" s="5"/>
      <c r="R1060" s="5"/>
      <c r="S1060" s="5"/>
      <c r="T1060" s="5"/>
      <c r="U1060" s="5">
        <v>8000</v>
      </c>
      <c r="V1060" s="6">
        <v>36944</v>
      </c>
      <c r="W1060" s="5" t="s">
        <v>31</v>
      </c>
      <c r="X1060" s="5" t="s">
        <v>5378</v>
      </c>
    </row>
    <row r="1061" spans="1:24" x14ac:dyDescent="0.3">
      <c r="A1061" s="3">
        <v>1055</v>
      </c>
      <c r="B1061" s="3" t="str">
        <f>"201400068311"</f>
        <v>201400068311</v>
      </c>
      <c r="C1061" s="3" t="str">
        <f>"108006"</f>
        <v>108006</v>
      </c>
      <c r="D1061" s="3" t="s">
        <v>5379</v>
      </c>
      <c r="E1061" s="3">
        <v>20522605400</v>
      </c>
      <c r="F1061" s="3" t="s">
        <v>5380</v>
      </c>
      <c r="G1061" s="3" t="s">
        <v>5381</v>
      </c>
      <c r="H1061" s="3" t="s">
        <v>1147</v>
      </c>
      <c r="I1061" s="3" t="s">
        <v>3784</v>
      </c>
      <c r="J1061" s="3" t="s">
        <v>3785</v>
      </c>
      <c r="K1061" s="3" t="s">
        <v>1362</v>
      </c>
      <c r="L1061" s="3"/>
      <c r="M1061" s="3"/>
      <c r="N1061" s="3"/>
      <c r="O1061" s="3"/>
      <c r="P1061" s="3"/>
      <c r="Q1061" s="3"/>
      <c r="R1061" s="3"/>
      <c r="S1061" s="3"/>
      <c r="T1061" s="3"/>
      <c r="U1061" s="3">
        <v>2600</v>
      </c>
      <c r="V1061" s="4">
        <v>41800</v>
      </c>
      <c r="W1061" s="3" t="s">
        <v>31</v>
      </c>
      <c r="X1061" s="3" t="s">
        <v>5382</v>
      </c>
    </row>
    <row r="1062" spans="1:24" ht="27.95" x14ac:dyDescent="0.3">
      <c r="A1062" s="5">
        <v>1056</v>
      </c>
      <c r="B1062" s="5" t="str">
        <f>"201500175834"</f>
        <v>201500175834</v>
      </c>
      <c r="C1062" s="5" t="str">
        <f>"83597"</f>
        <v>83597</v>
      </c>
      <c r="D1062" s="5" t="s">
        <v>5383</v>
      </c>
      <c r="E1062" s="5">
        <v>20100176450</v>
      </c>
      <c r="F1062" s="5" t="s">
        <v>5384</v>
      </c>
      <c r="G1062" s="5" t="s">
        <v>5385</v>
      </c>
      <c r="H1062" s="5" t="s">
        <v>115</v>
      </c>
      <c r="I1062" s="5" t="s">
        <v>115</v>
      </c>
      <c r="J1062" s="5" t="s">
        <v>116</v>
      </c>
      <c r="K1062" s="5" t="s">
        <v>397</v>
      </c>
      <c r="L1062" s="5"/>
      <c r="M1062" s="5"/>
      <c r="N1062" s="5"/>
      <c r="O1062" s="5"/>
      <c r="P1062" s="5"/>
      <c r="Q1062" s="5"/>
      <c r="R1062" s="5"/>
      <c r="S1062" s="5"/>
      <c r="T1062" s="5"/>
      <c r="U1062" s="5">
        <v>2000</v>
      </c>
      <c r="V1062" s="6">
        <v>42382</v>
      </c>
      <c r="W1062" s="5" t="s">
        <v>31</v>
      </c>
      <c r="X1062" s="5" t="s">
        <v>5386</v>
      </c>
    </row>
    <row r="1063" spans="1:24" ht="27.95" x14ac:dyDescent="0.3">
      <c r="A1063" s="3">
        <v>1057</v>
      </c>
      <c r="B1063" s="3" t="str">
        <f>"1511155"</f>
        <v>1511155</v>
      </c>
      <c r="C1063" s="3" t="str">
        <f>"40693"</f>
        <v>40693</v>
      </c>
      <c r="D1063" s="3" t="s">
        <v>5387</v>
      </c>
      <c r="E1063" s="3">
        <v>20100098041</v>
      </c>
      <c r="F1063" s="3" t="s">
        <v>5388</v>
      </c>
      <c r="G1063" s="3" t="s">
        <v>5389</v>
      </c>
      <c r="H1063" s="3" t="s">
        <v>28</v>
      </c>
      <c r="I1063" s="3" t="s">
        <v>28</v>
      </c>
      <c r="J1063" s="3" t="s">
        <v>1588</v>
      </c>
      <c r="K1063" s="3" t="s">
        <v>323</v>
      </c>
      <c r="L1063" s="3" t="s">
        <v>1507</v>
      </c>
      <c r="M1063" s="3"/>
      <c r="N1063" s="3"/>
      <c r="O1063" s="3"/>
      <c r="P1063" s="3"/>
      <c r="Q1063" s="3"/>
      <c r="R1063" s="3"/>
      <c r="S1063" s="3"/>
      <c r="T1063" s="3"/>
      <c r="U1063" s="3">
        <v>4500</v>
      </c>
      <c r="V1063" s="4">
        <v>38372</v>
      </c>
      <c r="W1063" s="3" t="s">
        <v>31</v>
      </c>
      <c r="X1063" s="3" t="s">
        <v>5390</v>
      </c>
    </row>
    <row r="1064" spans="1:24" x14ac:dyDescent="0.3">
      <c r="A1064" s="5">
        <v>1058</v>
      </c>
      <c r="B1064" s="5" t="str">
        <f>"201500053287"</f>
        <v>201500053287</v>
      </c>
      <c r="C1064" s="5" t="str">
        <f>"21495"</f>
        <v>21495</v>
      </c>
      <c r="D1064" s="5" t="s">
        <v>5391</v>
      </c>
      <c r="E1064" s="5">
        <v>20383045267</v>
      </c>
      <c r="F1064" s="5" t="s">
        <v>5392</v>
      </c>
      <c r="G1064" s="5" t="s">
        <v>5393</v>
      </c>
      <c r="H1064" s="5" t="s">
        <v>566</v>
      </c>
      <c r="I1064" s="5" t="s">
        <v>2671</v>
      </c>
      <c r="J1064" s="5" t="s">
        <v>2671</v>
      </c>
      <c r="K1064" s="5" t="s">
        <v>5394</v>
      </c>
      <c r="L1064" s="5" t="s">
        <v>5394</v>
      </c>
      <c r="M1064" s="5"/>
      <c r="N1064" s="5"/>
      <c r="O1064" s="5"/>
      <c r="P1064" s="5"/>
      <c r="Q1064" s="5"/>
      <c r="R1064" s="5"/>
      <c r="S1064" s="5"/>
      <c r="T1064" s="5"/>
      <c r="U1064" s="5">
        <v>28614</v>
      </c>
      <c r="V1064" s="6">
        <v>42136</v>
      </c>
      <c r="W1064" s="5" t="s">
        <v>31</v>
      </c>
      <c r="X1064" s="5" t="s">
        <v>5345</v>
      </c>
    </row>
    <row r="1065" spans="1:24" ht="27.95" x14ac:dyDescent="0.3">
      <c r="A1065" s="3">
        <v>1059</v>
      </c>
      <c r="B1065" s="3" t="str">
        <f>"201700081302"</f>
        <v>201700081302</v>
      </c>
      <c r="C1065" s="3" t="str">
        <f>"128816"</f>
        <v>128816</v>
      </c>
      <c r="D1065" s="3" t="s">
        <v>5395</v>
      </c>
      <c r="E1065" s="3">
        <v>20520934147</v>
      </c>
      <c r="F1065" s="3" t="s">
        <v>5396</v>
      </c>
      <c r="G1065" s="3" t="s">
        <v>5397</v>
      </c>
      <c r="H1065" s="3" t="s">
        <v>28</v>
      </c>
      <c r="I1065" s="3" t="s">
        <v>72</v>
      </c>
      <c r="J1065" s="3" t="s">
        <v>86</v>
      </c>
      <c r="K1065" s="3" t="s">
        <v>397</v>
      </c>
      <c r="L1065" s="3"/>
      <c r="M1065" s="3"/>
      <c r="N1065" s="3"/>
      <c r="O1065" s="3"/>
      <c r="P1065" s="3"/>
      <c r="Q1065" s="3"/>
      <c r="R1065" s="3"/>
      <c r="S1065" s="3"/>
      <c r="T1065" s="3"/>
      <c r="U1065" s="3">
        <v>2000</v>
      </c>
      <c r="V1065" s="4">
        <v>42936</v>
      </c>
      <c r="W1065" s="3" t="s">
        <v>31</v>
      </c>
      <c r="X1065" s="3" t="s">
        <v>5398</v>
      </c>
    </row>
    <row r="1066" spans="1:24" ht="27.95" x14ac:dyDescent="0.3">
      <c r="A1066" s="5">
        <v>1060</v>
      </c>
      <c r="B1066" s="5" t="str">
        <f>"1154476"</f>
        <v>1154476</v>
      </c>
      <c r="C1066" s="5" t="str">
        <f>"1318"</f>
        <v>1318</v>
      </c>
      <c r="D1066" s="5">
        <v>1005224</v>
      </c>
      <c r="E1066" s="5">
        <v>20122618375</v>
      </c>
      <c r="F1066" s="5" t="s">
        <v>5399</v>
      </c>
      <c r="G1066" s="5" t="s">
        <v>5400</v>
      </c>
      <c r="H1066" s="5" t="s">
        <v>28</v>
      </c>
      <c r="I1066" s="5" t="s">
        <v>28</v>
      </c>
      <c r="J1066" s="5" t="s">
        <v>186</v>
      </c>
      <c r="K1066" s="5" t="s">
        <v>5401</v>
      </c>
      <c r="L1066" s="5"/>
      <c r="M1066" s="5"/>
      <c r="N1066" s="5"/>
      <c r="O1066" s="5"/>
      <c r="P1066" s="5"/>
      <c r="Q1066" s="5"/>
      <c r="R1066" s="5"/>
      <c r="S1066" s="5"/>
      <c r="T1066" s="5"/>
      <c r="U1066" s="5">
        <v>4800</v>
      </c>
      <c r="V1066" s="6">
        <v>35718</v>
      </c>
      <c r="W1066" s="5" t="s">
        <v>31</v>
      </c>
      <c r="X1066" s="5" t="s">
        <v>5402</v>
      </c>
    </row>
    <row r="1067" spans="1:24" ht="27.95" x14ac:dyDescent="0.3">
      <c r="A1067" s="3">
        <v>1061</v>
      </c>
      <c r="B1067" s="3" t="str">
        <f>"201400067372"</f>
        <v>201400067372</v>
      </c>
      <c r="C1067" s="3" t="str">
        <f>"83790"</f>
        <v>83790</v>
      </c>
      <c r="D1067" s="3" t="s">
        <v>5403</v>
      </c>
      <c r="E1067" s="3">
        <v>20206872234</v>
      </c>
      <c r="F1067" s="3" t="s">
        <v>5404</v>
      </c>
      <c r="G1067" s="3" t="s">
        <v>5405</v>
      </c>
      <c r="H1067" s="3" t="s">
        <v>28</v>
      </c>
      <c r="I1067" s="3" t="s">
        <v>28</v>
      </c>
      <c r="J1067" s="3" t="s">
        <v>266</v>
      </c>
      <c r="K1067" s="3" t="s">
        <v>1074</v>
      </c>
      <c r="L1067" s="3"/>
      <c r="M1067" s="3"/>
      <c r="N1067" s="3"/>
      <c r="O1067" s="3"/>
      <c r="P1067" s="3"/>
      <c r="Q1067" s="3"/>
      <c r="R1067" s="3"/>
      <c r="S1067" s="3"/>
      <c r="T1067" s="3"/>
      <c r="U1067" s="3">
        <v>3500</v>
      </c>
      <c r="V1067" s="4">
        <v>41794</v>
      </c>
      <c r="W1067" s="3" t="s">
        <v>31</v>
      </c>
      <c r="X1067" s="3" t="s">
        <v>5406</v>
      </c>
    </row>
    <row r="1068" spans="1:24" x14ac:dyDescent="0.3">
      <c r="A1068" s="5">
        <v>1062</v>
      </c>
      <c r="B1068" s="5" t="str">
        <f>"1673044"</f>
        <v>1673044</v>
      </c>
      <c r="C1068" s="5" t="str">
        <f>"45626"</f>
        <v>45626</v>
      </c>
      <c r="D1068" s="5" t="s">
        <v>5407</v>
      </c>
      <c r="E1068" s="5">
        <v>20100085225</v>
      </c>
      <c r="F1068" s="5" t="s">
        <v>2280</v>
      </c>
      <c r="G1068" s="5" t="s">
        <v>5408</v>
      </c>
      <c r="H1068" s="5" t="s">
        <v>115</v>
      </c>
      <c r="I1068" s="5" t="s">
        <v>115</v>
      </c>
      <c r="J1068" s="5" t="s">
        <v>159</v>
      </c>
      <c r="K1068" s="5" t="s">
        <v>5409</v>
      </c>
      <c r="L1068" s="5"/>
      <c r="M1068" s="5"/>
      <c r="N1068" s="5"/>
      <c r="O1068" s="5"/>
      <c r="P1068" s="5"/>
      <c r="Q1068" s="5"/>
      <c r="R1068" s="5"/>
      <c r="S1068" s="5"/>
      <c r="T1068" s="5"/>
      <c r="U1068" s="5">
        <v>912</v>
      </c>
      <c r="V1068" s="6">
        <v>39251</v>
      </c>
      <c r="W1068" s="5" t="s">
        <v>31</v>
      </c>
      <c r="X1068" s="5" t="s">
        <v>2282</v>
      </c>
    </row>
    <row r="1069" spans="1:24" ht="27.95" x14ac:dyDescent="0.3">
      <c r="A1069" s="3">
        <v>1063</v>
      </c>
      <c r="B1069" s="3" t="str">
        <f>"1487920"</f>
        <v>1487920</v>
      </c>
      <c r="C1069" s="3" t="str">
        <f>"92608"</f>
        <v>92608</v>
      </c>
      <c r="D1069" s="3" t="s">
        <v>5410</v>
      </c>
      <c r="E1069" s="3">
        <v>20525144951</v>
      </c>
      <c r="F1069" s="3" t="s">
        <v>5411</v>
      </c>
      <c r="G1069" s="3" t="s">
        <v>5412</v>
      </c>
      <c r="H1069" s="3" t="s">
        <v>28</v>
      </c>
      <c r="I1069" s="3" t="s">
        <v>28</v>
      </c>
      <c r="J1069" s="3" t="s">
        <v>1565</v>
      </c>
      <c r="K1069" s="3" t="s">
        <v>5413</v>
      </c>
      <c r="L1069" s="3"/>
      <c r="M1069" s="3"/>
      <c r="N1069" s="3"/>
      <c r="O1069" s="3"/>
      <c r="P1069" s="3"/>
      <c r="Q1069" s="3"/>
      <c r="R1069" s="3"/>
      <c r="S1069" s="3"/>
      <c r="T1069" s="3"/>
      <c r="U1069" s="3">
        <v>1425</v>
      </c>
      <c r="V1069" s="4">
        <v>40708</v>
      </c>
      <c r="W1069" s="3" t="s">
        <v>31</v>
      </c>
      <c r="X1069" s="3" t="s">
        <v>5414</v>
      </c>
    </row>
    <row r="1070" spans="1:24" ht="27.95" x14ac:dyDescent="0.3">
      <c r="A1070" s="5">
        <v>1064</v>
      </c>
      <c r="B1070" s="5" t="str">
        <f>"201700059019"</f>
        <v>201700059019</v>
      </c>
      <c r="C1070" s="5" t="str">
        <f>"42842"</f>
        <v>42842</v>
      </c>
      <c r="D1070" s="5" t="s">
        <v>5415</v>
      </c>
      <c r="E1070" s="5">
        <v>20491141418</v>
      </c>
      <c r="F1070" s="5" t="s">
        <v>5416</v>
      </c>
      <c r="G1070" s="5" t="s">
        <v>5417</v>
      </c>
      <c r="H1070" s="5" t="s">
        <v>214</v>
      </c>
      <c r="I1070" s="5" t="s">
        <v>214</v>
      </c>
      <c r="J1070" s="5" t="s">
        <v>1502</v>
      </c>
      <c r="K1070" s="5" t="s">
        <v>515</v>
      </c>
      <c r="L1070" s="5"/>
      <c r="M1070" s="5"/>
      <c r="N1070" s="5"/>
      <c r="O1070" s="5"/>
      <c r="P1070" s="5"/>
      <c r="Q1070" s="5"/>
      <c r="R1070" s="5"/>
      <c r="S1070" s="5"/>
      <c r="T1070" s="5"/>
      <c r="U1070" s="5">
        <v>1000</v>
      </c>
      <c r="V1070" s="6">
        <v>42863</v>
      </c>
      <c r="W1070" s="5" t="s">
        <v>31</v>
      </c>
      <c r="X1070" s="5" t="s">
        <v>5418</v>
      </c>
    </row>
    <row r="1071" spans="1:24" x14ac:dyDescent="0.3">
      <c r="A1071" s="3">
        <v>1065</v>
      </c>
      <c r="B1071" s="3" t="str">
        <f>"1953397"</f>
        <v>1953397</v>
      </c>
      <c r="C1071" s="3" t="str">
        <f>"1145"</f>
        <v>1145</v>
      </c>
      <c r="D1071" s="3" t="s">
        <v>5419</v>
      </c>
      <c r="E1071" s="3">
        <v>20100226902</v>
      </c>
      <c r="F1071" s="3" t="s">
        <v>5420</v>
      </c>
      <c r="G1071" s="3" t="s">
        <v>5421</v>
      </c>
      <c r="H1071" s="3" t="s">
        <v>51</v>
      </c>
      <c r="I1071" s="3" t="s">
        <v>51</v>
      </c>
      <c r="J1071" s="3" t="s">
        <v>5045</v>
      </c>
      <c r="K1071" s="3" t="s">
        <v>973</v>
      </c>
      <c r="L1071" s="3" t="s">
        <v>1550</v>
      </c>
      <c r="M1071" s="3"/>
      <c r="N1071" s="3"/>
      <c r="O1071" s="3"/>
      <c r="P1071" s="3"/>
      <c r="Q1071" s="3"/>
      <c r="R1071" s="3"/>
      <c r="S1071" s="3"/>
      <c r="T1071" s="3"/>
      <c r="U1071" s="3">
        <v>11000</v>
      </c>
      <c r="V1071" s="4">
        <v>40176</v>
      </c>
      <c r="W1071" s="3" t="s">
        <v>31</v>
      </c>
      <c r="X1071" s="3" t="s">
        <v>5422</v>
      </c>
    </row>
    <row r="1072" spans="1:24" ht="27.95" x14ac:dyDescent="0.3">
      <c r="A1072" s="5">
        <v>1066</v>
      </c>
      <c r="B1072" s="5" t="str">
        <f>"201600021195"</f>
        <v>201600021195</v>
      </c>
      <c r="C1072" s="5" t="str">
        <f>"82458"</f>
        <v>82458</v>
      </c>
      <c r="D1072" s="5" t="s">
        <v>5423</v>
      </c>
      <c r="E1072" s="5">
        <v>20509516341</v>
      </c>
      <c r="F1072" s="5" t="s">
        <v>26</v>
      </c>
      <c r="G1072" s="5" t="s">
        <v>5424</v>
      </c>
      <c r="H1072" s="5" t="s">
        <v>28</v>
      </c>
      <c r="I1072" s="5" t="s">
        <v>28</v>
      </c>
      <c r="J1072" s="5" t="s">
        <v>102</v>
      </c>
      <c r="K1072" s="5" t="s">
        <v>2250</v>
      </c>
      <c r="L1072" s="5"/>
      <c r="M1072" s="5"/>
      <c r="N1072" s="5"/>
      <c r="O1072" s="5"/>
      <c r="P1072" s="5"/>
      <c r="Q1072" s="5"/>
      <c r="R1072" s="5"/>
      <c r="S1072" s="5"/>
      <c r="T1072" s="5"/>
      <c r="U1072" s="5">
        <v>3600</v>
      </c>
      <c r="V1072" s="6">
        <v>42419</v>
      </c>
      <c r="W1072" s="5" t="s">
        <v>31</v>
      </c>
      <c r="X1072" s="5" t="s">
        <v>32</v>
      </c>
    </row>
    <row r="1073" spans="1:24" ht="27.95" x14ac:dyDescent="0.3">
      <c r="A1073" s="3">
        <v>1067</v>
      </c>
      <c r="B1073" s="3" t="str">
        <f>"1876466"</f>
        <v>1876466</v>
      </c>
      <c r="C1073" s="3" t="str">
        <f>"16537"</f>
        <v>16537</v>
      </c>
      <c r="D1073" s="3" t="s">
        <v>5425</v>
      </c>
      <c r="E1073" s="3">
        <v>20502001087</v>
      </c>
      <c r="F1073" s="3" t="s">
        <v>5426</v>
      </c>
      <c r="G1073" s="3" t="s">
        <v>5427</v>
      </c>
      <c r="H1073" s="3" t="s">
        <v>28</v>
      </c>
      <c r="I1073" s="3" t="s">
        <v>28</v>
      </c>
      <c r="J1073" s="3" t="s">
        <v>409</v>
      </c>
      <c r="K1073" s="3" t="s">
        <v>4498</v>
      </c>
      <c r="L1073" s="3"/>
      <c r="M1073" s="3"/>
      <c r="N1073" s="3"/>
      <c r="O1073" s="3"/>
      <c r="P1073" s="3"/>
      <c r="Q1073" s="3"/>
      <c r="R1073" s="3"/>
      <c r="S1073" s="3"/>
      <c r="T1073" s="3"/>
      <c r="U1073" s="3">
        <v>3800</v>
      </c>
      <c r="V1073" s="4">
        <v>39924</v>
      </c>
      <c r="W1073" s="3" t="s">
        <v>31</v>
      </c>
      <c r="X1073" s="3" t="s">
        <v>2497</v>
      </c>
    </row>
    <row r="1074" spans="1:24" ht="27.95" x14ac:dyDescent="0.3">
      <c r="A1074" s="5">
        <v>1068</v>
      </c>
      <c r="B1074" s="5" t="str">
        <f>"1115627"</f>
        <v>1115627</v>
      </c>
      <c r="C1074" s="5" t="str">
        <f>"979"</f>
        <v>979</v>
      </c>
      <c r="D1074" s="5">
        <v>1045700</v>
      </c>
      <c r="E1074" s="5">
        <v>20112414682</v>
      </c>
      <c r="F1074" s="5" t="s">
        <v>5428</v>
      </c>
      <c r="G1074" s="5" t="s">
        <v>5429</v>
      </c>
      <c r="H1074" s="5" t="s">
        <v>28</v>
      </c>
      <c r="I1074" s="5" t="s">
        <v>28</v>
      </c>
      <c r="J1074" s="5" t="s">
        <v>699</v>
      </c>
      <c r="K1074" s="5" t="s">
        <v>4233</v>
      </c>
      <c r="L1074" s="5"/>
      <c r="M1074" s="5"/>
      <c r="N1074" s="5"/>
      <c r="O1074" s="5"/>
      <c r="P1074" s="5"/>
      <c r="Q1074" s="5"/>
      <c r="R1074" s="5"/>
      <c r="S1074" s="5"/>
      <c r="T1074" s="5"/>
      <c r="U1074" s="5">
        <v>3300</v>
      </c>
      <c r="V1074" s="6">
        <v>35529</v>
      </c>
      <c r="W1074" s="5" t="s">
        <v>31</v>
      </c>
      <c r="X1074" s="5" t="s">
        <v>5430</v>
      </c>
    </row>
    <row r="1075" spans="1:24" x14ac:dyDescent="0.3">
      <c r="A1075" s="3">
        <v>1069</v>
      </c>
      <c r="B1075" s="3" t="str">
        <f>"1362972"</f>
        <v>1362972</v>
      </c>
      <c r="C1075" s="3" t="str">
        <f>"21791"</f>
        <v>21791</v>
      </c>
      <c r="D1075" s="3" t="s">
        <v>5431</v>
      </c>
      <c r="E1075" s="3">
        <v>20207432807</v>
      </c>
      <c r="F1075" s="3" t="s">
        <v>5432</v>
      </c>
      <c r="G1075" s="3" t="s">
        <v>5433</v>
      </c>
      <c r="H1075" s="3" t="s">
        <v>28</v>
      </c>
      <c r="I1075" s="3" t="s">
        <v>28</v>
      </c>
      <c r="J1075" s="3" t="s">
        <v>28</v>
      </c>
      <c r="K1075" s="3" t="s">
        <v>5434</v>
      </c>
      <c r="L1075" s="3"/>
      <c r="M1075" s="3"/>
      <c r="N1075" s="3"/>
      <c r="O1075" s="3"/>
      <c r="P1075" s="3"/>
      <c r="Q1075" s="3"/>
      <c r="R1075" s="3"/>
      <c r="S1075" s="3"/>
      <c r="T1075" s="3"/>
      <c r="U1075" s="3">
        <v>5000</v>
      </c>
      <c r="V1075" s="4">
        <v>37439</v>
      </c>
      <c r="W1075" s="3" t="s">
        <v>31</v>
      </c>
      <c r="X1075" s="3" t="s">
        <v>5435</v>
      </c>
    </row>
    <row r="1076" spans="1:24" x14ac:dyDescent="0.3">
      <c r="A1076" s="5">
        <v>1070</v>
      </c>
      <c r="B1076" s="5" t="str">
        <f>"1523452"</f>
        <v>1523452</v>
      </c>
      <c r="C1076" s="5" t="str">
        <f>"429"</f>
        <v>429</v>
      </c>
      <c r="D1076" s="5" t="s">
        <v>5436</v>
      </c>
      <c r="E1076" s="5">
        <v>20402885549</v>
      </c>
      <c r="F1076" s="5" t="s">
        <v>5437</v>
      </c>
      <c r="G1076" s="5" t="s">
        <v>5438</v>
      </c>
      <c r="H1076" s="5" t="s">
        <v>285</v>
      </c>
      <c r="I1076" s="5" t="s">
        <v>286</v>
      </c>
      <c r="J1076" s="5" t="s">
        <v>470</v>
      </c>
      <c r="K1076" s="5" t="s">
        <v>5439</v>
      </c>
      <c r="L1076" s="5" t="s">
        <v>5440</v>
      </c>
      <c r="M1076" s="5" t="s">
        <v>5441</v>
      </c>
      <c r="N1076" s="5" t="s">
        <v>5442</v>
      </c>
      <c r="O1076" s="5"/>
      <c r="P1076" s="5"/>
      <c r="Q1076" s="5"/>
      <c r="R1076" s="5"/>
      <c r="S1076" s="5"/>
      <c r="T1076" s="5"/>
      <c r="U1076" s="5">
        <v>829342</v>
      </c>
      <c r="V1076" s="6">
        <v>38392</v>
      </c>
      <c r="W1076" s="5" t="s">
        <v>31</v>
      </c>
      <c r="X1076" s="5" t="s">
        <v>5443</v>
      </c>
    </row>
    <row r="1077" spans="1:24" ht="27.95" x14ac:dyDescent="0.3">
      <c r="A1077" s="3">
        <v>1071</v>
      </c>
      <c r="B1077" s="3" t="str">
        <f>"201400139294"</f>
        <v>201400139294</v>
      </c>
      <c r="C1077" s="3" t="str">
        <f>"110649"</f>
        <v>110649</v>
      </c>
      <c r="D1077" s="3" t="s">
        <v>5444</v>
      </c>
      <c r="E1077" s="3">
        <v>20131257750</v>
      </c>
      <c r="F1077" s="3" t="s">
        <v>5445</v>
      </c>
      <c r="G1077" s="3" t="s">
        <v>5446</v>
      </c>
      <c r="H1077" s="3" t="s">
        <v>743</v>
      </c>
      <c r="I1077" s="3" t="s">
        <v>1575</v>
      </c>
      <c r="J1077" s="3" t="s">
        <v>1575</v>
      </c>
      <c r="K1077" s="3" t="s">
        <v>1725</v>
      </c>
      <c r="L1077" s="3"/>
      <c r="M1077" s="3"/>
      <c r="N1077" s="3"/>
      <c r="O1077" s="3"/>
      <c r="P1077" s="3"/>
      <c r="Q1077" s="3"/>
      <c r="R1077" s="3"/>
      <c r="S1077" s="3"/>
      <c r="T1077" s="3"/>
      <c r="U1077" s="3">
        <v>2000</v>
      </c>
      <c r="V1077" s="4">
        <v>41954</v>
      </c>
      <c r="W1077" s="3" t="s">
        <v>31</v>
      </c>
      <c r="X1077" s="3" t="s">
        <v>5447</v>
      </c>
    </row>
    <row r="1078" spans="1:24" ht="27.95" x14ac:dyDescent="0.3">
      <c r="A1078" s="5">
        <v>1072</v>
      </c>
      <c r="B1078" s="5" t="str">
        <f>"201700220363"</f>
        <v>201700220363</v>
      </c>
      <c r="C1078" s="5" t="str">
        <f>"37501"</f>
        <v>37501</v>
      </c>
      <c r="D1078" s="5" t="s">
        <v>5448</v>
      </c>
      <c r="E1078" s="5">
        <v>20100128218</v>
      </c>
      <c r="F1078" s="5" t="s">
        <v>5449</v>
      </c>
      <c r="G1078" s="5" t="s">
        <v>5450</v>
      </c>
      <c r="H1078" s="5" t="s">
        <v>978</v>
      </c>
      <c r="I1078" s="5" t="s">
        <v>1222</v>
      </c>
      <c r="J1078" s="5" t="s">
        <v>5451</v>
      </c>
      <c r="K1078" s="5" t="s">
        <v>5452</v>
      </c>
      <c r="L1078" s="5"/>
      <c r="M1078" s="5"/>
      <c r="N1078" s="5"/>
      <c r="O1078" s="5"/>
      <c r="P1078" s="5"/>
      <c r="Q1078" s="5"/>
      <c r="R1078" s="5"/>
      <c r="S1078" s="5"/>
      <c r="T1078" s="5"/>
      <c r="U1078" s="5">
        <v>537228</v>
      </c>
      <c r="V1078" s="6">
        <v>43096</v>
      </c>
      <c r="W1078" s="5" t="s">
        <v>31</v>
      </c>
      <c r="X1078" s="5" t="s">
        <v>5453</v>
      </c>
    </row>
    <row r="1079" spans="1:24" ht="27.95" x14ac:dyDescent="0.3">
      <c r="A1079" s="3">
        <v>1073</v>
      </c>
      <c r="B1079" s="3" t="str">
        <f>"1532349"</f>
        <v>1532349</v>
      </c>
      <c r="C1079" s="3" t="str">
        <f>"40864"</f>
        <v>40864</v>
      </c>
      <c r="D1079" s="3" t="s">
        <v>5454</v>
      </c>
      <c r="E1079" s="3">
        <v>20327669355</v>
      </c>
      <c r="F1079" s="3" t="s">
        <v>5455</v>
      </c>
      <c r="G1079" s="3" t="s">
        <v>5456</v>
      </c>
      <c r="H1079" s="3" t="s">
        <v>51</v>
      </c>
      <c r="I1079" s="3" t="s">
        <v>51</v>
      </c>
      <c r="J1079" s="3" t="s">
        <v>2977</v>
      </c>
      <c r="K1079" s="3" t="s">
        <v>323</v>
      </c>
      <c r="L1079" s="3"/>
      <c r="M1079" s="3"/>
      <c r="N1079" s="3"/>
      <c r="O1079" s="3"/>
      <c r="P1079" s="3"/>
      <c r="Q1079" s="3"/>
      <c r="R1079" s="3"/>
      <c r="S1079" s="3"/>
      <c r="T1079" s="3"/>
      <c r="U1079" s="3">
        <v>4000</v>
      </c>
      <c r="V1079" s="4">
        <v>38464</v>
      </c>
      <c r="W1079" s="3" t="s">
        <v>31</v>
      </c>
      <c r="X1079" s="3" t="s">
        <v>5457</v>
      </c>
    </row>
    <row r="1080" spans="1:24" ht="41.95" x14ac:dyDescent="0.3">
      <c r="A1080" s="5">
        <v>1074</v>
      </c>
      <c r="B1080" s="5" t="str">
        <f>"201700053879"</f>
        <v>201700053879</v>
      </c>
      <c r="C1080" s="5" t="str">
        <f>"127885"</f>
        <v>127885</v>
      </c>
      <c r="D1080" s="5" t="s">
        <v>5458</v>
      </c>
      <c r="E1080" s="5">
        <v>20552764804</v>
      </c>
      <c r="F1080" s="5" t="s">
        <v>5459</v>
      </c>
      <c r="G1080" s="5" t="s">
        <v>5460</v>
      </c>
      <c r="H1080" s="5" t="s">
        <v>28</v>
      </c>
      <c r="I1080" s="5" t="s">
        <v>28</v>
      </c>
      <c r="J1080" s="5" t="s">
        <v>180</v>
      </c>
      <c r="K1080" s="5" t="s">
        <v>5461</v>
      </c>
      <c r="L1080" s="5"/>
      <c r="M1080" s="5"/>
      <c r="N1080" s="5"/>
      <c r="O1080" s="5"/>
      <c r="P1080" s="5"/>
      <c r="Q1080" s="5"/>
      <c r="R1080" s="5"/>
      <c r="S1080" s="5"/>
      <c r="T1080" s="5"/>
      <c r="U1080" s="5">
        <v>8000</v>
      </c>
      <c r="V1080" s="6">
        <v>42900</v>
      </c>
      <c r="W1080" s="5" t="s">
        <v>31</v>
      </c>
      <c r="X1080" s="5" t="s">
        <v>5462</v>
      </c>
    </row>
    <row r="1081" spans="1:24" x14ac:dyDescent="0.3">
      <c r="A1081" s="3">
        <v>1075</v>
      </c>
      <c r="B1081" s="3" t="str">
        <f>"1710413"</f>
        <v>1710413</v>
      </c>
      <c r="C1081" s="3" t="str">
        <f>"60753"</f>
        <v>60753</v>
      </c>
      <c r="D1081" s="3" t="s">
        <v>5463</v>
      </c>
      <c r="E1081" s="3">
        <v>20191308868</v>
      </c>
      <c r="F1081" s="3" t="s">
        <v>5464</v>
      </c>
      <c r="G1081" s="3" t="s">
        <v>5465</v>
      </c>
      <c r="H1081" s="3" t="s">
        <v>28</v>
      </c>
      <c r="I1081" s="3" t="s">
        <v>667</v>
      </c>
      <c r="J1081" s="3" t="s">
        <v>1340</v>
      </c>
      <c r="K1081" s="3" t="s">
        <v>5466</v>
      </c>
      <c r="L1081" s="3"/>
      <c r="M1081" s="3"/>
      <c r="N1081" s="3"/>
      <c r="O1081" s="3"/>
      <c r="P1081" s="3"/>
      <c r="Q1081" s="3"/>
      <c r="R1081" s="3"/>
      <c r="S1081" s="3"/>
      <c r="T1081" s="3"/>
      <c r="U1081" s="3">
        <v>15000</v>
      </c>
      <c r="V1081" s="4">
        <v>39308</v>
      </c>
      <c r="W1081" s="3" t="s">
        <v>31</v>
      </c>
      <c r="X1081" s="3" t="s">
        <v>5467</v>
      </c>
    </row>
    <row r="1082" spans="1:24" ht="27.95" x14ac:dyDescent="0.3">
      <c r="A1082" s="5">
        <v>1076</v>
      </c>
      <c r="B1082" s="5" t="str">
        <f>"201700146214"</f>
        <v>201700146214</v>
      </c>
      <c r="C1082" s="5" t="str">
        <f>"131720"</f>
        <v>131720</v>
      </c>
      <c r="D1082" s="5" t="s">
        <v>5468</v>
      </c>
      <c r="E1082" s="5">
        <v>20567129331</v>
      </c>
      <c r="F1082" s="5" t="s">
        <v>5469</v>
      </c>
      <c r="G1082" s="5" t="s">
        <v>5470</v>
      </c>
      <c r="H1082" s="5" t="s">
        <v>58</v>
      </c>
      <c r="I1082" s="5" t="s">
        <v>59</v>
      </c>
      <c r="J1082" s="5" t="s">
        <v>2573</v>
      </c>
      <c r="K1082" s="5" t="s">
        <v>5471</v>
      </c>
      <c r="L1082" s="5" t="s">
        <v>5471</v>
      </c>
      <c r="M1082" s="5" t="s">
        <v>5472</v>
      </c>
      <c r="N1082" s="5" t="s">
        <v>5472</v>
      </c>
      <c r="O1082" s="5" t="s">
        <v>5473</v>
      </c>
      <c r="P1082" s="5"/>
      <c r="Q1082" s="5"/>
      <c r="R1082" s="5"/>
      <c r="S1082" s="5"/>
      <c r="T1082" s="5"/>
      <c r="U1082" s="5">
        <v>751305</v>
      </c>
      <c r="V1082" s="6">
        <v>42992</v>
      </c>
      <c r="W1082" s="5" t="s">
        <v>31</v>
      </c>
      <c r="X1082" s="5" t="s">
        <v>5474</v>
      </c>
    </row>
    <row r="1083" spans="1:24" ht="27.95" x14ac:dyDescent="0.3">
      <c r="A1083" s="3">
        <v>1077</v>
      </c>
      <c r="B1083" s="3" t="str">
        <f>"1732106"</f>
        <v>1732106</v>
      </c>
      <c r="C1083" s="3" t="str">
        <f>"64"</f>
        <v>64</v>
      </c>
      <c r="D1083" s="3" t="s">
        <v>5475</v>
      </c>
      <c r="E1083" s="3">
        <v>20100192226</v>
      </c>
      <c r="F1083" s="3" t="s">
        <v>5476</v>
      </c>
      <c r="G1083" s="3" t="s">
        <v>5477</v>
      </c>
      <c r="H1083" s="3" t="s">
        <v>51</v>
      </c>
      <c r="I1083" s="3" t="s">
        <v>51</v>
      </c>
      <c r="J1083" s="3" t="s">
        <v>51</v>
      </c>
      <c r="K1083" s="3" t="s">
        <v>5478</v>
      </c>
      <c r="L1083" s="3" t="s">
        <v>5478</v>
      </c>
      <c r="M1083" s="3" t="s">
        <v>5479</v>
      </c>
      <c r="N1083" s="3"/>
      <c r="O1083" s="3"/>
      <c r="P1083" s="3"/>
      <c r="Q1083" s="3"/>
      <c r="R1083" s="3"/>
      <c r="S1083" s="3"/>
      <c r="T1083" s="3"/>
      <c r="U1083" s="3">
        <v>23769</v>
      </c>
      <c r="V1083" s="4">
        <v>36999</v>
      </c>
      <c r="W1083" s="3" t="s">
        <v>31</v>
      </c>
      <c r="X1083" s="3" t="s">
        <v>5480</v>
      </c>
    </row>
    <row r="1084" spans="1:24" ht="27.95" x14ac:dyDescent="0.3">
      <c r="A1084" s="5">
        <v>1078</v>
      </c>
      <c r="B1084" s="5" t="str">
        <f>"1600223"</f>
        <v>1600223</v>
      </c>
      <c r="C1084" s="5" t="str">
        <f>"39606"</f>
        <v>39606</v>
      </c>
      <c r="D1084" s="5" t="s">
        <v>5481</v>
      </c>
      <c r="E1084" s="5">
        <v>20370146994</v>
      </c>
      <c r="F1084" s="5" t="s">
        <v>5482</v>
      </c>
      <c r="G1084" s="5" t="s">
        <v>5483</v>
      </c>
      <c r="H1084" s="5" t="s">
        <v>51</v>
      </c>
      <c r="I1084" s="5" t="s">
        <v>51</v>
      </c>
      <c r="J1084" s="5" t="s">
        <v>51</v>
      </c>
      <c r="K1084" s="5" t="s">
        <v>329</v>
      </c>
      <c r="L1084" s="5" t="s">
        <v>3010</v>
      </c>
      <c r="M1084" s="5"/>
      <c r="N1084" s="5"/>
      <c r="O1084" s="5"/>
      <c r="P1084" s="5"/>
      <c r="Q1084" s="5"/>
      <c r="R1084" s="5"/>
      <c r="S1084" s="5"/>
      <c r="T1084" s="5"/>
      <c r="U1084" s="5">
        <v>30000</v>
      </c>
      <c r="V1084" s="6">
        <v>38811</v>
      </c>
      <c r="W1084" s="5" t="s">
        <v>31</v>
      </c>
      <c r="X1084" s="5" t="s">
        <v>5484</v>
      </c>
    </row>
    <row r="1085" spans="1:24" ht="27.95" x14ac:dyDescent="0.3">
      <c r="A1085" s="3">
        <v>1079</v>
      </c>
      <c r="B1085" s="3" t="str">
        <f>"1521420"</f>
        <v>1521420</v>
      </c>
      <c r="C1085" s="3" t="str">
        <f>"39426"</f>
        <v>39426</v>
      </c>
      <c r="D1085" s="3" t="s">
        <v>5485</v>
      </c>
      <c r="E1085" s="3">
        <v>20100067910</v>
      </c>
      <c r="F1085" s="3" t="s">
        <v>5486</v>
      </c>
      <c r="G1085" s="3" t="s">
        <v>5487</v>
      </c>
      <c r="H1085" s="3" t="s">
        <v>28</v>
      </c>
      <c r="I1085" s="3" t="s">
        <v>28</v>
      </c>
      <c r="J1085" s="3" t="s">
        <v>91</v>
      </c>
      <c r="K1085" s="3" t="s">
        <v>5488</v>
      </c>
      <c r="L1085" s="3"/>
      <c r="M1085" s="3"/>
      <c r="N1085" s="3"/>
      <c r="O1085" s="3"/>
      <c r="P1085" s="3"/>
      <c r="Q1085" s="3"/>
      <c r="R1085" s="3"/>
      <c r="S1085" s="3"/>
      <c r="T1085" s="3"/>
      <c r="U1085" s="3">
        <v>2500</v>
      </c>
      <c r="V1085" s="4">
        <v>38428</v>
      </c>
      <c r="W1085" s="3" t="s">
        <v>31</v>
      </c>
      <c r="X1085" s="3" t="s">
        <v>5489</v>
      </c>
    </row>
    <row r="1086" spans="1:24" x14ac:dyDescent="0.3">
      <c r="A1086" s="5">
        <v>1080</v>
      </c>
      <c r="B1086" s="5" t="str">
        <f>"202000077265"</f>
        <v>202000077265</v>
      </c>
      <c r="C1086" s="5" t="str">
        <f>"115594"</f>
        <v>115594</v>
      </c>
      <c r="D1086" s="5" t="s">
        <v>5490</v>
      </c>
      <c r="E1086" s="5">
        <v>20525413447</v>
      </c>
      <c r="F1086" s="5" t="s">
        <v>2065</v>
      </c>
      <c r="G1086" s="5" t="s">
        <v>5491</v>
      </c>
      <c r="H1086" s="5" t="s">
        <v>80</v>
      </c>
      <c r="I1086" s="5" t="s">
        <v>309</v>
      </c>
      <c r="J1086" s="5" t="s">
        <v>5492</v>
      </c>
      <c r="K1086" s="5" t="s">
        <v>2625</v>
      </c>
      <c r="L1086" s="5" t="s">
        <v>2067</v>
      </c>
      <c r="M1086" s="5"/>
      <c r="N1086" s="5"/>
      <c r="O1086" s="5"/>
      <c r="P1086" s="5"/>
      <c r="Q1086" s="5"/>
      <c r="R1086" s="5"/>
      <c r="S1086" s="5"/>
      <c r="T1086" s="5"/>
      <c r="U1086" s="5">
        <v>7000</v>
      </c>
      <c r="V1086" s="6">
        <v>44019</v>
      </c>
      <c r="W1086" s="5" t="s">
        <v>31</v>
      </c>
      <c r="X1086" s="5" t="s">
        <v>2068</v>
      </c>
    </row>
    <row r="1087" spans="1:24" x14ac:dyDescent="0.3">
      <c r="A1087" s="3">
        <v>1081</v>
      </c>
      <c r="B1087" s="3" t="str">
        <f>"201700081318"</f>
        <v>201700081318</v>
      </c>
      <c r="C1087" s="3" t="str">
        <f>"18253"</f>
        <v>18253</v>
      </c>
      <c r="D1087" s="3" t="s">
        <v>5493</v>
      </c>
      <c r="E1087" s="3">
        <v>20512868046</v>
      </c>
      <c r="F1087" s="3" t="s">
        <v>1455</v>
      </c>
      <c r="G1087" s="3" t="s">
        <v>5494</v>
      </c>
      <c r="H1087" s="3" t="s">
        <v>36</v>
      </c>
      <c r="I1087" s="3" t="s">
        <v>1269</v>
      </c>
      <c r="J1087" s="3" t="s">
        <v>1270</v>
      </c>
      <c r="K1087" s="3" t="s">
        <v>2780</v>
      </c>
      <c r="L1087" s="3" t="s">
        <v>5495</v>
      </c>
      <c r="M1087" s="3"/>
      <c r="N1087" s="3"/>
      <c r="O1087" s="3"/>
      <c r="P1087" s="3"/>
      <c r="Q1087" s="3"/>
      <c r="R1087" s="3"/>
      <c r="S1087" s="3"/>
      <c r="T1087" s="3"/>
      <c r="U1087" s="3">
        <v>182000</v>
      </c>
      <c r="V1087" s="4">
        <v>42891</v>
      </c>
      <c r="W1087" s="3" t="s">
        <v>31</v>
      </c>
      <c r="X1087" s="3" t="s">
        <v>1461</v>
      </c>
    </row>
    <row r="1088" spans="1:24" ht="27.95" x14ac:dyDescent="0.3">
      <c r="A1088" s="5">
        <v>1082</v>
      </c>
      <c r="B1088" s="5" t="str">
        <f>"201600135841"</f>
        <v>201600135841</v>
      </c>
      <c r="C1088" s="5" t="str">
        <f>"192"</f>
        <v>192</v>
      </c>
      <c r="D1088" s="5" t="s">
        <v>5496</v>
      </c>
      <c r="E1088" s="5">
        <v>20100113610</v>
      </c>
      <c r="F1088" s="5" t="s">
        <v>1973</v>
      </c>
      <c r="G1088" s="5" t="s">
        <v>5497</v>
      </c>
      <c r="H1088" s="5" t="s">
        <v>264</v>
      </c>
      <c r="I1088" s="5" t="s">
        <v>264</v>
      </c>
      <c r="J1088" s="5" t="s">
        <v>895</v>
      </c>
      <c r="K1088" s="5" t="s">
        <v>5498</v>
      </c>
      <c r="L1088" s="5" t="s">
        <v>5499</v>
      </c>
      <c r="M1088" s="5" t="s">
        <v>5500</v>
      </c>
      <c r="N1088" s="5" t="s">
        <v>5500</v>
      </c>
      <c r="O1088" s="5"/>
      <c r="P1088" s="5"/>
      <c r="Q1088" s="5"/>
      <c r="R1088" s="5"/>
      <c r="S1088" s="5"/>
      <c r="T1088" s="5"/>
      <c r="U1088" s="5">
        <v>164000</v>
      </c>
      <c r="V1088" s="6">
        <v>42639</v>
      </c>
      <c r="W1088" s="5" t="s">
        <v>31</v>
      </c>
      <c r="X1088" s="5" t="s">
        <v>5501</v>
      </c>
    </row>
    <row r="1089" spans="1:24" x14ac:dyDescent="0.3">
      <c r="A1089" s="3">
        <v>1083</v>
      </c>
      <c r="B1089" s="3" t="str">
        <f>"201800079625"</f>
        <v>201800079625</v>
      </c>
      <c r="C1089" s="3" t="str">
        <f>"1579"</f>
        <v>1579</v>
      </c>
      <c r="D1089" s="3" t="s">
        <v>5502</v>
      </c>
      <c r="E1089" s="3">
        <v>20104420282</v>
      </c>
      <c r="F1089" s="3" t="s">
        <v>4778</v>
      </c>
      <c r="G1089" s="3" t="s">
        <v>5503</v>
      </c>
      <c r="H1089" s="3" t="s">
        <v>135</v>
      </c>
      <c r="I1089" s="3" t="s">
        <v>402</v>
      </c>
      <c r="J1089" s="3" t="s">
        <v>403</v>
      </c>
      <c r="K1089" s="3" t="s">
        <v>130</v>
      </c>
      <c r="L1089" s="3" t="s">
        <v>5504</v>
      </c>
      <c r="M1089" s="3"/>
      <c r="N1089" s="3"/>
      <c r="O1089" s="3"/>
      <c r="P1089" s="3"/>
      <c r="Q1089" s="3"/>
      <c r="R1089" s="3"/>
      <c r="S1089" s="3"/>
      <c r="T1089" s="3"/>
      <c r="U1089" s="3">
        <v>9086</v>
      </c>
      <c r="V1089" s="4">
        <v>43240</v>
      </c>
      <c r="W1089" s="3" t="s">
        <v>31</v>
      </c>
      <c r="X1089" s="3" t="s">
        <v>4781</v>
      </c>
    </row>
    <row r="1090" spans="1:24" x14ac:dyDescent="0.3">
      <c r="A1090" s="5">
        <v>1084</v>
      </c>
      <c r="B1090" s="5" t="str">
        <f>"1369333"</f>
        <v>1369333</v>
      </c>
      <c r="C1090" s="5" t="str">
        <f>"982"</f>
        <v>982</v>
      </c>
      <c r="D1090" s="5" t="s">
        <v>5505</v>
      </c>
      <c r="E1090" s="5">
        <v>20431871808</v>
      </c>
      <c r="F1090" s="5" t="s">
        <v>152</v>
      </c>
      <c r="G1090" s="5" t="s">
        <v>5506</v>
      </c>
      <c r="H1090" s="5" t="s">
        <v>51</v>
      </c>
      <c r="I1090" s="5" t="s">
        <v>51</v>
      </c>
      <c r="J1090" s="5" t="s">
        <v>51</v>
      </c>
      <c r="K1090" s="5" t="s">
        <v>5507</v>
      </c>
      <c r="L1090" s="5"/>
      <c r="M1090" s="5"/>
      <c r="N1090" s="5"/>
      <c r="O1090" s="5"/>
      <c r="P1090" s="5"/>
      <c r="Q1090" s="5"/>
      <c r="R1090" s="5"/>
      <c r="S1090" s="5"/>
      <c r="T1090" s="5"/>
      <c r="U1090" s="5">
        <v>189034</v>
      </c>
      <c r="V1090" s="6">
        <v>37435</v>
      </c>
      <c r="W1090" s="5" t="s">
        <v>31</v>
      </c>
      <c r="X1090" s="5" t="s">
        <v>5508</v>
      </c>
    </row>
    <row r="1091" spans="1:24" x14ac:dyDescent="0.3">
      <c r="A1091" s="3">
        <v>1085</v>
      </c>
      <c r="B1091" s="3" t="str">
        <f>"201400167999"</f>
        <v>201400167999</v>
      </c>
      <c r="C1091" s="3" t="str">
        <f>"113051"</f>
        <v>113051</v>
      </c>
      <c r="D1091" s="3" t="s">
        <v>5509</v>
      </c>
      <c r="E1091" s="3">
        <v>20527039305</v>
      </c>
      <c r="F1091" s="3" t="s">
        <v>5510</v>
      </c>
      <c r="G1091" s="3" t="s">
        <v>5511</v>
      </c>
      <c r="H1091" s="3" t="s">
        <v>165</v>
      </c>
      <c r="I1091" s="3" t="s">
        <v>2330</v>
      </c>
      <c r="J1091" s="3" t="s">
        <v>2331</v>
      </c>
      <c r="K1091" s="3" t="s">
        <v>3845</v>
      </c>
      <c r="L1091" s="3" t="s">
        <v>3692</v>
      </c>
      <c r="M1091" s="3" t="s">
        <v>181</v>
      </c>
      <c r="N1091" s="3"/>
      <c r="O1091" s="3"/>
      <c r="P1091" s="3"/>
      <c r="Q1091" s="3"/>
      <c r="R1091" s="3"/>
      <c r="S1091" s="3"/>
      <c r="T1091" s="3"/>
      <c r="U1091" s="3">
        <v>13400</v>
      </c>
      <c r="V1091" s="4">
        <v>42055</v>
      </c>
      <c r="W1091" s="3" t="s">
        <v>31</v>
      </c>
      <c r="X1091" s="3" t="s">
        <v>5512</v>
      </c>
    </row>
    <row r="1092" spans="1:24" ht="27.95" x14ac:dyDescent="0.3">
      <c r="A1092" s="5">
        <v>1086</v>
      </c>
      <c r="B1092" s="5" t="str">
        <f>"201300042380"</f>
        <v>201300042380</v>
      </c>
      <c r="C1092" s="5" t="str">
        <f>"101296"</f>
        <v>101296</v>
      </c>
      <c r="D1092" s="5" t="s">
        <v>5513</v>
      </c>
      <c r="E1092" s="5">
        <v>20111250856</v>
      </c>
      <c r="F1092" s="5" t="s">
        <v>5514</v>
      </c>
      <c r="G1092" s="5" t="s">
        <v>5515</v>
      </c>
      <c r="H1092" s="5" t="s">
        <v>115</v>
      </c>
      <c r="I1092" s="5" t="s">
        <v>115</v>
      </c>
      <c r="J1092" s="5" t="s">
        <v>159</v>
      </c>
      <c r="K1092" s="5" t="s">
        <v>110</v>
      </c>
      <c r="L1092" s="5"/>
      <c r="M1092" s="5"/>
      <c r="N1092" s="5"/>
      <c r="O1092" s="5"/>
      <c r="P1092" s="5"/>
      <c r="Q1092" s="5"/>
      <c r="R1092" s="5"/>
      <c r="S1092" s="5"/>
      <c r="T1092" s="5"/>
      <c r="U1092" s="5">
        <v>4000</v>
      </c>
      <c r="V1092" s="6">
        <v>41365</v>
      </c>
      <c r="W1092" s="5" t="s">
        <v>31</v>
      </c>
      <c r="X1092" s="5" t="s">
        <v>5516</v>
      </c>
    </row>
    <row r="1093" spans="1:24" x14ac:dyDescent="0.3">
      <c r="A1093" s="3">
        <v>1087</v>
      </c>
      <c r="B1093" s="3" t="str">
        <f>"201800020886"</f>
        <v>201800020886</v>
      </c>
      <c r="C1093" s="3" t="str">
        <f>"18486"</f>
        <v>18486</v>
      </c>
      <c r="D1093" s="3" t="s">
        <v>5517</v>
      </c>
      <c r="E1093" s="3">
        <v>20100137390</v>
      </c>
      <c r="F1093" s="3" t="s">
        <v>718</v>
      </c>
      <c r="G1093" s="3" t="s">
        <v>5518</v>
      </c>
      <c r="H1093" s="3" t="s">
        <v>28</v>
      </c>
      <c r="I1093" s="3" t="s">
        <v>28</v>
      </c>
      <c r="J1093" s="3" t="s">
        <v>29</v>
      </c>
      <c r="K1093" s="3" t="s">
        <v>168</v>
      </c>
      <c r="L1093" s="3" t="s">
        <v>4933</v>
      </c>
      <c r="M1093" s="3"/>
      <c r="N1093" s="3"/>
      <c r="O1093" s="3"/>
      <c r="P1093" s="3"/>
      <c r="Q1093" s="3"/>
      <c r="R1093" s="3"/>
      <c r="S1093" s="3"/>
      <c r="T1093" s="3"/>
      <c r="U1093" s="3">
        <v>19500</v>
      </c>
      <c r="V1093" s="4">
        <v>43141</v>
      </c>
      <c r="W1093" s="3" t="s">
        <v>31</v>
      </c>
      <c r="X1093" s="3" t="s">
        <v>1532</v>
      </c>
    </row>
    <row r="1094" spans="1:24" ht="27.95" x14ac:dyDescent="0.3">
      <c r="A1094" s="5">
        <v>1088</v>
      </c>
      <c r="B1094" s="5" t="str">
        <f>"1487952"</f>
        <v>1487952</v>
      </c>
      <c r="C1094" s="5" t="str">
        <f>"92692"</f>
        <v>92692</v>
      </c>
      <c r="D1094" s="5" t="s">
        <v>5519</v>
      </c>
      <c r="E1094" s="5">
        <v>20106423963</v>
      </c>
      <c r="F1094" s="5" t="s">
        <v>5520</v>
      </c>
      <c r="G1094" s="5" t="s">
        <v>5521</v>
      </c>
      <c r="H1094" s="5" t="s">
        <v>28</v>
      </c>
      <c r="I1094" s="5" t="s">
        <v>28</v>
      </c>
      <c r="J1094" s="5" t="s">
        <v>687</v>
      </c>
      <c r="K1094" s="5" t="s">
        <v>4367</v>
      </c>
      <c r="L1094" s="5"/>
      <c r="M1094" s="5"/>
      <c r="N1094" s="5"/>
      <c r="O1094" s="5"/>
      <c r="P1094" s="5"/>
      <c r="Q1094" s="5"/>
      <c r="R1094" s="5"/>
      <c r="S1094" s="5"/>
      <c r="T1094" s="5"/>
      <c r="U1094" s="5">
        <v>3951</v>
      </c>
      <c r="V1094" s="6">
        <v>40704</v>
      </c>
      <c r="W1094" s="5" t="s">
        <v>31</v>
      </c>
      <c r="X1094" s="5" t="s">
        <v>5522</v>
      </c>
    </row>
    <row r="1095" spans="1:24" x14ac:dyDescent="0.3">
      <c r="A1095" s="3">
        <v>1089</v>
      </c>
      <c r="B1095" s="3" t="str">
        <f>"201800158488"</f>
        <v>201800158488</v>
      </c>
      <c r="C1095" s="3" t="str">
        <f>"42334"</f>
        <v>42334</v>
      </c>
      <c r="D1095" s="3" t="s">
        <v>5523</v>
      </c>
      <c r="E1095" s="3">
        <v>20502129806</v>
      </c>
      <c r="F1095" s="3" t="s">
        <v>5524</v>
      </c>
      <c r="G1095" s="3" t="s">
        <v>1947</v>
      </c>
      <c r="H1095" s="3" t="s">
        <v>115</v>
      </c>
      <c r="I1095" s="3" t="s">
        <v>115</v>
      </c>
      <c r="J1095" s="3" t="s">
        <v>159</v>
      </c>
      <c r="K1095" s="3" t="s">
        <v>5525</v>
      </c>
      <c r="L1095" s="3"/>
      <c r="M1095" s="3"/>
      <c r="N1095" s="3"/>
      <c r="O1095" s="3"/>
      <c r="P1095" s="3"/>
      <c r="Q1095" s="3"/>
      <c r="R1095" s="3"/>
      <c r="S1095" s="3"/>
      <c r="T1095" s="3"/>
      <c r="U1095" s="3">
        <v>5260</v>
      </c>
      <c r="V1095" s="4">
        <v>43376</v>
      </c>
      <c r="W1095" s="3" t="s">
        <v>31</v>
      </c>
      <c r="X1095" s="3" t="s">
        <v>5526</v>
      </c>
    </row>
    <row r="1096" spans="1:24" x14ac:dyDescent="0.3">
      <c r="A1096" s="5">
        <v>1090</v>
      </c>
      <c r="B1096" s="5" t="str">
        <f>"1837631"</f>
        <v>1837631</v>
      </c>
      <c r="C1096" s="5" t="str">
        <f>"18566"</f>
        <v>18566</v>
      </c>
      <c r="D1096" s="5" t="s">
        <v>5527</v>
      </c>
      <c r="E1096" s="5">
        <v>20131257750</v>
      </c>
      <c r="F1096" s="5" t="s">
        <v>5528</v>
      </c>
      <c r="G1096" s="5" t="s">
        <v>5529</v>
      </c>
      <c r="H1096" s="5" t="s">
        <v>36</v>
      </c>
      <c r="I1096" s="5" t="s">
        <v>234</v>
      </c>
      <c r="J1096" s="5" t="s">
        <v>234</v>
      </c>
      <c r="K1096" s="5" t="s">
        <v>46</v>
      </c>
      <c r="L1096" s="5"/>
      <c r="M1096" s="5"/>
      <c r="N1096" s="5"/>
      <c r="O1096" s="5"/>
      <c r="P1096" s="5"/>
      <c r="Q1096" s="5"/>
      <c r="R1096" s="5"/>
      <c r="S1096" s="5"/>
      <c r="T1096" s="5"/>
      <c r="U1096" s="5">
        <v>3000</v>
      </c>
      <c r="V1096" s="6">
        <v>39738</v>
      </c>
      <c r="W1096" s="5" t="s">
        <v>31</v>
      </c>
      <c r="X1096" s="5" t="s">
        <v>5530</v>
      </c>
    </row>
    <row r="1097" spans="1:24" x14ac:dyDescent="0.3">
      <c r="A1097" s="3">
        <v>1091</v>
      </c>
      <c r="B1097" s="3" t="str">
        <f>"1443364"</f>
        <v>1443364</v>
      </c>
      <c r="C1097" s="3" t="str">
        <f>"36628"</f>
        <v>36628</v>
      </c>
      <c r="D1097" s="3" t="s">
        <v>5531</v>
      </c>
      <c r="E1097" s="3">
        <v>20466327612</v>
      </c>
      <c r="F1097" s="3" t="s">
        <v>3004</v>
      </c>
      <c r="G1097" s="3" t="s">
        <v>5532</v>
      </c>
      <c r="H1097" s="3" t="s">
        <v>28</v>
      </c>
      <c r="I1097" s="3" t="s">
        <v>28</v>
      </c>
      <c r="J1097" s="3" t="s">
        <v>1824</v>
      </c>
      <c r="K1097" s="3" t="s">
        <v>3550</v>
      </c>
      <c r="L1097" s="3" t="s">
        <v>3550</v>
      </c>
      <c r="M1097" s="3" t="s">
        <v>3550</v>
      </c>
      <c r="N1097" s="3" t="s">
        <v>3550</v>
      </c>
      <c r="O1097" s="3"/>
      <c r="P1097" s="3"/>
      <c r="Q1097" s="3"/>
      <c r="R1097" s="3"/>
      <c r="S1097" s="3"/>
      <c r="T1097" s="3"/>
      <c r="U1097" s="3">
        <v>56000</v>
      </c>
      <c r="V1097" s="4">
        <v>37953</v>
      </c>
      <c r="W1097" s="3" t="s">
        <v>31</v>
      </c>
      <c r="X1097" s="3" t="s">
        <v>5533</v>
      </c>
    </row>
    <row r="1098" spans="1:24" ht="27.95" x14ac:dyDescent="0.3">
      <c r="A1098" s="5">
        <v>1092</v>
      </c>
      <c r="B1098" s="5" t="str">
        <f>"1397694"</f>
        <v>1397694</v>
      </c>
      <c r="C1098" s="5" t="str">
        <f>"87929"</f>
        <v>87929</v>
      </c>
      <c r="D1098" s="5" t="s">
        <v>5534</v>
      </c>
      <c r="E1098" s="5">
        <v>20147972891</v>
      </c>
      <c r="F1098" s="5" t="s">
        <v>5535</v>
      </c>
      <c r="G1098" s="5" t="s">
        <v>5536</v>
      </c>
      <c r="H1098" s="5" t="s">
        <v>28</v>
      </c>
      <c r="I1098" s="5" t="s">
        <v>28</v>
      </c>
      <c r="J1098" s="5" t="s">
        <v>409</v>
      </c>
      <c r="K1098" s="5" t="s">
        <v>5537</v>
      </c>
      <c r="L1098" s="5"/>
      <c r="M1098" s="5"/>
      <c r="N1098" s="5"/>
      <c r="O1098" s="5"/>
      <c r="P1098" s="5"/>
      <c r="Q1098" s="5"/>
      <c r="R1098" s="5"/>
      <c r="S1098" s="5"/>
      <c r="T1098" s="5"/>
      <c r="U1098" s="5">
        <v>5312</v>
      </c>
      <c r="V1098" s="6">
        <v>40430</v>
      </c>
      <c r="W1098" s="5" t="s">
        <v>31</v>
      </c>
      <c r="X1098" s="5" t="s">
        <v>5538</v>
      </c>
    </row>
    <row r="1099" spans="1:24" ht="27.95" x14ac:dyDescent="0.3">
      <c r="A1099" s="3">
        <v>1093</v>
      </c>
      <c r="B1099" s="3" t="str">
        <f>"1401424"</f>
        <v>1401424</v>
      </c>
      <c r="C1099" s="3" t="str">
        <f>"31999"</f>
        <v>31999</v>
      </c>
      <c r="D1099" s="3" t="s">
        <v>5539</v>
      </c>
      <c r="E1099" s="3">
        <v>20510890222</v>
      </c>
      <c r="F1099" s="3" t="s">
        <v>5540</v>
      </c>
      <c r="G1099" s="3" t="s">
        <v>5541</v>
      </c>
      <c r="H1099" s="3" t="s">
        <v>28</v>
      </c>
      <c r="I1099" s="3" t="s">
        <v>28</v>
      </c>
      <c r="J1099" s="3" t="s">
        <v>91</v>
      </c>
      <c r="K1099" s="3" t="s">
        <v>5542</v>
      </c>
      <c r="L1099" s="3" t="s">
        <v>5543</v>
      </c>
      <c r="M1099" s="3" t="s">
        <v>5544</v>
      </c>
      <c r="N1099" s="3"/>
      <c r="O1099" s="3"/>
      <c r="P1099" s="3"/>
      <c r="Q1099" s="3"/>
      <c r="R1099" s="3"/>
      <c r="S1099" s="3"/>
      <c r="T1099" s="3"/>
      <c r="U1099" s="3">
        <v>13180</v>
      </c>
      <c r="V1099" s="4">
        <v>40450</v>
      </c>
      <c r="W1099" s="3" t="s">
        <v>31</v>
      </c>
      <c r="X1099" s="3" t="s">
        <v>5545</v>
      </c>
    </row>
    <row r="1100" spans="1:24" x14ac:dyDescent="0.3">
      <c r="A1100" s="5">
        <v>1094</v>
      </c>
      <c r="B1100" s="5" t="str">
        <f>"201800058605"</f>
        <v>201800058605</v>
      </c>
      <c r="C1100" s="5" t="str">
        <f>"135533"</f>
        <v>135533</v>
      </c>
      <c r="D1100" s="5" t="s">
        <v>5546</v>
      </c>
      <c r="E1100" s="5">
        <v>20109565017</v>
      </c>
      <c r="F1100" s="5" t="s">
        <v>531</v>
      </c>
      <c r="G1100" s="5" t="s">
        <v>5547</v>
      </c>
      <c r="H1100" s="5" t="s">
        <v>373</v>
      </c>
      <c r="I1100" s="5" t="s">
        <v>1141</v>
      </c>
      <c r="J1100" s="5" t="s">
        <v>1141</v>
      </c>
      <c r="K1100" s="5" t="s">
        <v>1725</v>
      </c>
      <c r="L1100" s="5"/>
      <c r="M1100" s="5"/>
      <c r="N1100" s="5"/>
      <c r="O1100" s="5"/>
      <c r="P1100" s="5"/>
      <c r="Q1100" s="5"/>
      <c r="R1100" s="5"/>
      <c r="S1100" s="5"/>
      <c r="T1100" s="5"/>
      <c r="U1100" s="5">
        <v>2000</v>
      </c>
      <c r="V1100" s="6">
        <v>43205</v>
      </c>
      <c r="W1100" s="5" t="s">
        <v>31</v>
      </c>
      <c r="X1100" s="5" t="s">
        <v>5319</v>
      </c>
    </row>
    <row r="1101" spans="1:24" x14ac:dyDescent="0.3">
      <c r="A1101" s="3">
        <v>1095</v>
      </c>
      <c r="B1101" s="3" t="str">
        <f>"201900121317"</f>
        <v>201900121317</v>
      </c>
      <c r="C1101" s="3" t="str">
        <f>"142880"</f>
        <v>142880</v>
      </c>
      <c r="D1101" s="3" t="s">
        <v>5548</v>
      </c>
      <c r="E1101" s="3">
        <v>10246686641</v>
      </c>
      <c r="F1101" s="3" t="s">
        <v>5549</v>
      </c>
      <c r="G1101" s="3" t="s">
        <v>5550</v>
      </c>
      <c r="H1101" s="3" t="s">
        <v>165</v>
      </c>
      <c r="I1101" s="3" t="s">
        <v>166</v>
      </c>
      <c r="J1101" s="3" t="s">
        <v>167</v>
      </c>
      <c r="K1101" s="3" t="s">
        <v>734</v>
      </c>
      <c r="L1101" s="3" t="s">
        <v>734</v>
      </c>
      <c r="M1101" s="3"/>
      <c r="N1101" s="3"/>
      <c r="O1101" s="3"/>
      <c r="P1101" s="3"/>
      <c r="Q1101" s="3"/>
      <c r="R1101" s="3"/>
      <c r="S1101" s="3"/>
      <c r="T1101" s="3"/>
      <c r="U1101" s="3">
        <v>14000</v>
      </c>
      <c r="V1101" s="4">
        <v>43676</v>
      </c>
      <c r="W1101" s="3" t="s">
        <v>31</v>
      </c>
      <c r="X1101" s="3" t="s">
        <v>5549</v>
      </c>
    </row>
    <row r="1102" spans="1:24" x14ac:dyDescent="0.3">
      <c r="A1102" s="5">
        <v>1096</v>
      </c>
      <c r="B1102" s="5" t="str">
        <f>"1401420"</f>
        <v>1401420</v>
      </c>
      <c r="C1102" s="5" t="str">
        <f>"34490"</f>
        <v>34490</v>
      </c>
      <c r="D1102" s="5" t="s">
        <v>5551</v>
      </c>
      <c r="E1102" s="5">
        <v>20263674929</v>
      </c>
      <c r="F1102" s="5" t="s">
        <v>904</v>
      </c>
      <c r="G1102" s="5" t="s">
        <v>5552</v>
      </c>
      <c r="H1102" s="5" t="s">
        <v>28</v>
      </c>
      <c r="I1102" s="5" t="s">
        <v>28</v>
      </c>
      <c r="J1102" s="5" t="s">
        <v>172</v>
      </c>
      <c r="K1102" s="5" t="s">
        <v>871</v>
      </c>
      <c r="L1102" s="5"/>
      <c r="M1102" s="5"/>
      <c r="N1102" s="5"/>
      <c r="O1102" s="5"/>
      <c r="P1102" s="5"/>
      <c r="Q1102" s="5"/>
      <c r="R1102" s="5"/>
      <c r="S1102" s="5"/>
      <c r="T1102" s="5"/>
      <c r="U1102" s="5">
        <v>3500</v>
      </c>
      <c r="V1102" s="6">
        <v>37677</v>
      </c>
      <c r="W1102" s="5" t="s">
        <v>31</v>
      </c>
      <c r="X1102" s="5" t="s">
        <v>5553</v>
      </c>
    </row>
    <row r="1103" spans="1:24" x14ac:dyDescent="0.3">
      <c r="A1103" s="3">
        <v>1097</v>
      </c>
      <c r="B1103" s="3" t="str">
        <f>"201700056743"</f>
        <v>201700056743</v>
      </c>
      <c r="C1103" s="3" t="str">
        <f>"127976"</f>
        <v>127976</v>
      </c>
      <c r="D1103" s="3" t="s">
        <v>5554</v>
      </c>
      <c r="E1103" s="3">
        <v>20518726146</v>
      </c>
      <c r="F1103" s="3" t="s">
        <v>5555</v>
      </c>
      <c r="G1103" s="3" t="s">
        <v>5556</v>
      </c>
      <c r="H1103" s="3" t="s">
        <v>28</v>
      </c>
      <c r="I1103" s="3" t="s">
        <v>28</v>
      </c>
      <c r="J1103" s="3" t="s">
        <v>4912</v>
      </c>
      <c r="K1103" s="3" t="s">
        <v>168</v>
      </c>
      <c r="L1103" s="3"/>
      <c r="M1103" s="3"/>
      <c r="N1103" s="3"/>
      <c r="O1103" s="3"/>
      <c r="P1103" s="3"/>
      <c r="Q1103" s="3"/>
      <c r="R1103" s="3"/>
      <c r="S1103" s="3"/>
      <c r="T1103" s="3"/>
      <c r="U1103" s="3">
        <v>10000</v>
      </c>
      <c r="V1103" s="4">
        <v>42878</v>
      </c>
      <c r="W1103" s="3" t="s">
        <v>31</v>
      </c>
      <c r="X1103" s="3" t="s">
        <v>5557</v>
      </c>
    </row>
    <row r="1104" spans="1:24" x14ac:dyDescent="0.3">
      <c r="A1104" s="5">
        <v>1098</v>
      </c>
      <c r="B1104" s="5" t="str">
        <f>"201600068391"</f>
        <v>201600068391</v>
      </c>
      <c r="C1104" s="5" t="str">
        <f>"45102"</f>
        <v>45102</v>
      </c>
      <c r="D1104" s="5" t="s">
        <v>5558</v>
      </c>
      <c r="E1104" s="5">
        <v>20263674929</v>
      </c>
      <c r="F1104" s="5" t="s">
        <v>5559</v>
      </c>
      <c r="G1104" s="5" t="s">
        <v>5560</v>
      </c>
      <c r="H1104" s="5" t="s">
        <v>28</v>
      </c>
      <c r="I1104" s="5" t="s">
        <v>28</v>
      </c>
      <c r="J1104" s="5" t="s">
        <v>180</v>
      </c>
      <c r="K1104" s="5" t="s">
        <v>130</v>
      </c>
      <c r="L1104" s="5"/>
      <c r="M1104" s="5"/>
      <c r="N1104" s="5"/>
      <c r="O1104" s="5"/>
      <c r="P1104" s="5"/>
      <c r="Q1104" s="5"/>
      <c r="R1104" s="5"/>
      <c r="S1104" s="5"/>
      <c r="T1104" s="5"/>
      <c r="U1104" s="5">
        <v>3000</v>
      </c>
      <c r="V1104" s="6">
        <v>42506</v>
      </c>
      <c r="W1104" s="5" t="s">
        <v>31</v>
      </c>
      <c r="X1104" s="5" t="s">
        <v>5561</v>
      </c>
    </row>
    <row r="1105" spans="1:24" ht="41.95" x14ac:dyDescent="0.3">
      <c r="A1105" s="3">
        <v>1099</v>
      </c>
      <c r="B1105" s="3" t="str">
        <f>"1466440"</f>
        <v>1466440</v>
      </c>
      <c r="C1105" s="3" t="str">
        <f>"91156"</f>
        <v>91156</v>
      </c>
      <c r="D1105" s="3" t="s">
        <v>5562</v>
      </c>
      <c r="E1105" s="3">
        <v>20209133394</v>
      </c>
      <c r="F1105" s="3" t="s">
        <v>34</v>
      </c>
      <c r="G1105" s="3" t="s">
        <v>5563</v>
      </c>
      <c r="H1105" s="3" t="s">
        <v>285</v>
      </c>
      <c r="I1105" s="3" t="s">
        <v>1083</v>
      </c>
      <c r="J1105" s="3" t="s">
        <v>5564</v>
      </c>
      <c r="K1105" s="3" t="s">
        <v>5565</v>
      </c>
      <c r="L1105" s="3"/>
      <c r="M1105" s="3"/>
      <c r="N1105" s="3"/>
      <c r="O1105" s="3"/>
      <c r="P1105" s="3"/>
      <c r="Q1105" s="3"/>
      <c r="R1105" s="3"/>
      <c r="S1105" s="3"/>
      <c r="T1105" s="3"/>
      <c r="U1105" s="3">
        <v>206000</v>
      </c>
      <c r="V1105" s="4">
        <v>40577</v>
      </c>
      <c r="W1105" s="3" t="s">
        <v>31</v>
      </c>
      <c r="X1105" s="3" t="s">
        <v>5566</v>
      </c>
    </row>
    <row r="1106" spans="1:24" ht="27.95" x14ac:dyDescent="0.3">
      <c r="A1106" s="5">
        <v>1100</v>
      </c>
      <c r="B1106" s="5" t="str">
        <f>"1383919"</f>
        <v>1383919</v>
      </c>
      <c r="C1106" s="5" t="str">
        <f>"21499"</f>
        <v>21499</v>
      </c>
      <c r="D1106" s="5" t="s">
        <v>5567</v>
      </c>
      <c r="E1106" s="5">
        <v>20440322361</v>
      </c>
      <c r="F1106" s="5" t="s">
        <v>5568</v>
      </c>
      <c r="G1106" s="5" t="s">
        <v>5569</v>
      </c>
      <c r="H1106" s="5" t="s">
        <v>36</v>
      </c>
      <c r="I1106" s="5" t="s">
        <v>234</v>
      </c>
      <c r="J1106" s="5" t="s">
        <v>5570</v>
      </c>
      <c r="K1106" s="5" t="s">
        <v>5571</v>
      </c>
      <c r="L1106" s="5"/>
      <c r="M1106" s="5"/>
      <c r="N1106" s="5"/>
      <c r="O1106" s="5"/>
      <c r="P1106" s="5"/>
      <c r="Q1106" s="5"/>
      <c r="R1106" s="5"/>
      <c r="S1106" s="5"/>
      <c r="T1106" s="5"/>
      <c r="U1106" s="5">
        <v>6600</v>
      </c>
      <c r="V1106" s="6">
        <v>37523</v>
      </c>
      <c r="W1106" s="5" t="s">
        <v>31</v>
      </c>
      <c r="X1106" s="5" t="s">
        <v>5572</v>
      </c>
    </row>
    <row r="1107" spans="1:24" x14ac:dyDescent="0.3">
      <c r="A1107" s="3">
        <v>1101</v>
      </c>
      <c r="B1107" s="3" t="str">
        <f>"201600145816"</f>
        <v>201600145816</v>
      </c>
      <c r="C1107" s="3" t="str">
        <f>"252"</f>
        <v>252</v>
      </c>
      <c r="D1107" s="3" t="s">
        <v>5573</v>
      </c>
      <c r="E1107" s="3">
        <v>20132062448</v>
      </c>
      <c r="F1107" s="3" t="s">
        <v>5574</v>
      </c>
      <c r="G1107" s="3" t="s">
        <v>3884</v>
      </c>
      <c r="H1107" s="3" t="s">
        <v>36</v>
      </c>
      <c r="I1107" s="3" t="s">
        <v>234</v>
      </c>
      <c r="J1107" s="3" t="s">
        <v>587</v>
      </c>
      <c r="K1107" s="3" t="s">
        <v>323</v>
      </c>
      <c r="L1107" s="3" t="s">
        <v>5047</v>
      </c>
      <c r="M1107" s="3"/>
      <c r="N1107" s="3"/>
      <c r="O1107" s="3"/>
      <c r="P1107" s="3"/>
      <c r="Q1107" s="3"/>
      <c r="R1107" s="3"/>
      <c r="S1107" s="3"/>
      <c r="T1107" s="3"/>
      <c r="U1107" s="3">
        <v>15000</v>
      </c>
      <c r="V1107" s="4">
        <v>42653</v>
      </c>
      <c r="W1107" s="3" t="s">
        <v>31</v>
      </c>
      <c r="X1107" s="3" t="s">
        <v>5575</v>
      </c>
    </row>
    <row r="1108" spans="1:24" x14ac:dyDescent="0.3">
      <c r="A1108" s="5">
        <v>1102</v>
      </c>
      <c r="B1108" s="5" t="str">
        <f>"1290457"</f>
        <v>1290457</v>
      </c>
      <c r="C1108" s="5" t="str">
        <f>"19561"</f>
        <v>19561</v>
      </c>
      <c r="D1108" s="5" t="s">
        <v>5576</v>
      </c>
      <c r="E1108" s="5">
        <v>20128907964</v>
      </c>
      <c r="F1108" s="5" t="s">
        <v>5577</v>
      </c>
      <c r="G1108" s="5" t="s">
        <v>5578</v>
      </c>
      <c r="H1108" s="5" t="s">
        <v>334</v>
      </c>
      <c r="I1108" s="5" t="s">
        <v>335</v>
      </c>
      <c r="J1108" s="5" t="s">
        <v>336</v>
      </c>
      <c r="K1108" s="5" t="s">
        <v>870</v>
      </c>
      <c r="L1108" s="5"/>
      <c r="M1108" s="5"/>
      <c r="N1108" s="5"/>
      <c r="O1108" s="5"/>
      <c r="P1108" s="5"/>
      <c r="Q1108" s="5"/>
      <c r="R1108" s="5"/>
      <c r="S1108" s="5"/>
      <c r="T1108" s="5"/>
      <c r="U1108" s="5">
        <v>1200</v>
      </c>
      <c r="V1108" s="6">
        <v>36951</v>
      </c>
      <c r="W1108" s="5" t="s">
        <v>31</v>
      </c>
      <c r="X1108" s="5" t="s">
        <v>5579</v>
      </c>
    </row>
    <row r="1109" spans="1:24" ht="27.95" x14ac:dyDescent="0.3">
      <c r="A1109" s="3">
        <v>1103</v>
      </c>
      <c r="B1109" s="3" t="str">
        <f>"201700165239"</f>
        <v>201700165239</v>
      </c>
      <c r="C1109" s="3" t="str">
        <f>"101296"</f>
        <v>101296</v>
      </c>
      <c r="D1109" s="3" t="s">
        <v>5513</v>
      </c>
      <c r="E1109" s="3">
        <v>20111250856</v>
      </c>
      <c r="F1109" s="3" t="s">
        <v>5514</v>
      </c>
      <c r="G1109" s="3" t="s">
        <v>5515</v>
      </c>
      <c r="H1109" s="3" t="s">
        <v>115</v>
      </c>
      <c r="I1109" s="3" t="s">
        <v>115</v>
      </c>
      <c r="J1109" s="3" t="s">
        <v>159</v>
      </c>
      <c r="K1109" s="3" t="s">
        <v>110</v>
      </c>
      <c r="L1109" s="3"/>
      <c r="M1109" s="3"/>
      <c r="N1109" s="3"/>
      <c r="O1109" s="3"/>
      <c r="P1109" s="3"/>
      <c r="Q1109" s="3"/>
      <c r="R1109" s="3"/>
      <c r="S1109" s="3"/>
      <c r="T1109" s="3"/>
      <c r="U1109" s="3">
        <v>4000</v>
      </c>
      <c r="V1109" s="4">
        <v>43025</v>
      </c>
      <c r="W1109" s="3" t="s">
        <v>31</v>
      </c>
      <c r="X1109" s="3" t="s">
        <v>5516</v>
      </c>
    </row>
    <row r="1110" spans="1:24" ht="27.95" x14ac:dyDescent="0.3">
      <c r="A1110" s="5">
        <v>1104</v>
      </c>
      <c r="B1110" s="5" t="str">
        <f>"201500049789"</f>
        <v>201500049789</v>
      </c>
      <c r="C1110" s="5" t="str">
        <f>"114948"</f>
        <v>114948</v>
      </c>
      <c r="D1110" s="5" t="s">
        <v>5580</v>
      </c>
      <c r="E1110" s="5">
        <v>20147409703</v>
      </c>
      <c r="F1110" s="5" t="s">
        <v>5581</v>
      </c>
      <c r="G1110" s="5" t="s">
        <v>5582</v>
      </c>
      <c r="H1110" s="5" t="s">
        <v>214</v>
      </c>
      <c r="I1110" s="5" t="s">
        <v>797</v>
      </c>
      <c r="J1110" s="5" t="s">
        <v>5583</v>
      </c>
      <c r="K1110" s="5" t="s">
        <v>593</v>
      </c>
      <c r="L1110" s="5"/>
      <c r="M1110" s="5"/>
      <c r="N1110" s="5"/>
      <c r="O1110" s="5"/>
      <c r="P1110" s="5"/>
      <c r="Q1110" s="5"/>
      <c r="R1110" s="5"/>
      <c r="S1110" s="5"/>
      <c r="T1110" s="5"/>
      <c r="U1110" s="5">
        <v>2600</v>
      </c>
      <c r="V1110" s="6">
        <v>42144</v>
      </c>
      <c r="W1110" s="5" t="s">
        <v>31</v>
      </c>
      <c r="X1110" s="5" t="s">
        <v>5584</v>
      </c>
    </row>
    <row r="1111" spans="1:24" ht="27.95" x14ac:dyDescent="0.3">
      <c r="A1111" s="3">
        <v>1105</v>
      </c>
      <c r="B1111" s="3" t="str">
        <f>"201800136766"</f>
        <v>201800136766</v>
      </c>
      <c r="C1111" s="3" t="str">
        <f>"91647"</f>
        <v>91647</v>
      </c>
      <c r="D1111" s="3" t="s">
        <v>5585</v>
      </c>
      <c r="E1111" s="3">
        <v>20100069297</v>
      </c>
      <c r="F1111" s="3" t="s">
        <v>5586</v>
      </c>
      <c r="G1111" s="3" t="s">
        <v>5587</v>
      </c>
      <c r="H1111" s="3" t="s">
        <v>28</v>
      </c>
      <c r="I1111" s="3" t="s">
        <v>28</v>
      </c>
      <c r="J1111" s="3" t="s">
        <v>1432</v>
      </c>
      <c r="K1111" s="3" t="s">
        <v>5588</v>
      </c>
      <c r="L1111" s="3" t="s">
        <v>5589</v>
      </c>
      <c r="M1111" s="3" t="s">
        <v>5588</v>
      </c>
      <c r="N1111" s="3"/>
      <c r="O1111" s="3"/>
      <c r="P1111" s="3"/>
      <c r="Q1111" s="3"/>
      <c r="R1111" s="3"/>
      <c r="S1111" s="3"/>
      <c r="T1111" s="3"/>
      <c r="U1111" s="3">
        <v>18120</v>
      </c>
      <c r="V1111" s="4">
        <v>43328</v>
      </c>
      <c r="W1111" s="3" t="s">
        <v>31</v>
      </c>
      <c r="X1111" s="3" t="s">
        <v>5590</v>
      </c>
    </row>
    <row r="1112" spans="1:24" x14ac:dyDescent="0.3">
      <c r="A1112" s="5">
        <v>1106</v>
      </c>
      <c r="B1112" s="5" t="str">
        <f>"201900073340"</f>
        <v>201900073340</v>
      </c>
      <c r="C1112" s="5" t="str">
        <f>"143018"</f>
        <v>143018</v>
      </c>
      <c r="D1112" s="5" t="s">
        <v>5591</v>
      </c>
      <c r="E1112" s="5">
        <v>10472688427</v>
      </c>
      <c r="F1112" s="5" t="s">
        <v>5592</v>
      </c>
      <c r="G1112" s="5" t="s">
        <v>5593</v>
      </c>
      <c r="H1112" s="5" t="s">
        <v>165</v>
      </c>
      <c r="I1112" s="5" t="s">
        <v>166</v>
      </c>
      <c r="J1112" s="5" t="s">
        <v>165</v>
      </c>
      <c r="K1112" s="5" t="s">
        <v>110</v>
      </c>
      <c r="L1112" s="5" t="s">
        <v>2410</v>
      </c>
      <c r="M1112" s="5"/>
      <c r="N1112" s="5"/>
      <c r="O1112" s="5"/>
      <c r="P1112" s="5"/>
      <c r="Q1112" s="5"/>
      <c r="R1112" s="5"/>
      <c r="S1112" s="5"/>
      <c r="T1112" s="5"/>
      <c r="U1112" s="5">
        <v>9200</v>
      </c>
      <c r="V1112" s="6">
        <v>43595</v>
      </c>
      <c r="W1112" s="5" t="s">
        <v>31</v>
      </c>
      <c r="X1112" s="5" t="s">
        <v>5594</v>
      </c>
    </row>
    <row r="1113" spans="1:24" x14ac:dyDescent="0.3">
      <c r="A1113" s="3">
        <v>1107</v>
      </c>
      <c r="B1113" s="3" t="str">
        <f>"201800080283"</f>
        <v>201800080283</v>
      </c>
      <c r="C1113" s="3" t="str">
        <f>"136166"</f>
        <v>136166</v>
      </c>
      <c r="D1113" s="3" t="s">
        <v>5595</v>
      </c>
      <c r="E1113" s="3">
        <v>20129605490</v>
      </c>
      <c r="F1113" s="3" t="s">
        <v>5596</v>
      </c>
      <c r="G1113" s="3" t="s">
        <v>5597</v>
      </c>
      <c r="H1113" s="3" t="s">
        <v>28</v>
      </c>
      <c r="I1113" s="3" t="s">
        <v>28</v>
      </c>
      <c r="J1113" s="3" t="s">
        <v>1432</v>
      </c>
      <c r="K1113" s="3" t="s">
        <v>110</v>
      </c>
      <c r="L1113" s="3" t="s">
        <v>110</v>
      </c>
      <c r="M1113" s="3"/>
      <c r="N1113" s="3"/>
      <c r="O1113" s="3"/>
      <c r="P1113" s="3"/>
      <c r="Q1113" s="3"/>
      <c r="R1113" s="3"/>
      <c r="S1113" s="3"/>
      <c r="T1113" s="3"/>
      <c r="U1113" s="3">
        <v>8000</v>
      </c>
      <c r="V1113" s="4">
        <v>43242</v>
      </c>
      <c r="W1113" s="3" t="s">
        <v>31</v>
      </c>
      <c r="X1113" s="3" t="s">
        <v>5598</v>
      </c>
    </row>
    <row r="1114" spans="1:24" x14ac:dyDescent="0.3">
      <c r="A1114" s="5">
        <v>1108</v>
      </c>
      <c r="B1114" s="5" t="str">
        <f>"1125578"</f>
        <v>1125578</v>
      </c>
      <c r="C1114" s="5" t="str">
        <f>"224"</f>
        <v>224</v>
      </c>
      <c r="D1114" s="5">
        <v>970236</v>
      </c>
      <c r="E1114" s="5">
        <v>20105917911</v>
      </c>
      <c r="F1114" s="5" t="s">
        <v>5599</v>
      </c>
      <c r="G1114" s="5" t="s">
        <v>5600</v>
      </c>
      <c r="H1114" s="5" t="s">
        <v>58</v>
      </c>
      <c r="I1114" s="5" t="s">
        <v>507</v>
      </c>
      <c r="J1114" s="5" t="s">
        <v>508</v>
      </c>
      <c r="K1114" s="5" t="s">
        <v>5601</v>
      </c>
      <c r="L1114" s="5"/>
      <c r="M1114" s="5"/>
      <c r="N1114" s="5"/>
      <c r="O1114" s="5"/>
      <c r="P1114" s="5"/>
      <c r="Q1114" s="5"/>
      <c r="R1114" s="5"/>
      <c r="S1114" s="5"/>
      <c r="T1114" s="5"/>
      <c r="U1114" s="5">
        <v>10853</v>
      </c>
      <c r="V1114" s="6">
        <v>35627</v>
      </c>
      <c r="W1114" s="5" t="s">
        <v>31</v>
      </c>
      <c r="X1114" s="5" t="s">
        <v>5602</v>
      </c>
    </row>
    <row r="1115" spans="1:24" ht="27.95" x14ac:dyDescent="0.3">
      <c r="A1115" s="3">
        <v>1109</v>
      </c>
      <c r="B1115" s="3" t="str">
        <f>"201900057267"</f>
        <v>201900057267</v>
      </c>
      <c r="C1115" s="3" t="str">
        <f>"35972"</f>
        <v>35972</v>
      </c>
      <c r="D1115" s="3" t="s">
        <v>5603</v>
      </c>
      <c r="E1115" s="3">
        <v>20111250856</v>
      </c>
      <c r="F1115" s="3" t="s">
        <v>5514</v>
      </c>
      <c r="G1115" s="3" t="s">
        <v>5604</v>
      </c>
      <c r="H1115" s="3" t="s">
        <v>28</v>
      </c>
      <c r="I1115" s="3" t="s">
        <v>28</v>
      </c>
      <c r="J1115" s="3" t="s">
        <v>687</v>
      </c>
      <c r="K1115" s="3" t="s">
        <v>181</v>
      </c>
      <c r="L1115" s="3"/>
      <c r="M1115" s="3"/>
      <c r="N1115" s="3"/>
      <c r="O1115" s="3"/>
      <c r="P1115" s="3"/>
      <c r="Q1115" s="3"/>
      <c r="R1115" s="3"/>
      <c r="S1115" s="3"/>
      <c r="T1115" s="3"/>
      <c r="U1115" s="3">
        <v>5000</v>
      </c>
      <c r="V1115" s="4">
        <v>43580</v>
      </c>
      <c r="W1115" s="3" t="s">
        <v>31</v>
      </c>
      <c r="X1115" s="3" t="s">
        <v>5516</v>
      </c>
    </row>
    <row r="1116" spans="1:24" x14ac:dyDescent="0.3">
      <c r="A1116" s="5">
        <v>1110</v>
      </c>
      <c r="B1116" s="5" t="str">
        <f>"201400132217"</f>
        <v>201400132217</v>
      </c>
      <c r="C1116" s="5" t="str">
        <f>"102137"</f>
        <v>102137</v>
      </c>
      <c r="D1116" s="5" t="s">
        <v>5605</v>
      </c>
      <c r="E1116" s="5">
        <v>20450662314</v>
      </c>
      <c r="F1116" s="5" t="s">
        <v>5606</v>
      </c>
      <c r="G1116" s="5" t="s">
        <v>5607</v>
      </c>
      <c r="H1116" s="5" t="s">
        <v>165</v>
      </c>
      <c r="I1116" s="5" t="s">
        <v>166</v>
      </c>
      <c r="J1116" s="5" t="s">
        <v>167</v>
      </c>
      <c r="K1116" s="5" t="s">
        <v>2250</v>
      </c>
      <c r="L1116" s="5" t="s">
        <v>2250</v>
      </c>
      <c r="M1116" s="5" t="s">
        <v>2250</v>
      </c>
      <c r="N1116" s="5"/>
      <c r="O1116" s="5"/>
      <c r="P1116" s="5"/>
      <c r="Q1116" s="5"/>
      <c r="R1116" s="5"/>
      <c r="S1116" s="5"/>
      <c r="T1116" s="5"/>
      <c r="U1116" s="5">
        <v>10800</v>
      </c>
      <c r="V1116" s="6">
        <v>41963</v>
      </c>
      <c r="W1116" s="5" t="s">
        <v>31</v>
      </c>
      <c r="X1116" s="5" t="s">
        <v>5608</v>
      </c>
    </row>
    <row r="1117" spans="1:24" x14ac:dyDescent="0.3">
      <c r="A1117" s="3">
        <v>1111</v>
      </c>
      <c r="B1117" s="3" t="str">
        <f>"1562473"</f>
        <v>1562473</v>
      </c>
      <c r="C1117" s="3" t="str">
        <f>"18693"</f>
        <v>18693</v>
      </c>
      <c r="D1117" s="3" t="s">
        <v>5609</v>
      </c>
      <c r="E1117" s="3">
        <v>20359469269</v>
      </c>
      <c r="F1117" s="3" t="s">
        <v>5610</v>
      </c>
      <c r="G1117" s="3" t="s">
        <v>5611</v>
      </c>
      <c r="H1117" s="3" t="s">
        <v>566</v>
      </c>
      <c r="I1117" s="3" t="s">
        <v>1031</v>
      </c>
      <c r="J1117" s="3" t="s">
        <v>1031</v>
      </c>
      <c r="K1117" s="3" t="s">
        <v>259</v>
      </c>
      <c r="L1117" s="3" t="s">
        <v>46</v>
      </c>
      <c r="M1117" s="3"/>
      <c r="N1117" s="3"/>
      <c r="O1117" s="3"/>
      <c r="P1117" s="3"/>
      <c r="Q1117" s="3"/>
      <c r="R1117" s="3"/>
      <c r="S1117" s="3"/>
      <c r="T1117" s="3"/>
      <c r="U1117" s="3">
        <v>9000</v>
      </c>
      <c r="V1117" s="4">
        <v>38548</v>
      </c>
      <c r="W1117" s="3" t="s">
        <v>31</v>
      </c>
      <c r="X1117" s="3" t="s">
        <v>5612</v>
      </c>
    </row>
    <row r="1118" spans="1:24" x14ac:dyDescent="0.3">
      <c r="A1118" s="5">
        <v>1112</v>
      </c>
      <c r="B1118" s="5" t="str">
        <f>"201700021957"</f>
        <v>201700021957</v>
      </c>
      <c r="C1118" s="5" t="str">
        <f>"38268"</f>
        <v>38268</v>
      </c>
      <c r="D1118" s="5" t="s">
        <v>5613</v>
      </c>
      <c r="E1118" s="5">
        <v>20543083888</v>
      </c>
      <c r="F1118" s="5" t="s">
        <v>5614</v>
      </c>
      <c r="G1118" s="5" t="s">
        <v>5615</v>
      </c>
      <c r="H1118" s="5" t="s">
        <v>115</v>
      </c>
      <c r="I1118" s="5" t="s">
        <v>115</v>
      </c>
      <c r="J1118" s="5" t="s">
        <v>159</v>
      </c>
      <c r="K1118" s="5" t="s">
        <v>5616</v>
      </c>
      <c r="L1118" s="5" t="s">
        <v>5617</v>
      </c>
      <c r="M1118" s="5" t="s">
        <v>5618</v>
      </c>
      <c r="N1118" s="5" t="s">
        <v>5619</v>
      </c>
      <c r="O1118" s="5" t="s">
        <v>5525</v>
      </c>
      <c r="P1118" s="5" t="s">
        <v>168</v>
      </c>
      <c r="Q1118" s="5" t="s">
        <v>168</v>
      </c>
      <c r="R1118" s="5" t="s">
        <v>5620</v>
      </c>
      <c r="S1118" s="5" t="s">
        <v>5621</v>
      </c>
      <c r="T1118" s="5"/>
      <c r="U1118" s="5">
        <v>45000</v>
      </c>
      <c r="V1118" s="6">
        <v>42838</v>
      </c>
      <c r="W1118" s="5" t="s">
        <v>31</v>
      </c>
      <c r="X1118" s="5" t="s">
        <v>5622</v>
      </c>
    </row>
    <row r="1119" spans="1:24" x14ac:dyDescent="0.3">
      <c r="A1119" s="3">
        <v>1113</v>
      </c>
      <c r="B1119" s="3" t="str">
        <f>"1128562"</f>
        <v>1128562</v>
      </c>
      <c r="C1119" s="3" t="str">
        <f>"880"</f>
        <v>880</v>
      </c>
      <c r="D1119" s="3">
        <v>1021639</v>
      </c>
      <c r="E1119" s="3">
        <v>20100153247</v>
      </c>
      <c r="F1119" s="3" t="s">
        <v>5623</v>
      </c>
      <c r="G1119" s="3" t="s">
        <v>5624</v>
      </c>
      <c r="H1119" s="3" t="s">
        <v>28</v>
      </c>
      <c r="I1119" s="3" t="s">
        <v>28</v>
      </c>
      <c r="J1119" s="3" t="s">
        <v>45</v>
      </c>
      <c r="K1119" s="3" t="s">
        <v>259</v>
      </c>
      <c r="L1119" s="3" t="s">
        <v>1775</v>
      </c>
      <c r="M1119" s="3"/>
      <c r="N1119" s="3"/>
      <c r="O1119" s="3"/>
      <c r="P1119" s="3"/>
      <c r="Q1119" s="3"/>
      <c r="R1119" s="3"/>
      <c r="S1119" s="3"/>
      <c r="T1119" s="3"/>
      <c r="U1119" s="3">
        <v>8500</v>
      </c>
      <c r="V1119" s="4">
        <v>35618</v>
      </c>
      <c r="W1119" s="3" t="s">
        <v>31</v>
      </c>
      <c r="X1119" s="3" t="s">
        <v>5625</v>
      </c>
    </row>
    <row r="1120" spans="1:24" ht="41.95" x14ac:dyDescent="0.3">
      <c r="A1120" s="5">
        <v>1114</v>
      </c>
      <c r="B1120" s="5" t="str">
        <f>"1009396"</f>
        <v>1009396</v>
      </c>
      <c r="C1120" s="5" t="str">
        <f>"1293"</f>
        <v>1293</v>
      </c>
      <c r="D1120" s="5">
        <v>1009396</v>
      </c>
      <c r="E1120" s="5">
        <v>20100132240</v>
      </c>
      <c r="F1120" s="5" t="s">
        <v>5626</v>
      </c>
      <c r="G1120" s="5" t="s">
        <v>5627</v>
      </c>
      <c r="H1120" s="5" t="s">
        <v>292</v>
      </c>
      <c r="I1120" s="5" t="s">
        <v>293</v>
      </c>
      <c r="J1120" s="5" t="s">
        <v>5628</v>
      </c>
      <c r="K1120" s="5" t="s">
        <v>5629</v>
      </c>
      <c r="L1120" s="5" t="s">
        <v>1136</v>
      </c>
      <c r="M1120" s="5" t="s">
        <v>5629</v>
      </c>
      <c r="N1120" s="5"/>
      <c r="O1120" s="5"/>
      <c r="P1120" s="5"/>
      <c r="Q1120" s="5"/>
      <c r="R1120" s="5"/>
      <c r="S1120" s="5"/>
      <c r="T1120" s="5"/>
      <c r="U1120" s="5">
        <v>10320</v>
      </c>
      <c r="V1120" s="6">
        <v>35697</v>
      </c>
      <c r="W1120" s="5" t="s">
        <v>31</v>
      </c>
      <c r="X1120" s="5" t="s">
        <v>5630</v>
      </c>
    </row>
    <row r="1121" spans="1:24" ht="27.95" x14ac:dyDescent="0.3">
      <c r="A1121" s="3">
        <v>1115</v>
      </c>
      <c r="B1121" s="3" t="str">
        <f>"1837628"</f>
        <v>1837628</v>
      </c>
      <c r="C1121" s="3" t="str">
        <f>"44335"</f>
        <v>44335</v>
      </c>
      <c r="D1121" s="3" t="s">
        <v>5631</v>
      </c>
      <c r="E1121" s="3">
        <v>20338054115</v>
      </c>
      <c r="F1121" s="3" t="s">
        <v>941</v>
      </c>
      <c r="G1121" s="3" t="s">
        <v>5632</v>
      </c>
      <c r="H1121" s="3" t="s">
        <v>36</v>
      </c>
      <c r="I1121" s="3" t="s">
        <v>1269</v>
      </c>
      <c r="J1121" s="3" t="s">
        <v>1270</v>
      </c>
      <c r="K1121" s="3" t="s">
        <v>5633</v>
      </c>
      <c r="L1121" s="3" t="s">
        <v>5633</v>
      </c>
      <c r="M1121" s="3" t="s">
        <v>5634</v>
      </c>
      <c r="N1121" s="3" t="s">
        <v>5635</v>
      </c>
      <c r="O1121" s="3" t="s">
        <v>229</v>
      </c>
      <c r="P1121" s="3"/>
      <c r="Q1121" s="3"/>
      <c r="R1121" s="3"/>
      <c r="S1121" s="3"/>
      <c r="T1121" s="3"/>
      <c r="U1121" s="3">
        <v>180320</v>
      </c>
      <c r="V1121" s="4">
        <v>39679</v>
      </c>
      <c r="W1121" s="3" t="s">
        <v>31</v>
      </c>
      <c r="X1121" s="3" t="s">
        <v>5636</v>
      </c>
    </row>
    <row r="1122" spans="1:24" x14ac:dyDescent="0.3">
      <c r="A1122" s="5">
        <v>1116</v>
      </c>
      <c r="B1122" s="5" t="str">
        <f>"201600068383"</f>
        <v>201600068383</v>
      </c>
      <c r="C1122" s="5" t="str">
        <f>"114708"</f>
        <v>114708</v>
      </c>
      <c r="D1122" s="5" t="s">
        <v>5637</v>
      </c>
      <c r="E1122" s="5">
        <v>20263674929</v>
      </c>
      <c r="F1122" s="5" t="s">
        <v>5559</v>
      </c>
      <c r="G1122" s="5" t="s">
        <v>5638</v>
      </c>
      <c r="H1122" s="5" t="s">
        <v>28</v>
      </c>
      <c r="I1122" s="5" t="s">
        <v>28</v>
      </c>
      <c r="J1122" s="5" t="s">
        <v>172</v>
      </c>
      <c r="K1122" s="5" t="s">
        <v>168</v>
      </c>
      <c r="L1122" s="5"/>
      <c r="M1122" s="5"/>
      <c r="N1122" s="5"/>
      <c r="O1122" s="5"/>
      <c r="P1122" s="5"/>
      <c r="Q1122" s="5"/>
      <c r="R1122" s="5"/>
      <c r="S1122" s="5"/>
      <c r="T1122" s="5"/>
      <c r="U1122" s="5">
        <v>10000</v>
      </c>
      <c r="V1122" s="6">
        <v>42506</v>
      </c>
      <c r="W1122" s="5" t="s">
        <v>31</v>
      </c>
      <c r="X1122" s="5" t="s">
        <v>5639</v>
      </c>
    </row>
    <row r="1123" spans="1:24" x14ac:dyDescent="0.3">
      <c r="A1123" s="3">
        <v>1117</v>
      </c>
      <c r="B1123" s="3" t="str">
        <f>"202000080214"</f>
        <v>202000080214</v>
      </c>
      <c r="C1123" s="3" t="str">
        <f>"19428"</f>
        <v>19428</v>
      </c>
      <c r="D1123" s="3" t="s">
        <v>5640</v>
      </c>
      <c r="E1123" s="3">
        <v>20546128424</v>
      </c>
      <c r="F1123" s="3" t="s">
        <v>5641</v>
      </c>
      <c r="G1123" s="3" t="s">
        <v>5642</v>
      </c>
      <c r="H1123" s="3" t="s">
        <v>80</v>
      </c>
      <c r="I1123" s="3" t="s">
        <v>80</v>
      </c>
      <c r="J1123" s="3" t="s">
        <v>5643</v>
      </c>
      <c r="K1123" s="3" t="s">
        <v>3150</v>
      </c>
      <c r="L1123" s="3" t="s">
        <v>5644</v>
      </c>
      <c r="M1123" s="3" t="s">
        <v>5644</v>
      </c>
      <c r="N1123" s="3" t="s">
        <v>5645</v>
      </c>
      <c r="O1123" s="3"/>
      <c r="P1123" s="3"/>
      <c r="Q1123" s="3"/>
      <c r="R1123" s="3"/>
      <c r="S1123" s="3"/>
      <c r="T1123" s="3"/>
      <c r="U1123" s="3">
        <v>112200</v>
      </c>
      <c r="V1123" s="4">
        <v>44043</v>
      </c>
      <c r="W1123" s="3" t="s">
        <v>31</v>
      </c>
      <c r="X1123" s="3" t="s">
        <v>5646</v>
      </c>
    </row>
    <row r="1124" spans="1:24" ht="27.95" x14ac:dyDescent="0.3">
      <c r="A1124" s="5">
        <v>1118</v>
      </c>
      <c r="B1124" s="5" t="str">
        <f>"1695669"</f>
        <v>1695669</v>
      </c>
      <c r="C1124" s="5" t="str">
        <f>"45557"</f>
        <v>45557</v>
      </c>
      <c r="D1124" s="5" t="s">
        <v>5647</v>
      </c>
      <c r="E1124" s="5">
        <v>20123531389</v>
      </c>
      <c r="F1124" s="5" t="s">
        <v>5648</v>
      </c>
      <c r="G1124" s="5" t="s">
        <v>5649</v>
      </c>
      <c r="H1124" s="5" t="s">
        <v>28</v>
      </c>
      <c r="I1124" s="5" t="s">
        <v>28</v>
      </c>
      <c r="J1124" s="5" t="s">
        <v>29</v>
      </c>
      <c r="K1124" s="5" t="s">
        <v>5650</v>
      </c>
      <c r="L1124" s="5" t="s">
        <v>5651</v>
      </c>
      <c r="M1124" s="5"/>
      <c r="N1124" s="5"/>
      <c r="O1124" s="5"/>
      <c r="P1124" s="5"/>
      <c r="Q1124" s="5"/>
      <c r="R1124" s="5"/>
      <c r="S1124" s="5"/>
      <c r="T1124" s="5"/>
      <c r="U1124" s="5">
        <v>15000</v>
      </c>
      <c r="V1124" s="6">
        <v>39266</v>
      </c>
      <c r="W1124" s="5" t="s">
        <v>31</v>
      </c>
      <c r="X1124" s="5" t="s">
        <v>5652</v>
      </c>
    </row>
    <row r="1125" spans="1:24" ht="27.95" x14ac:dyDescent="0.3">
      <c r="A1125" s="3">
        <v>1119</v>
      </c>
      <c r="B1125" s="3" t="str">
        <f>"201800104897"</f>
        <v>201800104897</v>
      </c>
      <c r="C1125" s="3" t="str">
        <f>"1509"</f>
        <v>1509</v>
      </c>
      <c r="D1125" s="3" t="s">
        <v>5653</v>
      </c>
      <c r="E1125" s="3">
        <v>20100113610</v>
      </c>
      <c r="F1125" s="3" t="s">
        <v>5654</v>
      </c>
      <c r="G1125" s="3" t="s">
        <v>5655</v>
      </c>
      <c r="H1125" s="3" t="s">
        <v>214</v>
      </c>
      <c r="I1125" s="3" t="s">
        <v>214</v>
      </c>
      <c r="J1125" s="3" t="s">
        <v>214</v>
      </c>
      <c r="K1125" s="3" t="s">
        <v>5656</v>
      </c>
      <c r="L1125" s="3" t="s">
        <v>5656</v>
      </c>
      <c r="M1125" s="3" t="s">
        <v>5656</v>
      </c>
      <c r="N1125" s="3" t="s">
        <v>5656</v>
      </c>
      <c r="O1125" s="3" t="s">
        <v>5656</v>
      </c>
      <c r="P1125" s="3" t="s">
        <v>5656</v>
      </c>
      <c r="Q1125" s="3" t="s">
        <v>5656</v>
      </c>
      <c r="R1125" s="3" t="s">
        <v>5656</v>
      </c>
      <c r="S1125" s="3" t="s">
        <v>5656</v>
      </c>
      <c r="T1125" s="3" t="s">
        <v>5656</v>
      </c>
      <c r="U1125" s="3">
        <v>148500</v>
      </c>
      <c r="V1125" s="4">
        <v>43280</v>
      </c>
      <c r="W1125" s="3" t="s">
        <v>31</v>
      </c>
      <c r="X1125" s="3" t="s">
        <v>5657</v>
      </c>
    </row>
    <row r="1126" spans="1:24" x14ac:dyDescent="0.3">
      <c r="A1126" s="5">
        <v>1120</v>
      </c>
      <c r="B1126" s="5" t="str">
        <f>"1303097"</f>
        <v>1303097</v>
      </c>
      <c r="C1126" s="5" t="str">
        <f>"20167"</f>
        <v>20167</v>
      </c>
      <c r="D1126" s="5">
        <v>1303097</v>
      </c>
      <c r="E1126" s="5">
        <v>20447104122</v>
      </c>
      <c r="F1126" s="5" t="s">
        <v>3240</v>
      </c>
      <c r="G1126" s="5" t="s">
        <v>5658</v>
      </c>
      <c r="H1126" s="5" t="s">
        <v>28</v>
      </c>
      <c r="I1126" s="5" t="s">
        <v>28</v>
      </c>
      <c r="J1126" s="5" t="s">
        <v>266</v>
      </c>
      <c r="K1126" s="5" t="s">
        <v>5659</v>
      </c>
      <c r="L1126" s="5"/>
      <c r="M1126" s="5"/>
      <c r="N1126" s="5"/>
      <c r="O1126" s="5"/>
      <c r="P1126" s="5"/>
      <c r="Q1126" s="5"/>
      <c r="R1126" s="5"/>
      <c r="S1126" s="5"/>
      <c r="T1126" s="5"/>
      <c r="U1126" s="5">
        <v>4900</v>
      </c>
      <c r="V1126" s="6">
        <v>36871</v>
      </c>
      <c r="W1126" s="5" t="s">
        <v>31</v>
      </c>
      <c r="X1126" s="5" t="s">
        <v>5660</v>
      </c>
    </row>
    <row r="1127" spans="1:24" ht="27.95" x14ac:dyDescent="0.3">
      <c r="A1127" s="3">
        <v>1121</v>
      </c>
      <c r="B1127" s="3" t="str">
        <f>"201800082501"</f>
        <v>201800082501</v>
      </c>
      <c r="C1127" s="3" t="str">
        <f>"18740"</f>
        <v>18740</v>
      </c>
      <c r="D1127" s="3" t="s">
        <v>5661</v>
      </c>
      <c r="E1127" s="3">
        <v>20218339167</v>
      </c>
      <c r="F1127" s="3" t="s">
        <v>5096</v>
      </c>
      <c r="G1127" s="3" t="s">
        <v>5662</v>
      </c>
      <c r="H1127" s="3" t="s">
        <v>214</v>
      </c>
      <c r="I1127" s="3" t="s">
        <v>214</v>
      </c>
      <c r="J1127" s="3" t="s">
        <v>3082</v>
      </c>
      <c r="K1127" s="3" t="s">
        <v>5279</v>
      </c>
      <c r="L1127" s="3" t="s">
        <v>5663</v>
      </c>
      <c r="M1127" s="3" t="s">
        <v>5663</v>
      </c>
      <c r="N1127" s="3"/>
      <c r="O1127" s="3"/>
      <c r="P1127" s="3"/>
      <c r="Q1127" s="3"/>
      <c r="R1127" s="3"/>
      <c r="S1127" s="3"/>
      <c r="T1127" s="3"/>
      <c r="U1127" s="3">
        <v>122000</v>
      </c>
      <c r="V1127" s="4">
        <v>43237</v>
      </c>
      <c r="W1127" s="3" t="s">
        <v>31</v>
      </c>
      <c r="X1127" s="3" t="s">
        <v>5664</v>
      </c>
    </row>
    <row r="1128" spans="1:24" x14ac:dyDescent="0.3">
      <c r="A1128" s="5">
        <v>1122</v>
      </c>
      <c r="B1128" s="5" t="str">
        <f>"1280515"</f>
        <v>1280515</v>
      </c>
      <c r="C1128" s="5" t="str">
        <f>"18760"</f>
        <v>18760</v>
      </c>
      <c r="D1128" s="5">
        <v>1280515</v>
      </c>
      <c r="E1128" s="5">
        <v>20100183740</v>
      </c>
      <c r="F1128" s="5" t="s">
        <v>5665</v>
      </c>
      <c r="G1128" s="5" t="s">
        <v>5666</v>
      </c>
      <c r="H1128" s="5" t="s">
        <v>28</v>
      </c>
      <c r="I1128" s="5" t="s">
        <v>28</v>
      </c>
      <c r="J1128" s="5" t="s">
        <v>545</v>
      </c>
      <c r="K1128" s="5" t="s">
        <v>4059</v>
      </c>
      <c r="L1128" s="5"/>
      <c r="M1128" s="5"/>
      <c r="N1128" s="5"/>
      <c r="O1128" s="5"/>
      <c r="P1128" s="5"/>
      <c r="Q1128" s="5"/>
      <c r="R1128" s="5"/>
      <c r="S1128" s="5"/>
      <c r="T1128" s="5"/>
      <c r="U1128" s="5">
        <v>13000</v>
      </c>
      <c r="V1128" s="6">
        <v>36672</v>
      </c>
      <c r="W1128" s="5" t="s">
        <v>31</v>
      </c>
      <c r="X1128" s="5" t="s">
        <v>5667</v>
      </c>
    </row>
    <row r="1129" spans="1:24" ht="27.95" x14ac:dyDescent="0.3">
      <c r="A1129" s="3">
        <v>1123</v>
      </c>
      <c r="B1129" s="3" t="str">
        <f>"202000031997"</f>
        <v>202000031997</v>
      </c>
      <c r="C1129" s="3" t="str">
        <f>"149294"</f>
        <v>149294</v>
      </c>
      <c r="D1129" s="3" t="s">
        <v>5668</v>
      </c>
      <c r="E1129" s="3">
        <v>20176770474</v>
      </c>
      <c r="F1129" s="3" t="s">
        <v>1214</v>
      </c>
      <c r="G1129" s="3" t="s">
        <v>5669</v>
      </c>
      <c r="H1129" s="3" t="s">
        <v>135</v>
      </c>
      <c r="I1129" s="3" t="s">
        <v>673</v>
      </c>
      <c r="J1129" s="3" t="s">
        <v>4510</v>
      </c>
      <c r="K1129" s="3" t="s">
        <v>193</v>
      </c>
      <c r="L1129" s="3" t="s">
        <v>5670</v>
      </c>
      <c r="M1129" s="3"/>
      <c r="N1129" s="3"/>
      <c r="O1129" s="3"/>
      <c r="P1129" s="3"/>
      <c r="Q1129" s="3"/>
      <c r="R1129" s="3"/>
      <c r="S1129" s="3"/>
      <c r="T1129" s="3"/>
      <c r="U1129" s="3">
        <v>2800</v>
      </c>
      <c r="V1129" s="4">
        <v>43888</v>
      </c>
      <c r="W1129" s="3" t="s">
        <v>31</v>
      </c>
      <c r="X1129" s="3" t="s">
        <v>1218</v>
      </c>
    </row>
    <row r="1130" spans="1:24" ht="41.95" x14ac:dyDescent="0.3">
      <c r="A1130" s="5">
        <v>1124</v>
      </c>
      <c r="B1130" s="5" t="str">
        <f>"202000046353"</f>
        <v>202000046353</v>
      </c>
      <c r="C1130" s="5" t="str">
        <f>"96578"</f>
        <v>96578</v>
      </c>
      <c r="D1130" s="5" t="s">
        <v>5671</v>
      </c>
      <c r="E1130" s="5">
        <v>20200768109</v>
      </c>
      <c r="F1130" s="5" t="s">
        <v>5672</v>
      </c>
      <c r="G1130" s="5" t="s">
        <v>5673</v>
      </c>
      <c r="H1130" s="5" t="s">
        <v>51</v>
      </c>
      <c r="I1130" s="5" t="s">
        <v>52</v>
      </c>
      <c r="J1130" s="5" t="s">
        <v>52</v>
      </c>
      <c r="K1130" s="5" t="s">
        <v>5674</v>
      </c>
      <c r="L1130" s="5" t="s">
        <v>5675</v>
      </c>
      <c r="M1130" s="5"/>
      <c r="N1130" s="5"/>
      <c r="O1130" s="5"/>
      <c r="P1130" s="5"/>
      <c r="Q1130" s="5"/>
      <c r="R1130" s="5"/>
      <c r="S1130" s="5"/>
      <c r="T1130" s="5"/>
      <c r="U1130" s="5">
        <v>11300</v>
      </c>
      <c r="V1130" s="6">
        <v>43917</v>
      </c>
      <c r="W1130" s="5" t="s">
        <v>31</v>
      </c>
      <c r="X1130" s="5" t="s">
        <v>5676</v>
      </c>
    </row>
    <row r="1131" spans="1:24" ht="27.95" x14ac:dyDescent="0.3">
      <c r="A1131" s="3">
        <v>1125</v>
      </c>
      <c r="B1131" s="3" t="str">
        <f>"201900151575"</f>
        <v>201900151575</v>
      </c>
      <c r="C1131" s="3" t="str">
        <f>"146617"</f>
        <v>146617</v>
      </c>
      <c r="D1131" s="3" t="s">
        <v>5677</v>
      </c>
      <c r="E1131" s="3">
        <v>10457110095</v>
      </c>
      <c r="F1131" s="3" t="s">
        <v>5678</v>
      </c>
      <c r="G1131" s="3" t="s">
        <v>5679</v>
      </c>
      <c r="H1131" s="3" t="s">
        <v>165</v>
      </c>
      <c r="I1131" s="3" t="s">
        <v>166</v>
      </c>
      <c r="J1131" s="3" t="s">
        <v>167</v>
      </c>
      <c r="K1131" s="3" t="s">
        <v>3396</v>
      </c>
      <c r="L1131" s="3" t="s">
        <v>3396</v>
      </c>
      <c r="M1131" s="3"/>
      <c r="N1131" s="3"/>
      <c r="O1131" s="3"/>
      <c r="P1131" s="3"/>
      <c r="Q1131" s="3"/>
      <c r="R1131" s="3"/>
      <c r="S1131" s="3"/>
      <c r="T1131" s="3"/>
      <c r="U1131" s="3">
        <v>15000</v>
      </c>
      <c r="V1131" s="4">
        <v>43731</v>
      </c>
      <c r="W1131" s="3" t="s">
        <v>31</v>
      </c>
      <c r="X1131" s="3" t="s">
        <v>5678</v>
      </c>
    </row>
    <row r="1132" spans="1:24" ht="41.95" x14ac:dyDescent="0.3">
      <c r="A1132" s="5">
        <v>1126</v>
      </c>
      <c r="B1132" s="5" t="str">
        <f>"201400136047"</f>
        <v>201400136047</v>
      </c>
      <c r="C1132" s="5" t="str">
        <f>"112119"</f>
        <v>112119</v>
      </c>
      <c r="D1132" s="5" t="s">
        <v>5680</v>
      </c>
      <c r="E1132" s="5">
        <v>20301073225</v>
      </c>
      <c r="F1132" s="5" t="s">
        <v>5681</v>
      </c>
      <c r="G1132" s="5" t="s">
        <v>5682</v>
      </c>
      <c r="H1132" s="5" t="s">
        <v>28</v>
      </c>
      <c r="I1132" s="5" t="s">
        <v>28</v>
      </c>
      <c r="J1132" s="5" t="s">
        <v>91</v>
      </c>
      <c r="K1132" s="5" t="s">
        <v>5683</v>
      </c>
      <c r="L1132" s="5"/>
      <c r="M1132" s="5"/>
      <c r="N1132" s="5"/>
      <c r="O1132" s="5"/>
      <c r="P1132" s="5"/>
      <c r="Q1132" s="5"/>
      <c r="R1132" s="5"/>
      <c r="S1132" s="5"/>
      <c r="T1132" s="5"/>
      <c r="U1132" s="5">
        <v>3250</v>
      </c>
      <c r="V1132" s="6">
        <v>41995</v>
      </c>
      <c r="W1132" s="5" t="s">
        <v>31</v>
      </c>
      <c r="X1132" s="5" t="s">
        <v>5684</v>
      </c>
    </row>
    <row r="1133" spans="1:24" x14ac:dyDescent="0.3">
      <c r="A1133" s="3">
        <v>1127</v>
      </c>
      <c r="B1133" s="3" t="str">
        <f>"201500147845"</f>
        <v>201500147845</v>
      </c>
      <c r="C1133" s="3" t="str">
        <f>"118355"</f>
        <v>118355</v>
      </c>
      <c r="D1133" s="3" t="s">
        <v>5685</v>
      </c>
      <c r="E1133" s="3">
        <v>20428696515</v>
      </c>
      <c r="F1133" s="3" t="s">
        <v>1029</v>
      </c>
      <c r="G1133" s="3" t="s">
        <v>5686</v>
      </c>
      <c r="H1133" s="3" t="s">
        <v>115</v>
      </c>
      <c r="I1133" s="3" t="s">
        <v>115</v>
      </c>
      <c r="J1133" s="3" t="s">
        <v>159</v>
      </c>
      <c r="K1133" s="3" t="s">
        <v>5687</v>
      </c>
      <c r="L1133" s="3"/>
      <c r="M1133" s="3"/>
      <c r="N1133" s="3"/>
      <c r="O1133" s="3"/>
      <c r="P1133" s="3"/>
      <c r="Q1133" s="3"/>
      <c r="R1133" s="3"/>
      <c r="S1133" s="3"/>
      <c r="T1133" s="3"/>
      <c r="U1133" s="3">
        <v>14650</v>
      </c>
      <c r="V1133" s="4">
        <v>42324</v>
      </c>
      <c r="W1133" s="3" t="s">
        <v>31</v>
      </c>
      <c r="X1133" s="3" t="s">
        <v>1035</v>
      </c>
    </row>
    <row r="1134" spans="1:24" ht="27.95" x14ac:dyDescent="0.3">
      <c r="A1134" s="5">
        <v>1128</v>
      </c>
      <c r="B1134" s="5" t="str">
        <f>"201900028601"</f>
        <v>201900028601</v>
      </c>
      <c r="C1134" s="5" t="str">
        <f>"141486"</f>
        <v>141486</v>
      </c>
      <c r="D1134" s="5" t="s">
        <v>5688</v>
      </c>
      <c r="E1134" s="5">
        <v>20603074603</v>
      </c>
      <c r="F1134" s="5" t="s">
        <v>5689</v>
      </c>
      <c r="G1134" s="5" t="s">
        <v>5690</v>
      </c>
      <c r="H1134" s="5" t="s">
        <v>28</v>
      </c>
      <c r="I1134" s="5" t="s">
        <v>28</v>
      </c>
      <c r="J1134" s="5" t="s">
        <v>109</v>
      </c>
      <c r="K1134" s="5" t="s">
        <v>87</v>
      </c>
      <c r="L1134" s="5"/>
      <c r="M1134" s="5"/>
      <c r="N1134" s="5"/>
      <c r="O1134" s="5"/>
      <c r="P1134" s="5"/>
      <c r="Q1134" s="5"/>
      <c r="R1134" s="5"/>
      <c r="S1134" s="5"/>
      <c r="T1134" s="5"/>
      <c r="U1134" s="5">
        <v>6000</v>
      </c>
      <c r="V1134" s="6">
        <v>43531</v>
      </c>
      <c r="W1134" s="5" t="s">
        <v>31</v>
      </c>
      <c r="X1134" s="5" t="s">
        <v>5691</v>
      </c>
    </row>
    <row r="1135" spans="1:24" ht="27.95" x14ac:dyDescent="0.3">
      <c r="A1135" s="3">
        <v>1129</v>
      </c>
      <c r="B1135" s="3" t="str">
        <f>"201900092644"</f>
        <v>201900092644</v>
      </c>
      <c r="C1135" s="3" t="str">
        <f>"144606"</f>
        <v>144606</v>
      </c>
      <c r="D1135" s="3" t="s">
        <v>5692</v>
      </c>
      <c r="E1135" s="3">
        <v>20603344732</v>
      </c>
      <c r="F1135" s="3" t="s">
        <v>5693</v>
      </c>
      <c r="G1135" s="3" t="s">
        <v>5694</v>
      </c>
      <c r="H1135" s="3" t="s">
        <v>165</v>
      </c>
      <c r="I1135" s="3" t="s">
        <v>166</v>
      </c>
      <c r="J1135" s="3" t="s">
        <v>167</v>
      </c>
      <c r="K1135" s="3" t="s">
        <v>168</v>
      </c>
      <c r="L1135" s="3"/>
      <c r="M1135" s="3"/>
      <c r="N1135" s="3"/>
      <c r="O1135" s="3"/>
      <c r="P1135" s="3"/>
      <c r="Q1135" s="3"/>
      <c r="R1135" s="3"/>
      <c r="S1135" s="3"/>
      <c r="T1135" s="3"/>
      <c r="U1135" s="3">
        <v>10000</v>
      </c>
      <c r="V1135" s="4">
        <v>43629</v>
      </c>
      <c r="W1135" s="3" t="s">
        <v>31</v>
      </c>
      <c r="X1135" s="3" t="s">
        <v>5695</v>
      </c>
    </row>
    <row r="1136" spans="1:24" ht="27.95" x14ac:dyDescent="0.3">
      <c r="A1136" s="5">
        <v>1130</v>
      </c>
      <c r="B1136" s="5" t="str">
        <f>"201800049738"</f>
        <v>201800049738</v>
      </c>
      <c r="C1136" s="5" t="str">
        <f>"301"</f>
        <v>301</v>
      </c>
      <c r="D1136" s="5" t="s">
        <v>5696</v>
      </c>
      <c r="E1136" s="5">
        <v>20100971772</v>
      </c>
      <c r="F1136" s="5" t="s">
        <v>4098</v>
      </c>
      <c r="G1136" s="5" t="s">
        <v>5697</v>
      </c>
      <c r="H1136" s="5" t="s">
        <v>28</v>
      </c>
      <c r="I1136" s="5" t="s">
        <v>574</v>
      </c>
      <c r="J1136" s="5" t="s">
        <v>5698</v>
      </c>
      <c r="K1136" s="5" t="s">
        <v>5699</v>
      </c>
      <c r="L1136" s="5" t="s">
        <v>5700</v>
      </c>
      <c r="M1136" s="5" t="s">
        <v>5701</v>
      </c>
      <c r="N1136" s="5" t="s">
        <v>1003</v>
      </c>
      <c r="O1136" s="5" t="s">
        <v>5701</v>
      </c>
      <c r="P1136" s="5"/>
      <c r="Q1136" s="5"/>
      <c r="R1136" s="5"/>
      <c r="S1136" s="5"/>
      <c r="T1136" s="5"/>
      <c r="U1136" s="5">
        <v>213019</v>
      </c>
      <c r="V1136" s="6">
        <v>43195</v>
      </c>
      <c r="W1136" s="5" t="s">
        <v>31</v>
      </c>
      <c r="X1136" s="5" t="s">
        <v>4076</v>
      </c>
    </row>
    <row r="1137" spans="1:24" x14ac:dyDescent="0.3">
      <c r="A1137" s="3">
        <v>1131</v>
      </c>
      <c r="B1137" s="3" t="str">
        <f>"201400000360"</f>
        <v>201400000360</v>
      </c>
      <c r="C1137" s="3" t="str">
        <f>"731"</f>
        <v>731</v>
      </c>
      <c r="D1137" s="3" t="s">
        <v>5702</v>
      </c>
      <c r="E1137" s="3">
        <v>20550330050</v>
      </c>
      <c r="F1137" s="3" t="s">
        <v>5703</v>
      </c>
      <c r="G1137" s="3" t="s">
        <v>5704</v>
      </c>
      <c r="H1137" s="3" t="s">
        <v>135</v>
      </c>
      <c r="I1137" s="3" t="s">
        <v>402</v>
      </c>
      <c r="J1137" s="3" t="s">
        <v>5203</v>
      </c>
      <c r="K1137" s="3" t="s">
        <v>3740</v>
      </c>
      <c r="L1137" s="3" t="s">
        <v>259</v>
      </c>
      <c r="M1137" s="3"/>
      <c r="N1137" s="3"/>
      <c r="O1137" s="3"/>
      <c r="P1137" s="3"/>
      <c r="Q1137" s="3"/>
      <c r="R1137" s="3"/>
      <c r="S1137" s="3"/>
      <c r="T1137" s="3"/>
      <c r="U1137" s="3">
        <v>12000</v>
      </c>
      <c r="V1137" s="4">
        <v>41648</v>
      </c>
      <c r="W1137" s="3" t="s">
        <v>31</v>
      </c>
      <c r="X1137" s="3" t="s">
        <v>330</v>
      </c>
    </row>
    <row r="1138" spans="1:24" ht="27.95" x14ac:dyDescent="0.3">
      <c r="A1138" s="5">
        <v>1132</v>
      </c>
      <c r="B1138" s="5" t="str">
        <f>"1573722"</f>
        <v>1573722</v>
      </c>
      <c r="C1138" s="5" t="str">
        <f>"35123"</f>
        <v>35123</v>
      </c>
      <c r="D1138" s="5" t="s">
        <v>5705</v>
      </c>
      <c r="E1138" s="5">
        <v>20414251561</v>
      </c>
      <c r="F1138" s="5" t="s">
        <v>5706</v>
      </c>
      <c r="G1138" s="5" t="s">
        <v>5707</v>
      </c>
      <c r="H1138" s="5" t="s">
        <v>28</v>
      </c>
      <c r="I1138" s="5" t="s">
        <v>28</v>
      </c>
      <c r="J1138" s="5" t="s">
        <v>1295</v>
      </c>
      <c r="K1138" s="5" t="s">
        <v>421</v>
      </c>
      <c r="L1138" s="5" t="s">
        <v>421</v>
      </c>
      <c r="M1138" s="5"/>
      <c r="N1138" s="5"/>
      <c r="O1138" s="5"/>
      <c r="P1138" s="5"/>
      <c r="Q1138" s="5"/>
      <c r="R1138" s="5"/>
      <c r="S1138" s="5"/>
      <c r="T1138" s="5"/>
      <c r="U1138" s="5">
        <v>10000</v>
      </c>
      <c r="V1138" s="6">
        <v>38679</v>
      </c>
      <c r="W1138" s="5" t="s">
        <v>31</v>
      </c>
      <c r="X1138" s="5" t="s">
        <v>5708</v>
      </c>
    </row>
    <row r="1139" spans="1:24" ht="27.95" x14ac:dyDescent="0.3">
      <c r="A1139" s="3">
        <v>1133</v>
      </c>
      <c r="B1139" s="3" t="str">
        <f>"1498568"</f>
        <v>1498568</v>
      </c>
      <c r="C1139" s="3" t="str">
        <f>"93506"</f>
        <v>93506</v>
      </c>
      <c r="D1139" s="3" t="s">
        <v>5709</v>
      </c>
      <c r="E1139" s="3">
        <v>20156930963</v>
      </c>
      <c r="F1139" s="3" t="s">
        <v>5710</v>
      </c>
      <c r="G1139" s="3" t="s">
        <v>5711</v>
      </c>
      <c r="H1139" s="3" t="s">
        <v>28</v>
      </c>
      <c r="I1139" s="3" t="s">
        <v>28</v>
      </c>
      <c r="J1139" s="3" t="s">
        <v>1907</v>
      </c>
      <c r="K1139" s="3" t="s">
        <v>30</v>
      </c>
      <c r="L1139" s="3" t="s">
        <v>30</v>
      </c>
      <c r="M1139" s="3"/>
      <c r="N1139" s="3"/>
      <c r="O1139" s="3"/>
      <c r="P1139" s="3"/>
      <c r="Q1139" s="3"/>
      <c r="R1139" s="3"/>
      <c r="S1139" s="3"/>
      <c r="T1139" s="3"/>
      <c r="U1139" s="3">
        <v>16000</v>
      </c>
      <c r="V1139" s="4">
        <v>40778</v>
      </c>
      <c r="W1139" s="3" t="s">
        <v>31</v>
      </c>
      <c r="X1139" s="3" t="s">
        <v>5712</v>
      </c>
    </row>
    <row r="1140" spans="1:24" ht="27.95" x14ac:dyDescent="0.3">
      <c r="A1140" s="5">
        <v>1134</v>
      </c>
      <c r="B1140" s="5" t="str">
        <f>"1914805"</f>
        <v>1914805</v>
      </c>
      <c r="C1140" s="5" t="str">
        <f>"83601"</f>
        <v>83601</v>
      </c>
      <c r="D1140" s="5" t="s">
        <v>5713</v>
      </c>
      <c r="E1140" s="5">
        <v>20282570662</v>
      </c>
      <c r="F1140" s="5" t="s">
        <v>5714</v>
      </c>
      <c r="G1140" s="5" t="s">
        <v>5715</v>
      </c>
      <c r="H1140" s="5" t="s">
        <v>285</v>
      </c>
      <c r="I1140" s="5" t="s">
        <v>286</v>
      </c>
      <c r="J1140" s="5" t="s">
        <v>1512</v>
      </c>
      <c r="K1140" s="5" t="s">
        <v>5716</v>
      </c>
      <c r="L1140" s="5"/>
      <c r="M1140" s="5"/>
      <c r="N1140" s="5"/>
      <c r="O1140" s="5"/>
      <c r="P1140" s="5"/>
      <c r="Q1140" s="5"/>
      <c r="R1140" s="5"/>
      <c r="S1140" s="5"/>
      <c r="T1140" s="5"/>
      <c r="U1140" s="5">
        <v>5390</v>
      </c>
      <c r="V1140" s="6">
        <v>40037</v>
      </c>
      <c r="W1140" s="5" t="s">
        <v>31</v>
      </c>
      <c r="X1140" s="5" t="s">
        <v>5717</v>
      </c>
    </row>
    <row r="1141" spans="1:24" x14ac:dyDescent="0.3">
      <c r="A1141" s="3">
        <v>1135</v>
      </c>
      <c r="B1141" s="3" t="str">
        <f>"1118984"</f>
        <v>1118984</v>
      </c>
      <c r="C1141" s="3" t="str">
        <f>"914"</f>
        <v>914</v>
      </c>
      <c r="D1141" s="3">
        <v>1025236</v>
      </c>
      <c r="E1141" s="3">
        <v>20192779333</v>
      </c>
      <c r="F1141" s="3" t="s">
        <v>3215</v>
      </c>
      <c r="G1141" s="3" t="s">
        <v>5718</v>
      </c>
      <c r="H1141" s="3" t="s">
        <v>51</v>
      </c>
      <c r="I1141" s="3" t="s">
        <v>129</v>
      </c>
      <c r="J1141" s="3" t="s">
        <v>3103</v>
      </c>
      <c r="K1141" s="3" t="s">
        <v>1694</v>
      </c>
      <c r="L1141" s="3"/>
      <c r="M1141" s="3"/>
      <c r="N1141" s="3"/>
      <c r="O1141" s="3"/>
      <c r="P1141" s="3"/>
      <c r="Q1141" s="3"/>
      <c r="R1141" s="3"/>
      <c r="S1141" s="3"/>
      <c r="T1141" s="3"/>
      <c r="U1141" s="3">
        <v>20000</v>
      </c>
      <c r="V1141" s="4">
        <v>35593</v>
      </c>
      <c r="W1141" s="3" t="s">
        <v>31</v>
      </c>
      <c r="X1141" s="3" t="s">
        <v>3443</v>
      </c>
    </row>
    <row r="1142" spans="1:24" x14ac:dyDescent="0.3">
      <c r="A1142" s="5">
        <v>1136</v>
      </c>
      <c r="B1142" s="5" t="str">
        <f>"201200173244"</f>
        <v>201200173244</v>
      </c>
      <c r="C1142" s="5" t="str">
        <f>"44139"</f>
        <v>44139</v>
      </c>
      <c r="D1142" s="5" t="s">
        <v>5719</v>
      </c>
      <c r="E1142" s="5">
        <v>20100137390</v>
      </c>
      <c r="F1142" s="5" t="s">
        <v>718</v>
      </c>
      <c r="G1142" s="5" t="s">
        <v>5720</v>
      </c>
      <c r="H1142" s="5" t="s">
        <v>28</v>
      </c>
      <c r="I1142" s="5" t="s">
        <v>28</v>
      </c>
      <c r="J1142" s="5" t="s">
        <v>172</v>
      </c>
      <c r="K1142" s="5" t="s">
        <v>5721</v>
      </c>
      <c r="L1142" s="5" t="s">
        <v>5722</v>
      </c>
      <c r="M1142" s="5" t="s">
        <v>1477</v>
      </c>
      <c r="N1142" s="5"/>
      <c r="O1142" s="5"/>
      <c r="P1142" s="5"/>
      <c r="Q1142" s="5"/>
      <c r="R1142" s="5"/>
      <c r="S1142" s="5"/>
      <c r="T1142" s="5"/>
      <c r="U1142" s="5">
        <v>7400</v>
      </c>
      <c r="V1142" s="6">
        <v>41201</v>
      </c>
      <c r="W1142" s="5" t="s">
        <v>31</v>
      </c>
      <c r="X1142" s="5" t="s">
        <v>1532</v>
      </c>
    </row>
    <row r="1143" spans="1:24" ht="27.95" x14ac:dyDescent="0.3">
      <c r="A1143" s="3">
        <v>1137</v>
      </c>
      <c r="B1143" s="3" t="str">
        <f>"1495132"</f>
        <v>1495132</v>
      </c>
      <c r="C1143" s="3" t="str">
        <f>"39632"</f>
        <v>39632</v>
      </c>
      <c r="D1143" s="3" t="s">
        <v>5723</v>
      </c>
      <c r="E1143" s="3">
        <v>20145915164</v>
      </c>
      <c r="F1143" s="3" t="s">
        <v>5134</v>
      </c>
      <c r="G1143" s="3" t="s">
        <v>5724</v>
      </c>
      <c r="H1143" s="3" t="s">
        <v>28</v>
      </c>
      <c r="I1143" s="3" t="s">
        <v>28</v>
      </c>
      <c r="J1143" s="3" t="s">
        <v>409</v>
      </c>
      <c r="K1143" s="3" t="s">
        <v>5725</v>
      </c>
      <c r="L1143" s="3"/>
      <c r="M1143" s="3"/>
      <c r="N1143" s="3"/>
      <c r="O1143" s="3"/>
      <c r="P1143" s="3"/>
      <c r="Q1143" s="3"/>
      <c r="R1143" s="3"/>
      <c r="S1143" s="3"/>
      <c r="T1143" s="3"/>
      <c r="U1143" s="3">
        <v>2080</v>
      </c>
      <c r="V1143" s="4">
        <v>38273</v>
      </c>
      <c r="W1143" s="3" t="s">
        <v>31</v>
      </c>
      <c r="X1143" s="3" t="s">
        <v>5137</v>
      </c>
    </row>
    <row r="1144" spans="1:24" ht="27.95" x14ac:dyDescent="0.3">
      <c r="A1144" s="5">
        <v>1138</v>
      </c>
      <c r="B1144" s="5" t="str">
        <f>"1573723"</f>
        <v>1573723</v>
      </c>
      <c r="C1144" s="5" t="str">
        <f>"35133"</f>
        <v>35133</v>
      </c>
      <c r="D1144" s="5" t="s">
        <v>5726</v>
      </c>
      <c r="E1144" s="5">
        <v>20414251561</v>
      </c>
      <c r="F1144" s="5" t="s">
        <v>5706</v>
      </c>
      <c r="G1144" s="5" t="s">
        <v>5727</v>
      </c>
      <c r="H1144" s="5" t="s">
        <v>28</v>
      </c>
      <c r="I1144" s="5" t="s">
        <v>28</v>
      </c>
      <c r="J1144" s="5" t="s">
        <v>91</v>
      </c>
      <c r="K1144" s="5" t="s">
        <v>421</v>
      </c>
      <c r="L1144" s="5"/>
      <c r="M1144" s="5"/>
      <c r="N1144" s="5"/>
      <c r="O1144" s="5"/>
      <c r="P1144" s="5"/>
      <c r="Q1144" s="5"/>
      <c r="R1144" s="5"/>
      <c r="S1144" s="5"/>
      <c r="T1144" s="5"/>
      <c r="U1144" s="5">
        <v>5000</v>
      </c>
      <c r="V1144" s="6">
        <v>38679</v>
      </c>
      <c r="W1144" s="5" t="s">
        <v>31</v>
      </c>
      <c r="X1144" s="5" t="s">
        <v>5708</v>
      </c>
    </row>
    <row r="1145" spans="1:24" ht="27.95" x14ac:dyDescent="0.3">
      <c r="A1145" s="3">
        <v>1139</v>
      </c>
      <c r="B1145" s="3" t="str">
        <f>"1116703"</f>
        <v>1116703</v>
      </c>
      <c r="C1145" s="3" t="str">
        <f>"1021"</f>
        <v>1021</v>
      </c>
      <c r="D1145" s="3">
        <v>1065389</v>
      </c>
      <c r="E1145" s="3">
        <v>20131707038</v>
      </c>
      <c r="F1145" s="3" t="s">
        <v>3883</v>
      </c>
      <c r="G1145" s="3" t="s">
        <v>5728</v>
      </c>
      <c r="H1145" s="3" t="s">
        <v>115</v>
      </c>
      <c r="I1145" s="3" t="s">
        <v>115</v>
      </c>
      <c r="J1145" s="3" t="s">
        <v>159</v>
      </c>
      <c r="K1145" s="3" t="s">
        <v>1422</v>
      </c>
      <c r="L1145" s="3" t="s">
        <v>1260</v>
      </c>
      <c r="M1145" s="3"/>
      <c r="N1145" s="3"/>
      <c r="O1145" s="3"/>
      <c r="P1145" s="3"/>
      <c r="Q1145" s="3"/>
      <c r="R1145" s="3"/>
      <c r="S1145" s="3"/>
      <c r="T1145" s="3"/>
      <c r="U1145" s="3">
        <v>8000</v>
      </c>
      <c r="V1145" s="4">
        <v>35529</v>
      </c>
      <c r="W1145" s="3" t="s">
        <v>31</v>
      </c>
      <c r="X1145" s="3" t="s">
        <v>3886</v>
      </c>
    </row>
    <row r="1146" spans="1:24" x14ac:dyDescent="0.3">
      <c r="A1146" s="5">
        <v>1140</v>
      </c>
      <c r="B1146" s="5" t="str">
        <f>"201500137273"</f>
        <v>201500137273</v>
      </c>
      <c r="C1146" s="5" t="str">
        <f>"105453"</f>
        <v>105453</v>
      </c>
      <c r="D1146" s="5" t="s">
        <v>5729</v>
      </c>
      <c r="E1146" s="5">
        <v>20136150473</v>
      </c>
      <c r="F1146" s="5" t="s">
        <v>5730</v>
      </c>
      <c r="G1146" s="5" t="s">
        <v>5731</v>
      </c>
      <c r="H1146" s="5" t="s">
        <v>36</v>
      </c>
      <c r="I1146" s="5" t="s">
        <v>3208</v>
      </c>
      <c r="J1146" s="5" t="s">
        <v>3209</v>
      </c>
      <c r="K1146" s="5" t="s">
        <v>5344</v>
      </c>
      <c r="L1146" s="5" t="s">
        <v>4545</v>
      </c>
      <c r="M1146" s="5"/>
      <c r="N1146" s="5"/>
      <c r="O1146" s="5"/>
      <c r="P1146" s="5"/>
      <c r="Q1146" s="5"/>
      <c r="R1146" s="5"/>
      <c r="S1146" s="5"/>
      <c r="T1146" s="5"/>
      <c r="U1146" s="5">
        <v>61000</v>
      </c>
      <c r="V1146" s="6">
        <v>42325</v>
      </c>
      <c r="W1146" s="5" t="s">
        <v>31</v>
      </c>
      <c r="X1146" s="5" t="s">
        <v>5732</v>
      </c>
    </row>
    <row r="1147" spans="1:24" ht="41.95" x14ac:dyDescent="0.3">
      <c r="A1147" s="3">
        <v>1141</v>
      </c>
      <c r="B1147" s="3" t="str">
        <f>"201900107295"</f>
        <v>201900107295</v>
      </c>
      <c r="C1147" s="3" t="str">
        <f>"63909"</f>
        <v>63909</v>
      </c>
      <c r="D1147" s="3" t="s">
        <v>5733</v>
      </c>
      <c r="E1147" s="3">
        <v>20503876150</v>
      </c>
      <c r="F1147" s="3" t="s">
        <v>5734</v>
      </c>
      <c r="G1147" s="3" t="s">
        <v>5735</v>
      </c>
      <c r="H1147" s="3" t="s">
        <v>28</v>
      </c>
      <c r="I1147" s="3" t="s">
        <v>28</v>
      </c>
      <c r="J1147" s="3" t="s">
        <v>180</v>
      </c>
      <c r="K1147" s="3" t="s">
        <v>1089</v>
      </c>
      <c r="L1147" s="3" t="s">
        <v>5736</v>
      </c>
      <c r="M1147" s="3"/>
      <c r="N1147" s="3"/>
      <c r="O1147" s="3"/>
      <c r="P1147" s="3"/>
      <c r="Q1147" s="3"/>
      <c r="R1147" s="3"/>
      <c r="S1147" s="3"/>
      <c r="T1147" s="3"/>
      <c r="U1147" s="3">
        <v>30700</v>
      </c>
      <c r="V1147" s="4">
        <v>43651</v>
      </c>
      <c r="W1147" s="3" t="s">
        <v>31</v>
      </c>
      <c r="X1147" s="3" t="s">
        <v>5737</v>
      </c>
    </row>
    <row r="1148" spans="1:24" ht="27.95" x14ac:dyDescent="0.3">
      <c r="A1148" s="5">
        <v>1142</v>
      </c>
      <c r="B1148" s="5" t="str">
        <f>"1082992"</f>
        <v>1082992</v>
      </c>
      <c r="C1148" s="5" t="str">
        <f>"1059"</f>
        <v>1059</v>
      </c>
      <c r="D1148" s="5" t="s">
        <v>5738</v>
      </c>
      <c r="E1148" s="5">
        <v>20106156400</v>
      </c>
      <c r="F1148" s="5" t="s">
        <v>5739</v>
      </c>
      <c r="G1148" s="5" t="s">
        <v>5740</v>
      </c>
      <c r="H1148" s="5" t="s">
        <v>292</v>
      </c>
      <c r="I1148" s="5" t="s">
        <v>4050</v>
      </c>
      <c r="J1148" s="5" t="s">
        <v>5741</v>
      </c>
      <c r="K1148" s="5" t="s">
        <v>1736</v>
      </c>
      <c r="L1148" s="5" t="s">
        <v>323</v>
      </c>
      <c r="M1148" s="5"/>
      <c r="N1148" s="5"/>
      <c r="O1148" s="5"/>
      <c r="P1148" s="5"/>
      <c r="Q1148" s="5"/>
      <c r="R1148" s="5"/>
      <c r="S1148" s="5"/>
      <c r="T1148" s="5"/>
      <c r="U1148" s="5">
        <v>7200</v>
      </c>
      <c r="V1148" s="6">
        <v>36859</v>
      </c>
      <c r="W1148" s="5" t="s">
        <v>31</v>
      </c>
      <c r="X1148" s="5" t="s">
        <v>4577</v>
      </c>
    </row>
    <row r="1149" spans="1:24" ht="27.95" x14ac:dyDescent="0.3">
      <c r="A1149" s="3">
        <v>1143</v>
      </c>
      <c r="B1149" s="3" t="str">
        <f>"201800024995"</f>
        <v>201800024995</v>
      </c>
      <c r="C1149" s="3" t="str">
        <f>"40865"</f>
        <v>40865</v>
      </c>
      <c r="D1149" s="3" t="s">
        <v>5742</v>
      </c>
      <c r="E1149" s="3">
        <v>20100971772</v>
      </c>
      <c r="F1149" s="3" t="s">
        <v>914</v>
      </c>
      <c r="G1149" s="3" t="s">
        <v>5743</v>
      </c>
      <c r="H1149" s="3" t="s">
        <v>36</v>
      </c>
      <c r="I1149" s="3" t="s">
        <v>1269</v>
      </c>
      <c r="J1149" s="3" t="s">
        <v>1270</v>
      </c>
      <c r="K1149" s="3" t="s">
        <v>5744</v>
      </c>
      <c r="L1149" s="3" t="s">
        <v>5745</v>
      </c>
      <c r="M1149" s="3"/>
      <c r="N1149" s="3"/>
      <c r="O1149" s="3"/>
      <c r="P1149" s="3"/>
      <c r="Q1149" s="3"/>
      <c r="R1149" s="3"/>
      <c r="S1149" s="3"/>
      <c r="T1149" s="3"/>
      <c r="U1149" s="3">
        <v>396254</v>
      </c>
      <c r="V1149" s="4">
        <v>43151</v>
      </c>
      <c r="W1149" s="3" t="s">
        <v>31</v>
      </c>
      <c r="X1149" s="3" t="s">
        <v>5746</v>
      </c>
    </row>
    <row r="1150" spans="1:24" ht="41.95" x14ac:dyDescent="0.3">
      <c r="A1150" s="5">
        <v>1144</v>
      </c>
      <c r="B1150" s="5" t="str">
        <f>"201900008262"</f>
        <v>201900008262</v>
      </c>
      <c r="C1150" s="5" t="str">
        <f>"44621"</f>
        <v>44621</v>
      </c>
      <c r="D1150" s="5" t="s">
        <v>5747</v>
      </c>
      <c r="E1150" s="5">
        <v>20100147514</v>
      </c>
      <c r="F1150" s="5" t="s">
        <v>2739</v>
      </c>
      <c r="G1150" s="5" t="s">
        <v>5748</v>
      </c>
      <c r="H1150" s="5" t="s">
        <v>1147</v>
      </c>
      <c r="I1150" s="5" t="s">
        <v>1148</v>
      </c>
      <c r="J1150" s="5" t="s">
        <v>2741</v>
      </c>
      <c r="K1150" s="5" t="s">
        <v>2744</v>
      </c>
      <c r="L1150" s="5" t="s">
        <v>2744</v>
      </c>
      <c r="M1150" s="5" t="s">
        <v>5749</v>
      </c>
      <c r="N1150" s="5" t="s">
        <v>5750</v>
      </c>
      <c r="O1150" s="5"/>
      <c r="P1150" s="5"/>
      <c r="Q1150" s="5"/>
      <c r="R1150" s="5"/>
      <c r="S1150" s="5"/>
      <c r="T1150" s="5"/>
      <c r="U1150" s="5">
        <v>6724960</v>
      </c>
      <c r="V1150" s="6">
        <v>43486</v>
      </c>
      <c r="W1150" s="5" t="s">
        <v>31</v>
      </c>
      <c r="X1150" s="5" t="s">
        <v>781</v>
      </c>
    </row>
    <row r="1151" spans="1:24" x14ac:dyDescent="0.3">
      <c r="A1151" s="3">
        <v>1145</v>
      </c>
      <c r="B1151" s="3" t="str">
        <f>"1276015"</f>
        <v>1276015</v>
      </c>
      <c r="C1151" s="3" t="str">
        <f>"18651"</f>
        <v>18651</v>
      </c>
      <c r="D1151" s="3" t="s">
        <v>5751</v>
      </c>
      <c r="E1151" s="3">
        <v>20131257750</v>
      </c>
      <c r="F1151" s="3" t="s">
        <v>5752</v>
      </c>
      <c r="G1151" s="3" t="s">
        <v>5753</v>
      </c>
      <c r="H1151" s="3" t="s">
        <v>1147</v>
      </c>
      <c r="I1151" s="3" t="s">
        <v>1148</v>
      </c>
      <c r="J1151" s="3" t="s">
        <v>1148</v>
      </c>
      <c r="K1151" s="3" t="s">
        <v>1259</v>
      </c>
      <c r="L1151" s="3" t="s">
        <v>1259</v>
      </c>
      <c r="M1151" s="3"/>
      <c r="N1151" s="3"/>
      <c r="O1151" s="3"/>
      <c r="P1151" s="3"/>
      <c r="Q1151" s="3"/>
      <c r="R1151" s="3"/>
      <c r="S1151" s="3"/>
      <c r="T1151" s="3"/>
      <c r="U1151" s="3">
        <v>2000</v>
      </c>
      <c r="V1151" s="4">
        <v>36615</v>
      </c>
      <c r="W1151" s="3" t="s">
        <v>31</v>
      </c>
      <c r="X1151" s="3" t="s">
        <v>2564</v>
      </c>
    </row>
    <row r="1152" spans="1:24" x14ac:dyDescent="0.3">
      <c r="A1152" s="5">
        <v>1146</v>
      </c>
      <c r="B1152" s="5" t="str">
        <f>"201700112367"</f>
        <v>201700112367</v>
      </c>
      <c r="C1152" s="5" t="str">
        <f>"113336"</f>
        <v>113336</v>
      </c>
      <c r="D1152" s="5" t="s">
        <v>5754</v>
      </c>
      <c r="E1152" s="5">
        <v>20438637380</v>
      </c>
      <c r="F1152" s="5" t="s">
        <v>5755</v>
      </c>
      <c r="G1152" s="5" t="s">
        <v>5756</v>
      </c>
      <c r="H1152" s="5" t="s">
        <v>80</v>
      </c>
      <c r="I1152" s="5" t="s">
        <v>80</v>
      </c>
      <c r="J1152" s="5" t="s">
        <v>80</v>
      </c>
      <c r="K1152" s="5" t="s">
        <v>1058</v>
      </c>
      <c r="L1152" s="5"/>
      <c r="M1152" s="5"/>
      <c r="N1152" s="5"/>
      <c r="O1152" s="5"/>
      <c r="P1152" s="5"/>
      <c r="Q1152" s="5"/>
      <c r="R1152" s="5"/>
      <c r="S1152" s="5"/>
      <c r="T1152" s="5"/>
      <c r="U1152" s="5">
        <v>4000</v>
      </c>
      <c r="V1152" s="6">
        <v>42948</v>
      </c>
      <c r="W1152" s="5" t="s">
        <v>31</v>
      </c>
      <c r="X1152" s="5" t="s">
        <v>2696</v>
      </c>
    </row>
    <row r="1153" spans="1:24" x14ac:dyDescent="0.3">
      <c r="A1153" s="3">
        <v>1147</v>
      </c>
      <c r="B1153" s="3" t="str">
        <f>"1927520"</f>
        <v>1927520</v>
      </c>
      <c r="C1153" s="3" t="str">
        <f>"508"</f>
        <v>508</v>
      </c>
      <c r="D1153" s="3" t="s">
        <v>5757</v>
      </c>
      <c r="E1153" s="3">
        <v>20130074201</v>
      </c>
      <c r="F1153" s="3" t="s">
        <v>5758</v>
      </c>
      <c r="G1153" s="3" t="s">
        <v>5759</v>
      </c>
      <c r="H1153" s="3" t="s">
        <v>769</v>
      </c>
      <c r="I1153" s="3" t="s">
        <v>769</v>
      </c>
      <c r="J1153" s="3" t="s">
        <v>769</v>
      </c>
      <c r="K1153" s="3" t="s">
        <v>5760</v>
      </c>
      <c r="L1153" s="3" t="s">
        <v>841</v>
      </c>
      <c r="M1153" s="3"/>
      <c r="N1153" s="3"/>
      <c r="O1153" s="3"/>
      <c r="P1153" s="3"/>
      <c r="Q1153" s="3"/>
      <c r="R1153" s="3"/>
      <c r="S1153" s="3"/>
      <c r="T1153" s="3"/>
      <c r="U1153" s="3">
        <v>8500</v>
      </c>
      <c r="V1153" s="4">
        <v>40085</v>
      </c>
      <c r="W1153" s="3" t="s">
        <v>31</v>
      </c>
      <c r="X1153" s="3" t="s">
        <v>5761</v>
      </c>
    </row>
    <row r="1154" spans="1:24" ht="27.95" x14ac:dyDescent="0.3">
      <c r="A1154" s="5">
        <v>1148</v>
      </c>
      <c r="B1154" s="5" t="str">
        <f>"201600162160"</f>
        <v>201600162160</v>
      </c>
      <c r="C1154" s="5" t="str">
        <f>"113110"</f>
        <v>113110</v>
      </c>
      <c r="D1154" s="5" t="s">
        <v>5762</v>
      </c>
      <c r="E1154" s="5">
        <v>20544229118</v>
      </c>
      <c r="F1154" s="5" t="s">
        <v>5763</v>
      </c>
      <c r="G1154" s="5" t="s">
        <v>5764</v>
      </c>
      <c r="H1154" s="5" t="s">
        <v>264</v>
      </c>
      <c r="I1154" s="5" t="s">
        <v>265</v>
      </c>
      <c r="J1154" s="5" t="s">
        <v>5765</v>
      </c>
      <c r="K1154" s="5" t="s">
        <v>5766</v>
      </c>
      <c r="L1154" s="5" t="s">
        <v>5766</v>
      </c>
      <c r="M1154" s="5"/>
      <c r="N1154" s="5"/>
      <c r="O1154" s="5"/>
      <c r="P1154" s="5"/>
      <c r="Q1154" s="5"/>
      <c r="R1154" s="5"/>
      <c r="S1154" s="5"/>
      <c r="T1154" s="5"/>
      <c r="U1154" s="5">
        <v>4517306</v>
      </c>
      <c r="V1154" s="6">
        <v>42694</v>
      </c>
      <c r="W1154" s="5" t="s">
        <v>31</v>
      </c>
      <c r="X1154" s="5" t="s">
        <v>5767</v>
      </c>
    </row>
    <row r="1155" spans="1:24" x14ac:dyDescent="0.3">
      <c r="A1155" s="3">
        <v>1149</v>
      </c>
      <c r="B1155" s="3" t="str">
        <f>"201200028460"</f>
        <v>201200028460</v>
      </c>
      <c r="C1155" s="3" t="str">
        <f>"41949"</f>
        <v>41949</v>
      </c>
      <c r="D1155" s="3" t="s">
        <v>5768</v>
      </c>
      <c r="E1155" s="3">
        <v>20154572792</v>
      </c>
      <c r="F1155" s="3" t="s">
        <v>5769</v>
      </c>
      <c r="G1155" s="3" t="s">
        <v>5770</v>
      </c>
      <c r="H1155" s="3" t="s">
        <v>334</v>
      </c>
      <c r="I1155" s="3" t="s">
        <v>335</v>
      </c>
      <c r="J1155" s="3" t="s">
        <v>336</v>
      </c>
      <c r="K1155" s="3" t="s">
        <v>5771</v>
      </c>
      <c r="L1155" s="3" t="s">
        <v>5772</v>
      </c>
      <c r="M1155" s="3"/>
      <c r="N1155" s="3"/>
      <c r="O1155" s="3"/>
      <c r="P1155" s="3"/>
      <c r="Q1155" s="3"/>
      <c r="R1155" s="3"/>
      <c r="S1155" s="3"/>
      <c r="T1155" s="3"/>
      <c r="U1155" s="3">
        <v>4900</v>
      </c>
      <c r="V1155" s="4">
        <v>40969</v>
      </c>
      <c r="W1155" s="3" t="s">
        <v>31</v>
      </c>
      <c r="X1155" s="3" t="s">
        <v>5773</v>
      </c>
    </row>
    <row r="1156" spans="1:24" ht="27.95" x14ac:dyDescent="0.3">
      <c r="A1156" s="5">
        <v>1150</v>
      </c>
      <c r="B1156" s="5" t="str">
        <f>"201900045638"</f>
        <v>201900045638</v>
      </c>
      <c r="C1156" s="5" t="str">
        <f>"40687"</f>
        <v>40687</v>
      </c>
      <c r="D1156" s="5" t="s">
        <v>5774</v>
      </c>
      <c r="E1156" s="5">
        <v>10329279508</v>
      </c>
      <c r="F1156" s="5" t="s">
        <v>5775</v>
      </c>
      <c r="G1156" s="5" t="s">
        <v>5776</v>
      </c>
      <c r="H1156" s="5" t="s">
        <v>285</v>
      </c>
      <c r="I1156" s="5" t="s">
        <v>286</v>
      </c>
      <c r="J1156" s="5" t="s">
        <v>470</v>
      </c>
      <c r="K1156" s="5" t="s">
        <v>5777</v>
      </c>
      <c r="L1156" s="5" t="s">
        <v>5778</v>
      </c>
      <c r="M1156" s="5" t="s">
        <v>5779</v>
      </c>
      <c r="N1156" s="5" t="s">
        <v>1089</v>
      </c>
      <c r="O1156" s="5"/>
      <c r="P1156" s="5"/>
      <c r="Q1156" s="5"/>
      <c r="R1156" s="5"/>
      <c r="S1156" s="5"/>
      <c r="T1156" s="5"/>
      <c r="U1156" s="5">
        <v>82210</v>
      </c>
      <c r="V1156" s="6">
        <v>43549</v>
      </c>
      <c r="W1156" s="5" t="s">
        <v>31</v>
      </c>
      <c r="X1156" s="5" t="s">
        <v>5775</v>
      </c>
    </row>
    <row r="1157" spans="1:24" ht="27.95" x14ac:dyDescent="0.3">
      <c r="A1157" s="3">
        <v>1151</v>
      </c>
      <c r="B1157" s="3" t="str">
        <f>"1457998"</f>
        <v>1457998</v>
      </c>
      <c r="C1157" s="3" t="str">
        <f>"1556"</f>
        <v>1556</v>
      </c>
      <c r="D1157" s="3" t="s">
        <v>5780</v>
      </c>
      <c r="E1157" s="3">
        <v>20100199662</v>
      </c>
      <c r="F1157" s="3" t="s">
        <v>5781</v>
      </c>
      <c r="G1157" s="3" t="s">
        <v>5782</v>
      </c>
      <c r="H1157" s="3" t="s">
        <v>51</v>
      </c>
      <c r="I1157" s="3" t="s">
        <v>51</v>
      </c>
      <c r="J1157" s="3" t="s">
        <v>51</v>
      </c>
      <c r="K1157" s="3" t="s">
        <v>421</v>
      </c>
      <c r="L1157" s="3" t="s">
        <v>421</v>
      </c>
      <c r="M1157" s="3"/>
      <c r="N1157" s="3"/>
      <c r="O1157" s="3"/>
      <c r="P1157" s="3"/>
      <c r="Q1157" s="3"/>
      <c r="R1157" s="3"/>
      <c r="S1157" s="3"/>
      <c r="T1157" s="3"/>
      <c r="U1157" s="3">
        <v>10000</v>
      </c>
      <c r="V1157" s="4">
        <v>38043</v>
      </c>
      <c r="W1157" s="3" t="s">
        <v>31</v>
      </c>
      <c r="X1157" s="3" t="s">
        <v>5783</v>
      </c>
    </row>
    <row r="1158" spans="1:24" x14ac:dyDescent="0.3">
      <c r="A1158" s="5">
        <v>1152</v>
      </c>
      <c r="B1158" s="5" t="str">
        <f>"1970375"</f>
        <v>1970375</v>
      </c>
      <c r="C1158" s="5" t="str">
        <f>"1091"</f>
        <v>1091</v>
      </c>
      <c r="D1158" s="5" t="s">
        <v>5784</v>
      </c>
      <c r="E1158" s="5">
        <v>20143229816</v>
      </c>
      <c r="F1158" s="5" t="s">
        <v>5785</v>
      </c>
      <c r="G1158" s="5" t="s">
        <v>5786</v>
      </c>
      <c r="H1158" s="5" t="s">
        <v>28</v>
      </c>
      <c r="I1158" s="5" t="s">
        <v>28</v>
      </c>
      <c r="J1158" s="5" t="s">
        <v>1588</v>
      </c>
      <c r="K1158" s="5" t="s">
        <v>5787</v>
      </c>
      <c r="L1158" s="5"/>
      <c r="M1158" s="5"/>
      <c r="N1158" s="5"/>
      <c r="O1158" s="5"/>
      <c r="P1158" s="5"/>
      <c r="Q1158" s="5"/>
      <c r="R1158" s="5"/>
      <c r="S1158" s="5"/>
      <c r="T1158" s="5"/>
      <c r="U1158" s="5">
        <v>4170</v>
      </c>
      <c r="V1158" s="6">
        <v>40246</v>
      </c>
      <c r="W1158" s="5" t="s">
        <v>31</v>
      </c>
      <c r="X1158" s="5" t="s">
        <v>5788</v>
      </c>
    </row>
    <row r="1159" spans="1:24" ht="27.95" x14ac:dyDescent="0.3">
      <c r="A1159" s="3">
        <v>1153</v>
      </c>
      <c r="B1159" s="3" t="str">
        <f>"1519848"</f>
        <v>1519848</v>
      </c>
      <c r="C1159" s="3" t="str">
        <f>"1350"</f>
        <v>1350</v>
      </c>
      <c r="D1159" s="3" t="s">
        <v>5789</v>
      </c>
      <c r="E1159" s="3">
        <v>20136165667</v>
      </c>
      <c r="F1159" s="3" t="s">
        <v>3312</v>
      </c>
      <c r="G1159" s="3" t="s">
        <v>5790</v>
      </c>
      <c r="H1159" s="3" t="s">
        <v>28</v>
      </c>
      <c r="I1159" s="3" t="s">
        <v>574</v>
      </c>
      <c r="J1159" s="3" t="s">
        <v>5698</v>
      </c>
      <c r="K1159" s="3" t="s">
        <v>5791</v>
      </c>
      <c r="L1159" s="3" t="s">
        <v>5792</v>
      </c>
      <c r="M1159" s="3"/>
      <c r="N1159" s="3"/>
      <c r="O1159" s="3"/>
      <c r="P1159" s="3"/>
      <c r="Q1159" s="3"/>
      <c r="R1159" s="3"/>
      <c r="S1159" s="3"/>
      <c r="T1159" s="3"/>
      <c r="U1159" s="3">
        <v>261186</v>
      </c>
      <c r="V1159" s="4">
        <v>38421</v>
      </c>
      <c r="W1159" s="3" t="s">
        <v>31</v>
      </c>
      <c r="X1159" s="3" t="s">
        <v>1839</v>
      </c>
    </row>
    <row r="1160" spans="1:24" ht="27.95" x14ac:dyDescent="0.3">
      <c r="A1160" s="5">
        <v>1154</v>
      </c>
      <c r="B1160" s="5" t="str">
        <f>"1960658"</f>
        <v>1960658</v>
      </c>
      <c r="C1160" s="5" t="str">
        <f>"90398"</f>
        <v>90398</v>
      </c>
      <c r="D1160" s="5" t="s">
        <v>5793</v>
      </c>
      <c r="E1160" s="5">
        <v>20100076749</v>
      </c>
      <c r="F1160" s="5" t="s">
        <v>5794</v>
      </c>
      <c r="G1160" s="5" t="s">
        <v>5795</v>
      </c>
      <c r="H1160" s="5" t="s">
        <v>28</v>
      </c>
      <c r="I1160" s="5" t="s">
        <v>28</v>
      </c>
      <c r="J1160" s="5" t="s">
        <v>102</v>
      </c>
      <c r="K1160" s="5" t="s">
        <v>5796</v>
      </c>
      <c r="L1160" s="5"/>
      <c r="M1160" s="5"/>
      <c r="N1160" s="5"/>
      <c r="O1160" s="5"/>
      <c r="P1160" s="5"/>
      <c r="Q1160" s="5"/>
      <c r="R1160" s="5"/>
      <c r="S1160" s="5"/>
      <c r="T1160" s="5"/>
      <c r="U1160" s="5">
        <v>275</v>
      </c>
      <c r="V1160" s="6">
        <v>40227</v>
      </c>
      <c r="W1160" s="5" t="s">
        <v>31</v>
      </c>
      <c r="X1160" s="5" t="s">
        <v>5797</v>
      </c>
    </row>
    <row r="1161" spans="1:24" x14ac:dyDescent="0.3">
      <c r="A1161" s="3">
        <v>1155</v>
      </c>
      <c r="B1161" s="3" t="str">
        <f>"201600005922"</f>
        <v>201600005922</v>
      </c>
      <c r="C1161" s="3" t="str">
        <f>"104408"</f>
        <v>104408</v>
      </c>
      <c r="D1161" s="3" t="s">
        <v>5798</v>
      </c>
      <c r="E1161" s="3">
        <v>20491166836</v>
      </c>
      <c r="F1161" s="3" t="s">
        <v>5799</v>
      </c>
      <c r="G1161" s="3" t="s">
        <v>5800</v>
      </c>
      <c r="H1161" s="3" t="s">
        <v>165</v>
      </c>
      <c r="I1161" s="3" t="s">
        <v>166</v>
      </c>
      <c r="J1161" s="3" t="s">
        <v>167</v>
      </c>
      <c r="K1161" s="3" t="s">
        <v>5801</v>
      </c>
      <c r="L1161" s="3"/>
      <c r="M1161" s="3"/>
      <c r="N1161" s="3"/>
      <c r="O1161" s="3"/>
      <c r="P1161" s="3"/>
      <c r="Q1161" s="3"/>
      <c r="R1161" s="3"/>
      <c r="S1161" s="3"/>
      <c r="T1161" s="3"/>
      <c r="U1161" s="3">
        <v>8900</v>
      </c>
      <c r="V1161" s="4">
        <v>42387</v>
      </c>
      <c r="W1161" s="3" t="s">
        <v>31</v>
      </c>
      <c r="X1161" s="3" t="s">
        <v>5802</v>
      </c>
    </row>
    <row r="1162" spans="1:24" x14ac:dyDescent="0.3">
      <c r="A1162" s="5">
        <v>1156</v>
      </c>
      <c r="B1162" s="5" t="str">
        <f>"201400173130"</f>
        <v>201400173130</v>
      </c>
      <c r="C1162" s="5" t="str">
        <f>"1288"</f>
        <v>1288</v>
      </c>
      <c r="D1162" s="5" t="s">
        <v>5803</v>
      </c>
      <c r="E1162" s="5">
        <v>20223149635</v>
      </c>
      <c r="F1162" s="5" t="s">
        <v>5804</v>
      </c>
      <c r="G1162" s="5" t="s">
        <v>5805</v>
      </c>
      <c r="H1162" s="5" t="s">
        <v>36</v>
      </c>
      <c r="I1162" s="5" t="s">
        <v>234</v>
      </c>
      <c r="J1162" s="5" t="s">
        <v>234</v>
      </c>
      <c r="K1162" s="5" t="s">
        <v>5806</v>
      </c>
      <c r="L1162" s="5" t="s">
        <v>5806</v>
      </c>
      <c r="M1162" s="5"/>
      <c r="N1162" s="5"/>
      <c r="O1162" s="5"/>
      <c r="P1162" s="5"/>
      <c r="Q1162" s="5"/>
      <c r="R1162" s="5"/>
      <c r="S1162" s="5"/>
      <c r="T1162" s="5"/>
      <c r="U1162" s="5">
        <v>4832</v>
      </c>
      <c r="V1162" s="6">
        <v>42035</v>
      </c>
      <c r="W1162" s="5" t="s">
        <v>31</v>
      </c>
      <c r="X1162" s="5" t="s">
        <v>5807</v>
      </c>
    </row>
    <row r="1163" spans="1:24" x14ac:dyDescent="0.3">
      <c r="A1163" s="3">
        <v>1157</v>
      </c>
      <c r="B1163" s="3" t="str">
        <f>"1716217"</f>
        <v>1716217</v>
      </c>
      <c r="C1163" s="3" t="str">
        <f>"60701"</f>
        <v>60701</v>
      </c>
      <c r="D1163" s="3" t="s">
        <v>5808</v>
      </c>
      <c r="E1163" s="3">
        <v>20334766714</v>
      </c>
      <c r="F1163" s="3" t="s">
        <v>424</v>
      </c>
      <c r="G1163" s="3" t="s">
        <v>5809</v>
      </c>
      <c r="H1163" s="3" t="s">
        <v>28</v>
      </c>
      <c r="I1163" s="3" t="s">
        <v>28</v>
      </c>
      <c r="J1163" s="3" t="s">
        <v>426</v>
      </c>
      <c r="K1163" s="3" t="s">
        <v>5810</v>
      </c>
      <c r="L1163" s="3" t="s">
        <v>870</v>
      </c>
      <c r="M1163" s="3"/>
      <c r="N1163" s="3"/>
      <c r="O1163" s="3"/>
      <c r="P1163" s="3"/>
      <c r="Q1163" s="3"/>
      <c r="R1163" s="3"/>
      <c r="S1163" s="3"/>
      <c r="T1163" s="3"/>
      <c r="U1163" s="3">
        <v>3425</v>
      </c>
      <c r="V1163" s="4">
        <v>39342</v>
      </c>
      <c r="W1163" s="3" t="s">
        <v>31</v>
      </c>
      <c r="X1163" s="3" t="s">
        <v>5811</v>
      </c>
    </row>
    <row r="1164" spans="1:24" x14ac:dyDescent="0.3">
      <c r="A1164" s="5">
        <v>1158</v>
      </c>
      <c r="B1164" s="5" t="str">
        <f>"1268173"</f>
        <v>1268173</v>
      </c>
      <c r="C1164" s="5" t="str">
        <f>"18238"</f>
        <v>18238</v>
      </c>
      <c r="D1164" s="5">
        <v>1268173</v>
      </c>
      <c r="E1164" s="5">
        <v>20128255282</v>
      </c>
      <c r="F1164" s="5" t="s">
        <v>5812</v>
      </c>
      <c r="G1164" s="5" t="s">
        <v>5813</v>
      </c>
      <c r="H1164" s="5" t="s">
        <v>28</v>
      </c>
      <c r="I1164" s="5" t="s">
        <v>28</v>
      </c>
      <c r="J1164" s="5" t="s">
        <v>1432</v>
      </c>
      <c r="K1164" s="5" t="s">
        <v>5814</v>
      </c>
      <c r="L1164" s="5" t="s">
        <v>5814</v>
      </c>
      <c r="M1164" s="5"/>
      <c r="N1164" s="5"/>
      <c r="O1164" s="5"/>
      <c r="P1164" s="5"/>
      <c r="Q1164" s="5"/>
      <c r="R1164" s="5"/>
      <c r="S1164" s="5"/>
      <c r="T1164" s="5"/>
      <c r="U1164" s="5">
        <v>33000</v>
      </c>
      <c r="V1164" s="6">
        <v>36551</v>
      </c>
      <c r="W1164" s="5" t="s">
        <v>31</v>
      </c>
      <c r="X1164" s="5" t="s">
        <v>5815</v>
      </c>
    </row>
    <row r="1165" spans="1:24" x14ac:dyDescent="0.3">
      <c r="A1165" s="3">
        <v>1159</v>
      </c>
      <c r="B1165" s="3" t="str">
        <f>"201200172849"</f>
        <v>201200172849</v>
      </c>
      <c r="C1165" s="3" t="str">
        <f>"98322"</f>
        <v>98322</v>
      </c>
      <c r="D1165" s="3" t="s">
        <v>5816</v>
      </c>
      <c r="E1165" s="3">
        <v>20519320305</v>
      </c>
      <c r="F1165" s="3" t="s">
        <v>5817</v>
      </c>
      <c r="G1165" s="3" t="s">
        <v>5818</v>
      </c>
      <c r="H1165" s="3" t="s">
        <v>115</v>
      </c>
      <c r="I1165" s="3" t="s">
        <v>115</v>
      </c>
      <c r="J1165" s="3" t="s">
        <v>159</v>
      </c>
      <c r="K1165" s="3" t="s">
        <v>5819</v>
      </c>
      <c r="L1165" s="3" t="s">
        <v>5820</v>
      </c>
      <c r="M1165" s="3"/>
      <c r="N1165" s="3"/>
      <c r="O1165" s="3"/>
      <c r="P1165" s="3"/>
      <c r="Q1165" s="3"/>
      <c r="R1165" s="3"/>
      <c r="S1165" s="3"/>
      <c r="T1165" s="3"/>
      <c r="U1165" s="3">
        <v>6974</v>
      </c>
      <c r="V1165" s="4">
        <v>41212</v>
      </c>
      <c r="W1165" s="3" t="s">
        <v>31</v>
      </c>
      <c r="X1165" s="3" t="s">
        <v>5821</v>
      </c>
    </row>
    <row r="1166" spans="1:24" x14ac:dyDescent="0.3">
      <c r="A1166" s="5">
        <v>1160</v>
      </c>
      <c r="B1166" s="5" t="str">
        <f>"201300018087"</f>
        <v>201300018087</v>
      </c>
      <c r="C1166" s="5" t="str">
        <f>"100396"</f>
        <v>100396</v>
      </c>
      <c r="D1166" s="5" t="s">
        <v>5822</v>
      </c>
      <c r="E1166" s="5">
        <v>20100162742</v>
      </c>
      <c r="F1166" s="5" t="s">
        <v>5823</v>
      </c>
      <c r="G1166" s="5" t="s">
        <v>5824</v>
      </c>
      <c r="H1166" s="5" t="s">
        <v>28</v>
      </c>
      <c r="I1166" s="5" t="s">
        <v>28</v>
      </c>
      <c r="J1166" s="5" t="s">
        <v>1403</v>
      </c>
      <c r="K1166" s="5" t="s">
        <v>193</v>
      </c>
      <c r="L1166" s="5"/>
      <c r="M1166" s="5"/>
      <c r="N1166" s="5"/>
      <c r="O1166" s="5"/>
      <c r="P1166" s="5"/>
      <c r="Q1166" s="5"/>
      <c r="R1166" s="5"/>
      <c r="S1166" s="5"/>
      <c r="T1166" s="5"/>
      <c r="U1166" s="5">
        <v>2500</v>
      </c>
      <c r="V1166" s="6">
        <v>41330</v>
      </c>
      <c r="W1166" s="5" t="s">
        <v>31</v>
      </c>
      <c r="X1166" s="5" t="s">
        <v>5825</v>
      </c>
    </row>
    <row r="1167" spans="1:24" ht="27.95" x14ac:dyDescent="0.3">
      <c r="A1167" s="3">
        <v>1161</v>
      </c>
      <c r="B1167" s="3" t="str">
        <f>"201700209046"</f>
        <v>201700209046</v>
      </c>
      <c r="C1167" s="3" t="str">
        <f>"132450"</f>
        <v>132450</v>
      </c>
      <c r="D1167" s="3" t="s">
        <v>5826</v>
      </c>
      <c r="E1167" s="3">
        <v>20559912353</v>
      </c>
      <c r="F1167" s="3" t="s">
        <v>4391</v>
      </c>
      <c r="G1167" s="3" t="s">
        <v>5827</v>
      </c>
      <c r="H1167" s="3" t="s">
        <v>36</v>
      </c>
      <c r="I1167" s="3" t="s">
        <v>514</v>
      </c>
      <c r="J1167" s="3" t="s">
        <v>2101</v>
      </c>
      <c r="K1167" s="3" t="s">
        <v>2020</v>
      </c>
      <c r="L1167" s="3"/>
      <c r="M1167" s="3"/>
      <c r="N1167" s="3"/>
      <c r="O1167" s="3"/>
      <c r="P1167" s="3"/>
      <c r="Q1167" s="3"/>
      <c r="R1167" s="3"/>
      <c r="S1167" s="3"/>
      <c r="T1167" s="3"/>
      <c r="U1167" s="3">
        <v>2500</v>
      </c>
      <c r="V1167" s="4">
        <v>43080</v>
      </c>
      <c r="W1167" s="3" t="s">
        <v>31</v>
      </c>
      <c r="X1167" s="3" t="s">
        <v>2104</v>
      </c>
    </row>
    <row r="1168" spans="1:24" ht="27.95" x14ac:dyDescent="0.3">
      <c r="A1168" s="5">
        <v>1162</v>
      </c>
      <c r="B1168" s="5" t="str">
        <f>"1390204"</f>
        <v>1390204</v>
      </c>
      <c r="C1168" s="5" t="str">
        <f>"87998"</f>
        <v>87998</v>
      </c>
      <c r="D1168" s="5" t="s">
        <v>5828</v>
      </c>
      <c r="E1168" s="5">
        <v>20480319860</v>
      </c>
      <c r="F1168" s="5" t="s">
        <v>5829</v>
      </c>
      <c r="G1168" s="5" t="s">
        <v>5830</v>
      </c>
      <c r="H1168" s="5" t="s">
        <v>264</v>
      </c>
      <c r="I1168" s="5" t="s">
        <v>264</v>
      </c>
      <c r="J1168" s="5" t="s">
        <v>264</v>
      </c>
      <c r="K1168" s="5" t="s">
        <v>5831</v>
      </c>
      <c r="L1168" s="5"/>
      <c r="M1168" s="5"/>
      <c r="N1168" s="5"/>
      <c r="O1168" s="5"/>
      <c r="P1168" s="5"/>
      <c r="Q1168" s="5"/>
      <c r="R1168" s="5"/>
      <c r="S1168" s="5"/>
      <c r="T1168" s="5"/>
      <c r="U1168" s="5">
        <v>5000</v>
      </c>
      <c r="V1168" s="6">
        <v>40415</v>
      </c>
      <c r="W1168" s="5" t="s">
        <v>31</v>
      </c>
      <c r="X1168" s="5" t="s">
        <v>5832</v>
      </c>
    </row>
    <row r="1169" spans="1:24" ht="27.95" x14ac:dyDescent="0.3">
      <c r="A1169" s="3">
        <v>1163</v>
      </c>
      <c r="B1169" s="3" t="str">
        <f>"201500136198"</f>
        <v>201500136198</v>
      </c>
      <c r="C1169" s="3" t="str">
        <f>"112438"</f>
        <v>112438</v>
      </c>
      <c r="D1169" s="3" t="s">
        <v>5833</v>
      </c>
      <c r="E1169" s="3">
        <v>20255124642</v>
      </c>
      <c r="F1169" s="3" t="s">
        <v>5834</v>
      </c>
      <c r="G1169" s="3" t="s">
        <v>5835</v>
      </c>
      <c r="H1169" s="3" t="s">
        <v>115</v>
      </c>
      <c r="I1169" s="3" t="s">
        <v>115</v>
      </c>
      <c r="J1169" s="3" t="s">
        <v>159</v>
      </c>
      <c r="K1169" s="3" t="s">
        <v>110</v>
      </c>
      <c r="L1169" s="3"/>
      <c r="M1169" s="3"/>
      <c r="N1169" s="3"/>
      <c r="O1169" s="3"/>
      <c r="P1169" s="3"/>
      <c r="Q1169" s="3"/>
      <c r="R1169" s="3"/>
      <c r="S1169" s="3"/>
      <c r="T1169" s="3"/>
      <c r="U1169" s="3">
        <v>4000</v>
      </c>
      <c r="V1169" s="4">
        <v>42380</v>
      </c>
      <c r="W1169" s="3" t="s">
        <v>31</v>
      </c>
      <c r="X1169" s="3" t="s">
        <v>5836</v>
      </c>
    </row>
    <row r="1170" spans="1:24" ht="27.95" x14ac:dyDescent="0.3">
      <c r="A1170" s="5">
        <v>1164</v>
      </c>
      <c r="B1170" s="5" t="str">
        <f>"201700015285"</f>
        <v>201700015285</v>
      </c>
      <c r="C1170" s="5" t="str">
        <f>"126343"</f>
        <v>126343</v>
      </c>
      <c r="D1170" s="5" t="s">
        <v>5837</v>
      </c>
      <c r="E1170" s="5">
        <v>20101311466</v>
      </c>
      <c r="F1170" s="5" t="s">
        <v>5838</v>
      </c>
      <c r="G1170" s="5" t="s">
        <v>5839</v>
      </c>
      <c r="H1170" s="5" t="s">
        <v>28</v>
      </c>
      <c r="I1170" s="5" t="s">
        <v>667</v>
      </c>
      <c r="J1170" s="5" t="s">
        <v>1340</v>
      </c>
      <c r="K1170" s="5" t="s">
        <v>181</v>
      </c>
      <c r="L1170" s="5"/>
      <c r="M1170" s="5"/>
      <c r="N1170" s="5"/>
      <c r="O1170" s="5"/>
      <c r="P1170" s="5"/>
      <c r="Q1170" s="5"/>
      <c r="R1170" s="5"/>
      <c r="S1170" s="5"/>
      <c r="T1170" s="5"/>
      <c r="U1170" s="5">
        <v>5000</v>
      </c>
      <c r="V1170" s="6">
        <v>42822</v>
      </c>
      <c r="W1170" s="5" t="s">
        <v>31</v>
      </c>
      <c r="X1170" s="5" t="s">
        <v>5840</v>
      </c>
    </row>
    <row r="1171" spans="1:24" x14ac:dyDescent="0.3">
      <c r="A1171" s="3">
        <v>1165</v>
      </c>
      <c r="B1171" s="3" t="str">
        <f>"1675821"</f>
        <v>1675821</v>
      </c>
      <c r="C1171" s="3" t="str">
        <f>"664"</f>
        <v>664</v>
      </c>
      <c r="D1171" s="3" t="s">
        <v>5841</v>
      </c>
      <c r="E1171" s="3">
        <v>20100722128</v>
      </c>
      <c r="F1171" s="3" t="s">
        <v>5842</v>
      </c>
      <c r="G1171" s="3" t="s">
        <v>5843</v>
      </c>
      <c r="H1171" s="3" t="s">
        <v>28</v>
      </c>
      <c r="I1171" s="3" t="s">
        <v>28</v>
      </c>
      <c r="J1171" s="3" t="s">
        <v>102</v>
      </c>
      <c r="K1171" s="3" t="s">
        <v>5844</v>
      </c>
      <c r="L1171" s="3"/>
      <c r="M1171" s="3"/>
      <c r="N1171" s="3"/>
      <c r="O1171" s="3"/>
      <c r="P1171" s="3"/>
      <c r="Q1171" s="3"/>
      <c r="R1171" s="3"/>
      <c r="S1171" s="3"/>
      <c r="T1171" s="3"/>
      <c r="U1171" s="3">
        <v>3650</v>
      </c>
      <c r="V1171" s="4">
        <v>39162</v>
      </c>
      <c r="W1171" s="3" t="s">
        <v>31</v>
      </c>
      <c r="X1171" s="3" t="s">
        <v>5845</v>
      </c>
    </row>
    <row r="1172" spans="1:24" x14ac:dyDescent="0.3">
      <c r="A1172" s="5">
        <v>1166</v>
      </c>
      <c r="B1172" s="5" t="str">
        <f>"201900047791"</f>
        <v>201900047791</v>
      </c>
      <c r="C1172" s="5" t="str">
        <f>"142208"</f>
        <v>142208</v>
      </c>
      <c r="D1172" s="5" t="s">
        <v>5846</v>
      </c>
      <c r="E1172" s="5">
        <v>20542820366</v>
      </c>
      <c r="F1172" s="5" t="s">
        <v>5847</v>
      </c>
      <c r="G1172" s="5" t="s">
        <v>5848</v>
      </c>
      <c r="H1172" s="5" t="s">
        <v>165</v>
      </c>
      <c r="I1172" s="5" t="s">
        <v>732</v>
      </c>
      <c r="J1172" s="5" t="s">
        <v>733</v>
      </c>
      <c r="K1172" s="5" t="s">
        <v>734</v>
      </c>
      <c r="L1172" s="5" t="s">
        <v>734</v>
      </c>
      <c r="M1172" s="5"/>
      <c r="N1172" s="5"/>
      <c r="O1172" s="5"/>
      <c r="P1172" s="5"/>
      <c r="Q1172" s="5"/>
      <c r="R1172" s="5"/>
      <c r="S1172" s="5"/>
      <c r="T1172" s="5"/>
      <c r="U1172" s="5">
        <v>14000</v>
      </c>
      <c r="V1172" s="6">
        <v>43552</v>
      </c>
      <c r="W1172" s="5" t="s">
        <v>31</v>
      </c>
      <c r="X1172" s="5" t="s">
        <v>5849</v>
      </c>
    </row>
    <row r="1173" spans="1:24" ht="27.95" x14ac:dyDescent="0.3">
      <c r="A1173" s="3">
        <v>1167</v>
      </c>
      <c r="B1173" s="3" t="str">
        <f>"201900169425"</f>
        <v>201900169425</v>
      </c>
      <c r="C1173" s="3" t="str">
        <f>"147320"</f>
        <v>147320</v>
      </c>
      <c r="D1173" s="3" t="s">
        <v>5850</v>
      </c>
      <c r="E1173" s="3">
        <v>20506453047</v>
      </c>
      <c r="F1173" s="3" t="s">
        <v>5851</v>
      </c>
      <c r="G1173" s="3" t="s">
        <v>5852</v>
      </c>
      <c r="H1173" s="3" t="s">
        <v>28</v>
      </c>
      <c r="I1173" s="3" t="s">
        <v>574</v>
      </c>
      <c r="J1173" s="3" t="s">
        <v>5698</v>
      </c>
      <c r="K1173" s="3" t="s">
        <v>5853</v>
      </c>
      <c r="L1173" s="3" t="s">
        <v>5853</v>
      </c>
      <c r="M1173" s="3"/>
      <c r="N1173" s="3"/>
      <c r="O1173" s="3"/>
      <c r="P1173" s="3"/>
      <c r="Q1173" s="3"/>
      <c r="R1173" s="3"/>
      <c r="S1173" s="3"/>
      <c r="T1173" s="3"/>
      <c r="U1173" s="3">
        <v>12416</v>
      </c>
      <c r="V1173" s="4">
        <v>43775</v>
      </c>
      <c r="W1173" s="3" t="s">
        <v>31</v>
      </c>
      <c r="X1173" s="3" t="s">
        <v>5854</v>
      </c>
    </row>
    <row r="1174" spans="1:24" ht="41.95" x14ac:dyDescent="0.3">
      <c r="A1174" s="5">
        <v>1168</v>
      </c>
      <c r="B1174" s="5" t="str">
        <f>"1737661"</f>
        <v>1737661</v>
      </c>
      <c r="C1174" s="5" t="str">
        <f>"61819"</f>
        <v>61819</v>
      </c>
      <c r="D1174" s="5" t="s">
        <v>5855</v>
      </c>
      <c r="E1174" s="5">
        <v>20100830362</v>
      </c>
      <c r="F1174" s="5" t="s">
        <v>5856</v>
      </c>
      <c r="G1174" s="5" t="s">
        <v>5857</v>
      </c>
      <c r="H1174" s="5" t="s">
        <v>28</v>
      </c>
      <c r="I1174" s="5" t="s">
        <v>72</v>
      </c>
      <c r="J1174" s="5" t="s">
        <v>322</v>
      </c>
      <c r="K1174" s="5" t="s">
        <v>1316</v>
      </c>
      <c r="L1174" s="5"/>
      <c r="M1174" s="5"/>
      <c r="N1174" s="5"/>
      <c r="O1174" s="5"/>
      <c r="P1174" s="5"/>
      <c r="Q1174" s="5"/>
      <c r="R1174" s="5"/>
      <c r="S1174" s="5"/>
      <c r="T1174" s="5"/>
      <c r="U1174" s="5">
        <v>12000</v>
      </c>
      <c r="V1174" s="6">
        <v>39415</v>
      </c>
      <c r="W1174" s="5" t="s">
        <v>31</v>
      </c>
      <c r="X1174" s="5" t="s">
        <v>5858</v>
      </c>
    </row>
    <row r="1175" spans="1:24" ht="27.95" x14ac:dyDescent="0.3">
      <c r="A1175" s="3">
        <v>1169</v>
      </c>
      <c r="B1175" s="3" t="str">
        <f>"201200141487"</f>
        <v>201200141487</v>
      </c>
      <c r="C1175" s="3" t="str">
        <f>"33972"</f>
        <v>33972</v>
      </c>
      <c r="D1175" s="3" t="s">
        <v>5859</v>
      </c>
      <c r="E1175" s="3">
        <v>20145549711</v>
      </c>
      <c r="F1175" s="3" t="s">
        <v>5860</v>
      </c>
      <c r="G1175" s="3" t="s">
        <v>5861</v>
      </c>
      <c r="H1175" s="3" t="s">
        <v>28</v>
      </c>
      <c r="I1175" s="3" t="s">
        <v>28</v>
      </c>
      <c r="J1175" s="3" t="s">
        <v>91</v>
      </c>
      <c r="K1175" s="3" t="s">
        <v>5862</v>
      </c>
      <c r="L1175" s="3"/>
      <c r="M1175" s="3"/>
      <c r="N1175" s="3"/>
      <c r="O1175" s="3"/>
      <c r="P1175" s="3"/>
      <c r="Q1175" s="3"/>
      <c r="R1175" s="3"/>
      <c r="S1175" s="3"/>
      <c r="T1175" s="3"/>
      <c r="U1175" s="3">
        <v>4800</v>
      </c>
      <c r="V1175" s="4">
        <v>41107</v>
      </c>
      <c r="W1175" s="3" t="s">
        <v>31</v>
      </c>
      <c r="X1175" s="3" t="s">
        <v>5863</v>
      </c>
    </row>
    <row r="1176" spans="1:24" x14ac:dyDescent="0.3">
      <c r="A1176" s="5">
        <v>1170</v>
      </c>
      <c r="B1176" s="5" t="str">
        <f>"1328935"</f>
        <v>1328935</v>
      </c>
      <c r="C1176" s="5" t="str">
        <f>"16476"</f>
        <v>16476</v>
      </c>
      <c r="D1176" s="5" t="s">
        <v>5864</v>
      </c>
      <c r="E1176" s="5">
        <v>20311985346</v>
      </c>
      <c r="F1176" s="5" t="s">
        <v>5865</v>
      </c>
      <c r="G1176" s="5" t="s">
        <v>5866</v>
      </c>
      <c r="H1176" s="5" t="s">
        <v>51</v>
      </c>
      <c r="I1176" s="5" t="s">
        <v>51</v>
      </c>
      <c r="J1176" s="5" t="s">
        <v>2563</v>
      </c>
      <c r="K1176" s="5" t="s">
        <v>2121</v>
      </c>
      <c r="L1176" s="5"/>
      <c r="M1176" s="5"/>
      <c r="N1176" s="5"/>
      <c r="O1176" s="5"/>
      <c r="P1176" s="5"/>
      <c r="Q1176" s="5"/>
      <c r="R1176" s="5"/>
      <c r="S1176" s="5"/>
      <c r="T1176" s="5"/>
      <c r="U1176" s="5">
        <v>8000</v>
      </c>
      <c r="V1176" s="6">
        <v>37075</v>
      </c>
      <c r="W1176" s="5" t="s">
        <v>31</v>
      </c>
      <c r="X1176" s="5" t="s">
        <v>5867</v>
      </c>
    </row>
    <row r="1177" spans="1:24" ht="27.95" x14ac:dyDescent="0.3">
      <c r="A1177" s="3">
        <v>1171</v>
      </c>
      <c r="B1177" s="3" t="str">
        <f>"1941393"</f>
        <v>1941393</v>
      </c>
      <c r="C1177" s="3" t="str">
        <f>"1090"</f>
        <v>1090</v>
      </c>
      <c r="D1177" s="3" t="s">
        <v>5868</v>
      </c>
      <c r="E1177" s="3">
        <v>20520628704</v>
      </c>
      <c r="F1177" s="3" t="s">
        <v>5869</v>
      </c>
      <c r="G1177" s="3" t="s">
        <v>5870</v>
      </c>
      <c r="H1177" s="3" t="s">
        <v>51</v>
      </c>
      <c r="I1177" s="3" t="s">
        <v>316</v>
      </c>
      <c r="J1177" s="3" t="s">
        <v>4100</v>
      </c>
      <c r="K1177" s="3" t="s">
        <v>5871</v>
      </c>
      <c r="L1177" s="3"/>
      <c r="M1177" s="3"/>
      <c r="N1177" s="3"/>
      <c r="O1177" s="3"/>
      <c r="P1177" s="3"/>
      <c r="Q1177" s="3"/>
      <c r="R1177" s="3"/>
      <c r="S1177" s="3"/>
      <c r="T1177" s="3"/>
      <c r="U1177" s="3">
        <v>49300</v>
      </c>
      <c r="V1177" s="4">
        <v>40133</v>
      </c>
      <c r="W1177" s="3" t="s">
        <v>31</v>
      </c>
      <c r="X1177" s="3" t="s">
        <v>5872</v>
      </c>
    </row>
    <row r="1178" spans="1:24" x14ac:dyDescent="0.3">
      <c r="A1178" s="5">
        <v>1172</v>
      </c>
      <c r="B1178" s="5" t="str">
        <f>"201300039293"</f>
        <v>201300039293</v>
      </c>
      <c r="C1178" s="5" t="str">
        <f>"95623"</f>
        <v>95623</v>
      </c>
      <c r="D1178" s="5" t="s">
        <v>5873</v>
      </c>
      <c r="E1178" s="5">
        <v>20309877641</v>
      </c>
      <c r="F1178" s="5" t="s">
        <v>5874</v>
      </c>
      <c r="G1178" s="5" t="s">
        <v>5875</v>
      </c>
      <c r="H1178" s="5" t="s">
        <v>334</v>
      </c>
      <c r="I1178" s="5" t="s">
        <v>335</v>
      </c>
      <c r="J1178" s="5" t="s">
        <v>5876</v>
      </c>
      <c r="K1178" s="5" t="s">
        <v>5877</v>
      </c>
      <c r="L1178" s="5" t="s">
        <v>1010</v>
      </c>
      <c r="M1178" s="5" t="s">
        <v>5878</v>
      </c>
      <c r="N1178" s="5"/>
      <c r="O1178" s="5"/>
      <c r="P1178" s="5"/>
      <c r="Q1178" s="5"/>
      <c r="R1178" s="5"/>
      <c r="S1178" s="5"/>
      <c r="T1178" s="5"/>
      <c r="U1178" s="5">
        <v>4550</v>
      </c>
      <c r="V1178" s="6">
        <v>41347</v>
      </c>
      <c r="W1178" s="5" t="s">
        <v>31</v>
      </c>
      <c r="X1178" s="5" t="s">
        <v>5879</v>
      </c>
    </row>
    <row r="1179" spans="1:24" ht="27.95" x14ac:dyDescent="0.3">
      <c r="A1179" s="3">
        <v>1173</v>
      </c>
      <c r="B1179" s="3" t="str">
        <f>"202000094380"</f>
        <v>202000094380</v>
      </c>
      <c r="C1179" s="3" t="str">
        <f>"39201"</f>
        <v>39201</v>
      </c>
      <c r="D1179" s="3" t="s">
        <v>5880</v>
      </c>
      <c r="E1179" s="3">
        <v>20100027705</v>
      </c>
      <c r="F1179" s="3" t="s">
        <v>5881</v>
      </c>
      <c r="G1179" s="3" t="s">
        <v>5882</v>
      </c>
      <c r="H1179" s="3" t="s">
        <v>808</v>
      </c>
      <c r="I1179" s="3" t="s">
        <v>809</v>
      </c>
      <c r="J1179" s="3" t="s">
        <v>5883</v>
      </c>
      <c r="K1179" s="3" t="s">
        <v>5884</v>
      </c>
      <c r="L1179" s="3" t="s">
        <v>5885</v>
      </c>
      <c r="M1179" s="3"/>
      <c r="N1179" s="3"/>
      <c r="O1179" s="3"/>
      <c r="P1179" s="3"/>
      <c r="Q1179" s="3"/>
      <c r="R1179" s="3"/>
      <c r="S1179" s="3"/>
      <c r="T1179" s="3"/>
      <c r="U1179" s="3">
        <v>279300</v>
      </c>
      <c r="V1179" s="4">
        <v>44047</v>
      </c>
      <c r="W1179" s="3" t="s">
        <v>31</v>
      </c>
      <c r="X1179" s="3" t="s">
        <v>3877</v>
      </c>
    </row>
    <row r="1180" spans="1:24" ht="41.95" x14ac:dyDescent="0.3">
      <c r="A1180" s="5">
        <v>1174</v>
      </c>
      <c r="B1180" s="5" t="str">
        <f>"201900173147"</f>
        <v>201900173147</v>
      </c>
      <c r="C1180" s="5" t="str">
        <f>"19788"</f>
        <v>19788</v>
      </c>
      <c r="D1180" s="5" t="s">
        <v>5886</v>
      </c>
      <c r="E1180" s="5">
        <v>20113657872</v>
      </c>
      <c r="F1180" s="5" t="s">
        <v>5887</v>
      </c>
      <c r="G1180" s="5" t="s">
        <v>5888</v>
      </c>
      <c r="H1180" s="5" t="s">
        <v>264</v>
      </c>
      <c r="I1180" s="5" t="s">
        <v>265</v>
      </c>
      <c r="J1180" s="5" t="s">
        <v>5889</v>
      </c>
      <c r="K1180" s="5" t="s">
        <v>5890</v>
      </c>
      <c r="L1180" s="5" t="s">
        <v>5891</v>
      </c>
      <c r="M1180" s="5" t="s">
        <v>5890</v>
      </c>
      <c r="N1180" s="5"/>
      <c r="O1180" s="5"/>
      <c r="P1180" s="5"/>
      <c r="Q1180" s="5"/>
      <c r="R1180" s="5"/>
      <c r="S1180" s="5"/>
      <c r="T1180" s="5"/>
      <c r="U1180" s="5">
        <v>207200</v>
      </c>
      <c r="V1180" s="6">
        <v>43767</v>
      </c>
      <c r="W1180" s="5" t="s">
        <v>31</v>
      </c>
      <c r="X1180" s="5" t="s">
        <v>5892</v>
      </c>
    </row>
    <row r="1181" spans="1:24" x14ac:dyDescent="0.3">
      <c r="A1181" s="3">
        <v>1175</v>
      </c>
      <c r="B1181" s="3" t="str">
        <f>"1177729"</f>
        <v>1177729</v>
      </c>
      <c r="C1181" s="3" t="str">
        <f>"1578"</f>
        <v>1578</v>
      </c>
      <c r="D1181" s="3">
        <v>1177729</v>
      </c>
      <c r="E1181" s="3">
        <v>20356618166</v>
      </c>
      <c r="F1181" s="3" t="s">
        <v>5893</v>
      </c>
      <c r="G1181" s="3" t="s">
        <v>5894</v>
      </c>
      <c r="H1181" s="3" t="s">
        <v>80</v>
      </c>
      <c r="I1181" s="3" t="s">
        <v>192</v>
      </c>
      <c r="J1181" s="3" t="s">
        <v>192</v>
      </c>
      <c r="K1181" s="3" t="s">
        <v>5895</v>
      </c>
      <c r="L1181" s="3"/>
      <c r="M1181" s="3"/>
      <c r="N1181" s="3"/>
      <c r="O1181" s="3"/>
      <c r="P1181" s="3"/>
      <c r="Q1181" s="3"/>
      <c r="R1181" s="3"/>
      <c r="S1181" s="3"/>
      <c r="T1181" s="3"/>
      <c r="U1181" s="3">
        <v>4610</v>
      </c>
      <c r="V1181" s="4">
        <v>35893</v>
      </c>
      <c r="W1181" s="3" t="s">
        <v>31</v>
      </c>
      <c r="X1181" s="3" t="s">
        <v>5896</v>
      </c>
    </row>
    <row r="1182" spans="1:24" x14ac:dyDescent="0.3">
      <c r="A1182" s="5">
        <v>1176</v>
      </c>
      <c r="B1182" s="5" t="str">
        <f>"202000056322"</f>
        <v>202000056322</v>
      </c>
      <c r="C1182" s="5" t="str">
        <f>"92244"</f>
        <v>92244</v>
      </c>
      <c r="D1182" s="5" t="s">
        <v>5897</v>
      </c>
      <c r="E1182" s="5">
        <v>20525413447</v>
      </c>
      <c r="F1182" s="5" t="s">
        <v>2065</v>
      </c>
      <c r="G1182" s="5" t="s">
        <v>5898</v>
      </c>
      <c r="H1182" s="5" t="s">
        <v>80</v>
      </c>
      <c r="I1182" s="5" t="s">
        <v>192</v>
      </c>
      <c r="J1182" s="5" t="s">
        <v>1559</v>
      </c>
      <c r="K1182" s="5" t="s">
        <v>181</v>
      </c>
      <c r="L1182" s="5" t="s">
        <v>5899</v>
      </c>
      <c r="M1182" s="5"/>
      <c r="N1182" s="5"/>
      <c r="O1182" s="5"/>
      <c r="P1182" s="5"/>
      <c r="Q1182" s="5"/>
      <c r="R1182" s="5"/>
      <c r="S1182" s="5"/>
      <c r="T1182" s="5"/>
      <c r="U1182" s="5">
        <v>6050</v>
      </c>
      <c r="V1182" s="6">
        <v>43966</v>
      </c>
      <c r="W1182" s="5" t="s">
        <v>31</v>
      </c>
      <c r="X1182" s="5" t="s">
        <v>1561</v>
      </c>
    </row>
    <row r="1183" spans="1:24" ht="27.95" x14ac:dyDescent="0.3">
      <c r="A1183" s="3">
        <v>1177</v>
      </c>
      <c r="B1183" s="3" t="str">
        <f>"1412394"</f>
        <v>1412394</v>
      </c>
      <c r="C1183" s="3" t="str">
        <f>"1379"</f>
        <v>1379</v>
      </c>
      <c r="D1183" s="3" t="s">
        <v>5900</v>
      </c>
      <c r="E1183" s="3">
        <v>10059336504</v>
      </c>
      <c r="F1183" s="3" t="s">
        <v>5901</v>
      </c>
      <c r="G1183" s="3" t="s">
        <v>5902</v>
      </c>
      <c r="H1183" s="3" t="s">
        <v>58</v>
      </c>
      <c r="I1183" s="3" t="s">
        <v>59</v>
      </c>
      <c r="J1183" s="3" t="s">
        <v>60</v>
      </c>
      <c r="K1183" s="3" t="s">
        <v>5903</v>
      </c>
      <c r="L1183" s="3"/>
      <c r="M1183" s="3"/>
      <c r="N1183" s="3"/>
      <c r="O1183" s="3"/>
      <c r="P1183" s="3"/>
      <c r="Q1183" s="3"/>
      <c r="R1183" s="3"/>
      <c r="S1183" s="3"/>
      <c r="T1183" s="3"/>
      <c r="U1183" s="3">
        <v>1727</v>
      </c>
      <c r="V1183" s="4">
        <v>37763</v>
      </c>
      <c r="W1183" s="3" t="s">
        <v>31</v>
      </c>
      <c r="X1183" s="3" t="s">
        <v>5904</v>
      </c>
    </row>
    <row r="1184" spans="1:24" x14ac:dyDescent="0.3">
      <c r="A1184" s="5">
        <v>1178</v>
      </c>
      <c r="B1184" s="5" t="str">
        <f>"1669504"</f>
        <v>1669504</v>
      </c>
      <c r="C1184" s="5" t="str">
        <f>"44958"</f>
        <v>44958</v>
      </c>
      <c r="D1184" s="5" t="s">
        <v>5905</v>
      </c>
      <c r="E1184" s="5">
        <v>20100814162</v>
      </c>
      <c r="F1184" s="5" t="s">
        <v>608</v>
      </c>
      <c r="G1184" s="5" t="s">
        <v>5906</v>
      </c>
      <c r="H1184" s="5" t="s">
        <v>28</v>
      </c>
      <c r="I1184" s="5" t="s">
        <v>28</v>
      </c>
      <c r="J1184" s="5" t="s">
        <v>1432</v>
      </c>
      <c r="K1184" s="5" t="s">
        <v>2121</v>
      </c>
      <c r="L1184" s="5" t="s">
        <v>2121</v>
      </c>
      <c r="M1184" s="5"/>
      <c r="N1184" s="5"/>
      <c r="O1184" s="5"/>
      <c r="P1184" s="5"/>
      <c r="Q1184" s="5"/>
      <c r="R1184" s="5"/>
      <c r="S1184" s="5"/>
      <c r="T1184" s="5"/>
      <c r="U1184" s="5">
        <v>16000</v>
      </c>
      <c r="V1184" s="6">
        <v>39160</v>
      </c>
      <c r="W1184" s="5" t="s">
        <v>31</v>
      </c>
      <c r="X1184" s="5" t="s">
        <v>5907</v>
      </c>
    </row>
    <row r="1185" spans="1:24" x14ac:dyDescent="0.3">
      <c r="A1185" s="3">
        <v>1179</v>
      </c>
      <c r="B1185" s="3" t="str">
        <f>"1234954"</f>
        <v>1234954</v>
      </c>
      <c r="C1185" s="3" t="str">
        <f>"16160"</f>
        <v>16160</v>
      </c>
      <c r="D1185" s="3">
        <v>1010617</v>
      </c>
      <c r="E1185" s="3">
        <v>20136172523</v>
      </c>
      <c r="F1185" s="3" t="s">
        <v>5908</v>
      </c>
      <c r="G1185" s="3" t="s">
        <v>5909</v>
      </c>
      <c r="H1185" s="3" t="s">
        <v>285</v>
      </c>
      <c r="I1185" s="3" t="s">
        <v>286</v>
      </c>
      <c r="J1185" s="3" t="s">
        <v>286</v>
      </c>
      <c r="K1185" s="3" t="s">
        <v>396</v>
      </c>
      <c r="L1185" s="3"/>
      <c r="M1185" s="3"/>
      <c r="N1185" s="3"/>
      <c r="O1185" s="3"/>
      <c r="P1185" s="3"/>
      <c r="Q1185" s="3"/>
      <c r="R1185" s="3"/>
      <c r="S1185" s="3"/>
      <c r="T1185" s="3"/>
      <c r="U1185" s="3">
        <v>6000</v>
      </c>
      <c r="V1185" s="4">
        <v>36314</v>
      </c>
      <c r="W1185" s="3" t="s">
        <v>31</v>
      </c>
      <c r="X1185" s="3" t="s">
        <v>5910</v>
      </c>
    </row>
    <row r="1186" spans="1:24" ht="27.95" x14ac:dyDescent="0.3">
      <c r="A1186" s="5">
        <v>1180</v>
      </c>
      <c r="B1186" s="5" t="str">
        <f>"202000098100"</f>
        <v>202000098100</v>
      </c>
      <c r="C1186" s="5" t="str">
        <f>"103458"</f>
        <v>103458</v>
      </c>
      <c r="D1186" s="5" t="s">
        <v>5911</v>
      </c>
      <c r="E1186" s="5">
        <v>20602781152</v>
      </c>
      <c r="F1186" s="5" t="s">
        <v>5912</v>
      </c>
      <c r="G1186" s="5" t="s">
        <v>5913</v>
      </c>
      <c r="H1186" s="5" t="s">
        <v>264</v>
      </c>
      <c r="I1186" s="5" t="s">
        <v>265</v>
      </c>
      <c r="J1186" s="5" t="s">
        <v>5765</v>
      </c>
      <c r="K1186" s="5" t="s">
        <v>87</v>
      </c>
      <c r="L1186" s="5" t="s">
        <v>5914</v>
      </c>
      <c r="M1186" s="5"/>
      <c r="N1186" s="5"/>
      <c r="O1186" s="5"/>
      <c r="P1186" s="5"/>
      <c r="Q1186" s="5"/>
      <c r="R1186" s="5"/>
      <c r="S1186" s="5"/>
      <c r="T1186" s="5"/>
      <c r="U1186" s="5">
        <v>10000</v>
      </c>
      <c r="V1186" s="6">
        <v>44090</v>
      </c>
      <c r="W1186" s="5" t="s">
        <v>31</v>
      </c>
      <c r="X1186" s="5" t="s">
        <v>5915</v>
      </c>
    </row>
    <row r="1187" spans="1:24" ht="27.95" x14ac:dyDescent="0.3">
      <c r="A1187" s="3">
        <v>1181</v>
      </c>
      <c r="B1187" s="3" t="str">
        <f>"1537320"</f>
        <v>1537320</v>
      </c>
      <c r="C1187" s="3" t="str">
        <f>"34767"</f>
        <v>34767</v>
      </c>
      <c r="D1187" s="3" t="s">
        <v>5916</v>
      </c>
      <c r="E1187" s="3">
        <v>20502125991</v>
      </c>
      <c r="F1187" s="3" t="s">
        <v>5917</v>
      </c>
      <c r="G1187" s="3" t="s">
        <v>5918</v>
      </c>
      <c r="H1187" s="3" t="s">
        <v>28</v>
      </c>
      <c r="I1187" s="3" t="s">
        <v>28</v>
      </c>
      <c r="J1187" s="3" t="s">
        <v>409</v>
      </c>
      <c r="K1187" s="3" t="s">
        <v>46</v>
      </c>
      <c r="L1187" s="3"/>
      <c r="M1187" s="3"/>
      <c r="N1187" s="3"/>
      <c r="O1187" s="3"/>
      <c r="P1187" s="3"/>
      <c r="Q1187" s="3"/>
      <c r="R1187" s="3"/>
      <c r="S1187" s="3"/>
      <c r="T1187" s="3"/>
      <c r="U1187" s="3">
        <v>3000</v>
      </c>
      <c r="V1187" s="4">
        <v>38516</v>
      </c>
      <c r="W1187" s="3" t="s">
        <v>31</v>
      </c>
      <c r="X1187" s="3" t="s">
        <v>3229</v>
      </c>
    </row>
    <row r="1188" spans="1:24" x14ac:dyDescent="0.3">
      <c r="A1188" s="5">
        <v>1182</v>
      </c>
      <c r="B1188" s="5" t="str">
        <f>"1519829"</f>
        <v>1519829</v>
      </c>
      <c r="C1188" s="5" t="str">
        <f>"40756"</f>
        <v>40756</v>
      </c>
      <c r="D1188" s="5" t="s">
        <v>5919</v>
      </c>
      <c r="E1188" s="5">
        <v>20297543653</v>
      </c>
      <c r="F1188" s="5" t="s">
        <v>884</v>
      </c>
      <c r="G1188" s="5" t="s">
        <v>5920</v>
      </c>
      <c r="H1188" s="5" t="s">
        <v>28</v>
      </c>
      <c r="I1188" s="5" t="s">
        <v>28</v>
      </c>
      <c r="J1188" s="5" t="s">
        <v>28</v>
      </c>
      <c r="K1188" s="5" t="s">
        <v>323</v>
      </c>
      <c r="L1188" s="5"/>
      <c r="M1188" s="5"/>
      <c r="N1188" s="5"/>
      <c r="O1188" s="5"/>
      <c r="P1188" s="5"/>
      <c r="Q1188" s="5"/>
      <c r="R1188" s="5"/>
      <c r="S1188" s="5"/>
      <c r="T1188" s="5"/>
      <c r="U1188" s="5">
        <v>4000</v>
      </c>
      <c r="V1188" s="6">
        <v>38421</v>
      </c>
      <c r="W1188" s="5" t="s">
        <v>31</v>
      </c>
      <c r="X1188" s="5" t="s">
        <v>5921</v>
      </c>
    </row>
    <row r="1189" spans="1:24" x14ac:dyDescent="0.3">
      <c r="A1189" s="3">
        <v>1183</v>
      </c>
      <c r="B1189" s="3" t="str">
        <f>"1519827"</f>
        <v>1519827</v>
      </c>
      <c r="C1189" s="3" t="str">
        <f>"40755"</f>
        <v>40755</v>
      </c>
      <c r="D1189" s="3" t="s">
        <v>5922</v>
      </c>
      <c r="E1189" s="3">
        <v>20297543653</v>
      </c>
      <c r="F1189" s="3" t="s">
        <v>884</v>
      </c>
      <c r="G1189" s="3" t="s">
        <v>5923</v>
      </c>
      <c r="H1189" s="3" t="s">
        <v>28</v>
      </c>
      <c r="I1189" s="3" t="s">
        <v>28</v>
      </c>
      <c r="J1189" s="3" t="s">
        <v>28</v>
      </c>
      <c r="K1189" s="3" t="s">
        <v>323</v>
      </c>
      <c r="L1189" s="3"/>
      <c r="M1189" s="3"/>
      <c r="N1189" s="3"/>
      <c r="O1189" s="3"/>
      <c r="P1189" s="3"/>
      <c r="Q1189" s="3"/>
      <c r="R1189" s="3"/>
      <c r="S1189" s="3"/>
      <c r="T1189" s="3"/>
      <c r="U1189" s="3">
        <v>4000</v>
      </c>
      <c r="V1189" s="4">
        <v>38421</v>
      </c>
      <c r="W1189" s="3" t="s">
        <v>31</v>
      </c>
      <c r="X1189" s="3" t="s">
        <v>5921</v>
      </c>
    </row>
    <row r="1190" spans="1:24" ht="27.95" x14ac:dyDescent="0.3">
      <c r="A1190" s="5">
        <v>1184</v>
      </c>
      <c r="B1190" s="5" t="str">
        <f>"201900210485"</f>
        <v>201900210485</v>
      </c>
      <c r="C1190" s="5" t="str">
        <f>"148387"</f>
        <v>148387</v>
      </c>
      <c r="D1190" s="5" t="s">
        <v>5924</v>
      </c>
      <c r="E1190" s="5">
        <v>20536007785</v>
      </c>
      <c r="F1190" s="5" t="s">
        <v>5925</v>
      </c>
      <c r="G1190" s="5" t="s">
        <v>5926</v>
      </c>
      <c r="H1190" s="5" t="s">
        <v>28</v>
      </c>
      <c r="I1190" s="5" t="s">
        <v>28</v>
      </c>
      <c r="J1190" s="5" t="s">
        <v>501</v>
      </c>
      <c r="K1190" s="5" t="s">
        <v>87</v>
      </c>
      <c r="L1190" s="5"/>
      <c r="M1190" s="5"/>
      <c r="N1190" s="5"/>
      <c r="O1190" s="5"/>
      <c r="P1190" s="5"/>
      <c r="Q1190" s="5"/>
      <c r="R1190" s="5"/>
      <c r="S1190" s="5"/>
      <c r="T1190" s="5"/>
      <c r="U1190" s="5">
        <v>6000</v>
      </c>
      <c r="V1190" s="6">
        <v>43825</v>
      </c>
      <c r="W1190" s="5" t="s">
        <v>31</v>
      </c>
      <c r="X1190" s="5" t="s">
        <v>5927</v>
      </c>
    </row>
    <row r="1191" spans="1:24" ht="55.9" x14ac:dyDescent="0.3">
      <c r="A1191" s="3">
        <v>1185</v>
      </c>
      <c r="B1191" s="3" t="str">
        <f>"201800182904"</f>
        <v>201800182904</v>
      </c>
      <c r="C1191" s="3" t="str">
        <f>"91887"</f>
        <v>91887</v>
      </c>
      <c r="D1191" s="3" t="s">
        <v>5928</v>
      </c>
      <c r="E1191" s="3">
        <v>20100112214</v>
      </c>
      <c r="F1191" s="3" t="s">
        <v>3132</v>
      </c>
      <c r="G1191" s="3" t="s">
        <v>5929</v>
      </c>
      <c r="H1191" s="3" t="s">
        <v>51</v>
      </c>
      <c r="I1191" s="3" t="s">
        <v>51</v>
      </c>
      <c r="J1191" s="3" t="s">
        <v>2149</v>
      </c>
      <c r="K1191" s="3" t="s">
        <v>181</v>
      </c>
      <c r="L1191" s="3" t="s">
        <v>168</v>
      </c>
      <c r="M1191" s="3" t="s">
        <v>397</v>
      </c>
      <c r="N1191" s="3" t="s">
        <v>397</v>
      </c>
      <c r="O1191" s="3" t="s">
        <v>3135</v>
      </c>
      <c r="P1191" s="3" t="s">
        <v>110</v>
      </c>
      <c r="Q1191" s="3" t="s">
        <v>4675</v>
      </c>
      <c r="R1191" s="3" t="s">
        <v>397</v>
      </c>
      <c r="S1191" s="3" t="s">
        <v>3135</v>
      </c>
      <c r="T1191" s="3"/>
      <c r="U1191" s="3">
        <v>70600</v>
      </c>
      <c r="V1191" s="4">
        <v>43408</v>
      </c>
      <c r="W1191" s="3" t="s">
        <v>31</v>
      </c>
      <c r="X1191" s="3" t="s">
        <v>5930</v>
      </c>
    </row>
    <row r="1192" spans="1:24" ht="27.95" x14ac:dyDescent="0.3">
      <c r="A1192" s="5">
        <v>1186</v>
      </c>
      <c r="B1192" s="5" t="str">
        <f>"201500105886"</f>
        <v>201500105886</v>
      </c>
      <c r="C1192" s="5" t="str">
        <f>"116899"</f>
        <v>116899</v>
      </c>
      <c r="D1192" s="5" t="s">
        <v>5931</v>
      </c>
      <c r="E1192" s="5">
        <v>20258262728</v>
      </c>
      <c r="F1192" s="5" t="s">
        <v>5932</v>
      </c>
      <c r="G1192" s="5" t="s">
        <v>5933</v>
      </c>
      <c r="H1192" s="5" t="s">
        <v>214</v>
      </c>
      <c r="I1192" s="5" t="s">
        <v>1668</v>
      </c>
      <c r="J1192" s="5" t="s">
        <v>1669</v>
      </c>
      <c r="K1192" s="5" t="s">
        <v>5934</v>
      </c>
      <c r="L1192" s="5" t="s">
        <v>5935</v>
      </c>
      <c r="M1192" s="5" t="s">
        <v>5936</v>
      </c>
      <c r="N1192" s="5"/>
      <c r="O1192" s="5"/>
      <c r="P1192" s="5"/>
      <c r="Q1192" s="5"/>
      <c r="R1192" s="5"/>
      <c r="S1192" s="5"/>
      <c r="T1192" s="5"/>
      <c r="U1192" s="5">
        <v>1532000</v>
      </c>
      <c r="V1192" s="6">
        <v>42255</v>
      </c>
      <c r="W1192" s="5" t="s">
        <v>31</v>
      </c>
      <c r="X1192" s="5" t="s">
        <v>5937</v>
      </c>
    </row>
    <row r="1193" spans="1:24" ht="27.95" x14ac:dyDescent="0.3">
      <c r="A1193" s="3">
        <v>1187</v>
      </c>
      <c r="B1193" s="3" t="str">
        <f>"201600124518"</f>
        <v>201600124518</v>
      </c>
      <c r="C1193" s="3" t="str">
        <f>"122974"</f>
        <v>122974</v>
      </c>
      <c r="D1193" s="3" t="s">
        <v>5938</v>
      </c>
      <c r="E1193" s="3">
        <v>20393826879</v>
      </c>
      <c r="F1193" s="3" t="s">
        <v>5939</v>
      </c>
      <c r="G1193" s="3" t="s">
        <v>5940</v>
      </c>
      <c r="H1193" s="3" t="s">
        <v>334</v>
      </c>
      <c r="I1193" s="3" t="s">
        <v>335</v>
      </c>
      <c r="J1193" s="3" t="s">
        <v>950</v>
      </c>
      <c r="K1193" s="3" t="s">
        <v>980</v>
      </c>
      <c r="L1193" s="3" t="s">
        <v>5941</v>
      </c>
      <c r="M1193" s="3" t="s">
        <v>5941</v>
      </c>
      <c r="N1193" s="3"/>
      <c r="O1193" s="3"/>
      <c r="P1193" s="3"/>
      <c r="Q1193" s="3"/>
      <c r="R1193" s="3"/>
      <c r="S1193" s="3"/>
      <c r="T1193" s="3"/>
      <c r="U1193" s="3">
        <v>390000</v>
      </c>
      <c r="V1193" s="4">
        <v>42623</v>
      </c>
      <c r="W1193" s="3" t="s">
        <v>31</v>
      </c>
      <c r="X1193" s="3" t="s">
        <v>5942</v>
      </c>
    </row>
    <row r="1194" spans="1:24" x14ac:dyDescent="0.3">
      <c r="A1194" s="5">
        <v>1188</v>
      </c>
      <c r="B1194" s="5" t="str">
        <f>"1552922"</f>
        <v>1552922</v>
      </c>
      <c r="C1194" s="5" t="str">
        <f>"1019"</f>
        <v>1019</v>
      </c>
      <c r="D1194" s="5" t="s">
        <v>5943</v>
      </c>
      <c r="E1194" s="5">
        <v>20171604355</v>
      </c>
      <c r="F1194" s="5" t="s">
        <v>5944</v>
      </c>
      <c r="G1194" s="5" t="s">
        <v>5945</v>
      </c>
      <c r="H1194" s="5" t="s">
        <v>28</v>
      </c>
      <c r="I1194" s="5" t="s">
        <v>28</v>
      </c>
      <c r="J1194" s="5" t="s">
        <v>1588</v>
      </c>
      <c r="K1194" s="5" t="s">
        <v>46</v>
      </c>
      <c r="L1194" s="5" t="s">
        <v>46</v>
      </c>
      <c r="M1194" s="5"/>
      <c r="N1194" s="5"/>
      <c r="O1194" s="5"/>
      <c r="P1194" s="5"/>
      <c r="Q1194" s="5"/>
      <c r="R1194" s="5"/>
      <c r="S1194" s="5"/>
      <c r="T1194" s="5"/>
      <c r="U1194" s="5">
        <v>6000</v>
      </c>
      <c r="V1194" s="6">
        <v>38580</v>
      </c>
      <c r="W1194" s="5" t="s">
        <v>31</v>
      </c>
      <c r="X1194" s="5" t="s">
        <v>5946</v>
      </c>
    </row>
    <row r="1195" spans="1:24" ht="27.95" x14ac:dyDescent="0.3">
      <c r="A1195" s="3">
        <v>1189</v>
      </c>
      <c r="B1195" s="3" t="str">
        <f>"1114952"</f>
        <v>1114952</v>
      </c>
      <c r="C1195" s="3" t="str">
        <f>"1458"</f>
        <v>1458</v>
      </c>
      <c r="D1195" s="3">
        <v>1022282</v>
      </c>
      <c r="E1195" s="3">
        <v>20113042142</v>
      </c>
      <c r="F1195" s="3" t="s">
        <v>5947</v>
      </c>
      <c r="G1195" s="3" t="s">
        <v>5948</v>
      </c>
      <c r="H1195" s="3" t="s">
        <v>28</v>
      </c>
      <c r="I1195" s="3" t="s">
        <v>28</v>
      </c>
      <c r="J1195" s="3" t="s">
        <v>208</v>
      </c>
      <c r="K1195" s="3" t="s">
        <v>329</v>
      </c>
      <c r="L1195" s="3"/>
      <c r="M1195" s="3"/>
      <c r="N1195" s="3"/>
      <c r="O1195" s="3"/>
      <c r="P1195" s="3"/>
      <c r="Q1195" s="3"/>
      <c r="R1195" s="3"/>
      <c r="S1195" s="3"/>
      <c r="T1195" s="3"/>
      <c r="U1195" s="3">
        <v>10000</v>
      </c>
      <c r="V1195" s="4">
        <v>35524</v>
      </c>
      <c r="W1195" s="3" t="s">
        <v>31</v>
      </c>
      <c r="X1195" s="3" t="s">
        <v>5949</v>
      </c>
    </row>
    <row r="1196" spans="1:24" ht="27.95" x14ac:dyDescent="0.3">
      <c r="A1196" s="5">
        <v>1190</v>
      </c>
      <c r="B1196" s="5" t="str">
        <f>"202000008739"</f>
        <v>202000008739</v>
      </c>
      <c r="C1196" s="5" t="str">
        <f>"148798"</f>
        <v>148798</v>
      </c>
      <c r="D1196" s="5" t="s">
        <v>5950</v>
      </c>
      <c r="E1196" s="5">
        <v>20148168955</v>
      </c>
      <c r="F1196" s="5" t="s">
        <v>5951</v>
      </c>
      <c r="G1196" s="5" t="s">
        <v>5952</v>
      </c>
      <c r="H1196" s="5" t="s">
        <v>373</v>
      </c>
      <c r="I1196" s="5" t="s">
        <v>1877</v>
      </c>
      <c r="J1196" s="5" t="s">
        <v>1877</v>
      </c>
      <c r="K1196" s="5" t="s">
        <v>3277</v>
      </c>
      <c r="L1196" s="5"/>
      <c r="M1196" s="5"/>
      <c r="N1196" s="5"/>
      <c r="O1196" s="5"/>
      <c r="P1196" s="5"/>
      <c r="Q1196" s="5"/>
      <c r="R1196" s="5"/>
      <c r="S1196" s="5"/>
      <c r="T1196" s="5"/>
      <c r="U1196" s="5">
        <v>1500</v>
      </c>
      <c r="V1196" s="6">
        <v>43858</v>
      </c>
      <c r="W1196" s="5" t="s">
        <v>31</v>
      </c>
      <c r="X1196" s="5" t="s">
        <v>5953</v>
      </c>
    </row>
    <row r="1197" spans="1:24" x14ac:dyDescent="0.3">
      <c r="A1197" s="3">
        <v>1191</v>
      </c>
      <c r="B1197" s="3" t="str">
        <f>"201900196566"</f>
        <v>201900196566</v>
      </c>
      <c r="C1197" s="3" t="str">
        <f>"143060"</f>
        <v>143060</v>
      </c>
      <c r="D1197" s="3" t="s">
        <v>5954</v>
      </c>
      <c r="E1197" s="3">
        <v>20562916360</v>
      </c>
      <c r="F1197" s="3" t="s">
        <v>5955</v>
      </c>
      <c r="G1197" s="3" t="s">
        <v>5956</v>
      </c>
      <c r="H1197" s="3" t="s">
        <v>135</v>
      </c>
      <c r="I1197" s="3" t="s">
        <v>943</v>
      </c>
      <c r="J1197" s="3" t="s">
        <v>944</v>
      </c>
      <c r="K1197" s="3" t="s">
        <v>181</v>
      </c>
      <c r="L1197" s="3" t="s">
        <v>181</v>
      </c>
      <c r="M1197" s="3" t="s">
        <v>181</v>
      </c>
      <c r="N1197" s="3" t="s">
        <v>181</v>
      </c>
      <c r="O1197" s="3"/>
      <c r="P1197" s="3"/>
      <c r="Q1197" s="3"/>
      <c r="R1197" s="3"/>
      <c r="S1197" s="3"/>
      <c r="T1197" s="3"/>
      <c r="U1197" s="3">
        <v>20000</v>
      </c>
      <c r="V1197" s="4">
        <v>43801</v>
      </c>
      <c r="W1197" s="3" t="s">
        <v>31</v>
      </c>
      <c r="X1197" s="3" t="s">
        <v>5957</v>
      </c>
    </row>
    <row r="1198" spans="1:24" x14ac:dyDescent="0.3">
      <c r="A1198" s="5">
        <v>1192</v>
      </c>
      <c r="B1198" s="5" t="str">
        <f>"1621746"</f>
        <v>1621746</v>
      </c>
      <c r="C1198" s="5" t="str">
        <f>"16063"</f>
        <v>16063</v>
      </c>
      <c r="D1198" s="5" t="s">
        <v>5958</v>
      </c>
      <c r="E1198" s="5">
        <v>20132712086</v>
      </c>
      <c r="F1198" s="5" t="s">
        <v>5959</v>
      </c>
      <c r="G1198" s="5" t="s">
        <v>5960</v>
      </c>
      <c r="H1198" s="5" t="s">
        <v>808</v>
      </c>
      <c r="I1198" s="5" t="s">
        <v>808</v>
      </c>
      <c r="J1198" s="5" t="s">
        <v>5961</v>
      </c>
      <c r="K1198" s="5" t="s">
        <v>857</v>
      </c>
      <c r="L1198" s="5" t="s">
        <v>323</v>
      </c>
      <c r="M1198" s="5" t="s">
        <v>650</v>
      </c>
      <c r="N1198" s="5" t="s">
        <v>650</v>
      </c>
      <c r="O1198" s="5"/>
      <c r="P1198" s="5"/>
      <c r="Q1198" s="5"/>
      <c r="R1198" s="5"/>
      <c r="S1198" s="5"/>
      <c r="T1198" s="5"/>
      <c r="U1198" s="5">
        <v>16300</v>
      </c>
      <c r="V1198" s="6">
        <v>38916</v>
      </c>
      <c r="W1198" s="5" t="s">
        <v>31</v>
      </c>
      <c r="X1198" s="5" t="s">
        <v>5962</v>
      </c>
    </row>
    <row r="1199" spans="1:24" x14ac:dyDescent="0.3">
      <c r="A1199" s="3">
        <v>1193</v>
      </c>
      <c r="B1199" s="3" t="str">
        <f>"1621745"</f>
        <v>1621745</v>
      </c>
      <c r="C1199" s="3" t="str">
        <f>"1150"</f>
        <v>1150</v>
      </c>
      <c r="D1199" s="3" t="s">
        <v>5963</v>
      </c>
      <c r="E1199" s="3">
        <v>20132712086</v>
      </c>
      <c r="F1199" s="3" t="s">
        <v>5964</v>
      </c>
      <c r="G1199" s="3" t="s">
        <v>5965</v>
      </c>
      <c r="H1199" s="3" t="s">
        <v>808</v>
      </c>
      <c r="I1199" s="3" t="s">
        <v>808</v>
      </c>
      <c r="J1199" s="3" t="s">
        <v>5966</v>
      </c>
      <c r="K1199" s="3" t="s">
        <v>1760</v>
      </c>
      <c r="L1199" s="3"/>
      <c r="M1199" s="3"/>
      <c r="N1199" s="3"/>
      <c r="O1199" s="3"/>
      <c r="P1199" s="3"/>
      <c r="Q1199" s="3"/>
      <c r="R1199" s="3"/>
      <c r="S1199" s="3"/>
      <c r="T1199" s="3"/>
      <c r="U1199" s="3">
        <v>9000</v>
      </c>
      <c r="V1199" s="4">
        <v>38916</v>
      </c>
      <c r="W1199" s="3" t="s">
        <v>31</v>
      </c>
      <c r="X1199" s="3" t="s">
        <v>5967</v>
      </c>
    </row>
    <row r="1200" spans="1:24" x14ac:dyDescent="0.3">
      <c r="A1200" s="5">
        <v>1194</v>
      </c>
      <c r="B1200" s="5" t="str">
        <f>"1578258"</f>
        <v>1578258</v>
      </c>
      <c r="C1200" s="5" t="str">
        <f>"1296"</f>
        <v>1296</v>
      </c>
      <c r="D1200" s="5" t="s">
        <v>5968</v>
      </c>
      <c r="E1200" s="5">
        <v>20531577184</v>
      </c>
      <c r="F1200" s="5" t="s">
        <v>5969</v>
      </c>
      <c r="G1200" s="5" t="s">
        <v>5970</v>
      </c>
      <c r="H1200" s="5" t="s">
        <v>373</v>
      </c>
      <c r="I1200" s="5" t="s">
        <v>5971</v>
      </c>
      <c r="J1200" s="5" t="s">
        <v>5971</v>
      </c>
      <c r="K1200" s="5" t="s">
        <v>5972</v>
      </c>
      <c r="L1200" s="5"/>
      <c r="M1200" s="5"/>
      <c r="N1200" s="5"/>
      <c r="O1200" s="5"/>
      <c r="P1200" s="5"/>
      <c r="Q1200" s="5"/>
      <c r="R1200" s="5"/>
      <c r="S1200" s="5"/>
      <c r="T1200" s="5"/>
      <c r="U1200" s="5">
        <v>2850</v>
      </c>
      <c r="V1200" s="6">
        <v>38691</v>
      </c>
      <c r="W1200" s="5" t="s">
        <v>31</v>
      </c>
      <c r="X1200" s="5" t="s">
        <v>5973</v>
      </c>
    </row>
    <row r="1201" spans="1:24" ht="27.95" x14ac:dyDescent="0.3">
      <c r="A1201" s="3">
        <v>1195</v>
      </c>
      <c r="B1201" s="3" t="str">
        <f>"201300168563"</f>
        <v>201300168563</v>
      </c>
      <c r="C1201" s="3" t="str">
        <f>"18534"</f>
        <v>18534</v>
      </c>
      <c r="D1201" s="3" t="s">
        <v>5974</v>
      </c>
      <c r="E1201" s="3">
        <v>20159473148</v>
      </c>
      <c r="F1201" s="3" t="s">
        <v>1048</v>
      </c>
      <c r="G1201" s="3" t="s">
        <v>5975</v>
      </c>
      <c r="H1201" s="3" t="s">
        <v>115</v>
      </c>
      <c r="I1201" s="3" t="s">
        <v>115</v>
      </c>
      <c r="J1201" s="3" t="s">
        <v>159</v>
      </c>
      <c r="K1201" s="3" t="s">
        <v>3181</v>
      </c>
      <c r="L1201" s="3" t="s">
        <v>3181</v>
      </c>
      <c r="M1201" s="3" t="s">
        <v>3181</v>
      </c>
      <c r="N1201" s="3" t="s">
        <v>5976</v>
      </c>
      <c r="O1201" s="3"/>
      <c r="P1201" s="3"/>
      <c r="Q1201" s="3"/>
      <c r="R1201" s="3"/>
      <c r="S1201" s="3"/>
      <c r="T1201" s="3"/>
      <c r="U1201" s="3">
        <v>87635</v>
      </c>
      <c r="V1201" s="4">
        <v>41585</v>
      </c>
      <c r="W1201" s="3" t="s">
        <v>31</v>
      </c>
      <c r="X1201" s="3" t="s">
        <v>5977</v>
      </c>
    </row>
    <row r="1202" spans="1:24" x14ac:dyDescent="0.3">
      <c r="A1202" s="5">
        <v>1196</v>
      </c>
      <c r="B1202" s="5" t="str">
        <f>"1966959"</f>
        <v>1966959</v>
      </c>
      <c r="C1202" s="5" t="str">
        <f>"82306"</f>
        <v>82306</v>
      </c>
      <c r="D1202" s="5" t="s">
        <v>5978</v>
      </c>
      <c r="E1202" s="5">
        <v>20101020739</v>
      </c>
      <c r="F1202" s="5" t="s">
        <v>5979</v>
      </c>
      <c r="G1202" s="5" t="s">
        <v>5980</v>
      </c>
      <c r="H1202" s="5" t="s">
        <v>28</v>
      </c>
      <c r="I1202" s="5" t="s">
        <v>28</v>
      </c>
      <c r="J1202" s="5" t="s">
        <v>102</v>
      </c>
      <c r="K1202" s="5" t="s">
        <v>5981</v>
      </c>
      <c r="L1202" s="5" t="s">
        <v>5982</v>
      </c>
      <c r="M1202" s="5" t="s">
        <v>5983</v>
      </c>
      <c r="N1202" s="5" t="s">
        <v>2940</v>
      </c>
      <c r="O1202" s="5"/>
      <c r="P1202" s="5"/>
      <c r="Q1202" s="5"/>
      <c r="R1202" s="5"/>
      <c r="S1202" s="5"/>
      <c r="T1202" s="5"/>
      <c r="U1202" s="5">
        <v>1595</v>
      </c>
      <c r="V1202" s="6">
        <v>40238</v>
      </c>
      <c r="W1202" s="5" t="s">
        <v>31</v>
      </c>
      <c r="X1202" s="5" t="s">
        <v>5984</v>
      </c>
    </row>
    <row r="1203" spans="1:24" ht="27.95" x14ac:dyDescent="0.3">
      <c r="A1203" s="3">
        <v>1197</v>
      </c>
      <c r="B1203" s="3" t="str">
        <f>"201200033283"</f>
        <v>201200033283</v>
      </c>
      <c r="C1203" s="3" t="str">
        <f>"95777"</f>
        <v>95777</v>
      </c>
      <c r="D1203" s="3" t="s">
        <v>5985</v>
      </c>
      <c r="E1203" s="3">
        <v>20508853727</v>
      </c>
      <c r="F1203" s="3" t="s">
        <v>5986</v>
      </c>
      <c r="G1203" s="3" t="s">
        <v>5987</v>
      </c>
      <c r="H1203" s="3" t="s">
        <v>51</v>
      </c>
      <c r="I1203" s="3" t="s">
        <v>316</v>
      </c>
      <c r="J1203" s="3" t="s">
        <v>317</v>
      </c>
      <c r="K1203" s="3" t="s">
        <v>540</v>
      </c>
      <c r="L1203" s="3"/>
      <c r="M1203" s="3"/>
      <c r="N1203" s="3"/>
      <c r="O1203" s="3"/>
      <c r="P1203" s="3"/>
      <c r="Q1203" s="3"/>
      <c r="R1203" s="3"/>
      <c r="S1203" s="3"/>
      <c r="T1203" s="3"/>
      <c r="U1203" s="3">
        <v>5000</v>
      </c>
      <c r="V1203" s="4">
        <v>40980</v>
      </c>
      <c r="W1203" s="3" t="s">
        <v>31</v>
      </c>
      <c r="X1203" s="3" t="s">
        <v>5988</v>
      </c>
    </row>
    <row r="1204" spans="1:24" x14ac:dyDescent="0.3">
      <c r="A1204" s="5">
        <v>1198</v>
      </c>
      <c r="B1204" s="5" t="str">
        <f>"1633388"</f>
        <v>1633388</v>
      </c>
      <c r="C1204" s="5" t="str">
        <f>"44097"</f>
        <v>44097</v>
      </c>
      <c r="D1204" s="5" t="s">
        <v>5989</v>
      </c>
      <c r="E1204" s="5">
        <v>20502445805</v>
      </c>
      <c r="F1204" s="5" t="s">
        <v>3436</v>
      </c>
      <c r="G1204" s="5" t="s">
        <v>5990</v>
      </c>
      <c r="H1204" s="5" t="s">
        <v>28</v>
      </c>
      <c r="I1204" s="5" t="s">
        <v>28</v>
      </c>
      <c r="J1204" s="5" t="s">
        <v>266</v>
      </c>
      <c r="K1204" s="5" t="s">
        <v>5659</v>
      </c>
      <c r="L1204" s="5"/>
      <c r="M1204" s="5"/>
      <c r="N1204" s="5"/>
      <c r="O1204" s="5"/>
      <c r="P1204" s="5"/>
      <c r="Q1204" s="5"/>
      <c r="R1204" s="5"/>
      <c r="S1204" s="5"/>
      <c r="T1204" s="5"/>
      <c r="U1204" s="5">
        <v>4900</v>
      </c>
      <c r="V1204" s="6">
        <v>38988</v>
      </c>
      <c r="W1204" s="5" t="s">
        <v>31</v>
      </c>
      <c r="X1204" s="5" t="s">
        <v>3438</v>
      </c>
    </row>
    <row r="1205" spans="1:24" ht="27.95" x14ac:dyDescent="0.3">
      <c r="A1205" s="3">
        <v>1199</v>
      </c>
      <c r="B1205" s="3" t="str">
        <f>"1520785"</f>
        <v>1520785</v>
      </c>
      <c r="C1205" s="3" t="str">
        <f>"707"</f>
        <v>707</v>
      </c>
      <c r="D1205" s="3" t="s">
        <v>5991</v>
      </c>
      <c r="E1205" s="3">
        <v>20380486190</v>
      </c>
      <c r="F1205" s="3" t="s">
        <v>5992</v>
      </c>
      <c r="G1205" s="3" t="s">
        <v>5993</v>
      </c>
      <c r="H1205" s="3" t="s">
        <v>28</v>
      </c>
      <c r="I1205" s="3" t="s">
        <v>28</v>
      </c>
      <c r="J1205" s="3" t="s">
        <v>1706</v>
      </c>
      <c r="K1205" s="3" t="s">
        <v>5994</v>
      </c>
      <c r="L1205" s="3"/>
      <c r="M1205" s="3"/>
      <c r="N1205" s="3"/>
      <c r="O1205" s="3"/>
      <c r="P1205" s="3"/>
      <c r="Q1205" s="3"/>
      <c r="R1205" s="3"/>
      <c r="S1205" s="3"/>
      <c r="T1205" s="3"/>
      <c r="U1205" s="3">
        <v>24000</v>
      </c>
      <c r="V1205" s="4">
        <v>38425</v>
      </c>
      <c r="W1205" s="3" t="s">
        <v>31</v>
      </c>
      <c r="X1205" s="3" t="s">
        <v>2547</v>
      </c>
    </row>
    <row r="1206" spans="1:24" x14ac:dyDescent="0.3">
      <c r="A1206" s="5">
        <v>1200</v>
      </c>
      <c r="B1206" s="5" t="str">
        <f>"201400173454"</f>
        <v>201400173454</v>
      </c>
      <c r="C1206" s="5" t="str">
        <f>"61940"</f>
        <v>61940</v>
      </c>
      <c r="D1206" s="5" t="s">
        <v>5995</v>
      </c>
      <c r="E1206" s="5">
        <v>20474053351</v>
      </c>
      <c r="F1206" s="5" t="s">
        <v>5996</v>
      </c>
      <c r="G1206" s="5" t="s">
        <v>5997</v>
      </c>
      <c r="H1206" s="5" t="s">
        <v>36</v>
      </c>
      <c r="I1206" s="5" t="s">
        <v>37</v>
      </c>
      <c r="J1206" s="5" t="s">
        <v>5998</v>
      </c>
      <c r="K1206" s="5" t="s">
        <v>4062</v>
      </c>
      <c r="L1206" s="5" t="s">
        <v>4062</v>
      </c>
      <c r="M1206" s="5"/>
      <c r="N1206" s="5"/>
      <c r="O1206" s="5"/>
      <c r="P1206" s="5"/>
      <c r="Q1206" s="5"/>
      <c r="R1206" s="5"/>
      <c r="S1206" s="5"/>
      <c r="T1206" s="5"/>
      <c r="U1206" s="5">
        <v>60000</v>
      </c>
      <c r="V1206" s="6">
        <v>42008</v>
      </c>
      <c r="W1206" s="5" t="s">
        <v>31</v>
      </c>
      <c r="X1206" s="5" t="s">
        <v>5999</v>
      </c>
    </row>
    <row r="1207" spans="1:24" ht="27.95" x14ac:dyDescent="0.3">
      <c r="A1207" s="3">
        <v>1201</v>
      </c>
      <c r="B1207" s="3" t="str">
        <f>"201600136581"</f>
        <v>201600136581</v>
      </c>
      <c r="C1207" s="3" t="str">
        <f>"18697"</f>
        <v>18697</v>
      </c>
      <c r="D1207" s="3" t="s">
        <v>6000</v>
      </c>
      <c r="E1207" s="3">
        <v>20380336384</v>
      </c>
      <c r="F1207" s="3" t="s">
        <v>860</v>
      </c>
      <c r="G1207" s="3" t="s">
        <v>6001</v>
      </c>
      <c r="H1207" s="3" t="s">
        <v>36</v>
      </c>
      <c r="I1207" s="3" t="s">
        <v>1269</v>
      </c>
      <c r="J1207" s="3" t="s">
        <v>1270</v>
      </c>
      <c r="K1207" s="3" t="s">
        <v>6002</v>
      </c>
      <c r="L1207" s="3" t="s">
        <v>6003</v>
      </c>
      <c r="M1207" s="3" t="s">
        <v>540</v>
      </c>
      <c r="N1207" s="3" t="s">
        <v>6004</v>
      </c>
      <c r="O1207" s="3"/>
      <c r="P1207" s="3"/>
      <c r="Q1207" s="3"/>
      <c r="R1207" s="3"/>
      <c r="S1207" s="3"/>
      <c r="T1207" s="3"/>
      <c r="U1207" s="3">
        <v>406300</v>
      </c>
      <c r="V1207" s="4">
        <v>42655</v>
      </c>
      <c r="W1207" s="3" t="s">
        <v>31</v>
      </c>
      <c r="X1207" s="3" t="s">
        <v>866</v>
      </c>
    </row>
    <row r="1208" spans="1:24" x14ac:dyDescent="0.3">
      <c r="A1208" s="5">
        <v>1202</v>
      </c>
      <c r="B1208" s="5" t="str">
        <f>"201600049378"</f>
        <v>201600049378</v>
      </c>
      <c r="C1208" s="5" t="str">
        <f>"116482"</f>
        <v>116482</v>
      </c>
      <c r="D1208" s="5" t="s">
        <v>6005</v>
      </c>
      <c r="E1208" s="5">
        <v>20490813242</v>
      </c>
      <c r="F1208" s="5" t="s">
        <v>6006</v>
      </c>
      <c r="G1208" s="5" t="s">
        <v>6007</v>
      </c>
      <c r="H1208" s="5" t="s">
        <v>165</v>
      </c>
      <c r="I1208" s="5" t="s">
        <v>166</v>
      </c>
      <c r="J1208" s="5" t="s">
        <v>167</v>
      </c>
      <c r="K1208" s="5" t="s">
        <v>3692</v>
      </c>
      <c r="L1208" s="5" t="s">
        <v>3692</v>
      </c>
      <c r="M1208" s="5"/>
      <c r="N1208" s="5"/>
      <c r="O1208" s="5"/>
      <c r="P1208" s="5"/>
      <c r="Q1208" s="5"/>
      <c r="R1208" s="5"/>
      <c r="S1208" s="5"/>
      <c r="T1208" s="5"/>
      <c r="U1208" s="5">
        <v>7400</v>
      </c>
      <c r="V1208" s="6">
        <v>42484</v>
      </c>
      <c r="W1208" s="5" t="s">
        <v>31</v>
      </c>
      <c r="X1208" s="5" t="s">
        <v>6008</v>
      </c>
    </row>
    <row r="1209" spans="1:24" ht="27.95" x14ac:dyDescent="0.3">
      <c r="A1209" s="3">
        <v>1203</v>
      </c>
      <c r="B1209" s="3" t="str">
        <f>"202000022391"</f>
        <v>202000022391</v>
      </c>
      <c r="C1209" s="3" t="str">
        <f>"149156"</f>
        <v>149156</v>
      </c>
      <c r="D1209" s="3" t="s">
        <v>6009</v>
      </c>
      <c r="E1209" s="3">
        <v>20528134760</v>
      </c>
      <c r="F1209" s="3" t="s">
        <v>5206</v>
      </c>
      <c r="G1209" s="3" t="s">
        <v>6010</v>
      </c>
      <c r="H1209" s="3" t="s">
        <v>58</v>
      </c>
      <c r="I1209" s="3" t="s">
        <v>4692</v>
      </c>
      <c r="J1209" s="3" t="s">
        <v>5208</v>
      </c>
      <c r="K1209" s="3" t="s">
        <v>535</v>
      </c>
      <c r="L1209" s="3"/>
      <c r="M1209" s="3"/>
      <c r="N1209" s="3"/>
      <c r="O1209" s="3"/>
      <c r="P1209" s="3"/>
      <c r="Q1209" s="3"/>
      <c r="R1209" s="3"/>
      <c r="S1209" s="3"/>
      <c r="T1209" s="3"/>
      <c r="U1209" s="3">
        <v>500</v>
      </c>
      <c r="V1209" s="4">
        <v>43873</v>
      </c>
      <c r="W1209" s="3" t="s">
        <v>31</v>
      </c>
      <c r="X1209" s="3" t="s">
        <v>6011</v>
      </c>
    </row>
    <row r="1210" spans="1:24" ht="27.95" x14ac:dyDescent="0.3">
      <c r="A1210" s="5">
        <v>1204</v>
      </c>
      <c r="B1210" s="5" t="str">
        <f>"201600087233"</f>
        <v>201600087233</v>
      </c>
      <c r="C1210" s="5" t="str">
        <f>"120187"</f>
        <v>120187</v>
      </c>
      <c r="D1210" s="5" t="s">
        <v>6012</v>
      </c>
      <c r="E1210" s="5">
        <v>20521109808</v>
      </c>
      <c r="F1210" s="5" t="s">
        <v>6013</v>
      </c>
      <c r="G1210" s="5" t="s">
        <v>6014</v>
      </c>
      <c r="H1210" s="5" t="s">
        <v>28</v>
      </c>
      <c r="I1210" s="5" t="s">
        <v>28</v>
      </c>
      <c r="J1210" s="5" t="s">
        <v>180</v>
      </c>
      <c r="K1210" s="5" t="s">
        <v>6015</v>
      </c>
      <c r="L1210" s="5" t="s">
        <v>6016</v>
      </c>
      <c r="M1210" s="5"/>
      <c r="N1210" s="5"/>
      <c r="O1210" s="5"/>
      <c r="P1210" s="5"/>
      <c r="Q1210" s="5"/>
      <c r="R1210" s="5"/>
      <c r="S1210" s="5"/>
      <c r="T1210" s="5"/>
      <c r="U1210" s="5">
        <v>14260</v>
      </c>
      <c r="V1210" s="6">
        <v>42541</v>
      </c>
      <c r="W1210" s="5" t="s">
        <v>31</v>
      </c>
      <c r="X1210" s="5" t="s">
        <v>6017</v>
      </c>
    </row>
    <row r="1211" spans="1:24" x14ac:dyDescent="0.3">
      <c r="A1211" s="3">
        <v>1205</v>
      </c>
      <c r="B1211" s="3" t="str">
        <f>"201800082438"</f>
        <v>201800082438</v>
      </c>
      <c r="C1211" s="3" t="str">
        <f>"136225"</f>
        <v>136225</v>
      </c>
      <c r="D1211" s="3" t="s">
        <v>6018</v>
      </c>
      <c r="E1211" s="3">
        <v>20490925555</v>
      </c>
      <c r="F1211" s="3" t="s">
        <v>6019</v>
      </c>
      <c r="G1211" s="3" t="s">
        <v>6020</v>
      </c>
      <c r="H1211" s="3" t="s">
        <v>165</v>
      </c>
      <c r="I1211" s="3" t="s">
        <v>732</v>
      </c>
      <c r="J1211" s="3" t="s">
        <v>733</v>
      </c>
      <c r="K1211" s="3" t="s">
        <v>3396</v>
      </c>
      <c r="L1211" s="3" t="s">
        <v>3396</v>
      </c>
      <c r="M1211" s="3"/>
      <c r="N1211" s="3"/>
      <c r="O1211" s="3"/>
      <c r="P1211" s="3"/>
      <c r="Q1211" s="3"/>
      <c r="R1211" s="3"/>
      <c r="S1211" s="3"/>
      <c r="T1211" s="3"/>
      <c r="U1211" s="3">
        <v>15000</v>
      </c>
      <c r="V1211" s="4">
        <v>43248</v>
      </c>
      <c r="W1211" s="3" t="s">
        <v>31</v>
      </c>
      <c r="X1211" s="3" t="s">
        <v>6021</v>
      </c>
    </row>
    <row r="1212" spans="1:24" ht="41.95" x14ac:dyDescent="0.3">
      <c r="A1212" s="5">
        <v>1206</v>
      </c>
      <c r="B1212" s="5" t="str">
        <f>"202000058271"</f>
        <v>202000058271</v>
      </c>
      <c r="C1212" s="5" t="str">
        <f>"94637"</f>
        <v>94637</v>
      </c>
      <c r="D1212" s="5" t="s">
        <v>6022</v>
      </c>
      <c r="E1212" s="5">
        <v>20506285314</v>
      </c>
      <c r="F1212" s="5" t="s">
        <v>4730</v>
      </c>
      <c r="G1212" s="5" t="s">
        <v>6023</v>
      </c>
      <c r="H1212" s="5" t="s">
        <v>80</v>
      </c>
      <c r="I1212" s="5" t="s">
        <v>228</v>
      </c>
      <c r="J1212" s="5" t="s">
        <v>228</v>
      </c>
      <c r="K1212" s="5" t="s">
        <v>6024</v>
      </c>
      <c r="L1212" s="5" t="s">
        <v>168</v>
      </c>
      <c r="M1212" s="5" t="s">
        <v>168</v>
      </c>
      <c r="N1212" s="5" t="s">
        <v>168</v>
      </c>
      <c r="O1212" s="5"/>
      <c r="P1212" s="5"/>
      <c r="Q1212" s="5"/>
      <c r="R1212" s="5"/>
      <c r="S1212" s="5"/>
      <c r="T1212" s="5"/>
      <c r="U1212" s="5">
        <v>38500</v>
      </c>
      <c r="V1212" s="6">
        <v>43986</v>
      </c>
      <c r="W1212" s="5" t="s">
        <v>31</v>
      </c>
      <c r="X1212" s="5" t="s">
        <v>6025</v>
      </c>
    </row>
    <row r="1213" spans="1:24" ht="27.95" x14ac:dyDescent="0.3">
      <c r="A1213" s="3">
        <v>1207</v>
      </c>
      <c r="B1213" s="3" t="str">
        <f>"202000058270"</f>
        <v>202000058270</v>
      </c>
      <c r="C1213" s="3" t="str">
        <f>"97523"</f>
        <v>97523</v>
      </c>
      <c r="D1213" s="3" t="s">
        <v>6026</v>
      </c>
      <c r="E1213" s="3">
        <v>20506285314</v>
      </c>
      <c r="F1213" s="3" t="s">
        <v>4730</v>
      </c>
      <c r="G1213" s="3" t="s">
        <v>6027</v>
      </c>
      <c r="H1213" s="3" t="s">
        <v>80</v>
      </c>
      <c r="I1213" s="3" t="s">
        <v>228</v>
      </c>
      <c r="J1213" s="3" t="s">
        <v>228</v>
      </c>
      <c r="K1213" s="3" t="s">
        <v>3181</v>
      </c>
      <c r="L1213" s="3" t="s">
        <v>3181</v>
      </c>
      <c r="M1213" s="3"/>
      <c r="N1213" s="3"/>
      <c r="O1213" s="3"/>
      <c r="P1213" s="3"/>
      <c r="Q1213" s="3"/>
      <c r="R1213" s="3"/>
      <c r="S1213" s="3"/>
      <c r="T1213" s="3"/>
      <c r="U1213" s="3">
        <v>40000</v>
      </c>
      <c r="V1213" s="4">
        <v>43985</v>
      </c>
      <c r="W1213" s="3" t="s">
        <v>31</v>
      </c>
      <c r="X1213" s="3" t="s">
        <v>6028</v>
      </c>
    </row>
    <row r="1214" spans="1:24" ht="27.95" x14ac:dyDescent="0.3">
      <c r="A1214" s="5">
        <v>1208</v>
      </c>
      <c r="B1214" s="5" t="str">
        <f>"201800075469"</f>
        <v>201800075469</v>
      </c>
      <c r="C1214" s="5" t="str">
        <f>"125106"</f>
        <v>125106</v>
      </c>
      <c r="D1214" s="5" t="s">
        <v>6029</v>
      </c>
      <c r="E1214" s="5">
        <v>20527030693</v>
      </c>
      <c r="F1214" s="5" t="s">
        <v>6030</v>
      </c>
      <c r="G1214" s="5" t="s">
        <v>6031</v>
      </c>
      <c r="H1214" s="5" t="s">
        <v>165</v>
      </c>
      <c r="I1214" s="5" t="s">
        <v>2330</v>
      </c>
      <c r="J1214" s="5" t="s">
        <v>2331</v>
      </c>
      <c r="K1214" s="5" t="s">
        <v>6032</v>
      </c>
      <c r="L1214" s="5" t="s">
        <v>397</v>
      </c>
      <c r="M1214" s="5" t="s">
        <v>296</v>
      </c>
      <c r="N1214" s="5" t="s">
        <v>6033</v>
      </c>
      <c r="O1214" s="5"/>
      <c r="P1214" s="5"/>
      <c r="Q1214" s="5"/>
      <c r="R1214" s="5"/>
      <c r="S1214" s="5"/>
      <c r="T1214" s="5"/>
      <c r="U1214" s="5">
        <v>14607</v>
      </c>
      <c r="V1214" s="6">
        <v>43228</v>
      </c>
      <c r="W1214" s="5" t="s">
        <v>31</v>
      </c>
      <c r="X1214" s="5" t="s">
        <v>6034</v>
      </c>
    </row>
    <row r="1215" spans="1:24" ht="27.95" x14ac:dyDescent="0.3">
      <c r="A1215" s="3">
        <v>1209</v>
      </c>
      <c r="B1215" s="3" t="str">
        <f>"1511477"</f>
        <v>1511477</v>
      </c>
      <c r="C1215" s="3" t="str">
        <f>"39028"</f>
        <v>39028</v>
      </c>
      <c r="D1215" s="3" t="s">
        <v>6035</v>
      </c>
      <c r="E1215" s="3">
        <v>20100094135</v>
      </c>
      <c r="F1215" s="3" t="s">
        <v>4809</v>
      </c>
      <c r="G1215" s="3" t="s">
        <v>6036</v>
      </c>
      <c r="H1215" s="3" t="s">
        <v>28</v>
      </c>
      <c r="I1215" s="3" t="s">
        <v>28</v>
      </c>
      <c r="J1215" s="3" t="s">
        <v>180</v>
      </c>
      <c r="K1215" s="3" t="s">
        <v>1617</v>
      </c>
      <c r="L1215" s="3" t="s">
        <v>1617</v>
      </c>
      <c r="M1215" s="3" t="s">
        <v>871</v>
      </c>
      <c r="N1215" s="3" t="s">
        <v>259</v>
      </c>
      <c r="O1215" s="3" t="s">
        <v>6037</v>
      </c>
      <c r="P1215" s="3" t="s">
        <v>1617</v>
      </c>
      <c r="Q1215" s="3" t="s">
        <v>1260</v>
      </c>
      <c r="R1215" s="3" t="s">
        <v>1507</v>
      </c>
      <c r="S1215" s="3"/>
      <c r="T1215" s="3"/>
      <c r="U1215" s="3">
        <v>29100</v>
      </c>
      <c r="V1215" s="4">
        <v>38376</v>
      </c>
      <c r="W1215" s="3" t="s">
        <v>31</v>
      </c>
      <c r="X1215" s="3" t="s">
        <v>4812</v>
      </c>
    </row>
    <row r="1216" spans="1:24" ht="27.95" x14ac:dyDescent="0.3">
      <c r="A1216" s="5">
        <v>1210</v>
      </c>
      <c r="B1216" s="5" t="str">
        <f>"1153503"</f>
        <v>1153503</v>
      </c>
      <c r="C1216" s="5" t="str">
        <f>"1314"</f>
        <v>1314</v>
      </c>
      <c r="D1216" s="5">
        <v>1044861</v>
      </c>
      <c r="E1216" s="5">
        <v>20100003199</v>
      </c>
      <c r="F1216" s="5" t="s">
        <v>6038</v>
      </c>
      <c r="G1216" s="5" t="s">
        <v>6039</v>
      </c>
      <c r="H1216" s="5" t="s">
        <v>36</v>
      </c>
      <c r="I1216" s="5" t="s">
        <v>234</v>
      </c>
      <c r="J1216" s="5" t="s">
        <v>258</v>
      </c>
      <c r="K1216" s="5" t="s">
        <v>323</v>
      </c>
      <c r="L1216" s="5"/>
      <c r="M1216" s="5"/>
      <c r="N1216" s="5"/>
      <c r="O1216" s="5"/>
      <c r="P1216" s="5"/>
      <c r="Q1216" s="5"/>
      <c r="R1216" s="5"/>
      <c r="S1216" s="5"/>
      <c r="T1216" s="5"/>
      <c r="U1216" s="5">
        <v>4000</v>
      </c>
      <c r="V1216" s="6">
        <v>35716</v>
      </c>
      <c r="W1216" s="5" t="s">
        <v>31</v>
      </c>
      <c r="X1216" s="5" t="s">
        <v>1291</v>
      </c>
    </row>
    <row r="1217" spans="1:24" x14ac:dyDescent="0.3">
      <c r="A1217" s="3">
        <v>1211</v>
      </c>
      <c r="B1217" s="3" t="str">
        <f>"1177656"</f>
        <v>1177656</v>
      </c>
      <c r="C1217" s="3" t="str">
        <f>"1518"</f>
        <v>1518</v>
      </c>
      <c r="D1217" s="3">
        <v>1177656</v>
      </c>
      <c r="E1217" s="3">
        <v>20215197400</v>
      </c>
      <c r="F1217" s="3" t="s">
        <v>6040</v>
      </c>
      <c r="G1217" s="3" t="s">
        <v>6041</v>
      </c>
      <c r="H1217" s="3" t="s">
        <v>28</v>
      </c>
      <c r="I1217" s="3" t="s">
        <v>28</v>
      </c>
      <c r="J1217" s="3" t="s">
        <v>1824</v>
      </c>
      <c r="K1217" s="3" t="s">
        <v>421</v>
      </c>
      <c r="L1217" s="3" t="s">
        <v>421</v>
      </c>
      <c r="M1217" s="3"/>
      <c r="N1217" s="3"/>
      <c r="O1217" s="3"/>
      <c r="P1217" s="3"/>
      <c r="Q1217" s="3"/>
      <c r="R1217" s="3"/>
      <c r="S1217" s="3"/>
      <c r="T1217" s="3"/>
      <c r="U1217" s="3">
        <v>10000</v>
      </c>
      <c r="V1217" s="4">
        <v>35881</v>
      </c>
      <c r="W1217" s="3" t="s">
        <v>31</v>
      </c>
      <c r="X1217" s="3" t="s">
        <v>6042</v>
      </c>
    </row>
    <row r="1218" spans="1:24" x14ac:dyDescent="0.3">
      <c r="A1218" s="5">
        <v>1212</v>
      </c>
      <c r="B1218" s="5" t="str">
        <f>"201400120601"</f>
        <v>201400120601</v>
      </c>
      <c r="C1218" s="5" t="str">
        <f>"100369"</f>
        <v>100369</v>
      </c>
      <c r="D1218" s="5" t="s">
        <v>6043</v>
      </c>
      <c r="E1218" s="5">
        <v>20350427687</v>
      </c>
      <c r="F1218" s="5" t="s">
        <v>6044</v>
      </c>
      <c r="G1218" s="5" t="s">
        <v>6045</v>
      </c>
      <c r="H1218" s="5" t="s">
        <v>165</v>
      </c>
      <c r="I1218" s="5" t="s">
        <v>166</v>
      </c>
      <c r="J1218" s="5" t="s">
        <v>167</v>
      </c>
      <c r="K1218" s="5" t="s">
        <v>6046</v>
      </c>
      <c r="L1218" s="5" t="s">
        <v>6047</v>
      </c>
      <c r="M1218" s="5" t="s">
        <v>6048</v>
      </c>
      <c r="N1218" s="5"/>
      <c r="O1218" s="5"/>
      <c r="P1218" s="5"/>
      <c r="Q1218" s="5"/>
      <c r="R1218" s="5"/>
      <c r="S1218" s="5"/>
      <c r="T1218" s="5"/>
      <c r="U1218" s="5">
        <v>9690</v>
      </c>
      <c r="V1218" s="6">
        <v>41916</v>
      </c>
      <c r="W1218" s="5" t="s">
        <v>31</v>
      </c>
      <c r="X1218" s="5" t="s">
        <v>6049</v>
      </c>
    </row>
    <row r="1219" spans="1:24" x14ac:dyDescent="0.3">
      <c r="A1219" s="3">
        <v>1213</v>
      </c>
      <c r="B1219" s="3" t="str">
        <f>"1947227"</f>
        <v>1947227</v>
      </c>
      <c r="C1219" s="3" t="str">
        <f>"62716"</f>
        <v>62716</v>
      </c>
      <c r="D1219" s="3" t="s">
        <v>6050</v>
      </c>
      <c r="E1219" s="3">
        <v>20100147514</v>
      </c>
      <c r="F1219" s="3" t="s">
        <v>4756</v>
      </c>
      <c r="G1219" s="3" t="s">
        <v>6051</v>
      </c>
      <c r="H1219" s="3" t="s">
        <v>1147</v>
      </c>
      <c r="I1219" s="3" t="s">
        <v>1148</v>
      </c>
      <c r="J1219" s="3" t="s">
        <v>1148</v>
      </c>
      <c r="K1219" s="3" t="s">
        <v>6052</v>
      </c>
      <c r="L1219" s="3" t="s">
        <v>6053</v>
      </c>
      <c r="M1219" s="3" t="s">
        <v>6054</v>
      </c>
      <c r="N1219" s="3"/>
      <c r="O1219" s="3"/>
      <c r="P1219" s="3"/>
      <c r="Q1219" s="3"/>
      <c r="R1219" s="3"/>
      <c r="S1219" s="3"/>
      <c r="T1219" s="3"/>
      <c r="U1219" s="3">
        <v>11700</v>
      </c>
      <c r="V1219" s="4">
        <v>40149</v>
      </c>
      <c r="W1219" s="3" t="s">
        <v>31</v>
      </c>
      <c r="X1219" s="3" t="s">
        <v>3790</v>
      </c>
    </row>
    <row r="1220" spans="1:24" ht="27.95" x14ac:dyDescent="0.3">
      <c r="A1220" s="5">
        <v>1214</v>
      </c>
      <c r="B1220" s="5" t="str">
        <f>"201400132147"</f>
        <v>201400132147</v>
      </c>
      <c r="C1220" s="5" t="str">
        <f>"97420"</f>
        <v>97420</v>
      </c>
      <c r="D1220" s="5" t="s">
        <v>6055</v>
      </c>
      <c r="E1220" s="5">
        <v>20447805007</v>
      </c>
      <c r="F1220" s="5" t="s">
        <v>6056</v>
      </c>
      <c r="G1220" s="5" t="s">
        <v>6057</v>
      </c>
      <c r="H1220" s="5" t="s">
        <v>165</v>
      </c>
      <c r="I1220" s="5" t="s">
        <v>166</v>
      </c>
      <c r="J1220" s="5" t="s">
        <v>167</v>
      </c>
      <c r="K1220" s="5" t="s">
        <v>198</v>
      </c>
      <c r="L1220" s="5"/>
      <c r="M1220" s="5"/>
      <c r="N1220" s="5"/>
      <c r="O1220" s="5"/>
      <c r="P1220" s="5"/>
      <c r="Q1220" s="5"/>
      <c r="R1220" s="5"/>
      <c r="S1220" s="5"/>
      <c r="T1220" s="5"/>
      <c r="U1220" s="5">
        <v>9000</v>
      </c>
      <c r="V1220" s="6">
        <v>41961</v>
      </c>
      <c r="W1220" s="5" t="s">
        <v>31</v>
      </c>
      <c r="X1220" s="5" t="s">
        <v>6058</v>
      </c>
    </row>
    <row r="1221" spans="1:24" ht="27.95" x14ac:dyDescent="0.3">
      <c r="A1221" s="3">
        <v>1215</v>
      </c>
      <c r="B1221" s="3" t="str">
        <f>"1608558"</f>
        <v>1608558</v>
      </c>
      <c r="C1221" s="3" t="str">
        <f>"1348"</f>
        <v>1348</v>
      </c>
      <c r="D1221" s="3" t="s">
        <v>6059</v>
      </c>
      <c r="E1221" s="3">
        <v>20511902895</v>
      </c>
      <c r="F1221" s="3" t="s">
        <v>6060</v>
      </c>
      <c r="G1221" s="3" t="s">
        <v>6061</v>
      </c>
      <c r="H1221" s="3" t="s">
        <v>285</v>
      </c>
      <c r="I1221" s="3" t="s">
        <v>286</v>
      </c>
      <c r="J1221" s="3" t="s">
        <v>470</v>
      </c>
      <c r="K1221" s="3" t="s">
        <v>6062</v>
      </c>
      <c r="L1221" s="3" t="s">
        <v>6063</v>
      </c>
      <c r="M1221" s="3"/>
      <c r="N1221" s="3"/>
      <c r="O1221" s="3"/>
      <c r="P1221" s="3"/>
      <c r="Q1221" s="3"/>
      <c r="R1221" s="3"/>
      <c r="S1221" s="3"/>
      <c r="T1221" s="3"/>
      <c r="U1221" s="3">
        <v>2248</v>
      </c>
      <c r="V1221" s="4">
        <v>38855</v>
      </c>
      <c r="W1221" s="3" t="s">
        <v>31</v>
      </c>
      <c r="X1221" s="3" t="s">
        <v>6064</v>
      </c>
    </row>
    <row r="1222" spans="1:24" ht="27.95" x14ac:dyDescent="0.3">
      <c r="A1222" s="5">
        <v>1216</v>
      </c>
      <c r="B1222" s="5" t="str">
        <f>"201800147687"</f>
        <v>201800147687</v>
      </c>
      <c r="C1222" s="5" t="str">
        <f>"132819"</f>
        <v>132819</v>
      </c>
      <c r="D1222" s="5" t="s">
        <v>6065</v>
      </c>
      <c r="E1222" s="5">
        <v>20490925121</v>
      </c>
      <c r="F1222" s="5" t="s">
        <v>6066</v>
      </c>
      <c r="G1222" s="5" t="s">
        <v>6067</v>
      </c>
      <c r="H1222" s="5" t="s">
        <v>165</v>
      </c>
      <c r="I1222" s="5" t="s">
        <v>166</v>
      </c>
      <c r="J1222" s="5" t="s">
        <v>167</v>
      </c>
      <c r="K1222" s="5" t="s">
        <v>6068</v>
      </c>
      <c r="L1222" s="5" t="s">
        <v>6068</v>
      </c>
      <c r="M1222" s="5"/>
      <c r="N1222" s="5"/>
      <c r="O1222" s="5"/>
      <c r="P1222" s="5"/>
      <c r="Q1222" s="5"/>
      <c r="R1222" s="5"/>
      <c r="S1222" s="5"/>
      <c r="T1222" s="5"/>
      <c r="U1222" s="5">
        <v>18600</v>
      </c>
      <c r="V1222" s="6">
        <v>43350</v>
      </c>
      <c r="W1222" s="5" t="s">
        <v>31</v>
      </c>
      <c r="X1222" s="5" t="s">
        <v>6069</v>
      </c>
    </row>
    <row r="1223" spans="1:24" x14ac:dyDescent="0.3">
      <c r="A1223" s="3">
        <v>1217</v>
      </c>
      <c r="B1223" s="3" t="str">
        <f>"1533827"</f>
        <v>1533827</v>
      </c>
      <c r="C1223" s="3" t="str">
        <f>"40711"</f>
        <v>40711</v>
      </c>
      <c r="D1223" s="3" t="s">
        <v>6070</v>
      </c>
      <c r="E1223" s="3">
        <v>20501577252</v>
      </c>
      <c r="F1223" s="3" t="s">
        <v>6071</v>
      </c>
      <c r="G1223" s="3" t="s">
        <v>6072</v>
      </c>
      <c r="H1223" s="3" t="s">
        <v>115</v>
      </c>
      <c r="I1223" s="3" t="s">
        <v>115</v>
      </c>
      <c r="J1223" s="3" t="s">
        <v>159</v>
      </c>
      <c r="K1223" s="3" t="s">
        <v>421</v>
      </c>
      <c r="L1223" s="3"/>
      <c r="M1223" s="3"/>
      <c r="N1223" s="3"/>
      <c r="O1223" s="3"/>
      <c r="P1223" s="3"/>
      <c r="Q1223" s="3"/>
      <c r="R1223" s="3"/>
      <c r="S1223" s="3"/>
      <c r="T1223" s="3"/>
      <c r="U1223" s="3">
        <v>5000</v>
      </c>
      <c r="V1223" s="4">
        <v>38497</v>
      </c>
      <c r="W1223" s="3" t="s">
        <v>31</v>
      </c>
      <c r="X1223" s="3" t="s">
        <v>6073</v>
      </c>
    </row>
    <row r="1224" spans="1:24" x14ac:dyDescent="0.3">
      <c r="A1224" s="5">
        <v>1218</v>
      </c>
      <c r="B1224" s="5" t="str">
        <f>"201200110300"</f>
        <v>201200110300</v>
      </c>
      <c r="C1224" s="5" t="str">
        <f>"97068"</f>
        <v>97068</v>
      </c>
      <c r="D1224" s="5" t="s">
        <v>6074</v>
      </c>
      <c r="E1224" s="5">
        <v>20450878244</v>
      </c>
      <c r="F1224" s="5" t="s">
        <v>6075</v>
      </c>
      <c r="G1224" s="5" t="s">
        <v>6076</v>
      </c>
      <c r="H1224" s="5" t="s">
        <v>334</v>
      </c>
      <c r="I1224" s="5" t="s">
        <v>335</v>
      </c>
      <c r="J1224" s="5" t="s">
        <v>5876</v>
      </c>
      <c r="K1224" s="5" t="s">
        <v>6077</v>
      </c>
      <c r="L1224" s="5" t="s">
        <v>1725</v>
      </c>
      <c r="M1224" s="5"/>
      <c r="N1224" s="5"/>
      <c r="O1224" s="5"/>
      <c r="P1224" s="5"/>
      <c r="Q1224" s="5"/>
      <c r="R1224" s="5"/>
      <c r="S1224" s="5"/>
      <c r="T1224" s="5"/>
      <c r="U1224" s="5">
        <v>4000</v>
      </c>
      <c r="V1224" s="6">
        <v>41081</v>
      </c>
      <c r="W1224" s="5" t="s">
        <v>31</v>
      </c>
      <c r="X1224" s="5" t="s">
        <v>6078</v>
      </c>
    </row>
    <row r="1225" spans="1:24" x14ac:dyDescent="0.3">
      <c r="A1225" s="3">
        <v>1219</v>
      </c>
      <c r="B1225" s="3" t="str">
        <f>"1723471"</f>
        <v>1723471</v>
      </c>
      <c r="C1225" s="3" t="str">
        <f>"60954"</f>
        <v>60954</v>
      </c>
      <c r="D1225" s="3" t="s">
        <v>6079</v>
      </c>
      <c r="E1225" s="3">
        <v>20305798950</v>
      </c>
      <c r="F1225" s="3" t="s">
        <v>6080</v>
      </c>
      <c r="G1225" s="3" t="s">
        <v>6081</v>
      </c>
      <c r="H1225" s="3" t="s">
        <v>28</v>
      </c>
      <c r="I1225" s="3" t="s">
        <v>28</v>
      </c>
      <c r="J1225" s="3" t="s">
        <v>1824</v>
      </c>
      <c r="K1225" s="3" t="s">
        <v>2619</v>
      </c>
      <c r="L1225" s="3"/>
      <c r="M1225" s="3"/>
      <c r="N1225" s="3"/>
      <c r="O1225" s="3"/>
      <c r="P1225" s="3"/>
      <c r="Q1225" s="3"/>
      <c r="R1225" s="3"/>
      <c r="S1225" s="3"/>
      <c r="T1225" s="3"/>
      <c r="U1225" s="3">
        <v>700</v>
      </c>
      <c r="V1225" s="4">
        <v>39366</v>
      </c>
      <c r="W1225" s="3" t="s">
        <v>31</v>
      </c>
      <c r="X1225" s="3" t="s">
        <v>6082</v>
      </c>
    </row>
    <row r="1226" spans="1:24" ht="27.95" x14ac:dyDescent="0.3">
      <c r="A1226" s="5">
        <v>1220</v>
      </c>
      <c r="B1226" s="5" t="str">
        <f>"201600108435"</f>
        <v>201600108435</v>
      </c>
      <c r="C1226" s="5" t="str">
        <f>"41672"</f>
        <v>41672</v>
      </c>
      <c r="D1226" s="5" t="s">
        <v>6083</v>
      </c>
      <c r="E1226" s="5">
        <v>20107012011</v>
      </c>
      <c r="F1226" s="5" t="s">
        <v>754</v>
      </c>
      <c r="G1226" s="5" t="s">
        <v>6084</v>
      </c>
      <c r="H1226" s="5" t="s">
        <v>115</v>
      </c>
      <c r="I1226" s="5" t="s">
        <v>115</v>
      </c>
      <c r="J1226" s="5" t="s">
        <v>159</v>
      </c>
      <c r="K1226" s="5" t="s">
        <v>756</v>
      </c>
      <c r="L1226" s="5"/>
      <c r="M1226" s="5"/>
      <c r="N1226" s="5"/>
      <c r="O1226" s="5"/>
      <c r="P1226" s="5"/>
      <c r="Q1226" s="5"/>
      <c r="R1226" s="5"/>
      <c r="S1226" s="5"/>
      <c r="T1226" s="5"/>
      <c r="U1226" s="5">
        <v>6500</v>
      </c>
      <c r="V1226" s="6">
        <v>42599</v>
      </c>
      <c r="W1226" s="5" t="s">
        <v>31</v>
      </c>
      <c r="X1226" s="5" t="s">
        <v>6085</v>
      </c>
    </row>
    <row r="1227" spans="1:24" x14ac:dyDescent="0.3">
      <c r="A1227" s="3">
        <v>1221</v>
      </c>
      <c r="B1227" s="3" t="str">
        <f>"1737610"</f>
        <v>1737610</v>
      </c>
      <c r="C1227" s="3" t="str">
        <f>"42299"</f>
        <v>42299</v>
      </c>
      <c r="D1227" s="3" t="s">
        <v>6086</v>
      </c>
      <c r="E1227" s="3">
        <v>20297939131</v>
      </c>
      <c r="F1227" s="3" t="s">
        <v>3604</v>
      </c>
      <c r="G1227" s="3" t="s">
        <v>6087</v>
      </c>
      <c r="H1227" s="3" t="s">
        <v>135</v>
      </c>
      <c r="I1227" s="3" t="s">
        <v>135</v>
      </c>
      <c r="J1227" s="3" t="s">
        <v>3082</v>
      </c>
      <c r="K1227" s="3" t="s">
        <v>421</v>
      </c>
      <c r="L1227" s="3"/>
      <c r="M1227" s="3"/>
      <c r="N1227" s="3"/>
      <c r="O1227" s="3"/>
      <c r="P1227" s="3"/>
      <c r="Q1227" s="3"/>
      <c r="R1227" s="3"/>
      <c r="S1227" s="3"/>
      <c r="T1227" s="3"/>
      <c r="U1227" s="3">
        <v>5000</v>
      </c>
      <c r="V1227" s="4">
        <v>39406</v>
      </c>
      <c r="W1227" s="3" t="s">
        <v>31</v>
      </c>
      <c r="X1227" s="3" t="s">
        <v>6088</v>
      </c>
    </row>
    <row r="1228" spans="1:24" ht="27.95" x14ac:dyDescent="0.3">
      <c r="A1228" s="5">
        <v>1222</v>
      </c>
      <c r="B1228" s="5" t="str">
        <f>"1736484"</f>
        <v>1736484</v>
      </c>
      <c r="C1228" s="5" t="str">
        <f>"1457"</f>
        <v>1457</v>
      </c>
      <c r="D1228" s="5" t="s">
        <v>6089</v>
      </c>
      <c r="E1228" s="5">
        <v>20334725015</v>
      </c>
      <c r="F1228" s="5" t="s">
        <v>6090</v>
      </c>
      <c r="G1228" s="5" t="s">
        <v>6091</v>
      </c>
      <c r="H1228" s="5" t="s">
        <v>28</v>
      </c>
      <c r="I1228" s="5" t="s">
        <v>28</v>
      </c>
      <c r="J1228" s="5" t="s">
        <v>91</v>
      </c>
      <c r="K1228" s="5" t="s">
        <v>259</v>
      </c>
      <c r="L1228" s="5"/>
      <c r="M1228" s="5"/>
      <c r="N1228" s="5"/>
      <c r="O1228" s="5"/>
      <c r="P1228" s="5"/>
      <c r="Q1228" s="5"/>
      <c r="R1228" s="5"/>
      <c r="S1228" s="5"/>
      <c r="T1228" s="5"/>
      <c r="U1228" s="5">
        <v>6000</v>
      </c>
      <c r="V1228" s="6">
        <v>39421</v>
      </c>
      <c r="W1228" s="5" t="s">
        <v>31</v>
      </c>
      <c r="X1228" s="5" t="s">
        <v>6092</v>
      </c>
    </row>
    <row r="1229" spans="1:24" x14ac:dyDescent="0.3">
      <c r="A1229" s="3">
        <v>1223</v>
      </c>
      <c r="B1229" s="3" t="str">
        <f>"1821085"</f>
        <v>1821085</v>
      </c>
      <c r="C1229" s="3" t="str">
        <f>"541"</f>
        <v>541</v>
      </c>
      <c r="D1229" s="3" t="s">
        <v>6093</v>
      </c>
      <c r="E1229" s="3">
        <v>20136165667</v>
      </c>
      <c r="F1229" s="3" t="s">
        <v>3312</v>
      </c>
      <c r="G1229" s="3" t="s">
        <v>6094</v>
      </c>
      <c r="H1229" s="3" t="s">
        <v>135</v>
      </c>
      <c r="I1229" s="3" t="s">
        <v>943</v>
      </c>
      <c r="J1229" s="3" t="s">
        <v>944</v>
      </c>
      <c r="K1229" s="3" t="s">
        <v>6095</v>
      </c>
      <c r="L1229" s="3" t="s">
        <v>6096</v>
      </c>
      <c r="M1229" s="3"/>
      <c r="N1229" s="3"/>
      <c r="O1229" s="3"/>
      <c r="P1229" s="3"/>
      <c r="Q1229" s="3"/>
      <c r="R1229" s="3"/>
      <c r="S1229" s="3"/>
      <c r="T1229" s="3"/>
      <c r="U1229" s="3">
        <v>25262</v>
      </c>
      <c r="V1229" s="4">
        <v>39699</v>
      </c>
      <c r="W1229" s="3" t="s">
        <v>31</v>
      </c>
      <c r="X1229" s="3" t="s">
        <v>6097</v>
      </c>
    </row>
    <row r="1230" spans="1:24" x14ac:dyDescent="0.3">
      <c r="A1230" s="5">
        <v>1224</v>
      </c>
      <c r="B1230" s="5" t="str">
        <f>"1125904"</f>
        <v>1125904</v>
      </c>
      <c r="C1230" s="5" t="str">
        <f>"1542"</f>
        <v>1542</v>
      </c>
      <c r="D1230" s="5">
        <v>1007536</v>
      </c>
      <c r="E1230" s="5">
        <v>20129646099</v>
      </c>
      <c r="F1230" s="5" t="s">
        <v>3279</v>
      </c>
      <c r="G1230" s="5" t="s">
        <v>6098</v>
      </c>
      <c r="H1230" s="5" t="s">
        <v>970</v>
      </c>
      <c r="I1230" s="5" t="s">
        <v>2404</v>
      </c>
      <c r="J1230" s="5" t="s">
        <v>2405</v>
      </c>
      <c r="K1230" s="5" t="s">
        <v>3037</v>
      </c>
      <c r="L1230" s="5" t="s">
        <v>2651</v>
      </c>
      <c r="M1230" s="5" t="s">
        <v>3037</v>
      </c>
      <c r="N1230" s="5" t="s">
        <v>2651</v>
      </c>
      <c r="O1230" s="5"/>
      <c r="P1230" s="5"/>
      <c r="Q1230" s="5"/>
      <c r="R1230" s="5"/>
      <c r="S1230" s="5"/>
      <c r="T1230" s="5"/>
      <c r="U1230" s="5">
        <v>72000</v>
      </c>
      <c r="V1230" s="6">
        <v>35647</v>
      </c>
      <c r="W1230" s="5" t="s">
        <v>31</v>
      </c>
      <c r="X1230" s="5" t="s">
        <v>2933</v>
      </c>
    </row>
    <row r="1231" spans="1:24" ht="27.95" x14ac:dyDescent="0.3">
      <c r="A1231" s="3">
        <v>1225</v>
      </c>
      <c r="B1231" s="3" t="str">
        <f>"1933176"</f>
        <v>1933176</v>
      </c>
      <c r="C1231" s="3" t="str">
        <f>"84284"</f>
        <v>84284</v>
      </c>
      <c r="D1231" s="3" t="s">
        <v>6099</v>
      </c>
      <c r="E1231" s="3">
        <v>20127187135</v>
      </c>
      <c r="F1231" s="3" t="s">
        <v>6100</v>
      </c>
      <c r="G1231" s="3" t="s">
        <v>6101</v>
      </c>
      <c r="H1231" s="3" t="s">
        <v>28</v>
      </c>
      <c r="I1231" s="3" t="s">
        <v>28</v>
      </c>
      <c r="J1231" s="3" t="s">
        <v>409</v>
      </c>
      <c r="K1231" s="3" t="s">
        <v>1182</v>
      </c>
      <c r="L1231" s="3"/>
      <c r="M1231" s="3"/>
      <c r="N1231" s="3"/>
      <c r="O1231" s="3"/>
      <c r="P1231" s="3"/>
      <c r="Q1231" s="3"/>
      <c r="R1231" s="3"/>
      <c r="S1231" s="3"/>
      <c r="T1231" s="3"/>
      <c r="U1231" s="3">
        <v>4000</v>
      </c>
      <c r="V1231" s="4">
        <v>40116</v>
      </c>
      <c r="W1231" s="3" t="s">
        <v>31</v>
      </c>
      <c r="X1231" s="3" t="s">
        <v>6102</v>
      </c>
    </row>
    <row r="1232" spans="1:24" ht="27.95" x14ac:dyDescent="0.3">
      <c r="A1232" s="5">
        <v>1226</v>
      </c>
      <c r="B1232" s="5" t="str">
        <f>"1125905"</f>
        <v>1125905</v>
      </c>
      <c r="C1232" s="5" t="str">
        <f>"711"</f>
        <v>711</v>
      </c>
      <c r="D1232" s="5">
        <v>1007537</v>
      </c>
      <c r="E1232" s="5">
        <v>20129646099</v>
      </c>
      <c r="F1232" s="5" t="s">
        <v>6103</v>
      </c>
      <c r="G1232" s="5" t="s">
        <v>6104</v>
      </c>
      <c r="H1232" s="5" t="s">
        <v>970</v>
      </c>
      <c r="I1232" s="5" t="s">
        <v>2404</v>
      </c>
      <c r="J1232" s="5" t="s">
        <v>6105</v>
      </c>
      <c r="K1232" s="5" t="s">
        <v>5571</v>
      </c>
      <c r="L1232" s="5" t="s">
        <v>6106</v>
      </c>
      <c r="M1232" s="5" t="s">
        <v>6107</v>
      </c>
      <c r="N1232" s="5"/>
      <c r="O1232" s="5"/>
      <c r="P1232" s="5"/>
      <c r="Q1232" s="5"/>
      <c r="R1232" s="5"/>
      <c r="S1232" s="5"/>
      <c r="T1232" s="5"/>
      <c r="U1232" s="5">
        <v>25800</v>
      </c>
      <c r="V1232" s="6">
        <v>35647</v>
      </c>
      <c r="W1232" s="5" t="s">
        <v>31</v>
      </c>
      <c r="X1232" s="5" t="s">
        <v>2933</v>
      </c>
    </row>
    <row r="1233" spans="1:24" ht="27.95" x14ac:dyDescent="0.3">
      <c r="A1233" s="3">
        <v>1227</v>
      </c>
      <c r="B1233" s="3" t="str">
        <f>"1261172"</f>
        <v>1261172</v>
      </c>
      <c r="C1233" s="3" t="str">
        <f>"18219"</f>
        <v>18219</v>
      </c>
      <c r="D1233" s="3">
        <v>1261172</v>
      </c>
      <c r="E1233" s="3">
        <v>20108734109</v>
      </c>
      <c r="F1233" s="3" t="s">
        <v>6108</v>
      </c>
      <c r="G1233" s="3" t="s">
        <v>6109</v>
      </c>
      <c r="H1233" s="3" t="s">
        <v>28</v>
      </c>
      <c r="I1233" s="3" t="s">
        <v>28</v>
      </c>
      <c r="J1233" s="3" t="s">
        <v>409</v>
      </c>
      <c r="K1233" s="3" t="s">
        <v>421</v>
      </c>
      <c r="L1233" s="3"/>
      <c r="M1233" s="3"/>
      <c r="N1233" s="3"/>
      <c r="O1233" s="3"/>
      <c r="P1233" s="3"/>
      <c r="Q1233" s="3"/>
      <c r="R1233" s="3"/>
      <c r="S1233" s="3"/>
      <c r="T1233" s="3"/>
      <c r="U1233" s="3">
        <v>5000</v>
      </c>
      <c r="V1233" s="4">
        <v>36489</v>
      </c>
      <c r="W1233" s="3" t="s">
        <v>31</v>
      </c>
      <c r="X1233" s="3" t="s">
        <v>6110</v>
      </c>
    </row>
    <row r="1234" spans="1:24" ht="27.95" x14ac:dyDescent="0.3">
      <c r="A1234" s="5">
        <v>1228</v>
      </c>
      <c r="B1234" s="5" t="str">
        <f>"201200063945"</f>
        <v>201200063945</v>
      </c>
      <c r="C1234" s="5" t="str">
        <f>"95936"</f>
        <v>95936</v>
      </c>
      <c r="D1234" s="5" t="s">
        <v>6111</v>
      </c>
      <c r="E1234" s="5">
        <v>20508922397</v>
      </c>
      <c r="F1234" s="5" t="s">
        <v>6112</v>
      </c>
      <c r="G1234" s="5" t="s">
        <v>6113</v>
      </c>
      <c r="H1234" s="5" t="s">
        <v>28</v>
      </c>
      <c r="I1234" s="5" t="s">
        <v>72</v>
      </c>
      <c r="J1234" s="5" t="s">
        <v>322</v>
      </c>
      <c r="K1234" s="5" t="s">
        <v>1217</v>
      </c>
      <c r="L1234" s="5"/>
      <c r="M1234" s="5"/>
      <c r="N1234" s="5"/>
      <c r="O1234" s="5"/>
      <c r="P1234" s="5"/>
      <c r="Q1234" s="5"/>
      <c r="R1234" s="5"/>
      <c r="S1234" s="5"/>
      <c r="T1234" s="5"/>
      <c r="U1234" s="5">
        <v>5000</v>
      </c>
      <c r="V1234" s="6">
        <v>41032</v>
      </c>
      <c r="W1234" s="5" t="s">
        <v>31</v>
      </c>
      <c r="X1234" s="5" t="s">
        <v>6114</v>
      </c>
    </row>
    <row r="1235" spans="1:24" ht="27.95" x14ac:dyDescent="0.3">
      <c r="A1235" s="3">
        <v>1229</v>
      </c>
      <c r="B1235" s="3" t="str">
        <f>"1108773"</f>
        <v>1108773</v>
      </c>
      <c r="C1235" s="3" t="str">
        <f>"45"</f>
        <v>45</v>
      </c>
      <c r="D1235" s="3">
        <v>954320</v>
      </c>
      <c r="E1235" s="3">
        <v>20100226813</v>
      </c>
      <c r="F1235" s="3" t="s">
        <v>6115</v>
      </c>
      <c r="G1235" s="3" t="s">
        <v>6116</v>
      </c>
      <c r="H1235" s="3" t="s">
        <v>51</v>
      </c>
      <c r="I1235" s="3" t="s">
        <v>51</v>
      </c>
      <c r="J1235" s="3" t="s">
        <v>5045</v>
      </c>
      <c r="K1235" s="3" t="s">
        <v>6117</v>
      </c>
      <c r="L1235" s="3" t="s">
        <v>1422</v>
      </c>
      <c r="M1235" s="3" t="s">
        <v>6117</v>
      </c>
      <c r="N1235" s="3"/>
      <c r="O1235" s="3"/>
      <c r="P1235" s="3"/>
      <c r="Q1235" s="3"/>
      <c r="R1235" s="3"/>
      <c r="S1235" s="3"/>
      <c r="T1235" s="3"/>
      <c r="U1235" s="3">
        <v>33500</v>
      </c>
      <c r="V1235" s="4">
        <v>35487</v>
      </c>
      <c r="W1235" s="3" t="s">
        <v>31</v>
      </c>
      <c r="X1235" s="3" t="s">
        <v>6118</v>
      </c>
    </row>
    <row r="1236" spans="1:24" x14ac:dyDescent="0.3">
      <c r="A1236" s="5">
        <v>1230</v>
      </c>
      <c r="B1236" s="5" t="str">
        <f>"1653038"</f>
        <v>1653038</v>
      </c>
      <c r="C1236" s="5" t="str">
        <f>"40"</f>
        <v>40</v>
      </c>
      <c r="D1236" s="5" t="s">
        <v>6119</v>
      </c>
      <c r="E1236" s="5">
        <v>20100077044</v>
      </c>
      <c r="F1236" s="5" t="s">
        <v>6120</v>
      </c>
      <c r="G1236" s="5" t="s">
        <v>6121</v>
      </c>
      <c r="H1236" s="5" t="s">
        <v>28</v>
      </c>
      <c r="I1236" s="5" t="s">
        <v>28</v>
      </c>
      <c r="J1236" s="5" t="s">
        <v>102</v>
      </c>
      <c r="K1236" s="5" t="s">
        <v>259</v>
      </c>
      <c r="L1236" s="5"/>
      <c r="M1236" s="5"/>
      <c r="N1236" s="5"/>
      <c r="O1236" s="5"/>
      <c r="P1236" s="5"/>
      <c r="Q1236" s="5"/>
      <c r="R1236" s="5"/>
      <c r="S1236" s="5"/>
      <c r="T1236" s="5"/>
      <c r="U1236" s="5">
        <v>6000</v>
      </c>
      <c r="V1236" s="6">
        <v>39057</v>
      </c>
      <c r="W1236" s="5" t="s">
        <v>31</v>
      </c>
      <c r="X1236" s="5" t="s">
        <v>6122</v>
      </c>
    </row>
    <row r="1237" spans="1:24" ht="41.95" x14ac:dyDescent="0.3">
      <c r="A1237" s="3">
        <v>1231</v>
      </c>
      <c r="B1237" s="3" t="str">
        <f>"1549240"</f>
        <v>1549240</v>
      </c>
      <c r="C1237" s="3" t="str">
        <f>"41477"</f>
        <v>41477</v>
      </c>
      <c r="D1237" s="3" t="s">
        <v>6123</v>
      </c>
      <c r="E1237" s="3">
        <v>20155274477</v>
      </c>
      <c r="F1237" s="3" t="s">
        <v>6124</v>
      </c>
      <c r="G1237" s="3" t="s">
        <v>6125</v>
      </c>
      <c r="H1237" s="3" t="s">
        <v>28</v>
      </c>
      <c r="I1237" s="3" t="s">
        <v>28</v>
      </c>
      <c r="J1237" s="3" t="s">
        <v>687</v>
      </c>
      <c r="K1237" s="3" t="s">
        <v>6126</v>
      </c>
      <c r="L1237" s="3"/>
      <c r="M1237" s="3"/>
      <c r="N1237" s="3"/>
      <c r="O1237" s="3"/>
      <c r="P1237" s="3"/>
      <c r="Q1237" s="3"/>
      <c r="R1237" s="3"/>
      <c r="S1237" s="3"/>
      <c r="T1237" s="3"/>
      <c r="U1237" s="3">
        <v>4990</v>
      </c>
      <c r="V1237" s="4">
        <v>38569</v>
      </c>
      <c r="W1237" s="3" t="s">
        <v>31</v>
      </c>
      <c r="X1237" s="3" t="s">
        <v>6127</v>
      </c>
    </row>
    <row r="1238" spans="1:24" ht="27.95" x14ac:dyDescent="0.3">
      <c r="A1238" s="5">
        <v>1232</v>
      </c>
      <c r="B1238" s="5" t="str">
        <f>"1461791"</f>
        <v>1461791</v>
      </c>
      <c r="C1238" s="5" t="str">
        <f>"90524"</f>
        <v>90524</v>
      </c>
      <c r="D1238" s="5" t="s">
        <v>6128</v>
      </c>
      <c r="E1238" s="5">
        <v>20510073283</v>
      </c>
      <c r="F1238" s="5" t="s">
        <v>6129</v>
      </c>
      <c r="G1238" s="5" t="s">
        <v>6130</v>
      </c>
      <c r="H1238" s="5" t="s">
        <v>28</v>
      </c>
      <c r="I1238" s="5" t="s">
        <v>72</v>
      </c>
      <c r="J1238" s="5" t="s">
        <v>322</v>
      </c>
      <c r="K1238" s="5" t="s">
        <v>2856</v>
      </c>
      <c r="L1238" s="5"/>
      <c r="M1238" s="5"/>
      <c r="N1238" s="5"/>
      <c r="O1238" s="5"/>
      <c r="P1238" s="5"/>
      <c r="Q1238" s="5"/>
      <c r="R1238" s="5"/>
      <c r="S1238" s="5"/>
      <c r="T1238" s="5"/>
      <c r="U1238" s="5">
        <v>3000</v>
      </c>
      <c r="V1238" s="6">
        <v>40562</v>
      </c>
      <c r="W1238" s="5" t="s">
        <v>31</v>
      </c>
      <c r="X1238" s="5" t="s">
        <v>6131</v>
      </c>
    </row>
    <row r="1239" spans="1:24" x14ac:dyDescent="0.3">
      <c r="A1239" s="3">
        <v>1233</v>
      </c>
      <c r="B1239" s="3" t="str">
        <f>"201200059488"</f>
        <v>201200059488</v>
      </c>
      <c r="C1239" s="3" t="str">
        <f>"1424"</f>
        <v>1424</v>
      </c>
      <c r="D1239" s="3" t="s">
        <v>6132</v>
      </c>
      <c r="E1239" s="3">
        <v>20159473148</v>
      </c>
      <c r="F1239" s="3" t="s">
        <v>1048</v>
      </c>
      <c r="G1239" s="3" t="s">
        <v>6133</v>
      </c>
      <c r="H1239" s="3" t="s">
        <v>28</v>
      </c>
      <c r="I1239" s="3" t="s">
        <v>490</v>
      </c>
      <c r="J1239" s="3" t="s">
        <v>985</v>
      </c>
      <c r="K1239" s="3" t="s">
        <v>6134</v>
      </c>
      <c r="L1239" s="3" t="s">
        <v>6135</v>
      </c>
      <c r="M1239" s="3" t="s">
        <v>6136</v>
      </c>
      <c r="N1239" s="3"/>
      <c r="O1239" s="3"/>
      <c r="P1239" s="3"/>
      <c r="Q1239" s="3"/>
      <c r="R1239" s="3"/>
      <c r="S1239" s="3"/>
      <c r="T1239" s="3"/>
      <c r="U1239" s="3">
        <v>116350</v>
      </c>
      <c r="V1239" s="4">
        <v>41025</v>
      </c>
      <c r="W1239" s="3" t="s">
        <v>31</v>
      </c>
      <c r="X1239" s="3" t="s">
        <v>6137</v>
      </c>
    </row>
    <row r="1240" spans="1:24" x14ac:dyDescent="0.3">
      <c r="A1240" s="5">
        <v>1234</v>
      </c>
      <c r="B1240" s="5" t="str">
        <f>"1417650"</f>
        <v>1417650</v>
      </c>
      <c r="C1240" s="5" t="str">
        <f>"14374"</f>
        <v>14374</v>
      </c>
      <c r="D1240" s="5" t="s">
        <v>6138</v>
      </c>
      <c r="E1240" s="5">
        <v>20381459242</v>
      </c>
      <c r="F1240" s="5" t="s">
        <v>6139</v>
      </c>
      <c r="G1240" s="5" t="s">
        <v>6140</v>
      </c>
      <c r="H1240" s="5" t="s">
        <v>285</v>
      </c>
      <c r="I1240" s="5" t="s">
        <v>286</v>
      </c>
      <c r="J1240" s="5" t="s">
        <v>287</v>
      </c>
      <c r="K1240" s="5" t="s">
        <v>6141</v>
      </c>
      <c r="L1240" s="5" t="s">
        <v>6142</v>
      </c>
      <c r="M1240" s="5"/>
      <c r="N1240" s="5"/>
      <c r="O1240" s="5"/>
      <c r="P1240" s="5"/>
      <c r="Q1240" s="5"/>
      <c r="R1240" s="5"/>
      <c r="S1240" s="5"/>
      <c r="T1240" s="5"/>
      <c r="U1240" s="5">
        <v>238250</v>
      </c>
      <c r="V1240" s="6">
        <v>37680</v>
      </c>
      <c r="W1240" s="5" t="s">
        <v>31</v>
      </c>
      <c r="X1240" s="5" t="s">
        <v>6143</v>
      </c>
    </row>
    <row r="1241" spans="1:24" ht="27.95" x14ac:dyDescent="0.3">
      <c r="A1241" s="3">
        <v>1235</v>
      </c>
      <c r="B1241" s="3" t="str">
        <f>"1873437"</f>
        <v>1873437</v>
      </c>
      <c r="C1241" s="3" t="str">
        <f>"83007"</f>
        <v>83007</v>
      </c>
      <c r="D1241" s="3" t="s">
        <v>6144</v>
      </c>
      <c r="E1241" s="3">
        <v>20297543653</v>
      </c>
      <c r="F1241" s="3" t="s">
        <v>6145</v>
      </c>
      <c r="G1241" s="3" t="s">
        <v>6146</v>
      </c>
      <c r="H1241" s="3" t="s">
        <v>28</v>
      </c>
      <c r="I1241" s="3" t="s">
        <v>28</v>
      </c>
      <c r="J1241" s="3" t="s">
        <v>172</v>
      </c>
      <c r="K1241" s="3" t="s">
        <v>1378</v>
      </c>
      <c r="L1241" s="3"/>
      <c r="M1241" s="3"/>
      <c r="N1241" s="3"/>
      <c r="O1241" s="3"/>
      <c r="P1241" s="3"/>
      <c r="Q1241" s="3"/>
      <c r="R1241" s="3"/>
      <c r="S1241" s="3"/>
      <c r="T1241" s="3"/>
      <c r="U1241" s="3">
        <v>5000</v>
      </c>
      <c r="V1241" s="4">
        <v>39932</v>
      </c>
      <c r="W1241" s="3" t="s">
        <v>31</v>
      </c>
      <c r="X1241" s="3" t="s">
        <v>1854</v>
      </c>
    </row>
    <row r="1242" spans="1:24" ht="41.95" x14ac:dyDescent="0.3">
      <c r="A1242" s="5">
        <v>1236</v>
      </c>
      <c r="B1242" s="5" t="str">
        <f>"201700215267"</f>
        <v>201700215267</v>
      </c>
      <c r="C1242" s="5" t="str">
        <f>"84466"</f>
        <v>84466</v>
      </c>
      <c r="D1242" s="5" t="s">
        <v>6147</v>
      </c>
      <c r="E1242" s="5">
        <v>20373860736</v>
      </c>
      <c r="F1242" s="5" t="s">
        <v>6148</v>
      </c>
      <c r="G1242" s="5" t="s">
        <v>6149</v>
      </c>
      <c r="H1242" s="5" t="s">
        <v>36</v>
      </c>
      <c r="I1242" s="5" t="s">
        <v>514</v>
      </c>
      <c r="J1242" s="5" t="s">
        <v>514</v>
      </c>
      <c r="K1242" s="5" t="s">
        <v>6150</v>
      </c>
      <c r="L1242" s="5"/>
      <c r="M1242" s="5"/>
      <c r="N1242" s="5"/>
      <c r="O1242" s="5"/>
      <c r="P1242" s="5"/>
      <c r="Q1242" s="5"/>
      <c r="R1242" s="5"/>
      <c r="S1242" s="5"/>
      <c r="T1242" s="5"/>
      <c r="U1242" s="5">
        <v>4333</v>
      </c>
      <c r="V1242" s="6">
        <v>43091</v>
      </c>
      <c r="W1242" s="5" t="s">
        <v>31</v>
      </c>
      <c r="X1242" s="5" t="s">
        <v>6151</v>
      </c>
    </row>
    <row r="1243" spans="1:24" ht="41.95" x14ac:dyDescent="0.3">
      <c r="A1243" s="3">
        <v>1237</v>
      </c>
      <c r="B1243" s="3" t="str">
        <f>"201700215269"</f>
        <v>201700215269</v>
      </c>
      <c r="C1243" s="3" t="str">
        <f>"1312"</f>
        <v>1312</v>
      </c>
      <c r="D1243" s="3" t="s">
        <v>6152</v>
      </c>
      <c r="E1243" s="3">
        <v>20373860736</v>
      </c>
      <c r="F1243" s="3" t="s">
        <v>6148</v>
      </c>
      <c r="G1243" s="3" t="s">
        <v>6153</v>
      </c>
      <c r="H1243" s="3" t="s">
        <v>36</v>
      </c>
      <c r="I1243" s="3" t="s">
        <v>514</v>
      </c>
      <c r="J1243" s="3" t="s">
        <v>514</v>
      </c>
      <c r="K1243" s="3" t="s">
        <v>3211</v>
      </c>
      <c r="L1243" s="3" t="s">
        <v>6154</v>
      </c>
      <c r="M1243" s="3" t="s">
        <v>6155</v>
      </c>
      <c r="N1243" s="3" t="s">
        <v>6155</v>
      </c>
      <c r="O1243" s="3"/>
      <c r="P1243" s="3"/>
      <c r="Q1243" s="3"/>
      <c r="R1243" s="3"/>
      <c r="S1243" s="3"/>
      <c r="T1243" s="3"/>
      <c r="U1243" s="3">
        <v>30648</v>
      </c>
      <c r="V1243" s="4">
        <v>43091</v>
      </c>
      <c r="W1243" s="3" t="s">
        <v>31</v>
      </c>
      <c r="X1243" s="3" t="s">
        <v>6151</v>
      </c>
    </row>
    <row r="1244" spans="1:24" ht="27.95" x14ac:dyDescent="0.3">
      <c r="A1244" s="5">
        <v>1238</v>
      </c>
      <c r="B1244" s="5" t="str">
        <f>"201900177235"</f>
        <v>201900177235</v>
      </c>
      <c r="C1244" s="5" t="str">
        <f>"134564"</f>
        <v>134564</v>
      </c>
      <c r="D1244" s="5" t="s">
        <v>6156</v>
      </c>
      <c r="E1244" s="5">
        <v>20259829594</v>
      </c>
      <c r="F1244" s="5" t="s">
        <v>6157</v>
      </c>
      <c r="G1244" s="5" t="s">
        <v>6158</v>
      </c>
      <c r="H1244" s="5" t="s">
        <v>28</v>
      </c>
      <c r="I1244" s="5" t="s">
        <v>28</v>
      </c>
      <c r="J1244" s="5" t="s">
        <v>1824</v>
      </c>
      <c r="K1244" s="5" t="s">
        <v>6159</v>
      </c>
      <c r="L1244" s="5"/>
      <c r="M1244" s="5"/>
      <c r="N1244" s="5"/>
      <c r="O1244" s="5"/>
      <c r="P1244" s="5"/>
      <c r="Q1244" s="5"/>
      <c r="R1244" s="5"/>
      <c r="S1244" s="5"/>
      <c r="T1244" s="5"/>
      <c r="U1244" s="5">
        <v>350</v>
      </c>
      <c r="V1244" s="6">
        <v>43773</v>
      </c>
      <c r="W1244" s="5" t="s">
        <v>31</v>
      </c>
      <c r="X1244" s="5" t="s">
        <v>6160</v>
      </c>
    </row>
    <row r="1245" spans="1:24" ht="55.9" x14ac:dyDescent="0.3">
      <c r="A1245" s="3">
        <v>1239</v>
      </c>
      <c r="B1245" s="3" t="str">
        <f>"201700136081"</f>
        <v>201700136081</v>
      </c>
      <c r="C1245" s="3" t="str">
        <f>"131410"</f>
        <v>131410</v>
      </c>
      <c r="D1245" s="3" t="s">
        <v>6161</v>
      </c>
      <c r="E1245" s="3">
        <v>20547194269</v>
      </c>
      <c r="F1245" s="3" t="s">
        <v>6162</v>
      </c>
      <c r="G1245" s="3" t="s">
        <v>6163</v>
      </c>
      <c r="H1245" s="3" t="s">
        <v>51</v>
      </c>
      <c r="I1245" s="3" t="s">
        <v>815</v>
      </c>
      <c r="J1245" s="3" t="s">
        <v>815</v>
      </c>
      <c r="K1245" s="3" t="s">
        <v>6164</v>
      </c>
      <c r="L1245" s="3"/>
      <c r="M1245" s="3"/>
      <c r="N1245" s="3"/>
      <c r="O1245" s="3"/>
      <c r="P1245" s="3"/>
      <c r="Q1245" s="3"/>
      <c r="R1245" s="3"/>
      <c r="S1245" s="3"/>
      <c r="T1245" s="3"/>
      <c r="U1245" s="3">
        <v>5932</v>
      </c>
      <c r="V1245" s="4">
        <v>42972</v>
      </c>
      <c r="W1245" s="3" t="s">
        <v>31</v>
      </c>
      <c r="X1245" s="3" t="s">
        <v>6165</v>
      </c>
    </row>
    <row r="1246" spans="1:24" ht="27.95" x14ac:dyDescent="0.3">
      <c r="A1246" s="5">
        <v>1240</v>
      </c>
      <c r="B1246" s="5" t="str">
        <f>"201700151102"</f>
        <v>201700151102</v>
      </c>
      <c r="C1246" s="5" t="str">
        <f>"131843"</f>
        <v>131843</v>
      </c>
      <c r="D1246" s="5" t="s">
        <v>6166</v>
      </c>
      <c r="E1246" s="5">
        <v>20457004029</v>
      </c>
      <c r="F1246" s="5" t="s">
        <v>6167</v>
      </c>
      <c r="G1246" s="5" t="s">
        <v>6168</v>
      </c>
      <c r="H1246" s="5" t="s">
        <v>28</v>
      </c>
      <c r="I1246" s="5" t="s">
        <v>28</v>
      </c>
      <c r="J1246" s="5" t="s">
        <v>436</v>
      </c>
      <c r="K1246" s="5" t="s">
        <v>110</v>
      </c>
      <c r="L1246" s="5"/>
      <c r="M1246" s="5"/>
      <c r="N1246" s="5"/>
      <c r="O1246" s="5"/>
      <c r="P1246" s="5"/>
      <c r="Q1246" s="5"/>
      <c r="R1246" s="5"/>
      <c r="S1246" s="5"/>
      <c r="T1246" s="5"/>
      <c r="U1246" s="5">
        <v>4000</v>
      </c>
      <c r="V1246" s="6">
        <v>43000</v>
      </c>
      <c r="W1246" s="5" t="s">
        <v>31</v>
      </c>
      <c r="X1246" s="5" t="s">
        <v>6169</v>
      </c>
    </row>
    <row r="1247" spans="1:24" x14ac:dyDescent="0.3">
      <c r="A1247" s="3">
        <v>1241</v>
      </c>
      <c r="B1247" s="3" t="str">
        <f>"1165827"</f>
        <v>1165827</v>
      </c>
      <c r="C1247" s="3" t="str">
        <f>"797"</f>
        <v>797</v>
      </c>
      <c r="D1247" s="3">
        <v>1011640</v>
      </c>
      <c r="E1247" s="3">
        <v>20294973207</v>
      </c>
      <c r="F1247" s="3" t="s">
        <v>6170</v>
      </c>
      <c r="G1247" s="3" t="s">
        <v>6171</v>
      </c>
      <c r="H1247" s="3" t="s">
        <v>978</v>
      </c>
      <c r="I1247" s="3" t="s">
        <v>978</v>
      </c>
      <c r="J1247" s="3" t="s">
        <v>2015</v>
      </c>
      <c r="K1247" s="3" t="s">
        <v>1316</v>
      </c>
      <c r="L1247" s="3"/>
      <c r="M1247" s="3"/>
      <c r="N1247" s="3"/>
      <c r="O1247" s="3"/>
      <c r="P1247" s="3"/>
      <c r="Q1247" s="3"/>
      <c r="R1247" s="3"/>
      <c r="S1247" s="3"/>
      <c r="T1247" s="3"/>
      <c r="U1247" s="3">
        <v>12000</v>
      </c>
      <c r="V1247" s="4">
        <v>35787</v>
      </c>
      <c r="W1247" s="3" t="s">
        <v>31</v>
      </c>
      <c r="X1247" s="3" t="s">
        <v>6172</v>
      </c>
    </row>
    <row r="1248" spans="1:24" ht="27.95" x14ac:dyDescent="0.3">
      <c r="A1248" s="5">
        <v>1242</v>
      </c>
      <c r="B1248" s="5" t="str">
        <f>"1133351"</f>
        <v>1133351</v>
      </c>
      <c r="C1248" s="5" t="str">
        <f>"836"</f>
        <v>836</v>
      </c>
      <c r="D1248" s="5">
        <v>1014942</v>
      </c>
      <c r="E1248" s="5">
        <v>20100175640</v>
      </c>
      <c r="F1248" s="5" t="s">
        <v>3340</v>
      </c>
      <c r="G1248" s="5" t="s">
        <v>6173</v>
      </c>
      <c r="H1248" s="5" t="s">
        <v>28</v>
      </c>
      <c r="I1248" s="5" t="s">
        <v>28</v>
      </c>
      <c r="J1248" s="5" t="s">
        <v>202</v>
      </c>
      <c r="K1248" s="5" t="s">
        <v>6174</v>
      </c>
      <c r="L1248" s="5"/>
      <c r="M1248" s="5"/>
      <c r="N1248" s="5"/>
      <c r="O1248" s="5"/>
      <c r="P1248" s="5"/>
      <c r="Q1248" s="5"/>
      <c r="R1248" s="5"/>
      <c r="S1248" s="5"/>
      <c r="T1248" s="5"/>
      <c r="U1248" s="5">
        <v>4750</v>
      </c>
      <c r="V1248" s="6">
        <v>35632</v>
      </c>
      <c r="W1248" s="5" t="s">
        <v>31</v>
      </c>
      <c r="X1248" s="5" t="s">
        <v>3345</v>
      </c>
    </row>
    <row r="1249" spans="1:24" x14ac:dyDescent="0.3">
      <c r="A1249" s="3">
        <v>1243</v>
      </c>
      <c r="B1249" s="3" t="str">
        <f>"201600114153"</f>
        <v>201600114153</v>
      </c>
      <c r="C1249" s="3" t="str">
        <f>"1471"</f>
        <v>1471</v>
      </c>
      <c r="D1249" s="3" t="s">
        <v>6175</v>
      </c>
      <c r="E1249" s="3">
        <v>20509551767</v>
      </c>
      <c r="F1249" s="3" t="s">
        <v>6176</v>
      </c>
      <c r="G1249" s="3" t="s">
        <v>6177</v>
      </c>
      <c r="H1249" s="3" t="s">
        <v>292</v>
      </c>
      <c r="I1249" s="3" t="s">
        <v>6178</v>
      </c>
      <c r="J1249" s="3" t="s">
        <v>6179</v>
      </c>
      <c r="K1249" s="3" t="s">
        <v>6180</v>
      </c>
      <c r="L1249" s="3" t="s">
        <v>6180</v>
      </c>
      <c r="M1249" s="3"/>
      <c r="N1249" s="3"/>
      <c r="O1249" s="3"/>
      <c r="P1249" s="3"/>
      <c r="Q1249" s="3"/>
      <c r="R1249" s="3"/>
      <c r="S1249" s="3"/>
      <c r="T1249" s="3"/>
      <c r="U1249" s="3">
        <v>11000</v>
      </c>
      <c r="V1249" s="4">
        <v>42612</v>
      </c>
      <c r="W1249" s="3" t="s">
        <v>31</v>
      </c>
      <c r="X1249" s="3" t="s">
        <v>6181</v>
      </c>
    </row>
    <row r="1250" spans="1:24" ht="27.95" x14ac:dyDescent="0.3">
      <c r="A1250" s="5">
        <v>1244</v>
      </c>
      <c r="B1250" s="5" t="str">
        <f>"201500029481"</f>
        <v>201500029481</v>
      </c>
      <c r="C1250" s="5" t="str">
        <f>"114260"</f>
        <v>114260</v>
      </c>
      <c r="D1250" s="5" t="s">
        <v>6182</v>
      </c>
      <c r="E1250" s="5">
        <v>20507086838</v>
      </c>
      <c r="F1250" s="5" t="s">
        <v>6183</v>
      </c>
      <c r="G1250" s="5" t="s">
        <v>6184</v>
      </c>
      <c r="H1250" s="5" t="s">
        <v>28</v>
      </c>
      <c r="I1250" s="5" t="s">
        <v>28</v>
      </c>
      <c r="J1250" s="5" t="s">
        <v>699</v>
      </c>
      <c r="K1250" s="5" t="s">
        <v>6185</v>
      </c>
      <c r="L1250" s="5"/>
      <c r="M1250" s="5"/>
      <c r="N1250" s="5"/>
      <c r="O1250" s="5"/>
      <c r="P1250" s="5"/>
      <c r="Q1250" s="5"/>
      <c r="R1250" s="5"/>
      <c r="S1250" s="5"/>
      <c r="T1250" s="5"/>
      <c r="U1250" s="5">
        <v>6600</v>
      </c>
      <c r="V1250" s="6">
        <v>42110</v>
      </c>
      <c r="W1250" s="5" t="s">
        <v>31</v>
      </c>
      <c r="X1250" s="5" t="s">
        <v>6186</v>
      </c>
    </row>
    <row r="1251" spans="1:24" x14ac:dyDescent="0.3">
      <c r="A1251" s="3">
        <v>1245</v>
      </c>
      <c r="B1251" s="3" t="str">
        <f>"1512347"</f>
        <v>1512347</v>
      </c>
      <c r="C1251" s="3" t="str">
        <f>"436"</f>
        <v>436</v>
      </c>
      <c r="D1251" s="3" t="s">
        <v>6187</v>
      </c>
      <c r="E1251" s="3">
        <v>20136165667</v>
      </c>
      <c r="F1251" s="3" t="s">
        <v>3312</v>
      </c>
      <c r="G1251" s="3" t="s">
        <v>6188</v>
      </c>
      <c r="H1251" s="3" t="s">
        <v>285</v>
      </c>
      <c r="I1251" s="3" t="s">
        <v>286</v>
      </c>
      <c r="J1251" s="3" t="s">
        <v>470</v>
      </c>
      <c r="K1251" s="3" t="s">
        <v>6189</v>
      </c>
      <c r="L1251" s="3" t="s">
        <v>6190</v>
      </c>
      <c r="M1251" s="3" t="s">
        <v>6190</v>
      </c>
      <c r="N1251" s="3" t="s">
        <v>6191</v>
      </c>
      <c r="O1251" s="3"/>
      <c r="P1251" s="3"/>
      <c r="Q1251" s="3"/>
      <c r="R1251" s="3"/>
      <c r="S1251" s="3"/>
      <c r="T1251" s="3"/>
      <c r="U1251" s="3">
        <v>386000</v>
      </c>
      <c r="V1251" s="4">
        <v>38334</v>
      </c>
      <c r="W1251" s="3" t="s">
        <v>31</v>
      </c>
      <c r="X1251" s="3" t="s">
        <v>3316</v>
      </c>
    </row>
    <row r="1252" spans="1:24" x14ac:dyDescent="0.3">
      <c r="A1252" s="5">
        <v>1246</v>
      </c>
      <c r="B1252" s="5" t="str">
        <f>"201700095547"</f>
        <v>201700095547</v>
      </c>
      <c r="C1252" s="5" t="str">
        <f>"16184"</f>
        <v>16184</v>
      </c>
      <c r="D1252" s="5" t="s">
        <v>6192</v>
      </c>
      <c r="E1252" s="5">
        <v>20376303811</v>
      </c>
      <c r="F1252" s="5" t="s">
        <v>6193</v>
      </c>
      <c r="G1252" s="5" t="s">
        <v>6194</v>
      </c>
      <c r="H1252" s="5" t="s">
        <v>566</v>
      </c>
      <c r="I1252" s="5" t="s">
        <v>2671</v>
      </c>
      <c r="J1252" s="5" t="s">
        <v>6195</v>
      </c>
      <c r="K1252" s="5" t="s">
        <v>6196</v>
      </c>
      <c r="L1252" s="5" t="s">
        <v>6197</v>
      </c>
      <c r="M1252" s="5" t="s">
        <v>6198</v>
      </c>
      <c r="N1252" s="5" t="s">
        <v>6199</v>
      </c>
      <c r="O1252" s="5" t="s">
        <v>6200</v>
      </c>
      <c r="P1252" s="5" t="s">
        <v>6201</v>
      </c>
      <c r="Q1252" s="5" t="s">
        <v>6202</v>
      </c>
      <c r="R1252" s="5" t="s">
        <v>6203</v>
      </c>
      <c r="S1252" s="5" t="s">
        <v>6204</v>
      </c>
      <c r="T1252" s="5" t="s">
        <v>6205</v>
      </c>
      <c r="U1252" s="5">
        <v>1030346</v>
      </c>
      <c r="V1252" s="6">
        <v>42908</v>
      </c>
      <c r="W1252" s="5" t="s">
        <v>31</v>
      </c>
      <c r="X1252" s="5" t="s">
        <v>2142</v>
      </c>
    </row>
    <row r="1253" spans="1:24" ht="41.95" x14ac:dyDescent="0.3">
      <c r="A1253" s="3">
        <v>1247</v>
      </c>
      <c r="B1253" s="3" t="str">
        <f>"201800210617"</f>
        <v>201800210617</v>
      </c>
      <c r="C1253" s="3" t="str">
        <f>"434"</f>
        <v>434</v>
      </c>
      <c r="D1253" s="3" t="s">
        <v>6206</v>
      </c>
      <c r="E1253" s="3">
        <v>20100136741</v>
      </c>
      <c r="F1253" s="3" t="s">
        <v>4537</v>
      </c>
      <c r="G1253" s="3" t="s">
        <v>6207</v>
      </c>
      <c r="H1253" s="3" t="s">
        <v>550</v>
      </c>
      <c r="I1253" s="3" t="s">
        <v>551</v>
      </c>
      <c r="J1253" s="3" t="s">
        <v>6208</v>
      </c>
      <c r="K1253" s="3" t="s">
        <v>960</v>
      </c>
      <c r="L1253" s="3" t="s">
        <v>960</v>
      </c>
      <c r="M1253" s="3" t="s">
        <v>3181</v>
      </c>
      <c r="N1253" s="3" t="s">
        <v>3181</v>
      </c>
      <c r="O1253" s="3" t="s">
        <v>6209</v>
      </c>
      <c r="P1253" s="3" t="s">
        <v>193</v>
      </c>
      <c r="Q1253" s="3" t="s">
        <v>193</v>
      </c>
      <c r="R1253" s="3"/>
      <c r="S1253" s="3"/>
      <c r="T1253" s="3"/>
      <c r="U1253" s="3">
        <v>265000</v>
      </c>
      <c r="V1253" s="4">
        <v>43462</v>
      </c>
      <c r="W1253" s="3" t="s">
        <v>31</v>
      </c>
      <c r="X1253" s="3" t="s">
        <v>4522</v>
      </c>
    </row>
    <row r="1254" spans="1:24" x14ac:dyDescent="0.3">
      <c r="A1254" s="5">
        <v>1248</v>
      </c>
      <c r="B1254" s="5" t="str">
        <f>"1414414"</f>
        <v>1414414</v>
      </c>
      <c r="C1254" s="5" t="str">
        <f>"244"</f>
        <v>244</v>
      </c>
      <c r="D1254" s="5" t="s">
        <v>6210</v>
      </c>
      <c r="E1254" s="5">
        <v>20102725647</v>
      </c>
      <c r="F1254" s="5" t="s">
        <v>6211</v>
      </c>
      <c r="G1254" s="5" t="s">
        <v>6212</v>
      </c>
      <c r="H1254" s="5" t="s">
        <v>36</v>
      </c>
      <c r="I1254" s="5" t="s">
        <v>234</v>
      </c>
      <c r="J1254" s="5" t="s">
        <v>234</v>
      </c>
      <c r="K1254" s="5" t="s">
        <v>6213</v>
      </c>
      <c r="L1254" s="5"/>
      <c r="M1254" s="5"/>
      <c r="N1254" s="5"/>
      <c r="O1254" s="5"/>
      <c r="P1254" s="5"/>
      <c r="Q1254" s="5"/>
      <c r="R1254" s="5"/>
      <c r="S1254" s="5"/>
      <c r="T1254" s="5"/>
      <c r="U1254" s="5">
        <v>5900</v>
      </c>
      <c r="V1254" s="6">
        <v>37762</v>
      </c>
      <c r="W1254" s="5" t="s">
        <v>31</v>
      </c>
      <c r="X1254" s="5" t="s">
        <v>6214</v>
      </c>
    </row>
    <row r="1255" spans="1:24" ht="27.95" x14ac:dyDescent="0.3">
      <c r="A1255" s="3">
        <v>1249</v>
      </c>
      <c r="B1255" s="3" t="str">
        <f>"1321463"</f>
        <v>1321463</v>
      </c>
      <c r="C1255" s="3" t="str">
        <f>"1163"</f>
        <v>1163</v>
      </c>
      <c r="D1255" s="3" t="s">
        <v>6215</v>
      </c>
      <c r="E1255" s="3">
        <v>20501361241</v>
      </c>
      <c r="F1255" s="3" t="s">
        <v>6216</v>
      </c>
      <c r="G1255" s="3" t="s">
        <v>6217</v>
      </c>
      <c r="H1255" s="3" t="s">
        <v>80</v>
      </c>
      <c r="I1255" s="3" t="s">
        <v>309</v>
      </c>
      <c r="J1255" s="3" t="s">
        <v>309</v>
      </c>
      <c r="K1255" s="3" t="s">
        <v>4059</v>
      </c>
      <c r="L1255" s="3" t="s">
        <v>6218</v>
      </c>
      <c r="M1255" s="3"/>
      <c r="N1255" s="3"/>
      <c r="O1255" s="3"/>
      <c r="P1255" s="3"/>
      <c r="Q1255" s="3"/>
      <c r="R1255" s="3"/>
      <c r="S1255" s="3"/>
      <c r="T1255" s="3"/>
      <c r="U1255" s="3">
        <v>33000</v>
      </c>
      <c r="V1255" s="4">
        <v>36958</v>
      </c>
      <c r="W1255" s="3" t="s">
        <v>31</v>
      </c>
      <c r="X1255" s="3" t="s">
        <v>6219</v>
      </c>
    </row>
    <row r="1256" spans="1:24" ht="41.95" x14ac:dyDescent="0.3">
      <c r="A1256" s="5">
        <v>1250</v>
      </c>
      <c r="B1256" s="5" t="str">
        <f>"201600007003"</f>
        <v>201600007003</v>
      </c>
      <c r="C1256" s="5" t="str">
        <f>"119476"</f>
        <v>119476</v>
      </c>
      <c r="D1256" s="5" t="s">
        <v>6220</v>
      </c>
      <c r="E1256" s="5">
        <v>20507828915</v>
      </c>
      <c r="F1256" s="5" t="s">
        <v>6221</v>
      </c>
      <c r="G1256" s="5" t="s">
        <v>6222</v>
      </c>
      <c r="H1256" s="5" t="s">
        <v>978</v>
      </c>
      <c r="I1256" s="5" t="s">
        <v>979</v>
      </c>
      <c r="J1256" s="5" t="s">
        <v>979</v>
      </c>
      <c r="K1256" s="5" t="s">
        <v>6223</v>
      </c>
      <c r="L1256" s="5" t="s">
        <v>6223</v>
      </c>
      <c r="M1256" s="5" t="s">
        <v>6223</v>
      </c>
      <c r="N1256" s="5" t="s">
        <v>6223</v>
      </c>
      <c r="O1256" s="5" t="s">
        <v>6224</v>
      </c>
      <c r="P1256" s="5"/>
      <c r="Q1256" s="5"/>
      <c r="R1256" s="5"/>
      <c r="S1256" s="5"/>
      <c r="T1256" s="5"/>
      <c r="U1256" s="5">
        <v>84500</v>
      </c>
      <c r="V1256" s="6">
        <v>42397</v>
      </c>
      <c r="W1256" s="5" t="s">
        <v>31</v>
      </c>
      <c r="X1256" s="5" t="s">
        <v>6225</v>
      </c>
    </row>
    <row r="1257" spans="1:24" x14ac:dyDescent="0.3">
      <c r="A1257" s="3">
        <v>1251</v>
      </c>
      <c r="B1257" s="3" t="str">
        <f>"1807707"</f>
        <v>1807707</v>
      </c>
      <c r="C1257" s="3" t="str">
        <f>"493"</f>
        <v>493</v>
      </c>
      <c r="D1257" s="3" t="s">
        <v>6226</v>
      </c>
      <c r="E1257" s="3">
        <v>20131564504</v>
      </c>
      <c r="F1257" s="3" t="s">
        <v>6227</v>
      </c>
      <c r="G1257" s="3" t="s">
        <v>6228</v>
      </c>
      <c r="H1257" s="3" t="s">
        <v>36</v>
      </c>
      <c r="I1257" s="3" t="s">
        <v>234</v>
      </c>
      <c r="J1257" s="3" t="s">
        <v>234</v>
      </c>
      <c r="K1257" s="3" t="s">
        <v>1347</v>
      </c>
      <c r="L1257" s="3"/>
      <c r="M1257" s="3"/>
      <c r="N1257" s="3"/>
      <c r="O1257" s="3"/>
      <c r="P1257" s="3"/>
      <c r="Q1257" s="3"/>
      <c r="R1257" s="3"/>
      <c r="S1257" s="3"/>
      <c r="T1257" s="3"/>
      <c r="U1257" s="3">
        <v>2200</v>
      </c>
      <c r="V1257" s="4">
        <v>39651</v>
      </c>
      <c r="W1257" s="3" t="s">
        <v>31</v>
      </c>
      <c r="X1257" s="3" t="s">
        <v>6229</v>
      </c>
    </row>
    <row r="1258" spans="1:24" x14ac:dyDescent="0.3">
      <c r="A1258" s="5">
        <v>1252</v>
      </c>
      <c r="B1258" s="5" t="str">
        <f>"1975962"</f>
        <v>1975962</v>
      </c>
      <c r="C1258" s="5" t="str">
        <f>"555"</f>
        <v>555</v>
      </c>
      <c r="D1258" s="5" t="s">
        <v>6230</v>
      </c>
      <c r="E1258" s="5">
        <v>20283184219</v>
      </c>
      <c r="F1258" s="5" t="s">
        <v>6231</v>
      </c>
      <c r="G1258" s="5" t="s">
        <v>6232</v>
      </c>
      <c r="H1258" s="5" t="s">
        <v>285</v>
      </c>
      <c r="I1258" s="5" t="s">
        <v>286</v>
      </c>
      <c r="J1258" s="5" t="s">
        <v>628</v>
      </c>
      <c r="K1258" s="5" t="s">
        <v>6233</v>
      </c>
      <c r="L1258" s="5"/>
      <c r="M1258" s="5"/>
      <c r="N1258" s="5"/>
      <c r="O1258" s="5"/>
      <c r="P1258" s="5"/>
      <c r="Q1258" s="5"/>
      <c r="R1258" s="5"/>
      <c r="S1258" s="5"/>
      <c r="T1258" s="5"/>
      <c r="U1258" s="5">
        <v>12000</v>
      </c>
      <c r="V1258" s="6">
        <v>40255</v>
      </c>
      <c r="W1258" s="5" t="s">
        <v>31</v>
      </c>
      <c r="X1258" s="5" t="s">
        <v>6234</v>
      </c>
    </row>
    <row r="1259" spans="1:24" x14ac:dyDescent="0.3">
      <c r="A1259" s="3">
        <v>1253</v>
      </c>
      <c r="B1259" s="3" t="str">
        <f>"1395921"</f>
        <v>1395921</v>
      </c>
      <c r="C1259" s="3" t="str">
        <f>"76"</f>
        <v>76</v>
      </c>
      <c r="D1259" s="3" t="s">
        <v>6235</v>
      </c>
      <c r="E1259" s="3">
        <v>20131667818</v>
      </c>
      <c r="F1259" s="3" t="s">
        <v>232</v>
      </c>
      <c r="G1259" s="3" t="s">
        <v>6236</v>
      </c>
      <c r="H1259" s="3" t="s">
        <v>36</v>
      </c>
      <c r="I1259" s="3" t="s">
        <v>234</v>
      </c>
      <c r="J1259" s="3" t="s">
        <v>234</v>
      </c>
      <c r="K1259" s="3" t="s">
        <v>259</v>
      </c>
      <c r="L1259" s="3" t="s">
        <v>259</v>
      </c>
      <c r="M1259" s="3" t="s">
        <v>259</v>
      </c>
      <c r="N1259" s="3"/>
      <c r="O1259" s="3"/>
      <c r="P1259" s="3"/>
      <c r="Q1259" s="3"/>
      <c r="R1259" s="3"/>
      <c r="S1259" s="3"/>
      <c r="T1259" s="3"/>
      <c r="U1259" s="3">
        <v>18000</v>
      </c>
      <c r="V1259" s="4">
        <v>37649</v>
      </c>
      <c r="W1259" s="3" t="s">
        <v>31</v>
      </c>
      <c r="X1259" s="3" t="s">
        <v>237</v>
      </c>
    </row>
    <row r="1260" spans="1:24" x14ac:dyDescent="0.3">
      <c r="A1260" s="5">
        <v>1254</v>
      </c>
      <c r="B1260" s="5" t="str">
        <f>"201200009374"</f>
        <v>201200009374</v>
      </c>
      <c r="C1260" s="5" t="str">
        <f>"95125"</f>
        <v>95125</v>
      </c>
      <c r="D1260" s="5" t="s">
        <v>6237</v>
      </c>
      <c r="E1260" s="5">
        <v>20100039207</v>
      </c>
      <c r="F1260" s="5" t="s">
        <v>6238</v>
      </c>
      <c r="G1260" s="5" t="s">
        <v>6239</v>
      </c>
      <c r="H1260" s="5" t="s">
        <v>115</v>
      </c>
      <c r="I1260" s="5" t="s">
        <v>115</v>
      </c>
      <c r="J1260" s="5" t="s">
        <v>159</v>
      </c>
      <c r="K1260" s="5" t="s">
        <v>181</v>
      </c>
      <c r="L1260" s="5" t="s">
        <v>87</v>
      </c>
      <c r="M1260" s="5"/>
      <c r="N1260" s="5"/>
      <c r="O1260" s="5"/>
      <c r="P1260" s="5"/>
      <c r="Q1260" s="5"/>
      <c r="R1260" s="5"/>
      <c r="S1260" s="5"/>
      <c r="T1260" s="5"/>
      <c r="U1260" s="5">
        <v>11000</v>
      </c>
      <c r="V1260" s="6">
        <v>40935</v>
      </c>
      <c r="W1260" s="5" t="s">
        <v>31</v>
      </c>
      <c r="X1260" s="5" t="s">
        <v>6240</v>
      </c>
    </row>
    <row r="1261" spans="1:24" ht="41.95" x14ac:dyDescent="0.3">
      <c r="A1261" s="3">
        <v>1255</v>
      </c>
      <c r="B1261" s="3" t="str">
        <f>"1416576"</f>
        <v>1416576</v>
      </c>
      <c r="C1261" s="3" t="str">
        <f>"178"</f>
        <v>178</v>
      </c>
      <c r="D1261" s="3" t="s">
        <v>6241</v>
      </c>
      <c r="E1261" s="3">
        <v>20100189942</v>
      </c>
      <c r="F1261" s="3" t="s">
        <v>6242</v>
      </c>
      <c r="G1261" s="3" t="s">
        <v>6243</v>
      </c>
      <c r="H1261" s="3" t="s">
        <v>51</v>
      </c>
      <c r="I1261" s="3" t="s">
        <v>51</v>
      </c>
      <c r="J1261" s="3" t="s">
        <v>6244</v>
      </c>
      <c r="K1261" s="3" t="s">
        <v>973</v>
      </c>
      <c r="L1261" s="3" t="s">
        <v>6233</v>
      </c>
      <c r="M1261" s="3"/>
      <c r="N1261" s="3"/>
      <c r="O1261" s="3"/>
      <c r="P1261" s="3"/>
      <c r="Q1261" s="3"/>
      <c r="R1261" s="3"/>
      <c r="S1261" s="3"/>
      <c r="T1261" s="3"/>
      <c r="U1261" s="3">
        <v>20000</v>
      </c>
      <c r="V1261" s="4">
        <v>40487</v>
      </c>
      <c r="W1261" s="3" t="s">
        <v>31</v>
      </c>
      <c r="X1261" s="3" t="s">
        <v>6245</v>
      </c>
    </row>
    <row r="1262" spans="1:24" ht="27.95" x14ac:dyDescent="0.3">
      <c r="A1262" s="5">
        <v>1256</v>
      </c>
      <c r="B1262" s="5" t="str">
        <f>"201700003572"</f>
        <v>201700003572</v>
      </c>
      <c r="C1262" s="5" t="str">
        <f>"124516"</f>
        <v>124516</v>
      </c>
      <c r="D1262" s="5" t="s">
        <v>6246</v>
      </c>
      <c r="E1262" s="5">
        <v>20147892510</v>
      </c>
      <c r="F1262" s="5" t="s">
        <v>6247</v>
      </c>
      <c r="G1262" s="5" t="s">
        <v>6248</v>
      </c>
      <c r="H1262" s="5" t="s">
        <v>28</v>
      </c>
      <c r="I1262" s="5" t="s">
        <v>28</v>
      </c>
      <c r="J1262" s="5" t="s">
        <v>208</v>
      </c>
      <c r="K1262" s="5" t="s">
        <v>6249</v>
      </c>
      <c r="L1262" s="5"/>
      <c r="M1262" s="5"/>
      <c r="N1262" s="5"/>
      <c r="O1262" s="5"/>
      <c r="P1262" s="5"/>
      <c r="Q1262" s="5"/>
      <c r="R1262" s="5"/>
      <c r="S1262" s="5"/>
      <c r="T1262" s="5"/>
      <c r="U1262" s="5">
        <v>4030</v>
      </c>
      <c r="V1262" s="6">
        <v>42754</v>
      </c>
      <c r="W1262" s="5" t="s">
        <v>31</v>
      </c>
      <c r="X1262" s="5" t="s">
        <v>6250</v>
      </c>
    </row>
    <row r="1263" spans="1:24" x14ac:dyDescent="0.3">
      <c r="A1263" s="3">
        <v>1257</v>
      </c>
      <c r="B1263" s="3" t="str">
        <f>"201500070578"</f>
        <v>201500070578</v>
      </c>
      <c r="C1263" s="3" t="str">
        <f>"115654"</f>
        <v>115654</v>
      </c>
      <c r="D1263" s="3" t="s">
        <v>6251</v>
      </c>
      <c r="E1263" s="3">
        <v>20513320915</v>
      </c>
      <c r="F1263" s="3" t="s">
        <v>6252</v>
      </c>
      <c r="G1263" s="3" t="s">
        <v>6253</v>
      </c>
      <c r="H1263" s="3" t="s">
        <v>28</v>
      </c>
      <c r="I1263" s="3" t="s">
        <v>28</v>
      </c>
      <c r="J1263" s="3" t="s">
        <v>28</v>
      </c>
      <c r="K1263" s="3" t="s">
        <v>6254</v>
      </c>
      <c r="L1263" s="3"/>
      <c r="M1263" s="3"/>
      <c r="N1263" s="3"/>
      <c r="O1263" s="3"/>
      <c r="P1263" s="3"/>
      <c r="Q1263" s="3"/>
      <c r="R1263" s="3"/>
      <c r="S1263" s="3"/>
      <c r="T1263" s="3"/>
      <c r="U1263" s="3">
        <v>360</v>
      </c>
      <c r="V1263" s="4">
        <v>42205</v>
      </c>
      <c r="W1263" s="3" t="s">
        <v>31</v>
      </c>
      <c r="X1263" s="3" t="s">
        <v>6255</v>
      </c>
    </row>
    <row r="1264" spans="1:24" x14ac:dyDescent="0.3">
      <c r="A1264" s="5">
        <v>1258</v>
      </c>
      <c r="B1264" s="5" t="str">
        <f>"1113853"</f>
        <v>1113853</v>
      </c>
      <c r="C1264" s="5" t="str">
        <f>"648"</f>
        <v>648</v>
      </c>
      <c r="D1264" s="5">
        <v>1005068</v>
      </c>
      <c r="E1264" s="5">
        <v>20158279127</v>
      </c>
      <c r="F1264" s="5" t="s">
        <v>6256</v>
      </c>
      <c r="G1264" s="5" t="s">
        <v>6257</v>
      </c>
      <c r="H1264" s="5" t="s">
        <v>28</v>
      </c>
      <c r="I1264" s="5" t="s">
        <v>28</v>
      </c>
      <c r="J1264" s="5" t="s">
        <v>102</v>
      </c>
      <c r="K1264" s="5" t="s">
        <v>344</v>
      </c>
      <c r="L1264" s="5" t="s">
        <v>6258</v>
      </c>
      <c r="M1264" s="5"/>
      <c r="N1264" s="5"/>
      <c r="O1264" s="5"/>
      <c r="P1264" s="5"/>
      <c r="Q1264" s="5"/>
      <c r="R1264" s="5"/>
      <c r="S1264" s="5"/>
      <c r="T1264" s="5"/>
      <c r="U1264" s="5">
        <v>9800</v>
      </c>
      <c r="V1264" s="6">
        <v>35529</v>
      </c>
      <c r="W1264" s="5" t="s">
        <v>31</v>
      </c>
      <c r="X1264" s="5" t="s">
        <v>6259</v>
      </c>
    </row>
    <row r="1265" spans="1:24" ht="27.95" x14ac:dyDescent="0.3">
      <c r="A1265" s="3">
        <v>1259</v>
      </c>
      <c r="B1265" s="3" t="str">
        <f>"201700197326"</f>
        <v>201700197326</v>
      </c>
      <c r="C1265" s="3" t="str">
        <f>"133008"</f>
        <v>133008</v>
      </c>
      <c r="D1265" s="3" t="s">
        <v>6260</v>
      </c>
      <c r="E1265" s="3">
        <v>20120578813</v>
      </c>
      <c r="F1265" s="3" t="s">
        <v>6261</v>
      </c>
      <c r="G1265" s="3" t="s">
        <v>6262</v>
      </c>
      <c r="H1265" s="3" t="s">
        <v>28</v>
      </c>
      <c r="I1265" s="3" t="s">
        <v>28</v>
      </c>
      <c r="J1265" s="3" t="s">
        <v>699</v>
      </c>
      <c r="K1265" s="3" t="s">
        <v>1074</v>
      </c>
      <c r="L1265" s="3"/>
      <c r="M1265" s="3"/>
      <c r="N1265" s="3"/>
      <c r="O1265" s="3"/>
      <c r="P1265" s="3"/>
      <c r="Q1265" s="3"/>
      <c r="R1265" s="3"/>
      <c r="S1265" s="3"/>
      <c r="T1265" s="3"/>
      <c r="U1265" s="3">
        <v>3500</v>
      </c>
      <c r="V1265" s="4">
        <v>43061</v>
      </c>
      <c r="W1265" s="3" t="s">
        <v>31</v>
      </c>
      <c r="X1265" s="3" t="s">
        <v>6263</v>
      </c>
    </row>
    <row r="1266" spans="1:24" x14ac:dyDescent="0.3">
      <c r="A1266" s="5">
        <v>1260</v>
      </c>
      <c r="B1266" s="5" t="str">
        <f>"201800136827"</f>
        <v>201800136827</v>
      </c>
      <c r="C1266" s="5" t="str">
        <f>"138097"</f>
        <v>138097</v>
      </c>
      <c r="D1266" s="5" t="s">
        <v>6264</v>
      </c>
      <c r="E1266" s="5">
        <v>20532658986</v>
      </c>
      <c r="F1266" s="5" t="s">
        <v>6265</v>
      </c>
      <c r="G1266" s="5" t="s">
        <v>6266</v>
      </c>
      <c r="H1266" s="5" t="s">
        <v>1147</v>
      </c>
      <c r="I1266" s="5" t="s">
        <v>3784</v>
      </c>
      <c r="J1266" s="5" t="s">
        <v>1147</v>
      </c>
      <c r="K1266" s="5" t="s">
        <v>193</v>
      </c>
      <c r="L1266" s="5"/>
      <c r="M1266" s="5"/>
      <c r="N1266" s="5"/>
      <c r="O1266" s="5"/>
      <c r="P1266" s="5"/>
      <c r="Q1266" s="5"/>
      <c r="R1266" s="5"/>
      <c r="S1266" s="5"/>
      <c r="T1266" s="5"/>
      <c r="U1266" s="5">
        <v>2500</v>
      </c>
      <c r="V1266" s="6">
        <v>43337</v>
      </c>
      <c r="W1266" s="5" t="s">
        <v>31</v>
      </c>
      <c r="X1266" s="5" t="s">
        <v>6267</v>
      </c>
    </row>
    <row r="1267" spans="1:24" x14ac:dyDescent="0.3">
      <c r="A1267" s="3">
        <v>1261</v>
      </c>
      <c r="B1267" s="3" t="str">
        <f>"201400098483"</f>
        <v>201400098483</v>
      </c>
      <c r="C1267" s="3" t="str">
        <f>"38531"</f>
        <v>38531</v>
      </c>
      <c r="D1267" s="3" t="s">
        <v>6268</v>
      </c>
      <c r="E1267" s="3">
        <v>20264234906</v>
      </c>
      <c r="F1267" s="3" t="s">
        <v>6269</v>
      </c>
      <c r="G1267" s="3" t="s">
        <v>6270</v>
      </c>
      <c r="H1267" s="3" t="s">
        <v>28</v>
      </c>
      <c r="I1267" s="3" t="s">
        <v>28</v>
      </c>
      <c r="J1267" s="3" t="s">
        <v>1706</v>
      </c>
      <c r="K1267" s="3" t="s">
        <v>6271</v>
      </c>
      <c r="L1267" s="3" t="s">
        <v>395</v>
      </c>
      <c r="M1267" s="3" t="s">
        <v>395</v>
      </c>
      <c r="N1267" s="3"/>
      <c r="O1267" s="3"/>
      <c r="P1267" s="3"/>
      <c r="Q1267" s="3"/>
      <c r="R1267" s="3"/>
      <c r="S1267" s="3"/>
      <c r="T1267" s="3"/>
      <c r="U1267" s="3">
        <v>3800</v>
      </c>
      <c r="V1267" s="4">
        <v>41877</v>
      </c>
      <c r="W1267" s="3" t="s">
        <v>31</v>
      </c>
      <c r="X1267" s="3" t="s">
        <v>6272</v>
      </c>
    </row>
    <row r="1268" spans="1:24" ht="41.95" x14ac:dyDescent="0.3">
      <c r="A1268" s="5">
        <v>1262</v>
      </c>
      <c r="B1268" s="5" t="str">
        <f>"201700132125"</f>
        <v>201700132125</v>
      </c>
      <c r="C1268" s="5" t="str">
        <f>"131236"</f>
        <v>131236</v>
      </c>
      <c r="D1268" s="5" t="s">
        <v>6273</v>
      </c>
      <c r="E1268" s="5">
        <v>20514608041</v>
      </c>
      <c r="F1268" s="5" t="s">
        <v>6274</v>
      </c>
      <c r="G1268" s="5" t="s">
        <v>6275</v>
      </c>
      <c r="H1268" s="5" t="s">
        <v>28</v>
      </c>
      <c r="I1268" s="5" t="s">
        <v>667</v>
      </c>
      <c r="J1268" s="5" t="s">
        <v>6276</v>
      </c>
      <c r="K1268" s="5" t="s">
        <v>87</v>
      </c>
      <c r="L1268" s="5"/>
      <c r="M1268" s="5"/>
      <c r="N1268" s="5"/>
      <c r="O1268" s="5"/>
      <c r="P1268" s="5"/>
      <c r="Q1268" s="5"/>
      <c r="R1268" s="5"/>
      <c r="S1268" s="5"/>
      <c r="T1268" s="5"/>
      <c r="U1268" s="5">
        <v>6000</v>
      </c>
      <c r="V1268" s="6">
        <v>42971</v>
      </c>
      <c r="W1268" s="5" t="s">
        <v>31</v>
      </c>
      <c r="X1268" s="5" t="s">
        <v>6277</v>
      </c>
    </row>
    <row r="1269" spans="1:24" ht="27.95" x14ac:dyDescent="0.3">
      <c r="A1269" s="3">
        <v>1263</v>
      </c>
      <c r="B1269" s="3" t="str">
        <f>"201900212577"</f>
        <v>201900212577</v>
      </c>
      <c r="C1269" s="3" t="str">
        <f>"148432"</f>
        <v>148432</v>
      </c>
      <c r="D1269" s="3" t="s">
        <v>6278</v>
      </c>
      <c r="E1269" s="3">
        <v>20138144578</v>
      </c>
      <c r="F1269" s="3" t="s">
        <v>6279</v>
      </c>
      <c r="G1269" s="3" t="s">
        <v>6280</v>
      </c>
      <c r="H1269" s="3" t="s">
        <v>28</v>
      </c>
      <c r="I1269" s="3" t="s">
        <v>28</v>
      </c>
      <c r="J1269" s="3" t="s">
        <v>91</v>
      </c>
      <c r="K1269" s="3" t="s">
        <v>2250</v>
      </c>
      <c r="L1269" s="3" t="s">
        <v>87</v>
      </c>
      <c r="M1269" s="3"/>
      <c r="N1269" s="3"/>
      <c r="O1269" s="3"/>
      <c r="P1269" s="3"/>
      <c r="Q1269" s="3"/>
      <c r="R1269" s="3"/>
      <c r="S1269" s="3"/>
      <c r="T1269" s="3"/>
      <c r="U1269" s="3">
        <v>9600</v>
      </c>
      <c r="V1269" s="4">
        <v>43825</v>
      </c>
      <c r="W1269" s="3" t="s">
        <v>31</v>
      </c>
      <c r="X1269" s="3" t="s">
        <v>6281</v>
      </c>
    </row>
    <row r="1270" spans="1:24" x14ac:dyDescent="0.3">
      <c r="A1270" s="5">
        <v>1264</v>
      </c>
      <c r="B1270" s="5" t="str">
        <f>"201700071614"</f>
        <v>201700071614</v>
      </c>
      <c r="C1270" s="5" t="str">
        <f>"34717"</f>
        <v>34717</v>
      </c>
      <c r="D1270" s="5" t="s">
        <v>6282</v>
      </c>
      <c r="E1270" s="5">
        <v>20600876211</v>
      </c>
      <c r="F1270" s="5" t="s">
        <v>6283</v>
      </c>
      <c r="G1270" s="5" t="s">
        <v>6284</v>
      </c>
      <c r="H1270" s="5" t="s">
        <v>115</v>
      </c>
      <c r="I1270" s="5" t="s">
        <v>115</v>
      </c>
      <c r="J1270" s="5" t="s">
        <v>159</v>
      </c>
      <c r="K1270" s="5" t="s">
        <v>720</v>
      </c>
      <c r="L1270" s="5"/>
      <c r="M1270" s="5"/>
      <c r="N1270" s="5"/>
      <c r="O1270" s="5"/>
      <c r="P1270" s="5"/>
      <c r="Q1270" s="5"/>
      <c r="R1270" s="5"/>
      <c r="S1270" s="5"/>
      <c r="T1270" s="5"/>
      <c r="U1270" s="5">
        <v>4500</v>
      </c>
      <c r="V1270" s="6">
        <v>42886</v>
      </c>
      <c r="W1270" s="5" t="s">
        <v>31</v>
      </c>
      <c r="X1270" s="5" t="s">
        <v>6285</v>
      </c>
    </row>
    <row r="1271" spans="1:24" x14ac:dyDescent="0.3">
      <c r="A1271" s="3">
        <v>1265</v>
      </c>
      <c r="B1271" s="3" t="str">
        <f>"1625565"</f>
        <v>1625565</v>
      </c>
      <c r="C1271" s="3" t="str">
        <f>"43541"</f>
        <v>43541</v>
      </c>
      <c r="D1271" s="3" t="s">
        <v>6286</v>
      </c>
      <c r="E1271" s="3">
        <v>20381379648</v>
      </c>
      <c r="F1271" s="3" t="s">
        <v>6287</v>
      </c>
      <c r="G1271" s="3" t="s">
        <v>6288</v>
      </c>
      <c r="H1271" s="3" t="s">
        <v>28</v>
      </c>
      <c r="I1271" s="3" t="s">
        <v>28</v>
      </c>
      <c r="J1271" s="3" t="s">
        <v>545</v>
      </c>
      <c r="K1271" s="3" t="s">
        <v>649</v>
      </c>
      <c r="L1271" s="3" t="s">
        <v>6289</v>
      </c>
      <c r="M1271" s="3" t="s">
        <v>209</v>
      </c>
      <c r="N1271" s="3" t="s">
        <v>6290</v>
      </c>
      <c r="O1271" s="3"/>
      <c r="P1271" s="3"/>
      <c r="Q1271" s="3"/>
      <c r="R1271" s="3"/>
      <c r="S1271" s="3"/>
      <c r="T1271" s="3"/>
      <c r="U1271" s="3">
        <v>17330</v>
      </c>
      <c r="V1271" s="4">
        <v>38947</v>
      </c>
      <c r="W1271" s="3" t="s">
        <v>31</v>
      </c>
      <c r="X1271" s="3" t="s">
        <v>6291</v>
      </c>
    </row>
    <row r="1272" spans="1:24" ht="27.95" x14ac:dyDescent="0.3">
      <c r="A1272" s="5">
        <v>1266</v>
      </c>
      <c r="B1272" s="5" t="str">
        <f>"201600048958"</f>
        <v>201600048958</v>
      </c>
      <c r="C1272" s="5" t="str">
        <f>"15671"</f>
        <v>15671</v>
      </c>
      <c r="D1272" s="5" t="s">
        <v>6292</v>
      </c>
      <c r="E1272" s="5">
        <v>20160364719</v>
      </c>
      <c r="F1272" s="5" t="s">
        <v>6293</v>
      </c>
      <c r="G1272" s="5" t="s">
        <v>6294</v>
      </c>
      <c r="H1272" s="5" t="s">
        <v>28</v>
      </c>
      <c r="I1272" s="5" t="s">
        <v>28</v>
      </c>
      <c r="J1272" s="5" t="s">
        <v>545</v>
      </c>
      <c r="K1272" s="5" t="s">
        <v>198</v>
      </c>
      <c r="L1272" s="5"/>
      <c r="M1272" s="5"/>
      <c r="N1272" s="5"/>
      <c r="O1272" s="5"/>
      <c r="P1272" s="5"/>
      <c r="Q1272" s="5"/>
      <c r="R1272" s="5"/>
      <c r="S1272" s="5"/>
      <c r="T1272" s="5"/>
      <c r="U1272" s="5">
        <v>9000</v>
      </c>
      <c r="V1272" s="6">
        <v>42482</v>
      </c>
      <c r="W1272" s="5" t="s">
        <v>31</v>
      </c>
      <c r="X1272" s="5" t="s">
        <v>6295</v>
      </c>
    </row>
    <row r="1273" spans="1:24" ht="27.95" x14ac:dyDescent="0.3">
      <c r="A1273" s="3">
        <v>1267</v>
      </c>
      <c r="B1273" s="3" t="str">
        <f>"1863774"</f>
        <v>1863774</v>
      </c>
      <c r="C1273" s="3" t="str">
        <f>"82520"</f>
        <v>82520</v>
      </c>
      <c r="D1273" s="3" t="s">
        <v>6296</v>
      </c>
      <c r="E1273" s="3">
        <v>20330388014</v>
      </c>
      <c r="F1273" s="3" t="s">
        <v>6297</v>
      </c>
      <c r="G1273" s="3" t="s">
        <v>6298</v>
      </c>
      <c r="H1273" s="3" t="s">
        <v>115</v>
      </c>
      <c r="I1273" s="3" t="s">
        <v>115</v>
      </c>
      <c r="J1273" s="3" t="s">
        <v>116</v>
      </c>
      <c r="K1273" s="3" t="s">
        <v>3083</v>
      </c>
      <c r="L1273" s="3"/>
      <c r="M1273" s="3"/>
      <c r="N1273" s="3"/>
      <c r="O1273" s="3"/>
      <c r="P1273" s="3"/>
      <c r="Q1273" s="3"/>
      <c r="R1273" s="3"/>
      <c r="S1273" s="3"/>
      <c r="T1273" s="3"/>
      <c r="U1273" s="3">
        <v>2200</v>
      </c>
      <c r="V1273" s="4">
        <v>39881</v>
      </c>
      <c r="W1273" s="3" t="s">
        <v>31</v>
      </c>
      <c r="X1273" s="3" t="s">
        <v>6299</v>
      </c>
    </row>
    <row r="1274" spans="1:24" ht="27.95" x14ac:dyDescent="0.3">
      <c r="A1274" s="5">
        <v>1268</v>
      </c>
      <c r="B1274" s="5" t="str">
        <f>"201600094195"</f>
        <v>201600094195</v>
      </c>
      <c r="C1274" s="5" t="str">
        <f>"122354"</f>
        <v>122354</v>
      </c>
      <c r="D1274" s="5" t="s">
        <v>6300</v>
      </c>
      <c r="E1274" s="5">
        <v>20503181925</v>
      </c>
      <c r="F1274" s="5" t="s">
        <v>6301</v>
      </c>
      <c r="G1274" s="5" t="s">
        <v>6302</v>
      </c>
      <c r="H1274" s="5" t="s">
        <v>28</v>
      </c>
      <c r="I1274" s="5" t="s">
        <v>72</v>
      </c>
      <c r="J1274" s="5" t="s">
        <v>322</v>
      </c>
      <c r="K1274" s="5" t="s">
        <v>110</v>
      </c>
      <c r="L1274" s="5"/>
      <c r="M1274" s="5"/>
      <c r="N1274" s="5"/>
      <c r="O1274" s="5"/>
      <c r="P1274" s="5"/>
      <c r="Q1274" s="5"/>
      <c r="R1274" s="5"/>
      <c r="S1274" s="5"/>
      <c r="T1274" s="5"/>
      <c r="U1274" s="5">
        <v>4000</v>
      </c>
      <c r="V1274" s="6">
        <v>42596</v>
      </c>
      <c r="W1274" s="5" t="s">
        <v>31</v>
      </c>
      <c r="X1274" s="5" t="s">
        <v>6303</v>
      </c>
    </row>
    <row r="1275" spans="1:24" ht="27.95" x14ac:dyDescent="0.3">
      <c r="A1275" s="3">
        <v>1269</v>
      </c>
      <c r="B1275" s="3" t="str">
        <f>"201200207604"</f>
        <v>201200207604</v>
      </c>
      <c r="C1275" s="3" t="str">
        <f>"61030"</f>
        <v>61030</v>
      </c>
      <c r="D1275" s="3" t="s">
        <v>6304</v>
      </c>
      <c r="E1275" s="3">
        <v>20119407738</v>
      </c>
      <c r="F1275" s="3" t="s">
        <v>6305</v>
      </c>
      <c r="G1275" s="3" t="s">
        <v>6306</v>
      </c>
      <c r="H1275" s="3" t="s">
        <v>51</v>
      </c>
      <c r="I1275" s="3" t="s">
        <v>51</v>
      </c>
      <c r="J1275" s="3" t="s">
        <v>51</v>
      </c>
      <c r="K1275" s="3" t="s">
        <v>168</v>
      </c>
      <c r="L1275" s="3"/>
      <c r="M1275" s="3"/>
      <c r="N1275" s="3"/>
      <c r="O1275" s="3"/>
      <c r="P1275" s="3"/>
      <c r="Q1275" s="3"/>
      <c r="R1275" s="3"/>
      <c r="S1275" s="3"/>
      <c r="T1275" s="3"/>
      <c r="U1275" s="3">
        <v>10000</v>
      </c>
      <c r="V1275" s="4">
        <v>41263</v>
      </c>
      <c r="W1275" s="3" t="s">
        <v>31</v>
      </c>
      <c r="X1275" s="3" t="s">
        <v>4667</v>
      </c>
    </row>
    <row r="1276" spans="1:24" ht="27.95" x14ac:dyDescent="0.3">
      <c r="A1276" s="5">
        <v>1270</v>
      </c>
      <c r="B1276" s="5" t="str">
        <f>"201800200738"</f>
        <v>201800200738</v>
      </c>
      <c r="C1276" s="5" t="str">
        <f>"140144"</f>
        <v>140144</v>
      </c>
      <c r="D1276" s="5" t="s">
        <v>6307</v>
      </c>
      <c r="E1276" s="5">
        <v>10024383461</v>
      </c>
      <c r="F1276" s="5" t="s">
        <v>6308</v>
      </c>
      <c r="G1276" s="5" t="s">
        <v>6309</v>
      </c>
      <c r="H1276" s="5" t="s">
        <v>165</v>
      </c>
      <c r="I1276" s="5" t="s">
        <v>166</v>
      </c>
      <c r="J1276" s="5" t="s">
        <v>167</v>
      </c>
      <c r="K1276" s="5" t="s">
        <v>3396</v>
      </c>
      <c r="L1276" s="5" t="s">
        <v>3396</v>
      </c>
      <c r="M1276" s="5"/>
      <c r="N1276" s="5"/>
      <c r="O1276" s="5"/>
      <c r="P1276" s="5"/>
      <c r="Q1276" s="5"/>
      <c r="R1276" s="5"/>
      <c r="S1276" s="5"/>
      <c r="T1276" s="5"/>
      <c r="U1276" s="5">
        <v>15000</v>
      </c>
      <c r="V1276" s="6">
        <v>43437</v>
      </c>
      <c r="W1276" s="5" t="s">
        <v>31</v>
      </c>
      <c r="X1276" s="5" t="s">
        <v>6310</v>
      </c>
    </row>
    <row r="1277" spans="1:24" x14ac:dyDescent="0.3">
      <c r="A1277" s="3">
        <v>1271</v>
      </c>
      <c r="B1277" s="3" t="str">
        <f>"1810107"</f>
        <v>1810107</v>
      </c>
      <c r="C1277" s="3" t="str">
        <f>"42192"</f>
        <v>42192</v>
      </c>
      <c r="D1277" s="3" t="s">
        <v>6311</v>
      </c>
      <c r="E1277" s="3">
        <v>20439331918</v>
      </c>
      <c r="F1277" s="3" t="s">
        <v>6312</v>
      </c>
      <c r="G1277" s="3" t="s">
        <v>6313</v>
      </c>
      <c r="H1277" s="3" t="s">
        <v>115</v>
      </c>
      <c r="I1277" s="3" t="s">
        <v>115</v>
      </c>
      <c r="J1277" s="3" t="s">
        <v>159</v>
      </c>
      <c r="K1277" s="3" t="s">
        <v>6314</v>
      </c>
      <c r="L1277" s="3"/>
      <c r="M1277" s="3"/>
      <c r="N1277" s="3"/>
      <c r="O1277" s="3"/>
      <c r="P1277" s="3"/>
      <c r="Q1277" s="3"/>
      <c r="R1277" s="3"/>
      <c r="S1277" s="3"/>
      <c r="T1277" s="3"/>
      <c r="U1277" s="3">
        <v>4350</v>
      </c>
      <c r="V1277" s="4">
        <v>39673</v>
      </c>
      <c r="W1277" s="3" t="s">
        <v>31</v>
      </c>
      <c r="X1277" s="3" t="s">
        <v>6315</v>
      </c>
    </row>
    <row r="1278" spans="1:24" x14ac:dyDescent="0.3">
      <c r="A1278" s="5">
        <v>1272</v>
      </c>
      <c r="B1278" s="5" t="str">
        <f>"201300160729"</f>
        <v>201300160729</v>
      </c>
      <c r="C1278" s="5" t="str">
        <f>"42375"</f>
        <v>42375</v>
      </c>
      <c r="D1278" s="5" t="s">
        <v>6316</v>
      </c>
      <c r="E1278" s="5">
        <v>20544357892</v>
      </c>
      <c r="F1278" s="5" t="s">
        <v>6317</v>
      </c>
      <c r="G1278" s="5" t="s">
        <v>6318</v>
      </c>
      <c r="H1278" s="5" t="s">
        <v>115</v>
      </c>
      <c r="I1278" s="5" t="s">
        <v>115</v>
      </c>
      <c r="J1278" s="5" t="s">
        <v>159</v>
      </c>
      <c r="K1278" s="5" t="s">
        <v>110</v>
      </c>
      <c r="L1278" s="5"/>
      <c r="M1278" s="5"/>
      <c r="N1278" s="5"/>
      <c r="O1278" s="5"/>
      <c r="P1278" s="5"/>
      <c r="Q1278" s="5"/>
      <c r="R1278" s="5"/>
      <c r="S1278" s="5"/>
      <c r="T1278" s="5"/>
      <c r="U1278" s="5">
        <v>4000</v>
      </c>
      <c r="V1278" s="6">
        <v>41586</v>
      </c>
      <c r="W1278" s="5" t="s">
        <v>31</v>
      </c>
      <c r="X1278" s="5" t="s">
        <v>6319</v>
      </c>
    </row>
    <row r="1279" spans="1:24" x14ac:dyDescent="0.3">
      <c r="A1279" s="3">
        <v>1273</v>
      </c>
      <c r="B1279" s="3" t="str">
        <f>"201700112808"</f>
        <v>201700112808</v>
      </c>
      <c r="C1279" s="3" t="str">
        <f>"130584"</f>
        <v>130584</v>
      </c>
      <c r="D1279" s="3" t="s">
        <v>6320</v>
      </c>
      <c r="E1279" s="3">
        <v>20498680144</v>
      </c>
      <c r="F1279" s="3" t="s">
        <v>6321</v>
      </c>
      <c r="G1279" s="3" t="s">
        <v>6322</v>
      </c>
      <c r="H1279" s="3" t="s">
        <v>51</v>
      </c>
      <c r="I1279" s="3" t="s">
        <v>316</v>
      </c>
      <c r="J1279" s="3" t="s">
        <v>6323</v>
      </c>
      <c r="K1279" s="3" t="s">
        <v>1477</v>
      </c>
      <c r="L1279" s="3" t="s">
        <v>1477</v>
      </c>
      <c r="M1279" s="3"/>
      <c r="N1279" s="3"/>
      <c r="O1279" s="3"/>
      <c r="P1279" s="3"/>
      <c r="Q1279" s="3"/>
      <c r="R1279" s="3"/>
      <c r="S1279" s="3"/>
      <c r="T1279" s="3"/>
      <c r="U1279" s="3">
        <v>11000</v>
      </c>
      <c r="V1279" s="4">
        <v>42936</v>
      </c>
      <c r="W1279" s="3" t="s">
        <v>31</v>
      </c>
      <c r="X1279" s="3" t="s">
        <v>6324</v>
      </c>
    </row>
    <row r="1280" spans="1:24" ht="27.95" x14ac:dyDescent="0.3">
      <c r="A1280" s="5">
        <v>1274</v>
      </c>
      <c r="B1280" s="5" t="str">
        <f>"201600140635"</f>
        <v>201600140635</v>
      </c>
      <c r="C1280" s="5" t="str">
        <f>"492"</f>
        <v>492</v>
      </c>
      <c r="D1280" s="5" t="s">
        <v>6325</v>
      </c>
      <c r="E1280" s="5">
        <v>20165544995</v>
      </c>
      <c r="F1280" s="5" t="s">
        <v>6326</v>
      </c>
      <c r="G1280" s="5" t="s">
        <v>6327</v>
      </c>
      <c r="H1280" s="5" t="s">
        <v>36</v>
      </c>
      <c r="I1280" s="5" t="s">
        <v>234</v>
      </c>
      <c r="J1280" s="5" t="s">
        <v>1009</v>
      </c>
      <c r="K1280" s="5" t="s">
        <v>6328</v>
      </c>
      <c r="L1280" s="5" t="s">
        <v>6329</v>
      </c>
      <c r="M1280" s="5"/>
      <c r="N1280" s="5"/>
      <c r="O1280" s="5"/>
      <c r="P1280" s="5"/>
      <c r="Q1280" s="5"/>
      <c r="R1280" s="5"/>
      <c r="S1280" s="5"/>
      <c r="T1280" s="5"/>
      <c r="U1280" s="5">
        <v>23750</v>
      </c>
      <c r="V1280" s="6">
        <v>42646</v>
      </c>
      <c r="W1280" s="5" t="s">
        <v>31</v>
      </c>
      <c r="X1280" s="5" t="s">
        <v>6330</v>
      </c>
    </row>
    <row r="1281" spans="1:24" x14ac:dyDescent="0.3">
      <c r="A1281" s="3">
        <v>1275</v>
      </c>
      <c r="B1281" s="3" t="str">
        <f>"1853589"</f>
        <v>1853589</v>
      </c>
      <c r="C1281" s="3" t="str">
        <f>"82537"</f>
        <v>82537</v>
      </c>
      <c r="D1281" s="3" t="s">
        <v>6331</v>
      </c>
      <c r="E1281" s="3">
        <v>20193065938</v>
      </c>
      <c r="F1281" s="3" t="s">
        <v>6332</v>
      </c>
      <c r="G1281" s="3" t="s">
        <v>6333</v>
      </c>
      <c r="H1281" s="3" t="s">
        <v>769</v>
      </c>
      <c r="I1281" s="3" t="s">
        <v>770</v>
      </c>
      <c r="J1281" s="3" t="s">
        <v>6334</v>
      </c>
      <c r="K1281" s="3" t="s">
        <v>6335</v>
      </c>
      <c r="L1281" s="3" t="s">
        <v>6336</v>
      </c>
      <c r="M1281" s="3"/>
      <c r="N1281" s="3"/>
      <c r="O1281" s="3"/>
      <c r="P1281" s="3"/>
      <c r="Q1281" s="3"/>
      <c r="R1281" s="3"/>
      <c r="S1281" s="3"/>
      <c r="T1281" s="3"/>
      <c r="U1281" s="3">
        <v>8600</v>
      </c>
      <c r="V1281" s="4">
        <v>39833</v>
      </c>
      <c r="W1281" s="3" t="s">
        <v>31</v>
      </c>
      <c r="X1281" s="3" t="s">
        <v>6337</v>
      </c>
    </row>
    <row r="1282" spans="1:24" x14ac:dyDescent="0.3">
      <c r="A1282" s="5">
        <v>1276</v>
      </c>
      <c r="B1282" s="5" t="str">
        <f>"1698689"</f>
        <v>1698689</v>
      </c>
      <c r="C1282" s="5" t="str">
        <f>"45677"</f>
        <v>45677</v>
      </c>
      <c r="D1282" s="5" t="s">
        <v>6338</v>
      </c>
      <c r="E1282" s="5">
        <v>20100010217</v>
      </c>
      <c r="F1282" s="5" t="s">
        <v>725</v>
      </c>
      <c r="G1282" s="5" t="s">
        <v>6339</v>
      </c>
      <c r="H1282" s="5" t="s">
        <v>115</v>
      </c>
      <c r="I1282" s="5" t="s">
        <v>115</v>
      </c>
      <c r="J1282" s="5" t="s">
        <v>159</v>
      </c>
      <c r="K1282" s="5" t="s">
        <v>6340</v>
      </c>
      <c r="L1282" s="5"/>
      <c r="M1282" s="5"/>
      <c r="N1282" s="5"/>
      <c r="O1282" s="5"/>
      <c r="P1282" s="5"/>
      <c r="Q1282" s="5"/>
      <c r="R1282" s="5"/>
      <c r="S1282" s="5"/>
      <c r="T1282" s="5"/>
      <c r="U1282" s="5">
        <v>6300</v>
      </c>
      <c r="V1282" s="6">
        <v>39275</v>
      </c>
      <c r="W1282" s="5" t="s">
        <v>31</v>
      </c>
      <c r="X1282" s="5" t="s">
        <v>6341</v>
      </c>
    </row>
    <row r="1283" spans="1:24" x14ac:dyDescent="0.3">
      <c r="A1283" s="3">
        <v>1277</v>
      </c>
      <c r="B1283" s="3" t="str">
        <f>"201700175785"</f>
        <v>201700175785</v>
      </c>
      <c r="C1283" s="3" t="str">
        <f>"116812"</f>
        <v>116812</v>
      </c>
      <c r="D1283" s="3" t="s">
        <v>6342</v>
      </c>
      <c r="E1283" s="3">
        <v>20543343898</v>
      </c>
      <c r="F1283" s="3" t="s">
        <v>6343</v>
      </c>
      <c r="G1283" s="3" t="s">
        <v>6344</v>
      </c>
      <c r="H1283" s="3" t="s">
        <v>51</v>
      </c>
      <c r="I1283" s="3" t="s">
        <v>316</v>
      </c>
      <c r="J1283" s="3" t="s">
        <v>6345</v>
      </c>
      <c r="K1283" s="3" t="s">
        <v>790</v>
      </c>
      <c r="L1283" s="3"/>
      <c r="M1283" s="3"/>
      <c r="N1283" s="3"/>
      <c r="O1283" s="3"/>
      <c r="P1283" s="3"/>
      <c r="Q1283" s="3"/>
      <c r="R1283" s="3"/>
      <c r="S1283" s="3"/>
      <c r="T1283" s="3"/>
      <c r="U1283" s="3">
        <v>12000</v>
      </c>
      <c r="V1283" s="4">
        <v>43029</v>
      </c>
      <c r="W1283" s="3" t="s">
        <v>31</v>
      </c>
      <c r="X1283" s="3" t="s">
        <v>6346</v>
      </c>
    </row>
    <row r="1284" spans="1:24" x14ac:dyDescent="0.3">
      <c r="A1284" s="5">
        <v>1278</v>
      </c>
      <c r="B1284" s="5" t="str">
        <f>"1797649"</f>
        <v>1797649</v>
      </c>
      <c r="C1284" s="5" t="str">
        <f>"72"</f>
        <v>72</v>
      </c>
      <c r="D1284" s="5" t="s">
        <v>6347</v>
      </c>
      <c r="E1284" s="5">
        <v>20100013151</v>
      </c>
      <c r="F1284" s="5" t="s">
        <v>6348</v>
      </c>
      <c r="G1284" s="5" t="s">
        <v>6349</v>
      </c>
      <c r="H1284" s="5" t="s">
        <v>115</v>
      </c>
      <c r="I1284" s="5" t="s">
        <v>115</v>
      </c>
      <c r="J1284" s="5" t="s">
        <v>222</v>
      </c>
      <c r="K1284" s="5" t="s">
        <v>5259</v>
      </c>
      <c r="L1284" s="5" t="s">
        <v>2424</v>
      </c>
      <c r="M1284" s="5" t="s">
        <v>259</v>
      </c>
      <c r="N1284" s="5"/>
      <c r="O1284" s="5"/>
      <c r="P1284" s="5"/>
      <c r="Q1284" s="5"/>
      <c r="R1284" s="5"/>
      <c r="S1284" s="5"/>
      <c r="T1284" s="5"/>
      <c r="U1284" s="5">
        <v>56000</v>
      </c>
      <c r="V1284" s="6">
        <v>39640</v>
      </c>
      <c r="W1284" s="5" t="s">
        <v>31</v>
      </c>
      <c r="X1284" s="5" t="s">
        <v>6350</v>
      </c>
    </row>
    <row r="1285" spans="1:24" x14ac:dyDescent="0.3">
      <c r="A1285" s="3">
        <v>1279</v>
      </c>
      <c r="B1285" s="3" t="str">
        <f>"1534505"</f>
        <v>1534505</v>
      </c>
      <c r="C1285" s="3" t="str">
        <f>"18386"</f>
        <v>18386</v>
      </c>
      <c r="D1285" s="3" t="s">
        <v>6351</v>
      </c>
      <c r="E1285" s="3">
        <v>20378092419</v>
      </c>
      <c r="F1285" s="3" t="s">
        <v>6352</v>
      </c>
      <c r="G1285" s="3" t="s">
        <v>6353</v>
      </c>
      <c r="H1285" s="3" t="s">
        <v>28</v>
      </c>
      <c r="I1285" s="3" t="s">
        <v>28</v>
      </c>
      <c r="J1285" s="3" t="s">
        <v>501</v>
      </c>
      <c r="K1285" s="3" t="s">
        <v>6354</v>
      </c>
      <c r="L1285" s="3"/>
      <c r="M1285" s="3"/>
      <c r="N1285" s="3"/>
      <c r="O1285" s="3"/>
      <c r="P1285" s="3"/>
      <c r="Q1285" s="3"/>
      <c r="R1285" s="3"/>
      <c r="S1285" s="3"/>
      <c r="T1285" s="3"/>
      <c r="U1285" s="3">
        <v>14100</v>
      </c>
      <c r="V1285" s="4">
        <v>38503</v>
      </c>
      <c r="W1285" s="3" t="s">
        <v>31</v>
      </c>
      <c r="X1285" s="3" t="s">
        <v>6355</v>
      </c>
    </row>
    <row r="1286" spans="1:24" ht="27.95" x14ac:dyDescent="0.3">
      <c r="A1286" s="5">
        <v>1280</v>
      </c>
      <c r="B1286" s="5" t="str">
        <f>"201800070085"</f>
        <v>201800070085</v>
      </c>
      <c r="C1286" s="5" t="str">
        <f>"117477"</f>
        <v>117477</v>
      </c>
      <c r="D1286" s="5" t="s">
        <v>6356</v>
      </c>
      <c r="E1286" s="5">
        <v>20541770039</v>
      </c>
      <c r="F1286" s="5" t="s">
        <v>6357</v>
      </c>
      <c r="G1286" s="5" t="s">
        <v>6358</v>
      </c>
      <c r="H1286" s="5" t="s">
        <v>285</v>
      </c>
      <c r="I1286" s="5" t="s">
        <v>286</v>
      </c>
      <c r="J1286" s="5" t="s">
        <v>470</v>
      </c>
      <c r="K1286" s="5" t="s">
        <v>130</v>
      </c>
      <c r="L1286" s="5"/>
      <c r="M1286" s="5"/>
      <c r="N1286" s="5"/>
      <c r="O1286" s="5"/>
      <c r="P1286" s="5"/>
      <c r="Q1286" s="5"/>
      <c r="R1286" s="5"/>
      <c r="S1286" s="5"/>
      <c r="T1286" s="5"/>
      <c r="U1286" s="5">
        <v>3000</v>
      </c>
      <c r="V1286" s="6">
        <v>43221</v>
      </c>
      <c r="W1286" s="5" t="s">
        <v>31</v>
      </c>
      <c r="X1286" s="5" t="s">
        <v>6359</v>
      </c>
    </row>
    <row r="1287" spans="1:24" x14ac:dyDescent="0.3">
      <c r="A1287" s="3">
        <v>1281</v>
      </c>
      <c r="B1287" s="3" t="str">
        <f>"1497820"</f>
        <v>1497820</v>
      </c>
      <c r="C1287" s="3" t="str">
        <f>"39701"</f>
        <v>39701</v>
      </c>
      <c r="D1287" s="3" t="s">
        <v>6360</v>
      </c>
      <c r="E1287" s="3">
        <v>20100412447</v>
      </c>
      <c r="F1287" s="3" t="s">
        <v>6361</v>
      </c>
      <c r="G1287" s="3" t="s">
        <v>6362</v>
      </c>
      <c r="H1287" s="3" t="s">
        <v>115</v>
      </c>
      <c r="I1287" s="3" t="s">
        <v>115</v>
      </c>
      <c r="J1287" s="3" t="s">
        <v>159</v>
      </c>
      <c r="K1287" s="3" t="s">
        <v>6363</v>
      </c>
      <c r="L1287" s="3"/>
      <c r="M1287" s="3"/>
      <c r="N1287" s="3"/>
      <c r="O1287" s="3"/>
      <c r="P1287" s="3"/>
      <c r="Q1287" s="3"/>
      <c r="R1287" s="3"/>
      <c r="S1287" s="3"/>
      <c r="T1287" s="3"/>
      <c r="U1287" s="3">
        <v>2020</v>
      </c>
      <c r="V1287" s="4">
        <v>38287</v>
      </c>
      <c r="W1287" s="3" t="s">
        <v>31</v>
      </c>
      <c r="X1287" s="3" t="s">
        <v>6364</v>
      </c>
    </row>
    <row r="1288" spans="1:24" x14ac:dyDescent="0.3">
      <c r="A1288" s="5">
        <v>1282</v>
      </c>
      <c r="B1288" s="5" t="str">
        <f>"201300097401"</f>
        <v>201300097401</v>
      </c>
      <c r="C1288" s="5" t="str">
        <f>"103214"</f>
        <v>103214</v>
      </c>
      <c r="D1288" s="5" t="s">
        <v>6365</v>
      </c>
      <c r="E1288" s="5">
        <v>20547735014</v>
      </c>
      <c r="F1288" s="5" t="s">
        <v>6366</v>
      </c>
      <c r="G1288" s="5" t="s">
        <v>6367</v>
      </c>
      <c r="H1288" s="5" t="s">
        <v>292</v>
      </c>
      <c r="I1288" s="5" t="s">
        <v>293</v>
      </c>
      <c r="J1288" s="5" t="s">
        <v>6368</v>
      </c>
      <c r="K1288" s="5" t="s">
        <v>2180</v>
      </c>
      <c r="L1288" s="5" t="s">
        <v>2180</v>
      </c>
      <c r="M1288" s="5" t="s">
        <v>2180</v>
      </c>
      <c r="N1288" s="5" t="s">
        <v>2180</v>
      </c>
      <c r="O1288" s="5" t="s">
        <v>2180</v>
      </c>
      <c r="P1288" s="5"/>
      <c r="Q1288" s="5"/>
      <c r="R1288" s="5"/>
      <c r="S1288" s="5"/>
      <c r="T1288" s="5"/>
      <c r="U1288" s="5">
        <v>50000</v>
      </c>
      <c r="V1288" s="6">
        <v>41431</v>
      </c>
      <c r="W1288" s="5" t="s">
        <v>31</v>
      </c>
      <c r="X1288" s="5" t="s">
        <v>3007</v>
      </c>
    </row>
    <row r="1289" spans="1:24" ht="27.95" x14ac:dyDescent="0.3">
      <c r="A1289" s="3">
        <v>1283</v>
      </c>
      <c r="B1289" s="3" t="str">
        <f>"201300167980"</f>
        <v>201300167980</v>
      </c>
      <c r="C1289" s="3" t="str">
        <f>"106053"</f>
        <v>106053</v>
      </c>
      <c r="D1289" s="3" t="s">
        <v>6369</v>
      </c>
      <c r="E1289" s="3">
        <v>20433763221</v>
      </c>
      <c r="F1289" s="3" t="s">
        <v>6370</v>
      </c>
      <c r="G1289" s="3" t="s">
        <v>6371</v>
      </c>
      <c r="H1289" s="3" t="s">
        <v>292</v>
      </c>
      <c r="I1289" s="3" t="s">
        <v>991</v>
      </c>
      <c r="J1289" s="3" t="s">
        <v>292</v>
      </c>
      <c r="K1289" s="3" t="s">
        <v>3277</v>
      </c>
      <c r="L1289" s="3"/>
      <c r="M1289" s="3"/>
      <c r="N1289" s="3"/>
      <c r="O1289" s="3"/>
      <c r="P1289" s="3"/>
      <c r="Q1289" s="3"/>
      <c r="R1289" s="3"/>
      <c r="S1289" s="3"/>
      <c r="T1289" s="3"/>
      <c r="U1289" s="3">
        <v>1500</v>
      </c>
      <c r="V1289" s="4">
        <v>41604</v>
      </c>
      <c r="W1289" s="3" t="s">
        <v>31</v>
      </c>
      <c r="X1289" s="3" t="s">
        <v>6372</v>
      </c>
    </row>
    <row r="1290" spans="1:24" x14ac:dyDescent="0.3">
      <c r="A1290" s="5">
        <v>1284</v>
      </c>
      <c r="B1290" s="5" t="str">
        <f>"1124369"</f>
        <v>1124369</v>
      </c>
      <c r="C1290" s="5" t="str">
        <f>"838"</f>
        <v>838</v>
      </c>
      <c r="D1290" s="5" t="s">
        <v>6373</v>
      </c>
      <c r="E1290" s="5">
        <v>20117871852</v>
      </c>
      <c r="F1290" s="5" t="s">
        <v>49</v>
      </c>
      <c r="G1290" s="5" t="s">
        <v>6374</v>
      </c>
      <c r="H1290" s="5" t="s">
        <v>135</v>
      </c>
      <c r="I1290" s="5" t="s">
        <v>943</v>
      </c>
      <c r="J1290" s="5" t="s">
        <v>944</v>
      </c>
      <c r="K1290" s="5" t="s">
        <v>6375</v>
      </c>
      <c r="L1290" s="5"/>
      <c r="M1290" s="5"/>
      <c r="N1290" s="5"/>
      <c r="O1290" s="5"/>
      <c r="P1290" s="5"/>
      <c r="Q1290" s="5"/>
      <c r="R1290" s="5"/>
      <c r="S1290" s="5"/>
      <c r="T1290" s="5"/>
      <c r="U1290" s="5">
        <v>21239</v>
      </c>
      <c r="V1290" s="6">
        <v>36805</v>
      </c>
      <c r="W1290" s="5" t="s">
        <v>31</v>
      </c>
      <c r="X1290" s="5" t="s">
        <v>54</v>
      </c>
    </row>
    <row r="1291" spans="1:24" x14ac:dyDescent="0.3">
      <c r="A1291" s="3">
        <v>1285</v>
      </c>
      <c r="B1291" s="3" t="str">
        <f>"1280567"</f>
        <v>1280567</v>
      </c>
      <c r="C1291" s="3" t="str">
        <f>"18762"</f>
        <v>18762</v>
      </c>
      <c r="D1291" s="3">
        <v>1280567</v>
      </c>
      <c r="E1291" s="3">
        <v>20100051240</v>
      </c>
      <c r="F1291" s="3" t="s">
        <v>6376</v>
      </c>
      <c r="G1291" s="3" t="s">
        <v>6377</v>
      </c>
      <c r="H1291" s="3" t="s">
        <v>28</v>
      </c>
      <c r="I1291" s="3" t="s">
        <v>28</v>
      </c>
      <c r="J1291" s="3" t="s">
        <v>28</v>
      </c>
      <c r="K1291" s="3" t="s">
        <v>229</v>
      </c>
      <c r="L1291" s="3" t="s">
        <v>1775</v>
      </c>
      <c r="M1291" s="3" t="s">
        <v>1223</v>
      </c>
      <c r="N1291" s="3" t="s">
        <v>841</v>
      </c>
      <c r="O1291" s="3" t="s">
        <v>5047</v>
      </c>
      <c r="P1291" s="3" t="s">
        <v>857</v>
      </c>
      <c r="Q1291" s="3" t="s">
        <v>5047</v>
      </c>
      <c r="R1291" s="3" t="s">
        <v>841</v>
      </c>
      <c r="S1291" s="3" t="s">
        <v>857</v>
      </c>
      <c r="T1291" s="3"/>
      <c r="U1291" s="3">
        <v>26500</v>
      </c>
      <c r="V1291" s="4">
        <v>36675</v>
      </c>
      <c r="W1291" s="3" t="s">
        <v>31</v>
      </c>
      <c r="X1291" s="3" t="s">
        <v>6378</v>
      </c>
    </row>
    <row r="1292" spans="1:24" x14ac:dyDescent="0.3">
      <c r="A1292" s="5">
        <v>1286</v>
      </c>
      <c r="B1292" s="5" t="str">
        <f>"201700105580"</f>
        <v>201700105580</v>
      </c>
      <c r="C1292" s="5" t="str">
        <f>"130343"</f>
        <v>130343</v>
      </c>
      <c r="D1292" s="5" t="s">
        <v>6379</v>
      </c>
      <c r="E1292" s="5">
        <v>20490916131</v>
      </c>
      <c r="F1292" s="5" t="s">
        <v>6380</v>
      </c>
      <c r="G1292" s="5" t="s">
        <v>6381</v>
      </c>
      <c r="H1292" s="5" t="s">
        <v>165</v>
      </c>
      <c r="I1292" s="5" t="s">
        <v>166</v>
      </c>
      <c r="J1292" s="5" t="s">
        <v>165</v>
      </c>
      <c r="K1292" s="5" t="s">
        <v>3396</v>
      </c>
      <c r="L1292" s="5" t="s">
        <v>3396</v>
      </c>
      <c r="M1292" s="5"/>
      <c r="N1292" s="5"/>
      <c r="O1292" s="5"/>
      <c r="P1292" s="5"/>
      <c r="Q1292" s="5"/>
      <c r="R1292" s="5"/>
      <c r="S1292" s="5"/>
      <c r="T1292" s="5"/>
      <c r="U1292" s="5">
        <v>15000</v>
      </c>
      <c r="V1292" s="6">
        <v>42943</v>
      </c>
      <c r="W1292" s="5" t="s">
        <v>31</v>
      </c>
      <c r="X1292" s="5" t="s">
        <v>6382</v>
      </c>
    </row>
    <row r="1293" spans="1:24" x14ac:dyDescent="0.3">
      <c r="A1293" s="3">
        <v>1287</v>
      </c>
      <c r="B1293" s="3" t="str">
        <f>"1113835"</f>
        <v>1113835</v>
      </c>
      <c r="C1293" s="3" t="str">
        <f>"503"</f>
        <v>503</v>
      </c>
      <c r="D1293" s="3">
        <v>995559</v>
      </c>
      <c r="E1293" s="3">
        <v>20100046831</v>
      </c>
      <c r="F1293" s="3" t="s">
        <v>6383</v>
      </c>
      <c r="G1293" s="3" t="s">
        <v>6384</v>
      </c>
      <c r="H1293" s="3" t="s">
        <v>28</v>
      </c>
      <c r="I1293" s="3" t="s">
        <v>28</v>
      </c>
      <c r="J1293" s="3" t="s">
        <v>28</v>
      </c>
      <c r="K1293" s="3" t="s">
        <v>6385</v>
      </c>
      <c r="L1293" s="3" t="s">
        <v>6386</v>
      </c>
      <c r="M1293" s="3"/>
      <c r="N1293" s="3"/>
      <c r="O1293" s="3"/>
      <c r="P1293" s="3"/>
      <c r="Q1293" s="3"/>
      <c r="R1293" s="3"/>
      <c r="S1293" s="3"/>
      <c r="T1293" s="3"/>
      <c r="U1293" s="3">
        <v>25650</v>
      </c>
      <c r="V1293" s="4">
        <v>35529</v>
      </c>
      <c r="W1293" s="3" t="s">
        <v>31</v>
      </c>
      <c r="X1293" s="3" t="s">
        <v>6387</v>
      </c>
    </row>
    <row r="1294" spans="1:24" x14ac:dyDescent="0.3">
      <c r="A1294" s="5">
        <v>1288</v>
      </c>
      <c r="B1294" s="5" t="str">
        <f>"1395934"</f>
        <v>1395934</v>
      </c>
      <c r="C1294" s="5" t="str">
        <f>"87946"</f>
        <v>87946</v>
      </c>
      <c r="D1294" s="5" t="s">
        <v>6388</v>
      </c>
      <c r="E1294" s="5">
        <v>20131257750</v>
      </c>
      <c r="F1294" s="5" t="s">
        <v>1807</v>
      </c>
      <c r="G1294" s="5" t="s">
        <v>6389</v>
      </c>
      <c r="H1294" s="5" t="s">
        <v>28</v>
      </c>
      <c r="I1294" s="5" t="s">
        <v>28</v>
      </c>
      <c r="J1294" s="5" t="s">
        <v>1403</v>
      </c>
      <c r="K1294" s="5" t="s">
        <v>1550</v>
      </c>
      <c r="L1294" s="5"/>
      <c r="M1294" s="5"/>
      <c r="N1294" s="5"/>
      <c r="O1294" s="5"/>
      <c r="P1294" s="5"/>
      <c r="Q1294" s="5"/>
      <c r="R1294" s="5"/>
      <c r="S1294" s="5"/>
      <c r="T1294" s="5"/>
      <c r="U1294" s="5">
        <v>3000</v>
      </c>
      <c r="V1294" s="6">
        <v>40415</v>
      </c>
      <c r="W1294" s="5" t="s">
        <v>31</v>
      </c>
      <c r="X1294" s="5" t="s">
        <v>6390</v>
      </c>
    </row>
    <row r="1295" spans="1:24" x14ac:dyDescent="0.3">
      <c r="A1295" s="3">
        <v>1289</v>
      </c>
      <c r="B1295" s="3" t="str">
        <f>"201500004061"</f>
        <v>201500004061</v>
      </c>
      <c r="C1295" s="3" t="str">
        <f>"113327"</f>
        <v>113327</v>
      </c>
      <c r="D1295" s="3" t="s">
        <v>6391</v>
      </c>
      <c r="E1295" s="3">
        <v>20123299206</v>
      </c>
      <c r="F1295" s="3" t="s">
        <v>6392</v>
      </c>
      <c r="G1295" s="3" t="s">
        <v>6393</v>
      </c>
      <c r="H1295" s="3" t="s">
        <v>115</v>
      </c>
      <c r="I1295" s="3" t="s">
        <v>115</v>
      </c>
      <c r="J1295" s="3" t="s">
        <v>159</v>
      </c>
      <c r="K1295" s="3" t="s">
        <v>110</v>
      </c>
      <c r="L1295" s="3"/>
      <c r="M1295" s="3"/>
      <c r="N1295" s="3"/>
      <c r="O1295" s="3"/>
      <c r="P1295" s="3"/>
      <c r="Q1295" s="3"/>
      <c r="R1295" s="3"/>
      <c r="S1295" s="3"/>
      <c r="T1295" s="3"/>
      <c r="U1295" s="3">
        <v>4000</v>
      </c>
      <c r="V1295" s="4">
        <v>42103</v>
      </c>
      <c r="W1295" s="3" t="s">
        <v>31</v>
      </c>
      <c r="X1295" s="3" t="s">
        <v>6394</v>
      </c>
    </row>
    <row r="1296" spans="1:24" x14ac:dyDescent="0.3">
      <c r="A1296" s="5">
        <v>1290</v>
      </c>
      <c r="B1296" s="5" t="str">
        <f>"201300044515"</f>
        <v>201300044515</v>
      </c>
      <c r="C1296" s="5" t="str">
        <f>"63958"</f>
        <v>63958</v>
      </c>
      <c r="D1296" s="5" t="s">
        <v>6395</v>
      </c>
      <c r="E1296" s="5">
        <v>20376641466</v>
      </c>
      <c r="F1296" s="5" t="s">
        <v>6396</v>
      </c>
      <c r="G1296" s="5" t="s">
        <v>6397</v>
      </c>
      <c r="H1296" s="5" t="s">
        <v>135</v>
      </c>
      <c r="I1296" s="5" t="s">
        <v>135</v>
      </c>
      <c r="J1296" s="5" t="s">
        <v>1216</v>
      </c>
      <c r="K1296" s="5" t="s">
        <v>1217</v>
      </c>
      <c r="L1296" s="5"/>
      <c r="M1296" s="5"/>
      <c r="N1296" s="5"/>
      <c r="O1296" s="5"/>
      <c r="P1296" s="5"/>
      <c r="Q1296" s="5"/>
      <c r="R1296" s="5"/>
      <c r="S1296" s="5"/>
      <c r="T1296" s="5"/>
      <c r="U1296" s="5">
        <v>2500</v>
      </c>
      <c r="V1296" s="6">
        <v>41339</v>
      </c>
      <c r="W1296" s="5" t="s">
        <v>31</v>
      </c>
      <c r="X1296" s="5" t="s">
        <v>6398</v>
      </c>
    </row>
    <row r="1297" spans="1:24" ht="27.95" x14ac:dyDescent="0.3">
      <c r="A1297" s="3">
        <v>1291</v>
      </c>
      <c r="B1297" s="3" t="str">
        <f>"201700109283"</f>
        <v>201700109283</v>
      </c>
      <c r="C1297" s="3" t="str">
        <f>"130535"</f>
        <v>130535</v>
      </c>
      <c r="D1297" s="3" t="s">
        <v>6399</v>
      </c>
      <c r="E1297" s="3">
        <v>20100079501</v>
      </c>
      <c r="F1297" s="3" t="s">
        <v>844</v>
      </c>
      <c r="G1297" s="3" t="s">
        <v>6400</v>
      </c>
      <c r="H1297" s="3" t="s">
        <v>51</v>
      </c>
      <c r="I1297" s="3" t="s">
        <v>815</v>
      </c>
      <c r="J1297" s="3" t="s">
        <v>6401</v>
      </c>
      <c r="K1297" s="3" t="s">
        <v>168</v>
      </c>
      <c r="L1297" s="3" t="s">
        <v>168</v>
      </c>
      <c r="M1297" s="3" t="s">
        <v>168</v>
      </c>
      <c r="N1297" s="3" t="s">
        <v>168</v>
      </c>
      <c r="O1297" s="3" t="s">
        <v>168</v>
      </c>
      <c r="P1297" s="3"/>
      <c r="Q1297" s="3"/>
      <c r="R1297" s="3"/>
      <c r="S1297" s="3"/>
      <c r="T1297" s="3"/>
      <c r="U1297" s="3">
        <v>50000</v>
      </c>
      <c r="V1297" s="4">
        <v>42934</v>
      </c>
      <c r="W1297" s="3" t="s">
        <v>31</v>
      </c>
      <c r="X1297" s="3" t="s">
        <v>6402</v>
      </c>
    </row>
    <row r="1298" spans="1:24" ht="27.95" x14ac:dyDescent="0.3">
      <c r="A1298" s="5">
        <v>1292</v>
      </c>
      <c r="B1298" s="5" t="str">
        <f>"201900155208"</f>
        <v>201900155208</v>
      </c>
      <c r="C1298" s="5" t="str">
        <f>"41962"</f>
        <v>41962</v>
      </c>
      <c r="D1298" s="5" t="s">
        <v>6403</v>
      </c>
      <c r="E1298" s="5">
        <v>20100123500</v>
      </c>
      <c r="F1298" s="5" t="s">
        <v>6404</v>
      </c>
      <c r="G1298" s="5" t="s">
        <v>6405</v>
      </c>
      <c r="H1298" s="5" t="s">
        <v>921</v>
      </c>
      <c r="I1298" s="5" t="s">
        <v>921</v>
      </c>
      <c r="J1298" s="5" t="s">
        <v>6406</v>
      </c>
      <c r="K1298" s="5" t="s">
        <v>30</v>
      </c>
      <c r="L1298" s="5" t="s">
        <v>130</v>
      </c>
      <c r="M1298" s="5" t="s">
        <v>87</v>
      </c>
      <c r="N1298" s="5" t="s">
        <v>181</v>
      </c>
      <c r="O1298" s="5" t="s">
        <v>1477</v>
      </c>
      <c r="P1298" s="5" t="s">
        <v>1074</v>
      </c>
      <c r="Q1298" s="5" t="s">
        <v>130</v>
      </c>
      <c r="R1298" s="5" t="s">
        <v>6407</v>
      </c>
      <c r="S1298" s="5"/>
      <c r="T1298" s="5"/>
      <c r="U1298" s="5">
        <v>37500</v>
      </c>
      <c r="V1298" s="6">
        <v>43735</v>
      </c>
      <c r="W1298" s="5" t="s">
        <v>31</v>
      </c>
      <c r="X1298" s="5" t="s">
        <v>2667</v>
      </c>
    </row>
    <row r="1299" spans="1:24" ht="27.95" x14ac:dyDescent="0.3">
      <c r="A1299" s="3">
        <v>1293</v>
      </c>
      <c r="B1299" s="3" t="str">
        <f>"202000113800"</f>
        <v>202000113800</v>
      </c>
      <c r="C1299" s="3" t="str">
        <f>"150898"</f>
        <v>150898</v>
      </c>
      <c r="D1299" s="3" t="s">
        <v>6408</v>
      </c>
      <c r="E1299" s="3">
        <v>10251834194</v>
      </c>
      <c r="F1299" s="3" t="s">
        <v>6409</v>
      </c>
      <c r="G1299" s="3" t="s">
        <v>6410</v>
      </c>
      <c r="H1299" s="3" t="s">
        <v>165</v>
      </c>
      <c r="I1299" s="3" t="s">
        <v>166</v>
      </c>
      <c r="J1299" s="3" t="s">
        <v>167</v>
      </c>
      <c r="K1299" s="3" t="s">
        <v>3396</v>
      </c>
      <c r="L1299" s="3"/>
      <c r="M1299" s="3"/>
      <c r="N1299" s="3"/>
      <c r="O1299" s="3"/>
      <c r="P1299" s="3"/>
      <c r="Q1299" s="3"/>
      <c r="R1299" s="3"/>
      <c r="S1299" s="3"/>
      <c r="T1299" s="3"/>
      <c r="U1299" s="3">
        <v>7500</v>
      </c>
      <c r="V1299" s="4">
        <v>44077</v>
      </c>
      <c r="W1299" s="3" t="s">
        <v>31</v>
      </c>
      <c r="X1299" s="3" t="s">
        <v>6409</v>
      </c>
    </row>
    <row r="1300" spans="1:24" x14ac:dyDescent="0.3">
      <c r="A1300" s="5">
        <v>1294</v>
      </c>
      <c r="B1300" s="5" t="str">
        <f>"1500816"</f>
        <v>1500816</v>
      </c>
      <c r="C1300" s="5" t="str">
        <f>"93547"</f>
        <v>93547</v>
      </c>
      <c r="D1300" s="5" t="s">
        <v>6411</v>
      </c>
      <c r="E1300" s="5">
        <v>20102078781</v>
      </c>
      <c r="F1300" s="5" t="s">
        <v>6412</v>
      </c>
      <c r="G1300" s="5" t="s">
        <v>6413</v>
      </c>
      <c r="H1300" s="5" t="s">
        <v>566</v>
      </c>
      <c r="I1300" s="5" t="s">
        <v>1522</v>
      </c>
      <c r="J1300" s="5" t="s">
        <v>1523</v>
      </c>
      <c r="K1300" s="5" t="s">
        <v>2180</v>
      </c>
      <c r="L1300" s="5"/>
      <c r="M1300" s="5"/>
      <c r="N1300" s="5"/>
      <c r="O1300" s="5"/>
      <c r="P1300" s="5"/>
      <c r="Q1300" s="5"/>
      <c r="R1300" s="5"/>
      <c r="S1300" s="5"/>
      <c r="T1300" s="5"/>
      <c r="U1300" s="5">
        <v>10000</v>
      </c>
      <c r="V1300" s="6">
        <v>40809</v>
      </c>
      <c r="W1300" s="5" t="s">
        <v>31</v>
      </c>
      <c r="X1300" s="5" t="s">
        <v>6414</v>
      </c>
    </row>
    <row r="1301" spans="1:24" ht="27.95" x14ac:dyDescent="0.3">
      <c r="A1301" s="3">
        <v>1295</v>
      </c>
      <c r="B1301" s="3" t="str">
        <f>"1569756"</f>
        <v>1569756</v>
      </c>
      <c r="C1301" s="3" t="str">
        <f>"41761"</f>
        <v>41761</v>
      </c>
      <c r="D1301" s="3" t="s">
        <v>6415</v>
      </c>
      <c r="E1301" s="3">
        <v>20107884395</v>
      </c>
      <c r="F1301" s="3" t="s">
        <v>6416</v>
      </c>
      <c r="G1301" s="3" t="s">
        <v>6417</v>
      </c>
      <c r="H1301" s="3" t="s">
        <v>28</v>
      </c>
      <c r="I1301" s="3" t="s">
        <v>28</v>
      </c>
      <c r="J1301" s="3" t="s">
        <v>409</v>
      </c>
      <c r="K1301" s="3" t="s">
        <v>421</v>
      </c>
      <c r="L1301" s="3"/>
      <c r="M1301" s="3"/>
      <c r="N1301" s="3"/>
      <c r="O1301" s="3"/>
      <c r="P1301" s="3"/>
      <c r="Q1301" s="3"/>
      <c r="R1301" s="3"/>
      <c r="S1301" s="3"/>
      <c r="T1301" s="3"/>
      <c r="U1301" s="3">
        <v>5000</v>
      </c>
      <c r="V1301" s="4">
        <v>38667</v>
      </c>
      <c r="W1301" s="3" t="s">
        <v>31</v>
      </c>
      <c r="X1301" s="3" t="s">
        <v>6418</v>
      </c>
    </row>
    <row r="1302" spans="1:24" ht="27.95" x14ac:dyDescent="0.3">
      <c r="A1302" s="5">
        <v>1296</v>
      </c>
      <c r="B1302" s="5" t="str">
        <f>"1113847"</f>
        <v>1113847</v>
      </c>
      <c r="C1302" s="5" t="str">
        <f>"649"</f>
        <v>649</v>
      </c>
      <c r="D1302" s="5">
        <v>1005069</v>
      </c>
      <c r="E1302" s="5">
        <v>20418108151</v>
      </c>
      <c r="F1302" s="5" t="s">
        <v>6419</v>
      </c>
      <c r="G1302" s="5" t="s">
        <v>6420</v>
      </c>
      <c r="H1302" s="5" t="s">
        <v>28</v>
      </c>
      <c r="I1302" s="5" t="s">
        <v>28</v>
      </c>
      <c r="J1302" s="5" t="s">
        <v>501</v>
      </c>
      <c r="K1302" s="5" t="s">
        <v>421</v>
      </c>
      <c r="L1302" s="5" t="s">
        <v>46</v>
      </c>
      <c r="M1302" s="5" t="s">
        <v>421</v>
      </c>
      <c r="N1302" s="5"/>
      <c r="O1302" s="5"/>
      <c r="P1302" s="5"/>
      <c r="Q1302" s="5"/>
      <c r="R1302" s="5"/>
      <c r="S1302" s="5"/>
      <c r="T1302" s="5"/>
      <c r="U1302" s="5">
        <v>13000</v>
      </c>
      <c r="V1302" s="6">
        <v>35531</v>
      </c>
      <c r="W1302" s="5" t="s">
        <v>31</v>
      </c>
      <c r="X1302" s="5" t="s">
        <v>6421</v>
      </c>
    </row>
    <row r="1303" spans="1:24" x14ac:dyDescent="0.3">
      <c r="A1303" s="3">
        <v>1297</v>
      </c>
      <c r="B1303" s="3" t="str">
        <f>"201500124922"</f>
        <v>201500124922</v>
      </c>
      <c r="C1303" s="3" t="str">
        <f>"18232"</f>
        <v>18232</v>
      </c>
      <c r="D1303" s="3" t="s">
        <v>6422</v>
      </c>
      <c r="E1303" s="3">
        <v>20511617261</v>
      </c>
      <c r="F1303" s="3" t="s">
        <v>6423</v>
      </c>
      <c r="G1303" s="3" t="s">
        <v>6424</v>
      </c>
      <c r="H1303" s="3" t="s">
        <v>28</v>
      </c>
      <c r="I1303" s="3" t="s">
        <v>28</v>
      </c>
      <c r="J1303" s="3" t="s">
        <v>409</v>
      </c>
      <c r="K1303" s="3" t="s">
        <v>130</v>
      </c>
      <c r="L1303" s="3"/>
      <c r="M1303" s="3"/>
      <c r="N1303" s="3"/>
      <c r="O1303" s="3"/>
      <c r="P1303" s="3"/>
      <c r="Q1303" s="3"/>
      <c r="R1303" s="3"/>
      <c r="S1303" s="3"/>
      <c r="T1303" s="3"/>
      <c r="U1303" s="3">
        <v>3000</v>
      </c>
      <c r="V1303" s="4">
        <v>42274</v>
      </c>
      <c r="W1303" s="3" t="s">
        <v>31</v>
      </c>
      <c r="X1303" s="3" t="s">
        <v>6425</v>
      </c>
    </row>
    <row r="1304" spans="1:24" ht="27.95" x14ac:dyDescent="0.3">
      <c r="A1304" s="5">
        <v>1298</v>
      </c>
      <c r="B1304" s="5" t="str">
        <f>"1226680"</f>
        <v>1226680</v>
      </c>
      <c r="C1304" s="5" t="str">
        <f>"15685"</f>
        <v>15685</v>
      </c>
      <c r="D1304" s="5">
        <v>1226680</v>
      </c>
      <c r="E1304" s="5">
        <v>20340941790</v>
      </c>
      <c r="F1304" s="5" t="s">
        <v>6426</v>
      </c>
      <c r="G1304" s="5" t="s">
        <v>6427</v>
      </c>
      <c r="H1304" s="5" t="s">
        <v>285</v>
      </c>
      <c r="I1304" s="5" t="s">
        <v>286</v>
      </c>
      <c r="J1304" s="5" t="s">
        <v>286</v>
      </c>
      <c r="K1304" s="5" t="s">
        <v>6428</v>
      </c>
      <c r="L1304" s="5"/>
      <c r="M1304" s="5"/>
      <c r="N1304" s="5"/>
      <c r="O1304" s="5"/>
      <c r="P1304" s="5"/>
      <c r="Q1304" s="5"/>
      <c r="R1304" s="5"/>
      <c r="S1304" s="5"/>
      <c r="T1304" s="5"/>
      <c r="U1304" s="5">
        <v>2200</v>
      </c>
      <c r="V1304" s="6">
        <v>36255</v>
      </c>
      <c r="W1304" s="5" t="s">
        <v>31</v>
      </c>
      <c r="X1304" s="5" t="s">
        <v>6429</v>
      </c>
    </row>
    <row r="1305" spans="1:24" ht="27.95" x14ac:dyDescent="0.3">
      <c r="A1305" s="3">
        <v>1299</v>
      </c>
      <c r="B1305" s="3" t="str">
        <f>"201500076356"</f>
        <v>201500076356</v>
      </c>
      <c r="C1305" s="3" t="str">
        <f>"115879"</f>
        <v>115879</v>
      </c>
      <c r="D1305" s="3" t="s">
        <v>6430</v>
      </c>
      <c r="E1305" s="3">
        <v>20297543653</v>
      </c>
      <c r="F1305" s="3" t="s">
        <v>884</v>
      </c>
      <c r="G1305" s="3" t="s">
        <v>6431</v>
      </c>
      <c r="H1305" s="3" t="s">
        <v>28</v>
      </c>
      <c r="I1305" s="3" t="s">
        <v>28</v>
      </c>
      <c r="J1305" s="3" t="s">
        <v>1432</v>
      </c>
      <c r="K1305" s="3" t="s">
        <v>181</v>
      </c>
      <c r="L1305" s="3"/>
      <c r="M1305" s="3"/>
      <c r="N1305" s="3"/>
      <c r="O1305" s="3"/>
      <c r="P1305" s="3"/>
      <c r="Q1305" s="3"/>
      <c r="R1305" s="3"/>
      <c r="S1305" s="3"/>
      <c r="T1305" s="3"/>
      <c r="U1305" s="3">
        <v>5000</v>
      </c>
      <c r="V1305" s="4">
        <v>42228</v>
      </c>
      <c r="W1305" s="3" t="s">
        <v>31</v>
      </c>
      <c r="X1305" s="3" t="s">
        <v>886</v>
      </c>
    </row>
    <row r="1306" spans="1:24" x14ac:dyDescent="0.3">
      <c r="A1306" s="5">
        <v>1300</v>
      </c>
      <c r="B1306" s="5" t="str">
        <f>"201600141584"</f>
        <v>201600141584</v>
      </c>
      <c r="C1306" s="5" t="str">
        <f>"74"</f>
        <v>74</v>
      </c>
      <c r="D1306" s="5" t="s">
        <v>6432</v>
      </c>
      <c r="E1306" s="5">
        <v>20100152275</v>
      </c>
      <c r="F1306" s="5" t="s">
        <v>6433</v>
      </c>
      <c r="G1306" s="5" t="s">
        <v>6434</v>
      </c>
      <c r="H1306" s="5" t="s">
        <v>28</v>
      </c>
      <c r="I1306" s="5" t="s">
        <v>28</v>
      </c>
      <c r="J1306" s="5" t="s">
        <v>1706</v>
      </c>
      <c r="K1306" s="5" t="s">
        <v>3500</v>
      </c>
      <c r="L1306" s="5" t="s">
        <v>5620</v>
      </c>
      <c r="M1306" s="5" t="s">
        <v>130</v>
      </c>
      <c r="N1306" s="5" t="s">
        <v>6435</v>
      </c>
      <c r="O1306" s="5"/>
      <c r="P1306" s="5"/>
      <c r="Q1306" s="5"/>
      <c r="R1306" s="5"/>
      <c r="S1306" s="5"/>
      <c r="T1306" s="5"/>
      <c r="U1306" s="5">
        <v>12000</v>
      </c>
      <c r="V1306" s="6">
        <v>42703</v>
      </c>
      <c r="W1306" s="5" t="s">
        <v>31</v>
      </c>
      <c r="X1306" s="5" t="s">
        <v>6436</v>
      </c>
    </row>
    <row r="1307" spans="1:24" ht="27.95" x14ac:dyDescent="0.3">
      <c r="A1307" s="3">
        <v>1301</v>
      </c>
      <c r="B1307" s="3" t="str">
        <f>"201900192046"</f>
        <v>201900192046</v>
      </c>
      <c r="C1307" s="3" t="str">
        <f>"16522"</f>
        <v>16522</v>
      </c>
      <c r="D1307" s="3" t="s">
        <v>6437</v>
      </c>
      <c r="E1307" s="3">
        <v>20380336384</v>
      </c>
      <c r="F1307" s="3" t="s">
        <v>860</v>
      </c>
      <c r="G1307" s="3" t="s">
        <v>6438</v>
      </c>
      <c r="H1307" s="3" t="s">
        <v>285</v>
      </c>
      <c r="I1307" s="3" t="s">
        <v>286</v>
      </c>
      <c r="J1307" s="3" t="s">
        <v>470</v>
      </c>
      <c r="K1307" s="3" t="s">
        <v>6439</v>
      </c>
      <c r="L1307" s="3" t="s">
        <v>6440</v>
      </c>
      <c r="M1307" s="3"/>
      <c r="N1307" s="3"/>
      <c r="O1307" s="3"/>
      <c r="P1307" s="3"/>
      <c r="Q1307" s="3"/>
      <c r="R1307" s="3"/>
      <c r="S1307" s="3"/>
      <c r="T1307" s="3"/>
      <c r="U1307" s="3">
        <v>102694</v>
      </c>
      <c r="V1307" s="4">
        <v>43796</v>
      </c>
      <c r="W1307" s="3" t="s">
        <v>31</v>
      </c>
      <c r="X1307" s="3" t="s">
        <v>6441</v>
      </c>
    </row>
    <row r="1308" spans="1:24" ht="27.95" x14ac:dyDescent="0.3">
      <c r="A1308" s="5">
        <v>1302</v>
      </c>
      <c r="B1308" s="5" t="str">
        <f>"201800143238"</f>
        <v>201800143238</v>
      </c>
      <c r="C1308" s="5" t="str">
        <f>"15376"</f>
        <v>15376</v>
      </c>
      <c r="D1308" s="5" t="s">
        <v>6442</v>
      </c>
      <c r="E1308" s="5">
        <v>20338054115</v>
      </c>
      <c r="F1308" s="5" t="s">
        <v>941</v>
      </c>
      <c r="G1308" s="5" t="s">
        <v>6443</v>
      </c>
      <c r="H1308" s="5" t="s">
        <v>285</v>
      </c>
      <c r="I1308" s="5" t="s">
        <v>286</v>
      </c>
      <c r="J1308" s="5" t="s">
        <v>628</v>
      </c>
      <c r="K1308" s="5" t="s">
        <v>404</v>
      </c>
      <c r="L1308" s="5" t="s">
        <v>6444</v>
      </c>
      <c r="M1308" s="5" t="s">
        <v>6445</v>
      </c>
      <c r="N1308" s="5" t="s">
        <v>6445</v>
      </c>
      <c r="O1308" s="5" t="s">
        <v>6446</v>
      </c>
      <c r="P1308" s="5"/>
      <c r="Q1308" s="5"/>
      <c r="R1308" s="5"/>
      <c r="S1308" s="5"/>
      <c r="T1308" s="5"/>
      <c r="U1308" s="5">
        <v>172100</v>
      </c>
      <c r="V1308" s="6">
        <v>43343</v>
      </c>
      <c r="W1308" s="5" t="s">
        <v>31</v>
      </c>
      <c r="X1308" s="5" t="s">
        <v>6447</v>
      </c>
    </row>
    <row r="1309" spans="1:24" ht="27.95" x14ac:dyDescent="0.3">
      <c r="A1309" s="3">
        <v>1303</v>
      </c>
      <c r="B1309" s="3" t="str">
        <f>"201800017062"</f>
        <v>201800017062</v>
      </c>
      <c r="C1309" s="3" t="str">
        <f>"134307"</f>
        <v>134307</v>
      </c>
      <c r="D1309" s="3" t="s">
        <v>6448</v>
      </c>
      <c r="E1309" s="3">
        <v>20232236273</v>
      </c>
      <c r="F1309" s="3" t="s">
        <v>6449</v>
      </c>
      <c r="G1309" s="3" t="s">
        <v>6450</v>
      </c>
      <c r="H1309" s="3" t="s">
        <v>334</v>
      </c>
      <c r="I1309" s="3" t="s">
        <v>6451</v>
      </c>
      <c r="J1309" s="3" t="s">
        <v>6452</v>
      </c>
      <c r="K1309" s="3" t="s">
        <v>1058</v>
      </c>
      <c r="L1309" s="3" t="s">
        <v>1058</v>
      </c>
      <c r="M1309" s="3"/>
      <c r="N1309" s="3"/>
      <c r="O1309" s="3"/>
      <c r="P1309" s="3"/>
      <c r="Q1309" s="3"/>
      <c r="R1309" s="3"/>
      <c r="S1309" s="3"/>
      <c r="T1309" s="3"/>
      <c r="U1309" s="3">
        <v>8000</v>
      </c>
      <c r="V1309" s="4">
        <v>43164</v>
      </c>
      <c r="W1309" s="3" t="s">
        <v>31</v>
      </c>
      <c r="X1309" s="3" t="s">
        <v>6453</v>
      </c>
    </row>
    <row r="1310" spans="1:24" ht="27.95" x14ac:dyDescent="0.3">
      <c r="A1310" s="5">
        <v>1304</v>
      </c>
      <c r="B1310" s="5" t="str">
        <f>"201600043161"</f>
        <v>201600043161</v>
      </c>
      <c r="C1310" s="5" t="str">
        <f>"105489"</f>
        <v>105489</v>
      </c>
      <c r="D1310" s="5" t="s">
        <v>6454</v>
      </c>
      <c r="E1310" s="5">
        <v>20514608041</v>
      </c>
      <c r="F1310" s="5" t="s">
        <v>6455</v>
      </c>
      <c r="G1310" s="5" t="s">
        <v>6456</v>
      </c>
      <c r="H1310" s="5" t="s">
        <v>566</v>
      </c>
      <c r="I1310" s="5" t="s">
        <v>2671</v>
      </c>
      <c r="J1310" s="5" t="s">
        <v>6457</v>
      </c>
      <c r="K1310" s="5" t="s">
        <v>2180</v>
      </c>
      <c r="L1310" s="5" t="s">
        <v>2180</v>
      </c>
      <c r="M1310" s="5" t="s">
        <v>2180</v>
      </c>
      <c r="N1310" s="5"/>
      <c r="O1310" s="5"/>
      <c r="P1310" s="5"/>
      <c r="Q1310" s="5"/>
      <c r="R1310" s="5"/>
      <c r="S1310" s="5"/>
      <c r="T1310" s="5"/>
      <c r="U1310" s="5">
        <v>30000</v>
      </c>
      <c r="V1310" s="6">
        <v>42492</v>
      </c>
      <c r="W1310" s="5" t="s">
        <v>31</v>
      </c>
      <c r="X1310" s="5" t="s">
        <v>6458</v>
      </c>
    </row>
    <row r="1311" spans="1:24" x14ac:dyDescent="0.3">
      <c r="A1311" s="3">
        <v>1305</v>
      </c>
      <c r="B1311" s="3" t="str">
        <f>"1267486"</f>
        <v>1267486</v>
      </c>
      <c r="C1311" s="3" t="str">
        <f>"18235"</f>
        <v>18235</v>
      </c>
      <c r="D1311" s="3">
        <v>1267486</v>
      </c>
      <c r="E1311" s="3">
        <v>20299982484</v>
      </c>
      <c r="F1311" s="3" t="s">
        <v>1963</v>
      </c>
      <c r="G1311" s="3" t="s">
        <v>6459</v>
      </c>
      <c r="H1311" s="3" t="s">
        <v>28</v>
      </c>
      <c r="I1311" s="3" t="s">
        <v>667</v>
      </c>
      <c r="J1311" s="3" t="s">
        <v>1340</v>
      </c>
      <c r="K1311" s="3" t="s">
        <v>323</v>
      </c>
      <c r="L1311" s="3" t="s">
        <v>841</v>
      </c>
      <c r="M1311" s="3"/>
      <c r="N1311" s="3"/>
      <c r="O1311" s="3"/>
      <c r="P1311" s="3"/>
      <c r="Q1311" s="3"/>
      <c r="R1311" s="3"/>
      <c r="S1311" s="3"/>
      <c r="T1311" s="3"/>
      <c r="U1311" s="3">
        <v>8500</v>
      </c>
      <c r="V1311" s="4">
        <v>36550</v>
      </c>
      <c r="W1311" s="3" t="s">
        <v>31</v>
      </c>
      <c r="X1311" s="3" t="s">
        <v>6460</v>
      </c>
    </row>
    <row r="1312" spans="1:24" ht="27.95" x14ac:dyDescent="0.3">
      <c r="A1312" s="5">
        <v>1306</v>
      </c>
      <c r="B1312" s="5" t="str">
        <f>"201900108776"</f>
        <v>201900108776</v>
      </c>
      <c r="C1312" s="5" t="str">
        <f>"145076"</f>
        <v>145076</v>
      </c>
      <c r="D1312" s="5" t="s">
        <v>6461</v>
      </c>
      <c r="E1312" s="5">
        <v>20266352337</v>
      </c>
      <c r="F1312" s="5" t="s">
        <v>6462</v>
      </c>
      <c r="G1312" s="5" t="s">
        <v>6463</v>
      </c>
      <c r="H1312" s="5" t="s">
        <v>115</v>
      </c>
      <c r="I1312" s="5" t="s">
        <v>115</v>
      </c>
      <c r="J1312" s="5" t="s">
        <v>159</v>
      </c>
      <c r="K1312" s="5" t="s">
        <v>217</v>
      </c>
      <c r="L1312" s="5" t="s">
        <v>6464</v>
      </c>
      <c r="M1312" s="5"/>
      <c r="N1312" s="5"/>
      <c r="O1312" s="5"/>
      <c r="P1312" s="5"/>
      <c r="Q1312" s="5"/>
      <c r="R1312" s="5"/>
      <c r="S1312" s="5"/>
      <c r="T1312" s="5"/>
      <c r="U1312" s="5">
        <v>510</v>
      </c>
      <c r="V1312" s="6">
        <v>43656</v>
      </c>
      <c r="W1312" s="5" t="s">
        <v>31</v>
      </c>
      <c r="X1312" s="5" t="s">
        <v>5273</v>
      </c>
    </row>
    <row r="1313" spans="1:24" ht="27.95" x14ac:dyDescent="0.3">
      <c r="A1313" s="3">
        <v>1307</v>
      </c>
      <c r="B1313" s="3" t="str">
        <f>"201600138328"</f>
        <v>201600138328</v>
      </c>
      <c r="C1313" s="3" t="str">
        <f>"111103"</f>
        <v>111103</v>
      </c>
      <c r="D1313" s="3" t="s">
        <v>6465</v>
      </c>
      <c r="E1313" s="3">
        <v>20481231559</v>
      </c>
      <c r="F1313" s="3" t="s">
        <v>6466</v>
      </c>
      <c r="G1313" s="3" t="s">
        <v>6467</v>
      </c>
      <c r="H1313" s="3" t="s">
        <v>36</v>
      </c>
      <c r="I1313" s="3" t="s">
        <v>514</v>
      </c>
      <c r="J1313" s="3" t="s">
        <v>514</v>
      </c>
      <c r="K1313" s="3" t="s">
        <v>6468</v>
      </c>
      <c r="L1313" s="3"/>
      <c r="M1313" s="3"/>
      <c r="N1313" s="3"/>
      <c r="O1313" s="3"/>
      <c r="P1313" s="3"/>
      <c r="Q1313" s="3"/>
      <c r="R1313" s="3"/>
      <c r="S1313" s="3"/>
      <c r="T1313" s="3"/>
      <c r="U1313" s="3">
        <v>3900</v>
      </c>
      <c r="V1313" s="4">
        <v>42643</v>
      </c>
      <c r="W1313" s="3" t="s">
        <v>31</v>
      </c>
      <c r="X1313" s="3" t="s">
        <v>6469</v>
      </c>
    </row>
    <row r="1314" spans="1:24" x14ac:dyDescent="0.3">
      <c r="A1314" s="5">
        <v>1308</v>
      </c>
      <c r="B1314" s="5" t="str">
        <f>"1163418"</f>
        <v>1163418</v>
      </c>
      <c r="C1314" s="5" t="str">
        <f>"1372"</f>
        <v>1372</v>
      </c>
      <c r="D1314" s="5">
        <v>1163418</v>
      </c>
      <c r="E1314" s="5">
        <v>20103669767</v>
      </c>
      <c r="F1314" s="5" t="s">
        <v>6470</v>
      </c>
      <c r="G1314" s="5" t="s">
        <v>6471</v>
      </c>
      <c r="H1314" s="5" t="s">
        <v>80</v>
      </c>
      <c r="I1314" s="5" t="s">
        <v>192</v>
      </c>
      <c r="J1314" s="5" t="s">
        <v>192</v>
      </c>
      <c r="K1314" s="5" t="s">
        <v>323</v>
      </c>
      <c r="L1314" s="5"/>
      <c r="M1314" s="5"/>
      <c r="N1314" s="5"/>
      <c r="O1314" s="5"/>
      <c r="P1314" s="5"/>
      <c r="Q1314" s="5"/>
      <c r="R1314" s="5"/>
      <c r="S1314" s="5"/>
      <c r="T1314" s="5"/>
      <c r="U1314" s="5">
        <v>4000</v>
      </c>
      <c r="V1314" s="6">
        <v>35768</v>
      </c>
      <c r="W1314" s="5" t="s">
        <v>31</v>
      </c>
      <c r="X1314" s="5" t="s">
        <v>6472</v>
      </c>
    </row>
    <row r="1315" spans="1:24" x14ac:dyDescent="0.3">
      <c r="A1315" s="3">
        <v>1309</v>
      </c>
      <c r="B1315" s="3" t="str">
        <f>"1815922"</f>
        <v>1815922</v>
      </c>
      <c r="C1315" s="3" t="str">
        <f>"206"</f>
        <v>206</v>
      </c>
      <c r="D1315" s="3" t="s">
        <v>6473</v>
      </c>
      <c r="E1315" s="3">
        <v>20445587428</v>
      </c>
      <c r="F1315" s="3" t="s">
        <v>6474</v>
      </c>
      <c r="G1315" s="3" t="s">
        <v>6475</v>
      </c>
      <c r="H1315" s="3" t="s">
        <v>285</v>
      </c>
      <c r="I1315" s="3" t="s">
        <v>286</v>
      </c>
      <c r="J1315" s="3" t="s">
        <v>470</v>
      </c>
      <c r="K1315" s="3" t="s">
        <v>5831</v>
      </c>
      <c r="L1315" s="3"/>
      <c r="M1315" s="3"/>
      <c r="N1315" s="3"/>
      <c r="O1315" s="3"/>
      <c r="P1315" s="3"/>
      <c r="Q1315" s="3"/>
      <c r="R1315" s="3"/>
      <c r="S1315" s="3"/>
      <c r="T1315" s="3"/>
      <c r="U1315" s="3">
        <v>5000</v>
      </c>
      <c r="V1315" s="4">
        <v>39682</v>
      </c>
      <c r="W1315" s="3" t="s">
        <v>31</v>
      </c>
      <c r="X1315" s="3" t="s">
        <v>6476</v>
      </c>
    </row>
    <row r="1316" spans="1:24" x14ac:dyDescent="0.3">
      <c r="A1316" s="5">
        <v>1310</v>
      </c>
      <c r="B1316" s="5" t="str">
        <f>"201400114933"</f>
        <v>201400114933</v>
      </c>
      <c r="C1316" s="5" t="str">
        <f>"83645"</f>
        <v>83645</v>
      </c>
      <c r="D1316" s="5" t="s">
        <v>6477</v>
      </c>
      <c r="E1316" s="5">
        <v>20192779333</v>
      </c>
      <c r="F1316" s="5" t="s">
        <v>6478</v>
      </c>
      <c r="G1316" s="5" t="s">
        <v>6479</v>
      </c>
      <c r="H1316" s="5" t="s">
        <v>292</v>
      </c>
      <c r="I1316" s="5" t="s">
        <v>4050</v>
      </c>
      <c r="J1316" s="5" t="s">
        <v>6480</v>
      </c>
      <c r="K1316" s="5" t="s">
        <v>4008</v>
      </c>
      <c r="L1316" s="5" t="s">
        <v>4008</v>
      </c>
      <c r="M1316" s="5"/>
      <c r="N1316" s="5"/>
      <c r="O1316" s="5"/>
      <c r="P1316" s="5"/>
      <c r="Q1316" s="5"/>
      <c r="R1316" s="5"/>
      <c r="S1316" s="5"/>
      <c r="T1316" s="5"/>
      <c r="U1316" s="5">
        <v>60000</v>
      </c>
      <c r="V1316" s="6">
        <v>41914</v>
      </c>
      <c r="W1316" s="5" t="s">
        <v>31</v>
      </c>
      <c r="X1316" s="5" t="s">
        <v>6481</v>
      </c>
    </row>
    <row r="1317" spans="1:24" ht="27.95" x14ac:dyDescent="0.3">
      <c r="A1317" s="3">
        <v>1311</v>
      </c>
      <c r="B1317" s="3" t="str">
        <f>"1482926"</f>
        <v>1482926</v>
      </c>
      <c r="C1317" s="3" t="str">
        <f>"1420"</f>
        <v>1420</v>
      </c>
      <c r="D1317" s="3" t="s">
        <v>6482</v>
      </c>
      <c r="E1317" s="3">
        <v>20224748711</v>
      </c>
      <c r="F1317" s="3" t="s">
        <v>6483</v>
      </c>
      <c r="G1317" s="3" t="s">
        <v>6484</v>
      </c>
      <c r="H1317" s="3" t="s">
        <v>285</v>
      </c>
      <c r="I1317" s="3" t="s">
        <v>286</v>
      </c>
      <c r="J1317" s="3" t="s">
        <v>470</v>
      </c>
      <c r="K1317" s="3" t="s">
        <v>6485</v>
      </c>
      <c r="L1317" s="3" t="s">
        <v>6486</v>
      </c>
      <c r="M1317" s="3" t="s">
        <v>6487</v>
      </c>
      <c r="N1317" s="3"/>
      <c r="O1317" s="3"/>
      <c r="P1317" s="3"/>
      <c r="Q1317" s="3"/>
      <c r="R1317" s="3"/>
      <c r="S1317" s="3"/>
      <c r="T1317" s="3"/>
      <c r="U1317" s="3">
        <v>523082</v>
      </c>
      <c r="V1317" s="4">
        <v>40696</v>
      </c>
      <c r="W1317" s="3" t="s">
        <v>31</v>
      </c>
      <c r="X1317" s="3" t="s">
        <v>6488</v>
      </c>
    </row>
    <row r="1318" spans="1:24" ht="27.95" x14ac:dyDescent="0.3">
      <c r="A1318" s="5">
        <v>1312</v>
      </c>
      <c r="B1318" s="5" t="str">
        <f>"201700051217"</f>
        <v>201700051217</v>
      </c>
      <c r="C1318" s="5" t="str">
        <f>"125137"</f>
        <v>125137</v>
      </c>
      <c r="D1318" s="5" t="s">
        <v>6489</v>
      </c>
      <c r="E1318" s="5">
        <v>20423081709</v>
      </c>
      <c r="F1318" s="5" t="s">
        <v>6490</v>
      </c>
      <c r="G1318" s="5" t="s">
        <v>6491</v>
      </c>
      <c r="H1318" s="5" t="s">
        <v>28</v>
      </c>
      <c r="I1318" s="5" t="s">
        <v>28</v>
      </c>
      <c r="J1318" s="5" t="s">
        <v>1432</v>
      </c>
      <c r="K1318" s="5" t="s">
        <v>110</v>
      </c>
      <c r="L1318" s="5"/>
      <c r="M1318" s="5"/>
      <c r="N1318" s="5"/>
      <c r="O1318" s="5"/>
      <c r="P1318" s="5"/>
      <c r="Q1318" s="5"/>
      <c r="R1318" s="5"/>
      <c r="S1318" s="5"/>
      <c r="T1318" s="5"/>
      <c r="U1318" s="5">
        <v>4000</v>
      </c>
      <c r="V1318" s="6">
        <v>42843</v>
      </c>
      <c r="W1318" s="5" t="s">
        <v>31</v>
      </c>
      <c r="X1318" s="5" t="s">
        <v>6492</v>
      </c>
    </row>
    <row r="1319" spans="1:24" ht="27.95" x14ac:dyDescent="0.3">
      <c r="A1319" s="3">
        <v>1313</v>
      </c>
      <c r="B1319" s="3" t="str">
        <f>"201200042682"</f>
        <v>201200042682</v>
      </c>
      <c r="C1319" s="3" t="str">
        <f>"16168"</f>
        <v>16168</v>
      </c>
      <c r="D1319" s="3" t="s">
        <v>6493</v>
      </c>
      <c r="E1319" s="3">
        <v>20216293593</v>
      </c>
      <c r="F1319" s="3" t="s">
        <v>6494</v>
      </c>
      <c r="G1319" s="3" t="s">
        <v>6495</v>
      </c>
      <c r="H1319" s="3" t="s">
        <v>51</v>
      </c>
      <c r="I1319" s="3" t="s">
        <v>52</v>
      </c>
      <c r="J1319" s="3" t="s">
        <v>1050</v>
      </c>
      <c r="K1319" s="3" t="s">
        <v>6496</v>
      </c>
      <c r="L1319" s="3" t="s">
        <v>6497</v>
      </c>
      <c r="M1319" s="3"/>
      <c r="N1319" s="3"/>
      <c r="O1319" s="3"/>
      <c r="P1319" s="3"/>
      <c r="Q1319" s="3"/>
      <c r="R1319" s="3"/>
      <c r="S1319" s="3"/>
      <c r="T1319" s="3"/>
      <c r="U1319" s="3">
        <v>419210</v>
      </c>
      <c r="V1319" s="4">
        <v>41015</v>
      </c>
      <c r="W1319" s="3" t="s">
        <v>31</v>
      </c>
      <c r="X1319" s="3" t="s">
        <v>6498</v>
      </c>
    </row>
    <row r="1320" spans="1:24" x14ac:dyDescent="0.3">
      <c r="A1320" s="5">
        <v>1314</v>
      </c>
      <c r="B1320" s="5" t="str">
        <f>"201500081812"</f>
        <v>201500081812</v>
      </c>
      <c r="C1320" s="5" t="str">
        <f>"116070"</f>
        <v>116070</v>
      </c>
      <c r="D1320" s="5" t="s">
        <v>6499</v>
      </c>
      <c r="E1320" s="5">
        <v>20297885538</v>
      </c>
      <c r="F1320" s="5" t="s">
        <v>6500</v>
      </c>
      <c r="G1320" s="5" t="s">
        <v>6501</v>
      </c>
      <c r="H1320" s="5" t="s">
        <v>28</v>
      </c>
      <c r="I1320" s="5" t="s">
        <v>28</v>
      </c>
      <c r="J1320" s="5" t="s">
        <v>1824</v>
      </c>
      <c r="K1320" s="5" t="s">
        <v>110</v>
      </c>
      <c r="L1320" s="5" t="s">
        <v>110</v>
      </c>
      <c r="M1320" s="5"/>
      <c r="N1320" s="5"/>
      <c r="O1320" s="5"/>
      <c r="P1320" s="5"/>
      <c r="Q1320" s="5"/>
      <c r="R1320" s="5"/>
      <c r="S1320" s="5"/>
      <c r="T1320" s="5"/>
      <c r="U1320" s="5">
        <v>8000</v>
      </c>
      <c r="V1320" s="6">
        <v>42261</v>
      </c>
      <c r="W1320" s="5" t="s">
        <v>31</v>
      </c>
      <c r="X1320" s="5" t="s">
        <v>6502</v>
      </c>
    </row>
    <row r="1321" spans="1:24" ht="27.95" x14ac:dyDescent="0.3">
      <c r="A1321" s="3">
        <v>1315</v>
      </c>
      <c r="B1321" s="3" t="str">
        <f>"201500021295"</f>
        <v>201500021295</v>
      </c>
      <c r="C1321" s="3" t="str">
        <f>"365"</f>
        <v>365</v>
      </c>
      <c r="D1321" s="3" t="s">
        <v>6503</v>
      </c>
      <c r="E1321" s="3">
        <v>20104498044</v>
      </c>
      <c r="F1321" s="3" t="s">
        <v>6504</v>
      </c>
      <c r="G1321" s="3" t="s">
        <v>6505</v>
      </c>
      <c r="H1321" s="3" t="s">
        <v>135</v>
      </c>
      <c r="I1321" s="3" t="s">
        <v>402</v>
      </c>
      <c r="J1321" s="3" t="s">
        <v>403</v>
      </c>
      <c r="K1321" s="3" t="s">
        <v>6506</v>
      </c>
      <c r="L1321" s="3" t="s">
        <v>6507</v>
      </c>
      <c r="M1321" s="3"/>
      <c r="N1321" s="3"/>
      <c r="O1321" s="3"/>
      <c r="P1321" s="3"/>
      <c r="Q1321" s="3"/>
      <c r="R1321" s="3"/>
      <c r="S1321" s="3"/>
      <c r="T1321" s="3"/>
      <c r="U1321" s="3">
        <v>8360</v>
      </c>
      <c r="V1321" s="4">
        <v>42069</v>
      </c>
      <c r="W1321" s="3" t="s">
        <v>31</v>
      </c>
      <c r="X1321" s="3" t="s">
        <v>6508</v>
      </c>
    </row>
    <row r="1322" spans="1:24" x14ac:dyDescent="0.3">
      <c r="A1322" s="5">
        <v>1316</v>
      </c>
      <c r="B1322" s="5" t="str">
        <f>"201600008113"</f>
        <v>201600008113</v>
      </c>
      <c r="C1322" s="5" t="str">
        <f>"119518"</f>
        <v>119518</v>
      </c>
      <c r="D1322" s="5" t="s">
        <v>6509</v>
      </c>
      <c r="E1322" s="5">
        <v>20516488973</v>
      </c>
      <c r="F1322" s="5" t="s">
        <v>6510</v>
      </c>
      <c r="G1322" s="5" t="s">
        <v>6511</v>
      </c>
      <c r="H1322" s="5" t="s">
        <v>28</v>
      </c>
      <c r="I1322" s="5" t="s">
        <v>667</v>
      </c>
      <c r="J1322" s="5" t="s">
        <v>6512</v>
      </c>
      <c r="K1322" s="5" t="s">
        <v>110</v>
      </c>
      <c r="L1322" s="5" t="s">
        <v>110</v>
      </c>
      <c r="M1322" s="5"/>
      <c r="N1322" s="5"/>
      <c r="O1322" s="5"/>
      <c r="P1322" s="5"/>
      <c r="Q1322" s="5"/>
      <c r="R1322" s="5"/>
      <c r="S1322" s="5"/>
      <c r="T1322" s="5"/>
      <c r="U1322" s="5">
        <v>8000</v>
      </c>
      <c r="V1322" s="6">
        <v>42458</v>
      </c>
      <c r="W1322" s="5" t="s">
        <v>31</v>
      </c>
      <c r="X1322" s="5" t="s">
        <v>6513</v>
      </c>
    </row>
    <row r="1323" spans="1:24" x14ac:dyDescent="0.3">
      <c r="A1323" s="3">
        <v>1317</v>
      </c>
      <c r="B1323" s="3" t="str">
        <f>"1110287"</f>
        <v>1110287</v>
      </c>
      <c r="C1323" s="3" t="str">
        <f>"168"</f>
        <v>168</v>
      </c>
      <c r="D1323" s="3">
        <v>960884</v>
      </c>
      <c r="E1323" s="3">
        <v>20100011451</v>
      </c>
      <c r="F1323" s="3" t="s">
        <v>6514</v>
      </c>
      <c r="G1323" s="3" t="s">
        <v>6515</v>
      </c>
      <c r="H1323" s="3" t="s">
        <v>115</v>
      </c>
      <c r="I1323" s="3" t="s">
        <v>115</v>
      </c>
      <c r="J1323" s="3" t="s">
        <v>159</v>
      </c>
      <c r="K1323" s="3" t="s">
        <v>421</v>
      </c>
      <c r="L1323" s="3" t="s">
        <v>341</v>
      </c>
      <c r="M1323" s="3"/>
      <c r="N1323" s="3"/>
      <c r="O1323" s="3"/>
      <c r="P1323" s="3"/>
      <c r="Q1323" s="3"/>
      <c r="R1323" s="3"/>
      <c r="S1323" s="3"/>
      <c r="T1323" s="3"/>
      <c r="U1323" s="3">
        <v>12000</v>
      </c>
      <c r="V1323" s="4">
        <v>35529</v>
      </c>
      <c r="W1323" s="3" t="s">
        <v>31</v>
      </c>
      <c r="X1323" s="3" t="s">
        <v>6516</v>
      </c>
    </row>
    <row r="1324" spans="1:24" x14ac:dyDescent="0.3">
      <c r="A1324" s="5">
        <v>1318</v>
      </c>
      <c r="B1324" s="5" t="str">
        <f>"201800085704"</f>
        <v>201800085704</v>
      </c>
      <c r="C1324" s="5" t="str">
        <f>"136400"</f>
        <v>136400</v>
      </c>
      <c r="D1324" s="5" t="s">
        <v>6517</v>
      </c>
      <c r="E1324" s="5">
        <v>20153408191</v>
      </c>
      <c r="F1324" s="5" t="s">
        <v>6518</v>
      </c>
      <c r="G1324" s="5" t="s">
        <v>6519</v>
      </c>
      <c r="H1324" s="5" t="s">
        <v>28</v>
      </c>
      <c r="I1324" s="5" t="s">
        <v>28</v>
      </c>
      <c r="J1324" s="5" t="s">
        <v>558</v>
      </c>
      <c r="K1324" s="5" t="s">
        <v>515</v>
      </c>
      <c r="L1324" s="5"/>
      <c r="M1324" s="5"/>
      <c r="N1324" s="5"/>
      <c r="O1324" s="5"/>
      <c r="P1324" s="5"/>
      <c r="Q1324" s="5"/>
      <c r="R1324" s="5"/>
      <c r="S1324" s="5"/>
      <c r="T1324" s="5"/>
      <c r="U1324" s="5">
        <v>1000</v>
      </c>
      <c r="V1324" s="6">
        <v>43268</v>
      </c>
      <c r="W1324" s="5" t="s">
        <v>31</v>
      </c>
      <c r="X1324" s="5" t="s">
        <v>6520</v>
      </c>
    </row>
    <row r="1325" spans="1:24" x14ac:dyDescent="0.3">
      <c r="A1325" s="3">
        <v>1319</v>
      </c>
      <c r="B1325" s="3" t="str">
        <f>"202000037233"</f>
        <v>202000037233</v>
      </c>
      <c r="C1325" s="3" t="str">
        <f>"136919"</f>
        <v>136919</v>
      </c>
      <c r="D1325" s="3" t="s">
        <v>6521</v>
      </c>
      <c r="E1325" s="3">
        <v>20500854651</v>
      </c>
      <c r="F1325" s="3" t="s">
        <v>6522</v>
      </c>
      <c r="G1325" s="3" t="s">
        <v>6523</v>
      </c>
      <c r="H1325" s="3" t="s">
        <v>214</v>
      </c>
      <c r="I1325" s="3" t="s">
        <v>1668</v>
      </c>
      <c r="J1325" s="3" t="s">
        <v>1669</v>
      </c>
      <c r="K1325" s="3" t="s">
        <v>6524</v>
      </c>
      <c r="L1325" s="3" t="s">
        <v>6524</v>
      </c>
      <c r="M1325" s="3" t="s">
        <v>6524</v>
      </c>
      <c r="N1325" s="3"/>
      <c r="O1325" s="3"/>
      <c r="P1325" s="3"/>
      <c r="Q1325" s="3"/>
      <c r="R1325" s="3"/>
      <c r="S1325" s="3"/>
      <c r="T1325" s="3"/>
      <c r="U1325" s="3">
        <v>45000</v>
      </c>
      <c r="V1325" s="4">
        <v>43892</v>
      </c>
      <c r="W1325" s="3" t="s">
        <v>31</v>
      </c>
      <c r="X1325" s="3" t="s">
        <v>6525</v>
      </c>
    </row>
    <row r="1326" spans="1:24" x14ac:dyDescent="0.3">
      <c r="A1326" s="5">
        <v>1320</v>
      </c>
      <c r="B1326" s="5" t="str">
        <f>"1887418"</f>
        <v>1887418</v>
      </c>
      <c r="C1326" s="5" t="str">
        <f>"44531"</f>
        <v>44531</v>
      </c>
      <c r="D1326" s="5" t="s">
        <v>6526</v>
      </c>
      <c r="E1326" s="5">
        <v>20131016639</v>
      </c>
      <c r="F1326" s="5" t="s">
        <v>3925</v>
      </c>
      <c r="G1326" s="5" t="s">
        <v>6527</v>
      </c>
      <c r="H1326" s="5" t="s">
        <v>51</v>
      </c>
      <c r="I1326" s="5" t="s">
        <v>51</v>
      </c>
      <c r="J1326" s="5" t="s">
        <v>957</v>
      </c>
      <c r="K1326" s="5" t="s">
        <v>6528</v>
      </c>
      <c r="L1326" s="5"/>
      <c r="M1326" s="5"/>
      <c r="N1326" s="5"/>
      <c r="O1326" s="5"/>
      <c r="P1326" s="5"/>
      <c r="Q1326" s="5"/>
      <c r="R1326" s="5"/>
      <c r="S1326" s="5"/>
      <c r="T1326" s="5"/>
      <c r="U1326" s="5">
        <v>7980</v>
      </c>
      <c r="V1326" s="6">
        <v>39947</v>
      </c>
      <c r="W1326" s="5" t="s">
        <v>31</v>
      </c>
      <c r="X1326" s="5" t="s">
        <v>6529</v>
      </c>
    </row>
    <row r="1327" spans="1:24" x14ac:dyDescent="0.3">
      <c r="A1327" s="3">
        <v>1321</v>
      </c>
      <c r="B1327" s="3" t="str">
        <f>"202000146166"</f>
        <v>202000146166</v>
      </c>
      <c r="C1327" s="3" t="str">
        <f>"151793"</f>
        <v>151793</v>
      </c>
      <c r="D1327" s="3" t="s">
        <v>6530</v>
      </c>
      <c r="E1327" s="3">
        <v>10249909667</v>
      </c>
      <c r="F1327" s="3" t="s">
        <v>6531</v>
      </c>
      <c r="G1327" s="3" t="s">
        <v>6532</v>
      </c>
      <c r="H1327" s="3" t="s">
        <v>165</v>
      </c>
      <c r="I1327" s="3" t="s">
        <v>166</v>
      </c>
      <c r="J1327" s="3" t="s">
        <v>165</v>
      </c>
      <c r="K1327" s="3" t="s">
        <v>198</v>
      </c>
      <c r="L1327" s="3"/>
      <c r="M1327" s="3"/>
      <c r="N1327" s="3"/>
      <c r="O1327" s="3"/>
      <c r="P1327" s="3"/>
      <c r="Q1327" s="3"/>
      <c r="R1327" s="3"/>
      <c r="S1327" s="3"/>
      <c r="T1327" s="3"/>
      <c r="U1327" s="3">
        <v>9000</v>
      </c>
      <c r="V1327" s="4">
        <v>44123</v>
      </c>
      <c r="W1327" s="3" t="s">
        <v>31</v>
      </c>
      <c r="X1327" s="3" t="s">
        <v>6531</v>
      </c>
    </row>
    <row r="1328" spans="1:24" ht="27.95" x14ac:dyDescent="0.3">
      <c r="A1328" s="5">
        <v>1322</v>
      </c>
      <c r="B1328" s="5" t="str">
        <f>"201500174659"</f>
        <v>201500174659</v>
      </c>
      <c r="C1328" s="5" t="str">
        <f>"38741"</f>
        <v>38741</v>
      </c>
      <c r="D1328" s="5" t="s">
        <v>6533</v>
      </c>
      <c r="E1328" s="5">
        <v>20600346149</v>
      </c>
      <c r="F1328" s="5" t="s">
        <v>6534</v>
      </c>
      <c r="G1328" s="5" t="s">
        <v>6535</v>
      </c>
      <c r="H1328" s="5" t="s">
        <v>28</v>
      </c>
      <c r="I1328" s="5" t="s">
        <v>28</v>
      </c>
      <c r="J1328" s="5" t="s">
        <v>687</v>
      </c>
      <c r="K1328" s="5" t="s">
        <v>6536</v>
      </c>
      <c r="L1328" s="5" t="s">
        <v>6537</v>
      </c>
      <c r="M1328" s="5" t="s">
        <v>6538</v>
      </c>
      <c r="N1328" s="5" t="s">
        <v>6539</v>
      </c>
      <c r="O1328" s="5" t="s">
        <v>6540</v>
      </c>
      <c r="P1328" s="5" t="s">
        <v>6541</v>
      </c>
      <c r="Q1328" s="5"/>
      <c r="R1328" s="5"/>
      <c r="S1328" s="5"/>
      <c r="T1328" s="5"/>
      <c r="U1328" s="5">
        <v>251389</v>
      </c>
      <c r="V1328" s="6">
        <v>42373</v>
      </c>
      <c r="W1328" s="5" t="s">
        <v>31</v>
      </c>
      <c r="X1328" s="5" t="s">
        <v>6542</v>
      </c>
    </row>
    <row r="1329" spans="1:24" ht="27.95" x14ac:dyDescent="0.3">
      <c r="A1329" s="3">
        <v>1323</v>
      </c>
      <c r="B1329" s="3" t="str">
        <f>"1265916"</f>
        <v>1265916</v>
      </c>
      <c r="C1329" s="3" t="str">
        <f>"18254"</f>
        <v>18254</v>
      </c>
      <c r="D1329" s="3" t="s">
        <v>6543</v>
      </c>
      <c r="E1329" s="3">
        <v>20102708394</v>
      </c>
      <c r="F1329" s="3" t="s">
        <v>6544</v>
      </c>
      <c r="G1329" s="3" t="s">
        <v>6545</v>
      </c>
      <c r="H1329" s="3" t="s">
        <v>80</v>
      </c>
      <c r="I1329" s="3" t="s">
        <v>3606</v>
      </c>
      <c r="J1329" s="3" t="s">
        <v>3607</v>
      </c>
      <c r="K1329" s="3" t="s">
        <v>5259</v>
      </c>
      <c r="L1329" s="3" t="s">
        <v>6546</v>
      </c>
      <c r="M1329" s="3"/>
      <c r="N1329" s="3"/>
      <c r="O1329" s="3"/>
      <c r="P1329" s="3"/>
      <c r="Q1329" s="3"/>
      <c r="R1329" s="3"/>
      <c r="S1329" s="3"/>
      <c r="T1329" s="3"/>
      <c r="U1329" s="3">
        <v>25420</v>
      </c>
      <c r="V1329" s="4">
        <v>36514</v>
      </c>
      <c r="W1329" s="3" t="s">
        <v>31</v>
      </c>
      <c r="X1329" s="3" t="s">
        <v>6547</v>
      </c>
    </row>
    <row r="1330" spans="1:24" x14ac:dyDescent="0.3">
      <c r="A1330" s="5">
        <v>1324</v>
      </c>
      <c r="B1330" s="5" t="str">
        <f>"1887420"</f>
        <v>1887420</v>
      </c>
      <c r="C1330" s="5" t="str">
        <f>"34159"</f>
        <v>34159</v>
      </c>
      <c r="D1330" s="5" t="s">
        <v>6548</v>
      </c>
      <c r="E1330" s="5">
        <v>20131016639</v>
      </c>
      <c r="F1330" s="5" t="s">
        <v>6549</v>
      </c>
      <c r="G1330" s="5" t="s">
        <v>6527</v>
      </c>
      <c r="H1330" s="5" t="s">
        <v>51</v>
      </c>
      <c r="I1330" s="5" t="s">
        <v>51</v>
      </c>
      <c r="J1330" s="5" t="s">
        <v>957</v>
      </c>
      <c r="K1330" s="5" t="s">
        <v>5157</v>
      </c>
      <c r="L1330" s="5" t="s">
        <v>460</v>
      </c>
      <c r="M1330" s="5"/>
      <c r="N1330" s="5"/>
      <c r="O1330" s="5"/>
      <c r="P1330" s="5"/>
      <c r="Q1330" s="5"/>
      <c r="R1330" s="5"/>
      <c r="S1330" s="5"/>
      <c r="T1330" s="5"/>
      <c r="U1330" s="5">
        <v>20000</v>
      </c>
      <c r="V1330" s="6">
        <v>39947</v>
      </c>
      <c r="W1330" s="5" t="s">
        <v>31</v>
      </c>
      <c r="X1330" s="5" t="s">
        <v>6529</v>
      </c>
    </row>
    <row r="1331" spans="1:24" x14ac:dyDescent="0.3">
      <c r="A1331" s="3">
        <v>1325</v>
      </c>
      <c r="B1331" s="3" t="str">
        <f>"1771052"</f>
        <v>1771052</v>
      </c>
      <c r="C1331" s="3" t="str">
        <f>"62439"</f>
        <v>62439</v>
      </c>
      <c r="D1331" s="3" t="s">
        <v>6550</v>
      </c>
      <c r="E1331" s="3">
        <v>20257174493</v>
      </c>
      <c r="F1331" s="3" t="s">
        <v>6551</v>
      </c>
      <c r="G1331" s="3" t="s">
        <v>6552</v>
      </c>
      <c r="H1331" s="3" t="s">
        <v>135</v>
      </c>
      <c r="I1331" s="3" t="s">
        <v>943</v>
      </c>
      <c r="J1331" s="3" t="s">
        <v>944</v>
      </c>
      <c r="K1331" s="3" t="s">
        <v>6553</v>
      </c>
      <c r="L1331" s="3" t="s">
        <v>6554</v>
      </c>
      <c r="M1331" s="3"/>
      <c r="N1331" s="3"/>
      <c r="O1331" s="3"/>
      <c r="P1331" s="3"/>
      <c r="Q1331" s="3"/>
      <c r="R1331" s="3"/>
      <c r="S1331" s="3"/>
      <c r="T1331" s="3"/>
      <c r="U1331" s="3">
        <v>8404</v>
      </c>
      <c r="V1331" s="4">
        <v>39533</v>
      </c>
      <c r="W1331" s="3" t="s">
        <v>31</v>
      </c>
      <c r="X1331" s="3" t="s">
        <v>6555</v>
      </c>
    </row>
    <row r="1332" spans="1:24" x14ac:dyDescent="0.3">
      <c r="A1332" s="5">
        <v>1326</v>
      </c>
      <c r="B1332" s="5" t="str">
        <f>"1513880"</f>
        <v>1513880</v>
      </c>
      <c r="C1332" s="5" t="str">
        <f>"15372"</f>
        <v>15372</v>
      </c>
      <c r="D1332" s="5" t="s">
        <v>6556</v>
      </c>
      <c r="E1332" s="5">
        <v>20380336384</v>
      </c>
      <c r="F1332" s="5" t="s">
        <v>6557</v>
      </c>
      <c r="G1332" s="5" t="s">
        <v>6558</v>
      </c>
      <c r="H1332" s="5" t="s">
        <v>285</v>
      </c>
      <c r="I1332" s="5" t="s">
        <v>6559</v>
      </c>
      <c r="J1332" s="5" t="s">
        <v>6560</v>
      </c>
      <c r="K1332" s="5" t="s">
        <v>6561</v>
      </c>
      <c r="L1332" s="5" t="s">
        <v>6561</v>
      </c>
      <c r="M1332" s="5" t="s">
        <v>6562</v>
      </c>
      <c r="N1332" s="5" t="s">
        <v>6562</v>
      </c>
      <c r="O1332" s="5" t="s">
        <v>6561</v>
      </c>
      <c r="P1332" s="5"/>
      <c r="Q1332" s="5"/>
      <c r="R1332" s="5"/>
      <c r="S1332" s="5"/>
      <c r="T1332" s="5"/>
      <c r="U1332" s="5">
        <v>283920</v>
      </c>
      <c r="V1332" s="6">
        <v>38377</v>
      </c>
      <c r="W1332" s="5" t="s">
        <v>31</v>
      </c>
      <c r="X1332" s="5" t="s">
        <v>6563</v>
      </c>
    </row>
    <row r="1333" spans="1:24" x14ac:dyDescent="0.3">
      <c r="A1333" s="3">
        <v>1327</v>
      </c>
      <c r="B1333" s="3" t="str">
        <f>"1119737"</f>
        <v>1119737</v>
      </c>
      <c r="C1333" s="3" t="str">
        <f>"1459"</f>
        <v>1459</v>
      </c>
      <c r="D1333" s="3">
        <v>1000204</v>
      </c>
      <c r="E1333" s="3">
        <v>20161636780</v>
      </c>
      <c r="F1333" s="3" t="s">
        <v>6564</v>
      </c>
      <c r="G1333" s="3" t="s">
        <v>6565</v>
      </c>
      <c r="H1333" s="3" t="s">
        <v>115</v>
      </c>
      <c r="I1333" s="3" t="s">
        <v>115</v>
      </c>
      <c r="J1333" s="3" t="s">
        <v>159</v>
      </c>
      <c r="K1333" s="3" t="s">
        <v>259</v>
      </c>
      <c r="L1333" s="3" t="s">
        <v>259</v>
      </c>
      <c r="M1333" s="3" t="s">
        <v>6566</v>
      </c>
      <c r="N1333" s="3"/>
      <c r="O1333" s="3"/>
      <c r="P1333" s="3"/>
      <c r="Q1333" s="3"/>
      <c r="R1333" s="3"/>
      <c r="S1333" s="3"/>
      <c r="T1333" s="3"/>
      <c r="U1333" s="3">
        <v>21300</v>
      </c>
      <c r="V1333" s="4">
        <v>35571</v>
      </c>
      <c r="W1333" s="3" t="s">
        <v>31</v>
      </c>
      <c r="X1333" s="3" t="s">
        <v>6567</v>
      </c>
    </row>
    <row r="1334" spans="1:24" ht="27.95" x14ac:dyDescent="0.3">
      <c r="A1334" s="5">
        <v>1328</v>
      </c>
      <c r="B1334" s="5" t="str">
        <f>"201600164446"</f>
        <v>201600164446</v>
      </c>
      <c r="C1334" s="5" t="str">
        <f>"124899"</f>
        <v>124899</v>
      </c>
      <c r="D1334" s="5" t="s">
        <v>6568</v>
      </c>
      <c r="E1334" s="5">
        <v>20484479616</v>
      </c>
      <c r="F1334" s="5" t="s">
        <v>6569</v>
      </c>
      <c r="G1334" s="5" t="s">
        <v>6570</v>
      </c>
      <c r="H1334" s="5" t="s">
        <v>165</v>
      </c>
      <c r="I1334" s="5" t="s">
        <v>2330</v>
      </c>
      <c r="J1334" s="5" t="s">
        <v>2330</v>
      </c>
      <c r="K1334" s="5" t="s">
        <v>6571</v>
      </c>
      <c r="L1334" s="5"/>
      <c r="M1334" s="5"/>
      <c r="N1334" s="5"/>
      <c r="O1334" s="5"/>
      <c r="P1334" s="5"/>
      <c r="Q1334" s="5"/>
      <c r="R1334" s="5"/>
      <c r="S1334" s="5"/>
      <c r="T1334" s="5"/>
      <c r="U1334" s="5">
        <v>5267</v>
      </c>
      <c r="V1334" s="6">
        <v>42714</v>
      </c>
      <c r="W1334" s="5" t="s">
        <v>31</v>
      </c>
      <c r="X1334" s="5" t="s">
        <v>6572</v>
      </c>
    </row>
    <row r="1335" spans="1:24" x14ac:dyDescent="0.3">
      <c r="A1335" s="3">
        <v>1329</v>
      </c>
      <c r="B1335" s="3" t="str">
        <f>"201400002464"</f>
        <v>201400002464</v>
      </c>
      <c r="C1335" s="3" t="str">
        <f>"105278"</f>
        <v>105278</v>
      </c>
      <c r="D1335" s="3" t="s">
        <v>6573</v>
      </c>
      <c r="E1335" s="3">
        <v>20100008239</v>
      </c>
      <c r="F1335" s="3" t="s">
        <v>6574</v>
      </c>
      <c r="G1335" s="3" t="s">
        <v>6575</v>
      </c>
      <c r="H1335" s="3" t="s">
        <v>115</v>
      </c>
      <c r="I1335" s="3" t="s">
        <v>115</v>
      </c>
      <c r="J1335" s="3" t="s">
        <v>159</v>
      </c>
      <c r="K1335" s="3" t="s">
        <v>6576</v>
      </c>
      <c r="L1335" s="3"/>
      <c r="M1335" s="3"/>
      <c r="N1335" s="3"/>
      <c r="O1335" s="3"/>
      <c r="P1335" s="3"/>
      <c r="Q1335" s="3"/>
      <c r="R1335" s="3"/>
      <c r="S1335" s="3"/>
      <c r="T1335" s="3"/>
      <c r="U1335" s="3">
        <v>3910</v>
      </c>
      <c r="V1335" s="4">
        <v>41660</v>
      </c>
      <c r="W1335" s="3" t="s">
        <v>31</v>
      </c>
      <c r="X1335" s="3" t="s">
        <v>6577</v>
      </c>
    </row>
    <row r="1336" spans="1:24" ht="27.95" x14ac:dyDescent="0.3">
      <c r="A1336" s="5">
        <v>1330</v>
      </c>
      <c r="B1336" s="5" t="str">
        <f>"202000023993"</f>
        <v>202000023993</v>
      </c>
      <c r="C1336" s="5" t="str">
        <f>"149188"</f>
        <v>149188</v>
      </c>
      <c r="D1336" s="5" t="s">
        <v>6578</v>
      </c>
      <c r="E1336" s="5">
        <v>20531320060</v>
      </c>
      <c r="F1336" s="5" t="s">
        <v>6579</v>
      </c>
      <c r="G1336" s="5" t="s">
        <v>6580</v>
      </c>
      <c r="H1336" s="5" t="s">
        <v>373</v>
      </c>
      <c r="I1336" s="5" t="s">
        <v>2179</v>
      </c>
      <c r="J1336" s="5" t="s">
        <v>2179</v>
      </c>
      <c r="K1336" s="5" t="s">
        <v>2856</v>
      </c>
      <c r="L1336" s="5"/>
      <c r="M1336" s="5"/>
      <c r="N1336" s="5"/>
      <c r="O1336" s="5"/>
      <c r="P1336" s="5"/>
      <c r="Q1336" s="5"/>
      <c r="R1336" s="5"/>
      <c r="S1336" s="5"/>
      <c r="T1336" s="5"/>
      <c r="U1336" s="5">
        <v>3000</v>
      </c>
      <c r="V1336" s="6">
        <v>43883</v>
      </c>
      <c r="W1336" s="5" t="s">
        <v>31</v>
      </c>
      <c r="X1336" s="5" t="s">
        <v>6581</v>
      </c>
    </row>
    <row r="1337" spans="1:24" ht="27.95" x14ac:dyDescent="0.3">
      <c r="A1337" s="3">
        <v>1331</v>
      </c>
      <c r="B1337" s="3" t="str">
        <f>"201800154519"</f>
        <v>201800154519</v>
      </c>
      <c r="C1337" s="3" t="str">
        <f>"138665"</f>
        <v>138665</v>
      </c>
      <c r="D1337" s="3" t="s">
        <v>6582</v>
      </c>
      <c r="E1337" s="3">
        <v>20100228191</v>
      </c>
      <c r="F1337" s="3" t="s">
        <v>6583</v>
      </c>
      <c r="G1337" s="3" t="s">
        <v>6584</v>
      </c>
      <c r="H1337" s="3" t="s">
        <v>51</v>
      </c>
      <c r="I1337" s="3" t="s">
        <v>815</v>
      </c>
      <c r="J1337" s="3" t="s">
        <v>6585</v>
      </c>
      <c r="K1337" s="3" t="s">
        <v>168</v>
      </c>
      <c r="L1337" s="3" t="s">
        <v>168</v>
      </c>
      <c r="M1337" s="3" t="s">
        <v>168</v>
      </c>
      <c r="N1337" s="3" t="s">
        <v>168</v>
      </c>
      <c r="O1337" s="3"/>
      <c r="P1337" s="3"/>
      <c r="Q1337" s="3"/>
      <c r="R1337" s="3"/>
      <c r="S1337" s="3"/>
      <c r="T1337" s="3"/>
      <c r="U1337" s="3">
        <v>40000</v>
      </c>
      <c r="V1337" s="4">
        <v>43366</v>
      </c>
      <c r="W1337" s="3" t="s">
        <v>31</v>
      </c>
      <c r="X1337" s="3" t="s">
        <v>6586</v>
      </c>
    </row>
    <row r="1338" spans="1:24" x14ac:dyDescent="0.3">
      <c r="A1338" s="5">
        <v>1332</v>
      </c>
      <c r="B1338" s="5" t="str">
        <f>"1116355"</f>
        <v>1116355</v>
      </c>
      <c r="C1338" s="5" t="str">
        <f>"639"</f>
        <v>639</v>
      </c>
      <c r="D1338" s="5">
        <v>1004198</v>
      </c>
      <c r="E1338" s="5">
        <v>20195436925</v>
      </c>
      <c r="F1338" s="5" t="s">
        <v>6587</v>
      </c>
      <c r="G1338" s="5" t="s">
        <v>6588</v>
      </c>
      <c r="H1338" s="5" t="s">
        <v>28</v>
      </c>
      <c r="I1338" s="5" t="s">
        <v>28</v>
      </c>
      <c r="J1338" s="5" t="s">
        <v>266</v>
      </c>
      <c r="K1338" s="5" t="s">
        <v>1259</v>
      </c>
      <c r="L1338" s="5" t="s">
        <v>1259</v>
      </c>
      <c r="M1338" s="5"/>
      <c r="N1338" s="5"/>
      <c r="O1338" s="5"/>
      <c r="P1338" s="5"/>
      <c r="Q1338" s="5"/>
      <c r="R1338" s="5"/>
      <c r="S1338" s="5"/>
      <c r="T1338" s="5"/>
      <c r="U1338" s="5">
        <v>2000</v>
      </c>
      <c r="V1338" s="6">
        <v>35535</v>
      </c>
      <c r="W1338" s="5" t="s">
        <v>31</v>
      </c>
      <c r="X1338" s="5" t="s">
        <v>6589</v>
      </c>
    </row>
    <row r="1339" spans="1:24" x14ac:dyDescent="0.3">
      <c r="A1339" s="3">
        <v>1333</v>
      </c>
      <c r="B1339" s="3" t="str">
        <f>"201900210026"</f>
        <v>201900210026</v>
      </c>
      <c r="C1339" s="3" t="str">
        <f>"43337"</f>
        <v>43337</v>
      </c>
      <c r="D1339" s="3" t="s">
        <v>6590</v>
      </c>
      <c r="E1339" s="3">
        <v>20100046831</v>
      </c>
      <c r="F1339" s="3" t="s">
        <v>6591</v>
      </c>
      <c r="G1339" s="3" t="s">
        <v>6592</v>
      </c>
      <c r="H1339" s="3" t="s">
        <v>28</v>
      </c>
      <c r="I1339" s="3" t="s">
        <v>28</v>
      </c>
      <c r="J1339" s="3" t="s">
        <v>91</v>
      </c>
      <c r="K1339" s="3" t="s">
        <v>1872</v>
      </c>
      <c r="L1339" s="3" t="s">
        <v>1872</v>
      </c>
      <c r="M1339" s="3" t="s">
        <v>1872</v>
      </c>
      <c r="N1339" s="3" t="s">
        <v>1872</v>
      </c>
      <c r="O1339" s="3" t="s">
        <v>1872</v>
      </c>
      <c r="P1339" s="3" t="s">
        <v>1872</v>
      </c>
      <c r="Q1339" s="3"/>
      <c r="R1339" s="3"/>
      <c r="S1339" s="3"/>
      <c r="T1339" s="3"/>
      <c r="U1339" s="3">
        <v>30000</v>
      </c>
      <c r="V1339" s="4">
        <v>43821</v>
      </c>
      <c r="W1339" s="3" t="s">
        <v>31</v>
      </c>
      <c r="X1339" s="3" t="s">
        <v>6593</v>
      </c>
    </row>
    <row r="1340" spans="1:24" x14ac:dyDescent="0.3">
      <c r="A1340" s="5">
        <v>1334</v>
      </c>
      <c r="B1340" s="5" t="str">
        <f>"1513877"</f>
        <v>1513877</v>
      </c>
      <c r="C1340" s="5" t="str">
        <f>"1498"</f>
        <v>1498</v>
      </c>
      <c r="D1340" s="5" t="s">
        <v>6594</v>
      </c>
      <c r="E1340" s="5">
        <v>20224748711</v>
      </c>
      <c r="F1340" s="5" t="s">
        <v>3858</v>
      </c>
      <c r="G1340" s="5" t="s">
        <v>6595</v>
      </c>
      <c r="H1340" s="5" t="s">
        <v>285</v>
      </c>
      <c r="I1340" s="5" t="s">
        <v>6559</v>
      </c>
      <c r="J1340" s="5" t="s">
        <v>6560</v>
      </c>
      <c r="K1340" s="5" t="s">
        <v>6596</v>
      </c>
      <c r="L1340" s="5" t="s">
        <v>6597</v>
      </c>
      <c r="M1340" s="5" t="s">
        <v>6598</v>
      </c>
      <c r="N1340" s="5"/>
      <c r="O1340" s="5"/>
      <c r="P1340" s="5"/>
      <c r="Q1340" s="5"/>
      <c r="R1340" s="5"/>
      <c r="S1340" s="5"/>
      <c r="T1340" s="5"/>
      <c r="U1340" s="5">
        <v>186215</v>
      </c>
      <c r="V1340" s="6">
        <v>38377</v>
      </c>
      <c r="W1340" s="5" t="s">
        <v>31</v>
      </c>
      <c r="X1340" s="5" t="s">
        <v>3865</v>
      </c>
    </row>
    <row r="1341" spans="1:24" x14ac:dyDescent="0.3">
      <c r="A1341" s="3">
        <v>1335</v>
      </c>
      <c r="B1341" s="3" t="str">
        <f>"201700188123"</f>
        <v>201700188123</v>
      </c>
      <c r="C1341" s="3" t="str">
        <f>"132741"</f>
        <v>132741</v>
      </c>
      <c r="D1341" s="3" t="s">
        <v>6599</v>
      </c>
      <c r="E1341" s="3">
        <v>20601212138</v>
      </c>
      <c r="F1341" s="3" t="s">
        <v>6600</v>
      </c>
      <c r="G1341" s="3" t="s">
        <v>6601</v>
      </c>
      <c r="H1341" s="3" t="s">
        <v>165</v>
      </c>
      <c r="I1341" s="3" t="s">
        <v>732</v>
      </c>
      <c r="J1341" s="3" t="s">
        <v>732</v>
      </c>
      <c r="K1341" s="3" t="s">
        <v>168</v>
      </c>
      <c r="L1341" s="3"/>
      <c r="M1341" s="3"/>
      <c r="N1341" s="3"/>
      <c r="O1341" s="3"/>
      <c r="P1341" s="3"/>
      <c r="Q1341" s="3"/>
      <c r="R1341" s="3"/>
      <c r="S1341" s="3"/>
      <c r="T1341" s="3"/>
      <c r="U1341" s="3">
        <v>10000</v>
      </c>
      <c r="V1341" s="4">
        <v>43049</v>
      </c>
      <c r="W1341" s="3" t="s">
        <v>31</v>
      </c>
      <c r="X1341" s="3" t="s">
        <v>6602</v>
      </c>
    </row>
    <row r="1342" spans="1:24" ht="27.95" x14ac:dyDescent="0.3">
      <c r="A1342" s="5">
        <v>1336</v>
      </c>
      <c r="B1342" s="5" t="str">
        <f>"201200144484"</f>
        <v>201200144484</v>
      </c>
      <c r="C1342" s="5" t="str">
        <f>"96758"</f>
        <v>96758</v>
      </c>
      <c r="D1342" s="5" t="s">
        <v>6603</v>
      </c>
      <c r="E1342" s="5">
        <v>20505152221</v>
      </c>
      <c r="F1342" s="5" t="s">
        <v>6604</v>
      </c>
      <c r="G1342" s="5" t="s">
        <v>6605</v>
      </c>
      <c r="H1342" s="5" t="s">
        <v>115</v>
      </c>
      <c r="I1342" s="5" t="s">
        <v>115</v>
      </c>
      <c r="J1342" s="5" t="s">
        <v>116</v>
      </c>
      <c r="K1342" s="5" t="s">
        <v>6606</v>
      </c>
      <c r="L1342" s="5"/>
      <c r="M1342" s="5"/>
      <c r="N1342" s="5"/>
      <c r="O1342" s="5"/>
      <c r="P1342" s="5"/>
      <c r="Q1342" s="5"/>
      <c r="R1342" s="5"/>
      <c r="S1342" s="5"/>
      <c r="T1342" s="5"/>
      <c r="U1342" s="5">
        <v>2812</v>
      </c>
      <c r="V1342" s="6">
        <v>41145</v>
      </c>
      <c r="W1342" s="5" t="s">
        <v>31</v>
      </c>
      <c r="X1342" s="5" t="s">
        <v>6607</v>
      </c>
    </row>
    <row r="1343" spans="1:24" ht="27.95" x14ac:dyDescent="0.3">
      <c r="A1343" s="3">
        <v>1337</v>
      </c>
      <c r="B1343" s="3" t="str">
        <f>"1703734"</f>
        <v>1703734</v>
      </c>
      <c r="C1343" s="3" t="str">
        <f>"45742"</f>
        <v>45742</v>
      </c>
      <c r="D1343" s="3" t="s">
        <v>6608</v>
      </c>
      <c r="E1343" s="3">
        <v>20431122449</v>
      </c>
      <c r="F1343" s="3" t="s">
        <v>6609</v>
      </c>
      <c r="G1343" s="3" t="s">
        <v>6610</v>
      </c>
      <c r="H1343" s="3" t="s">
        <v>28</v>
      </c>
      <c r="I1343" s="3" t="s">
        <v>28</v>
      </c>
      <c r="J1343" s="3" t="s">
        <v>29</v>
      </c>
      <c r="K1343" s="3" t="s">
        <v>6611</v>
      </c>
      <c r="L1343" s="3"/>
      <c r="M1343" s="3"/>
      <c r="N1343" s="3"/>
      <c r="O1343" s="3"/>
      <c r="P1343" s="3"/>
      <c r="Q1343" s="3"/>
      <c r="R1343" s="3"/>
      <c r="S1343" s="3"/>
      <c r="T1343" s="3"/>
      <c r="U1343" s="3">
        <v>2770</v>
      </c>
      <c r="V1343" s="4">
        <v>39302</v>
      </c>
      <c r="W1343" s="3" t="s">
        <v>31</v>
      </c>
      <c r="X1343" s="3" t="s">
        <v>6612</v>
      </c>
    </row>
    <row r="1344" spans="1:24" ht="27.95" x14ac:dyDescent="0.3">
      <c r="A1344" s="5">
        <v>1338</v>
      </c>
      <c r="B1344" s="5" t="str">
        <f>"201600126134"</f>
        <v>201600126134</v>
      </c>
      <c r="C1344" s="5" t="str">
        <f>"156"</f>
        <v>156</v>
      </c>
      <c r="D1344" s="5" t="s">
        <v>6613</v>
      </c>
      <c r="E1344" s="5">
        <v>20100094135</v>
      </c>
      <c r="F1344" s="5" t="s">
        <v>6614</v>
      </c>
      <c r="G1344" s="5" t="s">
        <v>6615</v>
      </c>
      <c r="H1344" s="5" t="s">
        <v>36</v>
      </c>
      <c r="I1344" s="5" t="s">
        <v>234</v>
      </c>
      <c r="J1344" s="5" t="s">
        <v>258</v>
      </c>
      <c r="K1344" s="5" t="s">
        <v>6616</v>
      </c>
      <c r="L1344" s="5" t="s">
        <v>1699</v>
      </c>
      <c r="M1344" s="5" t="s">
        <v>1699</v>
      </c>
      <c r="N1344" s="5" t="s">
        <v>1699</v>
      </c>
      <c r="O1344" s="5"/>
      <c r="P1344" s="5"/>
      <c r="Q1344" s="5"/>
      <c r="R1344" s="5"/>
      <c r="S1344" s="5"/>
      <c r="T1344" s="5"/>
      <c r="U1344" s="5">
        <v>32800</v>
      </c>
      <c r="V1344" s="6">
        <v>42619</v>
      </c>
      <c r="W1344" s="5" t="s">
        <v>31</v>
      </c>
      <c r="X1344" s="5" t="s">
        <v>6617</v>
      </c>
    </row>
    <row r="1345" spans="1:24" x14ac:dyDescent="0.3">
      <c r="A1345" s="3">
        <v>1339</v>
      </c>
      <c r="B1345" s="3" t="str">
        <f>"202000075424"</f>
        <v>202000075424</v>
      </c>
      <c r="C1345" s="3" t="str">
        <f>"1289"</f>
        <v>1289</v>
      </c>
      <c r="D1345" s="3" t="s">
        <v>6618</v>
      </c>
      <c r="E1345" s="3">
        <v>20137025354</v>
      </c>
      <c r="F1345" s="3" t="s">
        <v>6619</v>
      </c>
      <c r="G1345" s="3" t="s">
        <v>6620</v>
      </c>
      <c r="H1345" s="3" t="s">
        <v>36</v>
      </c>
      <c r="I1345" s="3" t="s">
        <v>3208</v>
      </c>
      <c r="J1345" s="3" t="s">
        <v>3208</v>
      </c>
      <c r="K1345" s="3" t="s">
        <v>6621</v>
      </c>
      <c r="L1345" s="3" t="s">
        <v>3181</v>
      </c>
      <c r="M1345" s="3" t="s">
        <v>6622</v>
      </c>
      <c r="N1345" s="3" t="s">
        <v>4775</v>
      </c>
      <c r="O1345" s="3" t="s">
        <v>6623</v>
      </c>
      <c r="P1345" s="3" t="s">
        <v>6624</v>
      </c>
      <c r="Q1345" s="3"/>
      <c r="R1345" s="3"/>
      <c r="S1345" s="3"/>
      <c r="T1345" s="3"/>
      <c r="U1345" s="3">
        <v>187270</v>
      </c>
      <c r="V1345" s="4">
        <v>44015</v>
      </c>
      <c r="W1345" s="3" t="s">
        <v>31</v>
      </c>
      <c r="X1345" s="3" t="s">
        <v>6625</v>
      </c>
    </row>
    <row r="1346" spans="1:24" x14ac:dyDescent="0.3">
      <c r="A1346" s="5">
        <v>1340</v>
      </c>
      <c r="B1346" s="5" t="str">
        <f>"1759626"</f>
        <v>1759626</v>
      </c>
      <c r="C1346" s="5" t="str">
        <f>"62254"</f>
        <v>62254</v>
      </c>
      <c r="D1346" s="5" t="s">
        <v>6626</v>
      </c>
      <c r="E1346" s="5">
        <v>20137843456</v>
      </c>
      <c r="F1346" s="5" t="s">
        <v>6627</v>
      </c>
      <c r="G1346" s="5" t="s">
        <v>6628</v>
      </c>
      <c r="H1346" s="5" t="s">
        <v>28</v>
      </c>
      <c r="I1346" s="5" t="s">
        <v>28</v>
      </c>
      <c r="J1346" s="5" t="s">
        <v>28</v>
      </c>
      <c r="K1346" s="5" t="s">
        <v>46</v>
      </c>
      <c r="L1346" s="5"/>
      <c r="M1346" s="5"/>
      <c r="N1346" s="5"/>
      <c r="O1346" s="5"/>
      <c r="P1346" s="5"/>
      <c r="Q1346" s="5"/>
      <c r="R1346" s="5"/>
      <c r="S1346" s="5"/>
      <c r="T1346" s="5"/>
      <c r="U1346" s="5">
        <v>3000</v>
      </c>
      <c r="V1346" s="6">
        <v>39503</v>
      </c>
      <c r="W1346" s="5" t="s">
        <v>31</v>
      </c>
      <c r="X1346" s="5" t="s">
        <v>6629</v>
      </c>
    </row>
    <row r="1347" spans="1:24" x14ac:dyDescent="0.3">
      <c r="A1347" s="3">
        <v>1341</v>
      </c>
      <c r="B1347" s="3" t="str">
        <f>"1125976"</f>
        <v>1125976</v>
      </c>
      <c r="C1347" s="3" t="str">
        <f>"786"</f>
        <v>786</v>
      </c>
      <c r="D1347" s="3">
        <v>1010819</v>
      </c>
      <c r="E1347" s="3">
        <v>20131505168</v>
      </c>
      <c r="F1347" s="3" t="s">
        <v>6630</v>
      </c>
      <c r="G1347" s="3" t="s">
        <v>6631</v>
      </c>
      <c r="H1347" s="3" t="s">
        <v>36</v>
      </c>
      <c r="I1347" s="3" t="s">
        <v>234</v>
      </c>
      <c r="J1347" s="3" t="s">
        <v>998</v>
      </c>
      <c r="K1347" s="3" t="s">
        <v>1789</v>
      </c>
      <c r="L1347" s="3"/>
      <c r="M1347" s="3"/>
      <c r="N1347" s="3"/>
      <c r="O1347" s="3"/>
      <c r="P1347" s="3"/>
      <c r="Q1347" s="3"/>
      <c r="R1347" s="3"/>
      <c r="S1347" s="3"/>
      <c r="T1347" s="3"/>
      <c r="U1347" s="3">
        <v>2700</v>
      </c>
      <c r="V1347" s="4">
        <v>35653</v>
      </c>
      <c r="W1347" s="3" t="s">
        <v>31</v>
      </c>
      <c r="X1347" s="3" t="s">
        <v>6632</v>
      </c>
    </row>
    <row r="1348" spans="1:24" x14ac:dyDescent="0.3">
      <c r="A1348" s="5">
        <v>1342</v>
      </c>
      <c r="B1348" s="5" t="str">
        <f>"201500043771"</f>
        <v>201500043771</v>
      </c>
      <c r="C1348" s="5" t="str">
        <f>"852"</f>
        <v>852</v>
      </c>
      <c r="D1348" s="5" t="s">
        <v>6633</v>
      </c>
      <c r="E1348" s="5">
        <v>20141784901</v>
      </c>
      <c r="F1348" s="5" t="s">
        <v>6634</v>
      </c>
      <c r="G1348" s="5" t="s">
        <v>6635</v>
      </c>
      <c r="H1348" s="5" t="s">
        <v>264</v>
      </c>
      <c r="I1348" s="5" t="s">
        <v>265</v>
      </c>
      <c r="J1348" s="5" t="s">
        <v>265</v>
      </c>
      <c r="K1348" s="5" t="s">
        <v>3033</v>
      </c>
      <c r="L1348" s="5" t="s">
        <v>3033</v>
      </c>
      <c r="M1348" s="5" t="s">
        <v>6636</v>
      </c>
      <c r="N1348" s="5"/>
      <c r="O1348" s="5"/>
      <c r="P1348" s="5"/>
      <c r="Q1348" s="5"/>
      <c r="R1348" s="5"/>
      <c r="S1348" s="5"/>
      <c r="T1348" s="5"/>
      <c r="U1348" s="5">
        <v>5100</v>
      </c>
      <c r="V1348" s="6">
        <v>42150</v>
      </c>
      <c r="W1348" s="5" t="s">
        <v>31</v>
      </c>
      <c r="X1348" s="5" t="s">
        <v>6637</v>
      </c>
    </row>
    <row r="1349" spans="1:24" x14ac:dyDescent="0.3">
      <c r="A1349" s="3">
        <v>1343</v>
      </c>
      <c r="B1349" s="3" t="str">
        <f>"1383505"</f>
        <v>1383505</v>
      </c>
      <c r="C1349" s="3" t="str">
        <f>"19634"</f>
        <v>19634</v>
      </c>
      <c r="D1349" s="3" t="s">
        <v>6638</v>
      </c>
      <c r="E1349" s="3">
        <v>20171834865</v>
      </c>
      <c r="F1349" s="3" t="s">
        <v>6639</v>
      </c>
      <c r="G1349" s="3" t="s">
        <v>6640</v>
      </c>
      <c r="H1349" s="3" t="s">
        <v>28</v>
      </c>
      <c r="I1349" s="3" t="s">
        <v>28</v>
      </c>
      <c r="J1349" s="3" t="s">
        <v>501</v>
      </c>
      <c r="K1349" s="3" t="s">
        <v>117</v>
      </c>
      <c r="L1349" s="3"/>
      <c r="M1349" s="3"/>
      <c r="N1349" s="3"/>
      <c r="O1349" s="3"/>
      <c r="P1349" s="3"/>
      <c r="Q1349" s="3"/>
      <c r="R1349" s="3"/>
      <c r="S1349" s="3"/>
      <c r="T1349" s="3"/>
      <c r="U1349" s="3">
        <v>6000</v>
      </c>
      <c r="V1349" s="4">
        <v>40394</v>
      </c>
      <c r="W1349" s="3" t="s">
        <v>31</v>
      </c>
      <c r="X1349" s="3" t="s">
        <v>6641</v>
      </c>
    </row>
    <row r="1350" spans="1:24" x14ac:dyDescent="0.3">
      <c r="A1350" s="5">
        <v>1344</v>
      </c>
      <c r="B1350" s="5" t="str">
        <f>"1106077"</f>
        <v>1106077</v>
      </c>
      <c r="C1350" s="5" t="str">
        <f>"164"</f>
        <v>164</v>
      </c>
      <c r="D1350" s="5">
        <v>960865</v>
      </c>
      <c r="E1350" s="5">
        <v>20101058973</v>
      </c>
      <c r="F1350" s="5" t="s">
        <v>6642</v>
      </c>
      <c r="G1350" s="5" t="s">
        <v>6643</v>
      </c>
      <c r="H1350" s="5" t="s">
        <v>28</v>
      </c>
      <c r="I1350" s="5" t="s">
        <v>28</v>
      </c>
      <c r="J1350" s="5" t="s">
        <v>1824</v>
      </c>
      <c r="K1350" s="5" t="s">
        <v>870</v>
      </c>
      <c r="L1350" s="5"/>
      <c r="M1350" s="5"/>
      <c r="N1350" s="5"/>
      <c r="O1350" s="5"/>
      <c r="P1350" s="5"/>
      <c r="Q1350" s="5"/>
      <c r="R1350" s="5"/>
      <c r="S1350" s="5"/>
      <c r="T1350" s="5"/>
      <c r="U1350" s="5">
        <v>1200</v>
      </c>
      <c r="V1350" s="6">
        <v>35465</v>
      </c>
      <c r="W1350" s="5" t="s">
        <v>31</v>
      </c>
      <c r="X1350" s="5" t="s">
        <v>6644</v>
      </c>
    </row>
    <row r="1351" spans="1:24" ht="27.95" x14ac:dyDescent="0.3">
      <c r="A1351" s="3">
        <v>1345</v>
      </c>
      <c r="B1351" s="3" t="str">
        <f>"1482914"</f>
        <v>1482914</v>
      </c>
      <c r="C1351" s="3" t="str">
        <f>"1099"</f>
        <v>1099</v>
      </c>
      <c r="D1351" s="3" t="s">
        <v>6645</v>
      </c>
      <c r="E1351" s="3">
        <v>20224748711</v>
      </c>
      <c r="F1351" s="3" t="s">
        <v>6646</v>
      </c>
      <c r="G1351" s="3" t="s">
        <v>6647</v>
      </c>
      <c r="H1351" s="3" t="s">
        <v>285</v>
      </c>
      <c r="I1351" s="3" t="s">
        <v>286</v>
      </c>
      <c r="J1351" s="3" t="s">
        <v>470</v>
      </c>
      <c r="K1351" s="3" t="s">
        <v>6648</v>
      </c>
      <c r="L1351" s="3"/>
      <c r="M1351" s="3"/>
      <c r="N1351" s="3"/>
      <c r="O1351" s="3"/>
      <c r="P1351" s="3"/>
      <c r="Q1351" s="3"/>
      <c r="R1351" s="3"/>
      <c r="S1351" s="3"/>
      <c r="T1351" s="3"/>
      <c r="U1351" s="3">
        <v>30000</v>
      </c>
      <c r="V1351" s="4">
        <v>40695</v>
      </c>
      <c r="W1351" s="3" t="s">
        <v>31</v>
      </c>
      <c r="X1351" s="3" t="s">
        <v>5332</v>
      </c>
    </row>
    <row r="1352" spans="1:24" x14ac:dyDescent="0.3">
      <c r="A1352" s="5">
        <v>1346</v>
      </c>
      <c r="B1352" s="5" t="str">
        <f>"1834950"</f>
        <v>1834950</v>
      </c>
      <c r="C1352" s="5" t="str">
        <f>"18637"</f>
        <v>18637</v>
      </c>
      <c r="D1352" s="5" t="s">
        <v>6649</v>
      </c>
      <c r="E1352" s="5">
        <v>20100348170</v>
      </c>
      <c r="F1352" s="5" t="s">
        <v>6650</v>
      </c>
      <c r="G1352" s="5" t="s">
        <v>6651</v>
      </c>
      <c r="H1352" s="5" t="s">
        <v>28</v>
      </c>
      <c r="I1352" s="5" t="s">
        <v>490</v>
      </c>
      <c r="J1352" s="5" t="s">
        <v>490</v>
      </c>
      <c r="K1352" s="5" t="s">
        <v>5831</v>
      </c>
      <c r="L1352" s="5" t="s">
        <v>5831</v>
      </c>
      <c r="M1352" s="5"/>
      <c r="N1352" s="5"/>
      <c r="O1352" s="5"/>
      <c r="P1352" s="5"/>
      <c r="Q1352" s="5"/>
      <c r="R1352" s="5"/>
      <c r="S1352" s="5"/>
      <c r="T1352" s="5"/>
      <c r="U1352" s="5">
        <v>10000</v>
      </c>
      <c r="V1352" s="6">
        <v>39777</v>
      </c>
      <c r="W1352" s="5" t="s">
        <v>31</v>
      </c>
      <c r="X1352" s="5" t="s">
        <v>6652</v>
      </c>
    </row>
    <row r="1353" spans="1:24" x14ac:dyDescent="0.3">
      <c r="A1353" s="3">
        <v>1347</v>
      </c>
      <c r="B1353" s="3" t="str">
        <f>"1658846"</f>
        <v>1658846</v>
      </c>
      <c r="C1353" s="3" t="str">
        <f>"44779"</f>
        <v>44779</v>
      </c>
      <c r="D1353" s="3" t="s">
        <v>6653</v>
      </c>
      <c r="E1353" s="3">
        <v>20100000335</v>
      </c>
      <c r="F1353" s="3" t="s">
        <v>6654</v>
      </c>
      <c r="G1353" s="3" t="s">
        <v>6655</v>
      </c>
      <c r="H1353" s="3" t="s">
        <v>115</v>
      </c>
      <c r="I1353" s="3" t="s">
        <v>115</v>
      </c>
      <c r="J1353" s="3" t="s">
        <v>159</v>
      </c>
      <c r="K1353" s="3" t="s">
        <v>6656</v>
      </c>
      <c r="L1353" s="3"/>
      <c r="M1353" s="3"/>
      <c r="N1353" s="3"/>
      <c r="O1353" s="3"/>
      <c r="P1353" s="3"/>
      <c r="Q1353" s="3"/>
      <c r="R1353" s="3"/>
      <c r="S1353" s="3"/>
      <c r="T1353" s="3"/>
      <c r="U1353" s="3">
        <v>3100</v>
      </c>
      <c r="V1353" s="4">
        <v>39112</v>
      </c>
      <c r="W1353" s="3" t="s">
        <v>31</v>
      </c>
      <c r="X1353" s="3" t="s">
        <v>6657</v>
      </c>
    </row>
    <row r="1354" spans="1:24" x14ac:dyDescent="0.3">
      <c r="A1354" s="5">
        <v>1348</v>
      </c>
      <c r="B1354" s="5" t="str">
        <f>"201800088534"</f>
        <v>201800088534</v>
      </c>
      <c r="C1354" s="5" t="str">
        <f>"136477"</f>
        <v>136477</v>
      </c>
      <c r="D1354" s="5" t="s">
        <v>6658</v>
      </c>
      <c r="E1354" s="5">
        <v>20538810682</v>
      </c>
      <c r="F1354" s="5" t="s">
        <v>3756</v>
      </c>
      <c r="G1354" s="5" t="s">
        <v>6659</v>
      </c>
      <c r="H1354" s="5" t="s">
        <v>2002</v>
      </c>
      <c r="I1354" s="5" t="s">
        <v>3873</v>
      </c>
      <c r="J1354" s="5" t="s">
        <v>5308</v>
      </c>
      <c r="K1354" s="5" t="s">
        <v>6660</v>
      </c>
      <c r="L1354" s="5"/>
      <c r="M1354" s="5"/>
      <c r="N1354" s="5"/>
      <c r="O1354" s="5"/>
      <c r="P1354" s="5"/>
      <c r="Q1354" s="5"/>
      <c r="R1354" s="5"/>
      <c r="S1354" s="5"/>
      <c r="T1354" s="5"/>
      <c r="U1354" s="5">
        <v>5283</v>
      </c>
      <c r="V1354" s="6">
        <v>43256</v>
      </c>
      <c r="W1354" s="5" t="s">
        <v>31</v>
      </c>
      <c r="X1354" s="5" t="s">
        <v>5256</v>
      </c>
    </row>
    <row r="1355" spans="1:24" ht="27.95" x14ac:dyDescent="0.3">
      <c r="A1355" s="3">
        <v>1349</v>
      </c>
      <c r="B1355" s="3" t="str">
        <f>"201600141546"</f>
        <v>201600141546</v>
      </c>
      <c r="C1355" s="3" t="str">
        <f>"92929"</f>
        <v>92929</v>
      </c>
      <c r="D1355" s="3" t="s">
        <v>6661</v>
      </c>
      <c r="E1355" s="3">
        <v>20106651087</v>
      </c>
      <c r="F1355" s="3" t="s">
        <v>6662</v>
      </c>
      <c r="G1355" s="3" t="s">
        <v>6663</v>
      </c>
      <c r="H1355" s="3" t="s">
        <v>135</v>
      </c>
      <c r="I1355" s="3" t="s">
        <v>135</v>
      </c>
      <c r="J1355" s="3" t="s">
        <v>6664</v>
      </c>
      <c r="K1355" s="3" t="s">
        <v>6665</v>
      </c>
      <c r="L1355" s="3"/>
      <c r="M1355" s="3"/>
      <c r="N1355" s="3"/>
      <c r="O1355" s="3"/>
      <c r="P1355" s="3"/>
      <c r="Q1355" s="3"/>
      <c r="R1355" s="3"/>
      <c r="S1355" s="3"/>
      <c r="T1355" s="3"/>
      <c r="U1355" s="3">
        <v>3752</v>
      </c>
      <c r="V1355" s="4">
        <v>42646</v>
      </c>
      <c r="W1355" s="3" t="s">
        <v>31</v>
      </c>
      <c r="X1355" s="3" t="s">
        <v>6666</v>
      </c>
    </row>
    <row r="1356" spans="1:24" x14ac:dyDescent="0.3">
      <c r="A1356" s="5">
        <v>1350</v>
      </c>
      <c r="B1356" s="5" t="str">
        <f>"201700015696"</f>
        <v>201700015696</v>
      </c>
      <c r="C1356" s="5" t="str">
        <f>"61933"</f>
        <v>61933</v>
      </c>
      <c r="D1356" s="5" t="s">
        <v>6667</v>
      </c>
      <c r="E1356" s="5">
        <v>20544149432</v>
      </c>
      <c r="F1356" s="5" t="s">
        <v>6668</v>
      </c>
      <c r="G1356" s="5" t="s">
        <v>6669</v>
      </c>
      <c r="H1356" s="5" t="s">
        <v>115</v>
      </c>
      <c r="I1356" s="5" t="s">
        <v>115</v>
      </c>
      <c r="J1356" s="5" t="s">
        <v>116</v>
      </c>
      <c r="K1356" s="5" t="s">
        <v>6670</v>
      </c>
      <c r="L1356" s="5"/>
      <c r="M1356" s="5"/>
      <c r="N1356" s="5"/>
      <c r="O1356" s="5"/>
      <c r="P1356" s="5"/>
      <c r="Q1356" s="5"/>
      <c r="R1356" s="5"/>
      <c r="S1356" s="5"/>
      <c r="T1356" s="5"/>
      <c r="U1356" s="5">
        <v>2050</v>
      </c>
      <c r="V1356" s="6">
        <v>42786</v>
      </c>
      <c r="W1356" s="5" t="s">
        <v>31</v>
      </c>
      <c r="X1356" s="5" t="s">
        <v>6671</v>
      </c>
    </row>
    <row r="1357" spans="1:24" x14ac:dyDescent="0.3">
      <c r="A1357" s="3">
        <v>1351</v>
      </c>
      <c r="B1357" s="3" t="str">
        <f>"201200051563"</f>
        <v>201200051563</v>
      </c>
      <c r="C1357" s="3" t="str">
        <f>"96324"</f>
        <v>96324</v>
      </c>
      <c r="D1357" s="3" t="s">
        <v>6672</v>
      </c>
      <c r="E1357" s="3">
        <v>20153236551</v>
      </c>
      <c r="F1357" s="3" t="s">
        <v>6673</v>
      </c>
      <c r="G1357" s="3" t="s">
        <v>6674</v>
      </c>
      <c r="H1357" s="3" t="s">
        <v>28</v>
      </c>
      <c r="I1357" s="3" t="s">
        <v>122</v>
      </c>
      <c r="J1357" s="3" t="s">
        <v>123</v>
      </c>
      <c r="K1357" s="3" t="s">
        <v>1058</v>
      </c>
      <c r="L1357" s="3"/>
      <c r="M1357" s="3"/>
      <c r="N1357" s="3"/>
      <c r="O1357" s="3"/>
      <c r="P1357" s="3"/>
      <c r="Q1357" s="3"/>
      <c r="R1357" s="3"/>
      <c r="S1357" s="3"/>
      <c r="T1357" s="3"/>
      <c r="U1357" s="3">
        <v>6000</v>
      </c>
      <c r="V1357" s="4">
        <v>41009</v>
      </c>
      <c r="W1357" s="3" t="s">
        <v>31</v>
      </c>
      <c r="X1357" s="3" t="s">
        <v>6675</v>
      </c>
    </row>
    <row r="1358" spans="1:24" x14ac:dyDescent="0.3">
      <c r="A1358" s="5">
        <v>1352</v>
      </c>
      <c r="B1358" s="5" t="str">
        <f>"201600139458"</f>
        <v>201600139458</v>
      </c>
      <c r="C1358" s="5" t="str">
        <f>"16173"</f>
        <v>16173</v>
      </c>
      <c r="D1358" s="5" t="s">
        <v>6676</v>
      </c>
      <c r="E1358" s="5">
        <v>20159473148</v>
      </c>
      <c r="F1358" s="5" t="s">
        <v>1048</v>
      </c>
      <c r="G1358" s="5" t="s">
        <v>3666</v>
      </c>
      <c r="H1358" s="5" t="s">
        <v>135</v>
      </c>
      <c r="I1358" s="5" t="s">
        <v>943</v>
      </c>
      <c r="J1358" s="5" t="s">
        <v>944</v>
      </c>
      <c r="K1358" s="5" t="s">
        <v>6677</v>
      </c>
      <c r="L1358" s="5" t="s">
        <v>6678</v>
      </c>
      <c r="M1358" s="5" t="s">
        <v>6679</v>
      </c>
      <c r="N1358" s="5" t="s">
        <v>6680</v>
      </c>
      <c r="O1358" s="5" t="s">
        <v>6678</v>
      </c>
      <c r="P1358" s="5"/>
      <c r="Q1358" s="5"/>
      <c r="R1358" s="5"/>
      <c r="S1358" s="5"/>
      <c r="T1358" s="5"/>
      <c r="U1358" s="5">
        <v>102100</v>
      </c>
      <c r="V1358" s="6">
        <v>42641</v>
      </c>
      <c r="W1358" s="5" t="s">
        <v>31</v>
      </c>
      <c r="X1358" s="5" t="s">
        <v>6681</v>
      </c>
    </row>
    <row r="1359" spans="1:24" x14ac:dyDescent="0.3">
      <c r="A1359" s="3">
        <v>1353</v>
      </c>
      <c r="B1359" s="3" t="str">
        <f>"201700051247"</f>
        <v>201700051247</v>
      </c>
      <c r="C1359" s="3" t="str">
        <f>"43318"</f>
        <v>43318</v>
      </c>
      <c r="D1359" s="3" t="s">
        <v>6682</v>
      </c>
      <c r="E1359" s="3">
        <v>20133605291</v>
      </c>
      <c r="F1359" s="3" t="s">
        <v>6683</v>
      </c>
      <c r="G1359" s="3" t="s">
        <v>6684</v>
      </c>
      <c r="H1359" s="3" t="s">
        <v>36</v>
      </c>
      <c r="I1359" s="3" t="s">
        <v>234</v>
      </c>
      <c r="J1359" s="3" t="s">
        <v>234</v>
      </c>
      <c r="K1359" s="3" t="s">
        <v>6685</v>
      </c>
      <c r="L1359" s="3" t="s">
        <v>6686</v>
      </c>
      <c r="M1359" s="3" t="s">
        <v>6687</v>
      </c>
      <c r="N1359" s="3"/>
      <c r="O1359" s="3"/>
      <c r="P1359" s="3"/>
      <c r="Q1359" s="3"/>
      <c r="R1359" s="3"/>
      <c r="S1359" s="3"/>
      <c r="T1359" s="3"/>
      <c r="U1359" s="3">
        <v>14989</v>
      </c>
      <c r="V1359" s="4">
        <v>42835</v>
      </c>
      <c r="W1359" s="3" t="s">
        <v>31</v>
      </c>
      <c r="X1359" s="3" t="s">
        <v>6688</v>
      </c>
    </row>
    <row r="1360" spans="1:24" x14ac:dyDescent="0.3">
      <c r="A1360" s="5">
        <v>1354</v>
      </c>
      <c r="B1360" s="5" t="str">
        <f>"1160600"</f>
        <v>1160600</v>
      </c>
      <c r="C1360" s="5" t="str">
        <f>"1362"</f>
        <v>1362</v>
      </c>
      <c r="D1360" s="5">
        <v>1050924</v>
      </c>
      <c r="E1360" s="5">
        <v>20114049442</v>
      </c>
      <c r="F1360" s="5" t="s">
        <v>6689</v>
      </c>
      <c r="G1360" s="5" t="s">
        <v>6690</v>
      </c>
      <c r="H1360" s="5" t="s">
        <v>58</v>
      </c>
      <c r="I1360" s="5" t="s">
        <v>59</v>
      </c>
      <c r="J1360" s="5" t="s">
        <v>60</v>
      </c>
      <c r="K1360" s="5" t="s">
        <v>229</v>
      </c>
      <c r="L1360" s="5" t="s">
        <v>229</v>
      </c>
      <c r="M1360" s="5"/>
      <c r="N1360" s="5"/>
      <c r="O1360" s="5"/>
      <c r="P1360" s="5"/>
      <c r="Q1360" s="5"/>
      <c r="R1360" s="5"/>
      <c r="S1360" s="5"/>
      <c r="T1360" s="5"/>
      <c r="U1360" s="5">
        <v>4000</v>
      </c>
      <c r="V1360" s="6">
        <v>35760</v>
      </c>
      <c r="W1360" s="5" t="s">
        <v>31</v>
      </c>
      <c r="X1360" s="5" t="s">
        <v>6691</v>
      </c>
    </row>
    <row r="1361" spans="1:24" x14ac:dyDescent="0.3">
      <c r="A1361" s="3">
        <v>1355</v>
      </c>
      <c r="B1361" s="3" t="str">
        <f>"201900074936"</f>
        <v>201900074936</v>
      </c>
      <c r="C1361" s="3" t="str">
        <f>"143049"</f>
        <v>143049</v>
      </c>
      <c r="D1361" s="3" t="s">
        <v>6692</v>
      </c>
      <c r="E1361" s="3">
        <v>20556271268</v>
      </c>
      <c r="F1361" s="3" t="s">
        <v>6693</v>
      </c>
      <c r="G1361" s="3" t="s">
        <v>6694</v>
      </c>
      <c r="H1361" s="3" t="s">
        <v>51</v>
      </c>
      <c r="I1361" s="3" t="s">
        <v>316</v>
      </c>
      <c r="J1361" s="3" t="s">
        <v>6695</v>
      </c>
      <c r="K1361" s="3" t="s">
        <v>181</v>
      </c>
      <c r="L1361" s="3"/>
      <c r="M1361" s="3"/>
      <c r="N1361" s="3"/>
      <c r="O1361" s="3"/>
      <c r="P1361" s="3"/>
      <c r="Q1361" s="3"/>
      <c r="R1361" s="3"/>
      <c r="S1361" s="3"/>
      <c r="T1361" s="3"/>
      <c r="U1361" s="3">
        <v>5000</v>
      </c>
      <c r="V1361" s="4">
        <v>43599</v>
      </c>
      <c r="W1361" s="3" t="s">
        <v>31</v>
      </c>
      <c r="X1361" s="3" t="s">
        <v>6696</v>
      </c>
    </row>
    <row r="1362" spans="1:24" x14ac:dyDescent="0.3">
      <c r="A1362" s="5">
        <v>1356</v>
      </c>
      <c r="B1362" s="5" t="str">
        <f>"201500160740"</f>
        <v>201500160740</v>
      </c>
      <c r="C1362" s="5" t="str">
        <f>"1053"</f>
        <v>1053</v>
      </c>
      <c r="D1362" s="5" t="s">
        <v>6697</v>
      </c>
      <c r="E1362" s="5">
        <v>20100227461</v>
      </c>
      <c r="F1362" s="5" t="s">
        <v>6698</v>
      </c>
      <c r="G1362" s="5" t="s">
        <v>6699</v>
      </c>
      <c r="H1362" s="5" t="s">
        <v>51</v>
      </c>
      <c r="I1362" s="5" t="s">
        <v>51</v>
      </c>
      <c r="J1362" s="5" t="s">
        <v>5045</v>
      </c>
      <c r="K1362" s="5" t="s">
        <v>110</v>
      </c>
      <c r="L1362" s="5"/>
      <c r="M1362" s="5"/>
      <c r="N1362" s="5"/>
      <c r="O1362" s="5"/>
      <c r="P1362" s="5"/>
      <c r="Q1362" s="5"/>
      <c r="R1362" s="5"/>
      <c r="S1362" s="5"/>
      <c r="T1362" s="5"/>
      <c r="U1362" s="5">
        <v>4000</v>
      </c>
      <c r="V1362" s="6">
        <v>42339</v>
      </c>
      <c r="W1362" s="5" t="s">
        <v>31</v>
      </c>
      <c r="X1362" s="5" t="s">
        <v>6700</v>
      </c>
    </row>
    <row r="1363" spans="1:24" x14ac:dyDescent="0.3">
      <c r="A1363" s="3">
        <v>1357</v>
      </c>
      <c r="B1363" s="3" t="str">
        <f>"201800088539"</f>
        <v>201800088539</v>
      </c>
      <c r="C1363" s="3" t="str">
        <f>"136478"</f>
        <v>136478</v>
      </c>
      <c r="D1363" s="3" t="s">
        <v>6701</v>
      </c>
      <c r="E1363" s="3">
        <v>20538810682</v>
      </c>
      <c r="F1363" s="3" t="s">
        <v>3756</v>
      </c>
      <c r="G1363" s="3" t="s">
        <v>6702</v>
      </c>
      <c r="H1363" s="3" t="s">
        <v>2002</v>
      </c>
      <c r="I1363" s="3" t="s">
        <v>3873</v>
      </c>
      <c r="J1363" s="3" t="s">
        <v>5255</v>
      </c>
      <c r="K1363" s="3" t="s">
        <v>6703</v>
      </c>
      <c r="L1363" s="3"/>
      <c r="M1363" s="3"/>
      <c r="N1363" s="3"/>
      <c r="O1363" s="3"/>
      <c r="P1363" s="3"/>
      <c r="Q1363" s="3"/>
      <c r="R1363" s="3"/>
      <c r="S1363" s="3"/>
      <c r="T1363" s="3"/>
      <c r="U1363" s="3">
        <v>1321</v>
      </c>
      <c r="V1363" s="4">
        <v>43256</v>
      </c>
      <c r="W1363" s="3" t="s">
        <v>31</v>
      </c>
      <c r="X1363" s="3" t="s">
        <v>5256</v>
      </c>
    </row>
    <row r="1364" spans="1:24" ht="27.95" x14ac:dyDescent="0.3">
      <c r="A1364" s="5">
        <v>1358</v>
      </c>
      <c r="B1364" s="5" t="str">
        <f>"201300086881"</f>
        <v>201300086881</v>
      </c>
      <c r="C1364" s="5" t="str">
        <f>"101444"</f>
        <v>101444</v>
      </c>
      <c r="D1364" s="5" t="s">
        <v>6704</v>
      </c>
      <c r="E1364" s="5">
        <v>20477793674</v>
      </c>
      <c r="F1364" s="5" t="s">
        <v>6705</v>
      </c>
      <c r="G1364" s="5" t="s">
        <v>6706</v>
      </c>
      <c r="H1364" s="5" t="s">
        <v>264</v>
      </c>
      <c r="I1364" s="5" t="s">
        <v>264</v>
      </c>
      <c r="J1364" s="5" t="s">
        <v>647</v>
      </c>
      <c r="K1364" s="5" t="s">
        <v>4762</v>
      </c>
      <c r="L1364" s="5" t="s">
        <v>6707</v>
      </c>
      <c r="M1364" s="5"/>
      <c r="N1364" s="5"/>
      <c r="O1364" s="5"/>
      <c r="P1364" s="5"/>
      <c r="Q1364" s="5"/>
      <c r="R1364" s="5"/>
      <c r="S1364" s="5"/>
      <c r="T1364" s="5"/>
      <c r="U1364" s="5">
        <v>22965</v>
      </c>
      <c r="V1364" s="6">
        <v>41431</v>
      </c>
      <c r="W1364" s="5" t="s">
        <v>31</v>
      </c>
      <c r="X1364" s="5" t="s">
        <v>6708</v>
      </c>
    </row>
    <row r="1365" spans="1:24" x14ac:dyDescent="0.3">
      <c r="A1365" s="3">
        <v>1359</v>
      </c>
      <c r="B1365" s="3" t="str">
        <f>"201400031693"</f>
        <v>201400031693</v>
      </c>
      <c r="C1365" s="3" t="str">
        <f>"108410"</f>
        <v>108410</v>
      </c>
      <c r="D1365" s="3" t="s">
        <v>6709</v>
      </c>
      <c r="E1365" s="3">
        <v>20528497137</v>
      </c>
      <c r="F1365" s="3" t="s">
        <v>6710</v>
      </c>
      <c r="G1365" s="3" t="s">
        <v>6711</v>
      </c>
      <c r="H1365" s="3" t="s">
        <v>58</v>
      </c>
      <c r="I1365" s="3" t="s">
        <v>59</v>
      </c>
      <c r="J1365" s="3" t="s">
        <v>60</v>
      </c>
      <c r="K1365" s="3" t="s">
        <v>6712</v>
      </c>
      <c r="L1365" s="3"/>
      <c r="M1365" s="3"/>
      <c r="N1365" s="3"/>
      <c r="O1365" s="3"/>
      <c r="P1365" s="3"/>
      <c r="Q1365" s="3"/>
      <c r="R1365" s="3"/>
      <c r="S1365" s="3"/>
      <c r="T1365" s="3"/>
      <c r="U1365" s="3">
        <v>1550</v>
      </c>
      <c r="V1365" s="4">
        <v>41739</v>
      </c>
      <c r="W1365" s="3" t="s">
        <v>31</v>
      </c>
      <c r="X1365" s="3" t="s">
        <v>6713</v>
      </c>
    </row>
    <row r="1366" spans="1:24" ht="27.95" x14ac:dyDescent="0.3">
      <c r="A1366" s="5">
        <v>1360</v>
      </c>
      <c r="B1366" s="5" t="str">
        <f>"201500153004"</f>
        <v>201500153004</v>
      </c>
      <c r="C1366" s="5" t="str">
        <f>"85240"</f>
        <v>85240</v>
      </c>
      <c r="D1366" s="5" t="s">
        <v>6714</v>
      </c>
      <c r="E1366" s="5">
        <v>20144061587</v>
      </c>
      <c r="F1366" s="5" t="s">
        <v>6715</v>
      </c>
      <c r="G1366" s="5" t="s">
        <v>6716</v>
      </c>
      <c r="H1366" s="5" t="s">
        <v>28</v>
      </c>
      <c r="I1366" s="5" t="s">
        <v>28</v>
      </c>
      <c r="J1366" s="5" t="s">
        <v>699</v>
      </c>
      <c r="K1366" s="5" t="s">
        <v>6717</v>
      </c>
      <c r="L1366" s="5"/>
      <c r="M1366" s="5"/>
      <c r="N1366" s="5"/>
      <c r="O1366" s="5"/>
      <c r="P1366" s="5"/>
      <c r="Q1366" s="5"/>
      <c r="R1366" s="5"/>
      <c r="S1366" s="5"/>
      <c r="T1366" s="5"/>
      <c r="U1366" s="5">
        <v>37730</v>
      </c>
      <c r="V1366" s="6">
        <v>42332</v>
      </c>
      <c r="W1366" s="5" t="s">
        <v>31</v>
      </c>
      <c r="X1366" s="5" t="s">
        <v>6718</v>
      </c>
    </row>
    <row r="1367" spans="1:24" x14ac:dyDescent="0.3">
      <c r="A1367" s="3">
        <v>1361</v>
      </c>
      <c r="B1367" s="3" t="str">
        <f>"1399283"</f>
        <v>1399283</v>
      </c>
      <c r="C1367" s="3" t="str">
        <f>"85446"</f>
        <v>85446</v>
      </c>
      <c r="D1367" s="3" t="s">
        <v>6719</v>
      </c>
      <c r="E1367" s="3">
        <v>20512326405</v>
      </c>
      <c r="F1367" s="3" t="s">
        <v>6720</v>
      </c>
      <c r="G1367" s="3" t="s">
        <v>6721</v>
      </c>
      <c r="H1367" s="3" t="s">
        <v>115</v>
      </c>
      <c r="I1367" s="3" t="s">
        <v>115</v>
      </c>
      <c r="J1367" s="3" t="s">
        <v>116</v>
      </c>
      <c r="K1367" s="3" t="s">
        <v>6722</v>
      </c>
      <c r="L1367" s="3"/>
      <c r="M1367" s="3"/>
      <c r="N1367" s="3"/>
      <c r="O1367" s="3"/>
      <c r="P1367" s="3"/>
      <c r="Q1367" s="3"/>
      <c r="R1367" s="3"/>
      <c r="S1367" s="3"/>
      <c r="T1367" s="3"/>
      <c r="U1367" s="3">
        <v>2660</v>
      </c>
      <c r="V1367" s="4">
        <v>40427</v>
      </c>
      <c r="W1367" s="3" t="s">
        <v>31</v>
      </c>
      <c r="X1367" s="3" t="s">
        <v>6723</v>
      </c>
    </row>
    <row r="1368" spans="1:24" ht="27.95" x14ac:dyDescent="0.3">
      <c r="A1368" s="5">
        <v>1362</v>
      </c>
      <c r="B1368" s="5" t="str">
        <f>"201700191023"</f>
        <v>201700191023</v>
      </c>
      <c r="C1368" s="5" t="str">
        <f>"87019"</f>
        <v>87019</v>
      </c>
      <c r="D1368" s="5" t="s">
        <v>6724</v>
      </c>
      <c r="E1368" s="5">
        <v>20100971772</v>
      </c>
      <c r="F1368" s="5" t="s">
        <v>3582</v>
      </c>
      <c r="G1368" s="5" t="s">
        <v>6725</v>
      </c>
      <c r="H1368" s="5" t="s">
        <v>285</v>
      </c>
      <c r="I1368" s="5" t="s">
        <v>286</v>
      </c>
      <c r="J1368" s="5" t="s">
        <v>470</v>
      </c>
      <c r="K1368" s="5" t="s">
        <v>6726</v>
      </c>
      <c r="L1368" s="5" t="s">
        <v>6727</v>
      </c>
      <c r="M1368" s="5"/>
      <c r="N1368" s="5"/>
      <c r="O1368" s="5"/>
      <c r="P1368" s="5"/>
      <c r="Q1368" s="5"/>
      <c r="R1368" s="5"/>
      <c r="S1368" s="5"/>
      <c r="T1368" s="5"/>
      <c r="U1368" s="5">
        <v>183734</v>
      </c>
      <c r="V1368" s="6">
        <v>43052</v>
      </c>
      <c r="W1368" s="5" t="s">
        <v>31</v>
      </c>
      <c r="X1368" s="5" t="s">
        <v>6728</v>
      </c>
    </row>
    <row r="1369" spans="1:24" x14ac:dyDescent="0.3">
      <c r="A1369" s="3">
        <v>1363</v>
      </c>
      <c r="B1369" s="3" t="str">
        <f>"201900051220"</f>
        <v>201900051220</v>
      </c>
      <c r="C1369" s="3" t="str">
        <f>"142343"</f>
        <v>142343</v>
      </c>
      <c r="D1369" s="3" t="s">
        <v>6729</v>
      </c>
      <c r="E1369" s="3">
        <v>10436238911</v>
      </c>
      <c r="F1369" s="3" t="s">
        <v>6730</v>
      </c>
      <c r="G1369" s="3" t="s">
        <v>6731</v>
      </c>
      <c r="H1369" s="3" t="s">
        <v>165</v>
      </c>
      <c r="I1369" s="3" t="s">
        <v>166</v>
      </c>
      <c r="J1369" s="3" t="s">
        <v>167</v>
      </c>
      <c r="K1369" s="3" t="s">
        <v>168</v>
      </c>
      <c r="L1369" s="3" t="s">
        <v>168</v>
      </c>
      <c r="M1369" s="3"/>
      <c r="N1369" s="3"/>
      <c r="O1369" s="3"/>
      <c r="P1369" s="3"/>
      <c r="Q1369" s="3"/>
      <c r="R1369" s="3"/>
      <c r="S1369" s="3"/>
      <c r="T1369" s="3"/>
      <c r="U1369" s="3">
        <v>20000</v>
      </c>
      <c r="V1369" s="4">
        <v>43557</v>
      </c>
      <c r="W1369" s="3" t="s">
        <v>31</v>
      </c>
      <c r="X1369" s="3" t="s">
        <v>6732</v>
      </c>
    </row>
    <row r="1370" spans="1:24" x14ac:dyDescent="0.3">
      <c r="A1370" s="5">
        <v>1364</v>
      </c>
      <c r="B1370" s="5" t="str">
        <f>"1132601"</f>
        <v>1132601</v>
      </c>
      <c r="C1370" s="5" t="str">
        <f>"1226"</f>
        <v>1226</v>
      </c>
      <c r="D1370" s="5">
        <v>1132601</v>
      </c>
      <c r="E1370" s="5">
        <v>20172557628</v>
      </c>
      <c r="F1370" s="5" t="s">
        <v>6733</v>
      </c>
      <c r="G1370" s="5" t="s">
        <v>6734</v>
      </c>
      <c r="H1370" s="5" t="s">
        <v>36</v>
      </c>
      <c r="I1370" s="5" t="s">
        <v>234</v>
      </c>
      <c r="J1370" s="5" t="s">
        <v>234</v>
      </c>
      <c r="K1370" s="5" t="s">
        <v>229</v>
      </c>
      <c r="L1370" s="5"/>
      <c r="M1370" s="5"/>
      <c r="N1370" s="5"/>
      <c r="O1370" s="5"/>
      <c r="P1370" s="5"/>
      <c r="Q1370" s="5"/>
      <c r="R1370" s="5"/>
      <c r="S1370" s="5"/>
      <c r="T1370" s="5"/>
      <c r="U1370" s="5">
        <v>2000</v>
      </c>
      <c r="V1370" s="6">
        <v>35671</v>
      </c>
      <c r="W1370" s="5" t="s">
        <v>31</v>
      </c>
      <c r="X1370" s="5" t="s">
        <v>6735</v>
      </c>
    </row>
    <row r="1371" spans="1:24" x14ac:dyDescent="0.3">
      <c r="A1371" s="3">
        <v>1365</v>
      </c>
      <c r="B1371" s="3" t="str">
        <f>"1965464"</f>
        <v>1965464</v>
      </c>
      <c r="C1371" s="3" t="str">
        <f>"20750"</f>
        <v>20750</v>
      </c>
      <c r="D1371" s="3" t="s">
        <v>6736</v>
      </c>
      <c r="E1371" s="3">
        <v>20203058781</v>
      </c>
      <c r="F1371" s="3" t="s">
        <v>6737</v>
      </c>
      <c r="G1371" s="3" t="s">
        <v>6738</v>
      </c>
      <c r="H1371" s="3" t="s">
        <v>80</v>
      </c>
      <c r="I1371" s="3" t="s">
        <v>302</v>
      </c>
      <c r="J1371" s="3" t="s">
        <v>3408</v>
      </c>
      <c r="K1371" s="3" t="s">
        <v>6739</v>
      </c>
      <c r="L1371" s="3" t="s">
        <v>6740</v>
      </c>
      <c r="M1371" s="3" t="s">
        <v>6741</v>
      </c>
      <c r="N1371" s="3" t="s">
        <v>6742</v>
      </c>
      <c r="O1371" s="3" t="s">
        <v>6741</v>
      </c>
      <c r="P1371" s="3" t="s">
        <v>6742</v>
      </c>
      <c r="Q1371" s="3"/>
      <c r="R1371" s="3"/>
      <c r="S1371" s="3"/>
      <c r="T1371" s="3"/>
      <c r="U1371" s="3">
        <v>186775</v>
      </c>
      <c r="V1371" s="4">
        <v>40212</v>
      </c>
      <c r="W1371" s="3" t="s">
        <v>31</v>
      </c>
      <c r="X1371" s="3" t="s">
        <v>6743</v>
      </c>
    </row>
    <row r="1372" spans="1:24" ht="27.95" x14ac:dyDescent="0.3">
      <c r="A1372" s="5">
        <v>1366</v>
      </c>
      <c r="B1372" s="5" t="str">
        <f>"201700191020"</f>
        <v>201700191020</v>
      </c>
      <c r="C1372" s="5" t="str">
        <f>"305"</f>
        <v>305</v>
      </c>
      <c r="D1372" s="5" t="s">
        <v>6744</v>
      </c>
      <c r="E1372" s="5">
        <v>20100971772</v>
      </c>
      <c r="F1372" s="5" t="s">
        <v>914</v>
      </c>
      <c r="G1372" s="5" t="s">
        <v>6745</v>
      </c>
      <c r="H1372" s="5" t="s">
        <v>285</v>
      </c>
      <c r="I1372" s="5" t="s">
        <v>286</v>
      </c>
      <c r="J1372" s="5" t="s">
        <v>6746</v>
      </c>
      <c r="K1372" s="5" t="s">
        <v>6747</v>
      </c>
      <c r="L1372" s="5" t="s">
        <v>6748</v>
      </c>
      <c r="M1372" s="5"/>
      <c r="N1372" s="5"/>
      <c r="O1372" s="5"/>
      <c r="P1372" s="5"/>
      <c r="Q1372" s="5"/>
      <c r="R1372" s="5"/>
      <c r="S1372" s="5"/>
      <c r="T1372" s="5"/>
      <c r="U1372" s="5">
        <v>77812</v>
      </c>
      <c r="V1372" s="6">
        <v>43063</v>
      </c>
      <c r="W1372" s="5" t="s">
        <v>31</v>
      </c>
      <c r="X1372" s="5" t="s">
        <v>6749</v>
      </c>
    </row>
    <row r="1373" spans="1:24" x14ac:dyDescent="0.3">
      <c r="A1373" s="3">
        <v>1367</v>
      </c>
      <c r="B1373" s="3" t="str">
        <f>"1116337"</f>
        <v>1116337</v>
      </c>
      <c r="C1373" s="3" t="str">
        <f>"749"</f>
        <v>749</v>
      </c>
      <c r="D1373" s="3">
        <v>1009382</v>
      </c>
      <c r="E1373" s="3">
        <v>20100057876</v>
      </c>
      <c r="F1373" s="3" t="s">
        <v>6750</v>
      </c>
      <c r="G1373" s="3" t="s">
        <v>6751</v>
      </c>
      <c r="H1373" s="3" t="s">
        <v>28</v>
      </c>
      <c r="I1373" s="3" t="s">
        <v>28</v>
      </c>
      <c r="J1373" s="3" t="s">
        <v>91</v>
      </c>
      <c r="K1373" s="3" t="s">
        <v>396</v>
      </c>
      <c r="L1373" s="3" t="s">
        <v>396</v>
      </c>
      <c r="M1373" s="3"/>
      <c r="N1373" s="3"/>
      <c r="O1373" s="3"/>
      <c r="P1373" s="3"/>
      <c r="Q1373" s="3"/>
      <c r="R1373" s="3"/>
      <c r="S1373" s="3"/>
      <c r="T1373" s="3"/>
      <c r="U1373" s="3">
        <v>12000</v>
      </c>
      <c r="V1373" s="4">
        <v>35550</v>
      </c>
      <c r="W1373" s="3" t="s">
        <v>31</v>
      </c>
      <c r="X1373" s="3" t="s">
        <v>6752</v>
      </c>
    </row>
    <row r="1374" spans="1:24" ht="27.95" x14ac:dyDescent="0.3">
      <c r="A1374" s="5">
        <v>1368</v>
      </c>
      <c r="B1374" s="5" t="str">
        <f>"201900124853"</f>
        <v>201900124853</v>
      </c>
      <c r="C1374" s="5" t="str">
        <f>"20161"</f>
        <v>20161</v>
      </c>
      <c r="D1374" s="5" t="s">
        <v>6753</v>
      </c>
      <c r="E1374" s="5">
        <v>20109580083</v>
      </c>
      <c r="F1374" s="5" t="s">
        <v>6754</v>
      </c>
      <c r="G1374" s="5" t="s">
        <v>6755</v>
      </c>
      <c r="H1374" s="5" t="s">
        <v>28</v>
      </c>
      <c r="I1374" s="5" t="s">
        <v>28</v>
      </c>
      <c r="J1374" s="5" t="s">
        <v>687</v>
      </c>
      <c r="K1374" s="5" t="s">
        <v>110</v>
      </c>
      <c r="L1374" s="5"/>
      <c r="M1374" s="5"/>
      <c r="N1374" s="5"/>
      <c r="O1374" s="5"/>
      <c r="P1374" s="5"/>
      <c r="Q1374" s="5"/>
      <c r="R1374" s="5"/>
      <c r="S1374" s="5"/>
      <c r="T1374" s="5"/>
      <c r="U1374" s="5">
        <v>4000</v>
      </c>
      <c r="V1374" s="6">
        <v>43683</v>
      </c>
      <c r="W1374" s="5" t="s">
        <v>31</v>
      </c>
      <c r="X1374" s="5" t="s">
        <v>6756</v>
      </c>
    </row>
    <row r="1375" spans="1:24" ht="41.95" x14ac:dyDescent="0.3">
      <c r="A1375" s="3">
        <v>1369</v>
      </c>
      <c r="B1375" s="3" t="str">
        <f>"201800011367"</f>
        <v>201800011367</v>
      </c>
      <c r="C1375" s="3" t="str">
        <f>"55985"</f>
        <v>55985</v>
      </c>
      <c r="D1375" s="3" t="s">
        <v>6757</v>
      </c>
      <c r="E1375" s="3">
        <v>20293588776</v>
      </c>
      <c r="F1375" s="3" t="s">
        <v>6758</v>
      </c>
      <c r="G1375" s="3" t="s">
        <v>6759</v>
      </c>
      <c r="H1375" s="3" t="s">
        <v>115</v>
      </c>
      <c r="I1375" s="3" t="s">
        <v>115</v>
      </c>
      <c r="J1375" s="3" t="s">
        <v>1877</v>
      </c>
      <c r="K1375" s="3" t="s">
        <v>30</v>
      </c>
      <c r="L1375" s="3"/>
      <c r="M1375" s="3"/>
      <c r="N1375" s="3"/>
      <c r="O1375" s="3"/>
      <c r="P1375" s="3"/>
      <c r="Q1375" s="3"/>
      <c r="R1375" s="3"/>
      <c r="S1375" s="3"/>
      <c r="T1375" s="3"/>
      <c r="U1375" s="3">
        <v>8000</v>
      </c>
      <c r="V1375" s="4">
        <v>43125</v>
      </c>
      <c r="W1375" s="3" t="s">
        <v>31</v>
      </c>
      <c r="X1375" s="3" t="s">
        <v>6760</v>
      </c>
    </row>
    <row r="1376" spans="1:24" x14ac:dyDescent="0.3">
      <c r="A1376" s="5">
        <v>1370</v>
      </c>
      <c r="B1376" s="5" t="str">
        <f>"202000025950"</f>
        <v>202000025950</v>
      </c>
      <c r="C1376" s="5" t="str">
        <f>"149223"</f>
        <v>149223</v>
      </c>
      <c r="D1376" s="5" t="s">
        <v>6761</v>
      </c>
      <c r="E1376" s="5">
        <v>20601438586</v>
      </c>
      <c r="F1376" s="5" t="s">
        <v>6762</v>
      </c>
      <c r="G1376" s="5" t="s">
        <v>6763</v>
      </c>
      <c r="H1376" s="5" t="s">
        <v>80</v>
      </c>
      <c r="I1376" s="5" t="s">
        <v>80</v>
      </c>
      <c r="J1376" s="5" t="s">
        <v>129</v>
      </c>
      <c r="K1376" s="5" t="s">
        <v>2856</v>
      </c>
      <c r="L1376" s="5" t="s">
        <v>2067</v>
      </c>
      <c r="M1376" s="5"/>
      <c r="N1376" s="5"/>
      <c r="O1376" s="5"/>
      <c r="P1376" s="5"/>
      <c r="Q1376" s="5"/>
      <c r="R1376" s="5"/>
      <c r="S1376" s="5"/>
      <c r="T1376" s="5"/>
      <c r="U1376" s="5">
        <v>5000</v>
      </c>
      <c r="V1376" s="6">
        <v>43880</v>
      </c>
      <c r="W1376" s="5" t="s">
        <v>31</v>
      </c>
      <c r="X1376" s="5" t="s">
        <v>6764</v>
      </c>
    </row>
    <row r="1377" spans="1:24" x14ac:dyDescent="0.3">
      <c r="A1377" s="3">
        <v>1371</v>
      </c>
      <c r="B1377" s="3" t="str">
        <f>"201800160260"</f>
        <v>201800160260</v>
      </c>
      <c r="C1377" s="3" t="str">
        <f>"109392"</f>
        <v>109392</v>
      </c>
      <c r="D1377" s="3" t="s">
        <v>6765</v>
      </c>
      <c r="E1377" s="3">
        <v>20518889444</v>
      </c>
      <c r="F1377" s="3" t="s">
        <v>6766</v>
      </c>
      <c r="G1377" s="3" t="s">
        <v>6767</v>
      </c>
      <c r="H1377" s="3" t="s">
        <v>135</v>
      </c>
      <c r="I1377" s="3" t="s">
        <v>402</v>
      </c>
      <c r="J1377" s="3" t="s">
        <v>6768</v>
      </c>
      <c r="K1377" s="3" t="s">
        <v>198</v>
      </c>
      <c r="L1377" s="3"/>
      <c r="M1377" s="3"/>
      <c r="N1377" s="3"/>
      <c r="O1377" s="3"/>
      <c r="P1377" s="3"/>
      <c r="Q1377" s="3"/>
      <c r="R1377" s="3"/>
      <c r="S1377" s="3"/>
      <c r="T1377" s="3"/>
      <c r="U1377" s="3">
        <v>9000</v>
      </c>
      <c r="V1377" s="4">
        <v>43369</v>
      </c>
      <c r="W1377" s="3" t="s">
        <v>31</v>
      </c>
      <c r="X1377" s="3" t="s">
        <v>6769</v>
      </c>
    </row>
    <row r="1378" spans="1:24" ht="27.95" x14ac:dyDescent="0.3">
      <c r="A1378" s="5">
        <v>1372</v>
      </c>
      <c r="B1378" s="5" t="str">
        <f>"1273469"</f>
        <v>1273469</v>
      </c>
      <c r="C1378" s="5" t="str">
        <f>"18537"</f>
        <v>18537</v>
      </c>
      <c r="D1378" s="5" t="s">
        <v>6770</v>
      </c>
      <c r="E1378" s="5">
        <v>20148346055</v>
      </c>
      <c r="F1378" s="5" t="s">
        <v>6771</v>
      </c>
      <c r="G1378" s="5" t="s">
        <v>6772</v>
      </c>
      <c r="H1378" s="5" t="s">
        <v>264</v>
      </c>
      <c r="I1378" s="5" t="s">
        <v>264</v>
      </c>
      <c r="J1378" s="5" t="s">
        <v>6773</v>
      </c>
      <c r="K1378" s="5" t="s">
        <v>259</v>
      </c>
      <c r="L1378" s="5"/>
      <c r="M1378" s="5"/>
      <c r="N1378" s="5"/>
      <c r="O1378" s="5"/>
      <c r="P1378" s="5"/>
      <c r="Q1378" s="5"/>
      <c r="R1378" s="5"/>
      <c r="S1378" s="5"/>
      <c r="T1378" s="5"/>
      <c r="U1378" s="5">
        <v>6000</v>
      </c>
      <c r="V1378" s="6">
        <v>36552</v>
      </c>
      <c r="W1378" s="5" t="s">
        <v>31</v>
      </c>
      <c r="X1378" s="5" t="s">
        <v>6774</v>
      </c>
    </row>
    <row r="1379" spans="1:24" x14ac:dyDescent="0.3">
      <c r="A1379" s="3">
        <v>1373</v>
      </c>
      <c r="B1379" s="3" t="str">
        <f>"201600135986"</f>
        <v>201600135986</v>
      </c>
      <c r="C1379" s="3" t="str">
        <f>"121088"</f>
        <v>121088</v>
      </c>
      <c r="D1379" s="3" t="s">
        <v>6775</v>
      </c>
      <c r="E1379" s="3">
        <v>20553733961</v>
      </c>
      <c r="F1379" s="3" t="s">
        <v>6776</v>
      </c>
      <c r="G1379" s="3" t="s">
        <v>6777</v>
      </c>
      <c r="H1379" s="3" t="s">
        <v>566</v>
      </c>
      <c r="I1379" s="3" t="s">
        <v>3842</v>
      </c>
      <c r="J1379" s="3" t="s">
        <v>3842</v>
      </c>
      <c r="K1379" s="3" t="s">
        <v>397</v>
      </c>
      <c r="L1379" s="3"/>
      <c r="M1379" s="3"/>
      <c r="N1379" s="3"/>
      <c r="O1379" s="3"/>
      <c r="P1379" s="3"/>
      <c r="Q1379" s="3"/>
      <c r="R1379" s="3"/>
      <c r="S1379" s="3"/>
      <c r="T1379" s="3"/>
      <c r="U1379" s="3">
        <v>2000</v>
      </c>
      <c r="V1379" s="4">
        <v>42655</v>
      </c>
      <c r="W1379" s="3" t="s">
        <v>31</v>
      </c>
      <c r="X1379" s="3" t="s">
        <v>6778</v>
      </c>
    </row>
    <row r="1380" spans="1:24" x14ac:dyDescent="0.3">
      <c r="A1380" s="5">
        <v>1374</v>
      </c>
      <c r="B1380" s="5" t="str">
        <f>"201300148743"</f>
        <v>201300148743</v>
      </c>
      <c r="C1380" s="5" t="str">
        <f>"18675"</f>
        <v>18675</v>
      </c>
      <c r="D1380" s="5" t="s">
        <v>6779</v>
      </c>
      <c r="E1380" s="5">
        <v>20548318891</v>
      </c>
      <c r="F1380" s="5" t="s">
        <v>6780</v>
      </c>
      <c r="G1380" s="5" t="s">
        <v>6781</v>
      </c>
      <c r="H1380" s="5" t="s">
        <v>115</v>
      </c>
      <c r="I1380" s="5" t="s">
        <v>115</v>
      </c>
      <c r="J1380" s="5" t="s">
        <v>116</v>
      </c>
      <c r="K1380" s="5" t="s">
        <v>6782</v>
      </c>
      <c r="L1380" s="5"/>
      <c r="M1380" s="5"/>
      <c r="N1380" s="5"/>
      <c r="O1380" s="5"/>
      <c r="P1380" s="5"/>
      <c r="Q1380" s="5"/>
      <c r="R1380" s="5"/>
      <c r="S1380" s="5"/>
      <c r="T1380" s="5"/>
      <c r="U1380" s="5">
        <v>4940</v>
      </c>
      <c r="V1380" s="6">
        <v>41548</v>
      </c>
      <c r="W1380" s="5" t="s">
        <v>31</v>
      </c>
      <c r="X1380" s="5" t="s">
        <v>6783</v>
      </c>
    </row>
    <row r="1381" spans="1:24" ht="27.95" x14ac:dyDescent="0.3">
      <c r="A1381" s="3">
        <v>1375</v>
      </c>
      <c r="B1381" s="3" t="str">
        <f>"1911697"</f>
        <v>1911697</v>
      </c>
      <c r="C1381" s="3" t="str">
        <f>"83544"</f>
        <v>83544</v>
      </c>
      <c r="D1381" s="3" t="s">
        <v>6784</v>
      </c>
      <c r="E1381" s="3">
        <v>20503181925</v>
      </c>
      <c r="F1381" s="3" t="s">
        <v>6785</v>
      </c>
      <c r="G1381" s="3" t="s">
        <v>6786</v>
      </c>
      <c r="H1381" s="3" t="s">
        <v>28</v>
      </c>
      <c r="I1381" s="3" t="s">
        <v>28</v>
      </c>
      <c r="J1381" s="3" t="s">
        <v>501</v>
      </c>
      <c r="K1381" s="3" t="s">
        <v>6787</v>
      </c>
      <c r="L1381" s="3"/>
      <c r="M1381" s="3"/>
      <c r="N1381" s="3"/>
      <c r="O1381" s="3"/>
      <c r="P1381" s="3"/>
      <c r="Q1381" s="3"/>
      <c r="R1381" s="3"/>
      <c r="S1381" s="3"/>
      <c r="T1381" s="3"/>
      <c r="U1381" s="3">
        <v>5020</v>
      </c>
      <c r="V1381" s="4">
        <v>40036</v>
      </c>
      <c r="W1381" s="3" t="s">
        <v>31</v>
      </c>
      <c r="X1381" s="3" t="s">
        <v>1585</v>
      </c>
    </row>
    <row r="1382" spans="1:24" x14ac:dyDescent="0.3">
      <c r="A1382" s="5">
        <v>1376</v>
      </c>
      <c r="B1382" s="5" t="str">
        <f>"201900074950"</f>
        <v>201900074950</v>
      </c>
      <c r="C1382" s="5" t="str">
        <f>"143050"</f>
        <v>143050</v>
      </c>
      <c r="D1382" s="5" t="s">
        <v>6788</v>
      </c>
      <c r="E1382" s="5">
        <v>10049641236</v>
      </c>
      <c r="F1382" s="5" t="s">
        <v>6789</v>
      </c>
      <c r="G1382" s="5" t="s">
        <v>6790</v>
      </c>
      <c r="H1382" s="5" t="s">
        <v>165</v>
      </c>
      <c r="I1382" s="5" t="s">
        <v>166</v>
      </c>
      <c r="J1382" s="5" t="s">
        <v>167</v>
      </c>
      <c r="K1382" s="5" t="s">
        <v>2410</v>
      </c>
      <c r="L1382" s="5" t="s">
        <v>2410</v>
      </c>
      <c r="M1382" s="5"/>
      <c r="N1382" s="5"/>
      <c r="O1382" s="5"/>
      <c r="P1382" s="5"/>
      <c r="Q1382" s="5"/>
      <c r="R1382" s="5"/>
      <c r="S1382" s="5"/>
      <c r="T1382" s="5"/>
      <c r="U1382" s="5">
        <v>10400</v>
      </c>
      <c r="V1382" s="6">
        <v>43595</v>
      </c>
      <c r="W1382" s="5" t="s">
        <v>31</v>
      </c>
      <c r="X1382" s="5" t="s">
        <v>6791</v>
      </c>
    </row>
    <row r="1383" spans="1:24" x14ac:dyDescent="0.3">
      <c r="A1383" s="3">
        <v>1377</v>
      </c>
      <c r="B1383" s="3" t="str">
        <f>"1105544"</f>
        <v>1105544</v>
      </c>
      <c r="C1383" s="3" t="str">
        <f>"1500"</f>
        <v>1500</v>
      </c>
      <c r="D1383" s="3">
        <v>1009189</v>
      </c>
      <c r="E1383" s="3">
        <v>20121524857</v>
      </c>
      <c r="F1383" s="3" t="s">
        <v>6792</v>
      </c>
      <c r="G1383" s="3" t="s">
        <v>6793</v>
      </c>
      <c r="H1383" s="3" t="s">
        <v>214</v>
      </c>
      <c r="I1383" s="3" t="s">
        <v>2230</v>
      </c>
      <c r="J1383" s="3" t="s">
        <v>2230</v>
      </c>
      <c r="K1383" s="3" t="s">
        <v>6794</v>
      </c>
      <c r="L1383" s="3"/>
      <c r="M1383" s="3"/>
      <c r="N1383" s="3"/>
      <c r="O1383" s="3"/>
      <c r="P1383" s="3"/>
      <c r="Q1383" s="3"/>
      <c r="R1383" s="3"/>
      <c r="S1383" s="3"/>
      <c r="T1383" s="3"/>
      <c r="U1383" s="3">
        <v>3135</v>
      </c>
      <c r="V1383" s="4">
        <v>35885</v>
      </c>
      <c r="W1383" s="3" t="s">
        <v>31</v>
      </c>
      <c r="X1383" s="3" t="s">
        <v>6795</v>
      </c>
    </row>
    <row r="1384" spans="1:24" ht="27.95" x14ac:dyDescent="0.3">
      <c r="A1384" s="5">
        <v>1378</v>
      </c>
      <c r="B1384" s="5" t="str">
        <f>"201400102487"</f>
        <v>201400102487</v>
      </c>
      <c r="C1384" s="5" t="str">
        <f>"107804"</f>
        <v>107804</v>
      </c>
      <c r="D1384" s="5" t="s">
        <v>6796</v>
      </c>
      <c r="E1384" s="5">
        <v>20131257750</v>
      </c>
      <c r="F1384" s="5" t="s">
        <v>6797</v>
      </c>
      <c r="G1384" s="5" t="s">
        <v>6798</v>
      </c>
      <c r="H1384" s="5" t="s">
        <v>373</v>
      </c>
      <c r="I1384" s="5" t="s">
        <v>6799</v>
      </c>
      <c r="J1384" s="5" t="s">
        <v>6799</v>
      </c>
      <c r="K1384" s="5" t="s">
        <v>4762</v>
      </c>
      <c r="L1384" s="5"/>
      <c r="M1384" s="5"/>
      <c r="N1384" s="5"/>
      <c r="O1384" s="5"/>
      <c r="P1384" s="5"/>
      <c r="Q1384" s="5"/>
      <c r="R1384" s="5"/>
      <c r="S1384" s="5"/>
      <c r="T1384" s="5"/>
      <c r="U1384" s="5">
        <v>1200</v>
      </c>
      <c r="V1384" s="6">
        <v>41864</v>
      </c>
      <c r="W1384" s="5" t="s">
        <v>31</v>
      </c>
      <c r="X1384" s="5" t="s">
        <v>6800</v>
      </c>
    </row>
    <row r="1385" spans="1:24" ht="41.95" x14ac:dyDescent="0.3">
      <c r="A1385" s="3">
        <v>1379</v>
      </c>
      <c r="B1385" s="3" t="str">
        <f>"1370389"</f>
        <v>1370389</v>
      </c>
      <c r="C1385" s="3" t="str">
        <f>"18216"</f>
        <v>18216</v>
      </c>
      <c r="D1385" s="3" t="s">
        <v>6801</v>
      </c>
      <c r="E1385" s="3">
        <v>20508153822</v>
      </c>
      <c r="F1385" s="3" t="s">
        <v>6802</v>
      </c>
      <c r="G1385" s="3" t="s">
        <v>6803</v>
      </c>
      <c r="H1385" s="3" t="s">
        <v>28</v>
      </c>
      <c r="I1385" s="3" t="s">
        <v>28</v>
      </c>
      <c r="J1385" s="3" t="s">
        <v>501</v>
      </c>
      <c r="K1385" s="3" t="s">
        <v>1378</v>
      </c>
      <c r="L1385" s="3"/>
      <c r="M1385" s="3"/>
      <c r="N1385" s="3"/>
      <c r="O1385" s="3"/>
      <c r="P1385" s="3"/>
      <c r="Q1385" s="3"/>
      <c r="R1385" s="3"/>
      <c r="S1385" s="3"/>
      <c r="T1385" s="3"/>
      <c r="U1385" s="3">
        <v>5000</v>
      </c>
      <c r="V1385" s="4">
        <v>40384</v>
      </c>
      <c r="W1385" s="3" t="s">
        <v>31</v>
      </c>
      <c r="X1385" s="3" t="s">
        <v>6804</v>
      </c>
    </row>
    <row r="1386" spans="1:24" ht="27.95" x14ac:dyDescent="0.3">
      <c r="A1386" s="5">
        <v>1380</v>
      </c>
      <c r="B1386" s="5" t="str">
        <f>"1395075"</f>
        <v>1395075</v>
      </c>
      <c r="C1386" s="5" t="str">
        <f>"88048"</f>
        <v>88048</v>
      </c>
      <c r="D1386" s="5" t="s">
        <v>6805</v>
      </c>
      <c r="E1386" s="5">
        <v>20506475288</v>
      </c>
      <c r="F1386" s="5" t="s">
        <v>6806</v>
      </c>
      <c r="G1386" s="5" t="s">
        <v>6807</v>
      </c>
      <c r="H1386" s="5" t="s">
        <v>36</v>
      </c>
      <c r="I1386" s="5" t="s">
        <v>234</v>
      </c>
      <c r="J1386" s="5" t="s">
        <v>587</v>
      </c>
      <c r="K1386" s="5" t="s">
        <v>6808</v>
      </c>
      <c r="L1386" s="5"/>
      <c r="M1386" s="5"/>
      <c r="N1386" s="5"/>
      <c r="O1386" s="5"/>
      <c r="P1386" s="5"/>
      <c r="Q1386" s="5"/>
      <c r="R1386" s="5"/>
      <c r="S1386" s="5"/>
      <c r="T1386" s="5"/>
      <c r="U1386" s="5">
        <v>39000</v>
      </c>
      <c r="V1386" s="6">
        <v>40421</v>
      </c>
      <c r="W1386" s="5" t="s">
        <v>31</v>
      </c>
      <c r="X1386" s="5" t="s">
        <v>6809</v>
      </c>
    </row>
    <row r="1387" spans="1:24" ht="27.95" x14ac:dyDescent="0.3">
      <c r="A1387" s="3">
        <v>1381</v>
      </c>
      <c r="B1387" s="3" t="str">
        <f>"201300133066"</f>
        <v>201300133066</v>
      </c>
      <c r="C1387" s="3" t="str">
        <f>"88475"</f>
        <v>88475</v>
      </c>
      <c r="D1387" s="3" t="s">
        <v>6810</v>
      </c>
      <c r="E1387" s="3">
        <v>20317904763</v>
      </c>
      <c r="F1387" s="3" t="s">
        <v>6811</v>
      </c>
      <c r="G1387" s="3" t="s">
        <v>6812</v>
      </c>
      <c r="H1387" s="3" t="s">
        <v>214</v>
      </c>
      <c r="I1387" s="3" t="s">
        <v>214</v>
      </c>
      <c r="J1387" s="3" t="s">
        <v>6813</v>
      </c>
      <c r="K1387" s="3" t="s">
        <v>6814</v>
      </c>
      <c r="L1387" s="3"/>
      <c r="M1387" s="3"/>
      <c r="N1387" s="3"/>
      <c r="O1387" s="3"/>
      <c r="P1387" s="3"/>
      <c r="Q1387" s="3"/>
      <c r="R1387" s="3"/>
      <c r="S1387" s="3"/>
      <c r="T1387" s="3"/>
      <c r="U1387" s="3">
        <v>1700</v>
      </c>
      <c r="V1387" s="4">
        <v>41512</v>
      </c>
      <c r="W1387" s="3" t="s">
        <v>31</v>
      </c>
      <c r="X1387" s="3" t="s">
        <v>6815</v>
      </c>
    </row>
    <row r="1388" spans="1:24" x14ac:dyDescent="0.3">
      <c r="A1388" s="5">
        <v>1382</v>
      </c>
      <c r="B1388" s="5" t="str">
        <f>"1599928"</f>
        <v>1599928</v>
      </c>
      <c r="C1388" s="5" t="str">
        <f>"1576"</f>
        <v>1576</v>
      </c>
      <c r="D1388" s="5" t="s">
        <v>6816</v>
      </c>
      <c r="E1388" s="5">
        <v>20504418651</v>
      </c>
      <c r="F1388" s="5" t="s">
        <v>6817</v>
      </c>
      <c r="G1388" s="5" t="s">
        <v>6818</v>
      </c>
      <c r="H1388" s="5" t="s">
        <v>28</v>
      </c>
      <c r="I1388" s="5" t="s">
        <v>28</v>
      </c>
      <c r="J1388" s="5" t="s">
        <v>266</v>
      </c>
      <c r="K1388" s="5" t="s">
        <v>6819</v>
      </c>
      <c r="L1388" s="5"/>
      <c r="M1388" s="5"/>
      <c r="N1388" s="5"/>
      <c r="O1388" s="5"/>
      <c r="P1388" s="5"/>
      <c r="Q1388" s="5"/>
      <c r="R1388" s="5"/>
      <c r="S1388" s="5"/>
      <c r="T1388" s="5"/>
      <c r="U1388" s="5">
        <v>4700</v>
      </c>
      <c r="V1388" s="6">
        <v>38818</v>
      </c>
      <c r="W1388" s="5" t="s">
        <v>31</v>
      </c>
      <c r="X1388" s="5" t="s">
        <v>6355</v>
      </c>
    </row>
    <row r="1389" spans="1:24" x14ac:dyDescent="0.3">
      <c r="A1389" s="3">
        <v>1383</v>
      </c>
      <c r="B1389" s="3" t="str">
        <f>"201300094442"</f>
        <v>201300094442</v>
      </c>
      <c r="C1389" s="3" t="str">
        <f>"99870"</f>
        <v>99870</v>
      </c>
      <c r="D1389" s="3" t="s">
        <v>6820</v>
      </c>
      <c r="E1389" s="3">
        <v>20375800315</v>
      </c>
      <c r="F1389" s="3" t="s">
        <v>6821</v>
      </c>
      <c r="G1389" s="3" t="s">
        <v>6822</v>
      </c>
      <c r="H1389" s="3" t="s">
        <v>28</v>
      </c>
      <c r="I1389" s="3" t="s">
        <v>28</v>
      </c>
      <c r="J1389" s="3" t="s">
        <v>266</v>
      </c>
      <c r="K1389" s="3" t="s">
        <v>6823</v>
      </c>
      <c r="L1389" s="3"/>
      <c r="M1389" s="3"/>
      <c r="N1389" s="3"/>
      <c r="O1389" s="3"/>
      <c r="P1389" s="3"/>
      <c r="Q1389" s="3"/>
      <c r="R1389" s="3"/>
      <c r="S1389" s="3"/>
      <c r="T1389" s="3"/>
      <c r="U1389" s="3">
        <v>3292</v>
      </c>
      <c r="V1389" s="4">
        <v>41432</v>
      </c>
      <c r="W1389" s="3" t="s">
        <v>31</v>
      </c>
      <c r="X1389" s="3" t="s">
        <v>6824</v>
      </c>
    </row>
    <row r="1390" spans="1:24" ht="27.95" x14ac:dyDescent="0.3">
      <c r="A1390" s="5">
        <v>1384</v>
      </c>
      <c r="B1390" s="5" t="str">
        <f>"1114488"</f>
        <v>1114488</v>
      </c>
      <c r="C1390" s="5" t="str">
        <f>"141"</f>
        <v>141</v>
      </c>
      <c r="D1390" s="5">
        <v>960714</v>
      </c>
      <c r="E1390" s="5">
        <v>20100165687</v>
      </c>
      <c r="F1390" s="5" t="s">
        <v>6825</v>
      </c>
      <c r="G1390" s="5" t="s">
        <v>6826</v>
      </c>
      <c r="H1390" s="5" t="s">
        <v>28</v>
      </c>
      <c r="I1390" s="5" t="s">
        <v>28</v>
      </c>
      <c r="J1390" s="5" t="s">
        <v>186</v>
      </c>
      <c r="K1390" s="5" t="s">
        <v>6827</v>
      </c>
      <c r="L1390" s="5" t="s">
        <v>6828</v>
      </c>
      <c r="M1390" s="5"/>
      <c r="N1390" s="5"/>
      <c r="O1390" s="5"/>
      <c r="P1390" s="5"/>
      <c r="Q1390" s="5"/>
      <c r="R1390" s="5"/>
      <c r="S1390" s="5"/>
      <c r="T1390" s="5"/>
      <c r="U1390" s="5">
        <v>10681</v>
      </c>
      <c r="V1390" s="6">
        <v>35524</v>
      </c>
      <c r="W1390" s="5" t="s">
        <v>31</v>
      </c>
      <c r="X1390" s="5" t="s">
        <v>6829</v>
      </c>
    </row>
    <row r="1391" spans="1:24" ht="27.95" x14ac:dyDescent="0.3">
      <c r="A1391" s="3">
        <v>1385</v>
      </c>
      <c r="B1391" s="3" t="str">
        <f>"1778809"</f>
        <v>1778809</v>
      </c>
      <c r="C1391" s="3" t="str">
        <f>"62978"</f>
        <v>62978</v>
      </c>
      <c r="D1391" s="3" t="s">
        <v>6830</v>
      </c>
      <c r="E1391" s="3">
        <v>20106454761</v>
      </c>
      <c r="F1391" s="3" t="s">
        <v>6831</v>
      </c>
      <c r="G1391" s="3" t="s">
        <v>6832</v>
      </c>
      <c r="H1391" s="3" t="s">
        <v>28</v>
      </c>
      <c r="I1391" s="3" t="s">
        <v>28</v>
      </c>
      <c r="J1391" s="3" t="s">
        <v>409</v>
      </c>
      <c r="K1391" s="3" t="s">
        <v>6833</v>
      </c>
      <c r="L1391" s="3"/>
      <c r="M1391" s="3"/>
      <c r="N1391" s="3"/>
      <c r="O1391" s="3"/>
      <c r="P1391" s="3"/>
      <c r="Q1391" s="3"/>
      <c r="R1391" s="3"/>
      <c r="S1391" s="3"/>
      <c r="T1391" s="3"/>
      <c r="U1391" s="3">
        <v>2725</v>
      </c>
      <c r="V1391" s="4">
        <v>39575</v>
      </c>
      <c r="W1391" s="3" t="s">
        <v>31</v>
      </c>
      <c r="X1391" s="3" t="s">
        <v>6834</v>
      </c>
    </row>
    <row r="1392" spans="1:24" x14ac:dyDescent="0.3">
      <c r="A1392" s="5">
        <v>1386</v>
      </c>
      <c r="B1392" s="5" t="str">
        <f>"201400115195"</f>
        <v>201400115195</v>
      </c>
      <c r="C1392" s="5" t="str">
        <f>"111362"</f>
        <v>111362</v>
      </c>
      <c r="D1392" s="5" t="s">
        <v>6835</v>
      </c>
      <c r="E1392" s="5">
        <v>20418453177</v>
      </c>
      <c r="F1392" s="5" t="s">
        <v>2543</v>
      </c>
      <c r="G1392" s="5" t="s">
        <v>6836</v>
      </c>
      <c r="H1392" s="5" t="s">
        <v>80</v>
      </c>
      <c r="I1392" s="5" t="s">
        <v>192</v>
      </c>
      <c r="J1392" s="5" t="s">
        <v>192</v>
      </c>
      <c r="K1392" s="5" t="s">
        <v>1737</v>
      </c>
      <c r="L1392" s="5"/>
      <c r="M1392" s="5"/>
      <c r="N1392" s="5"/>
      <c r="O1392" s="5"/>
      <c r="P1392" s="5"/>
      <c r="Q1392" s="5"/>
      <c r="R1392" s="5"/>
      <c r="S1392" s="5"/>
      <c r="T1392" s="5"/>
      <c r="U1392" s="5">
        <v>16000</v>
      </c>
      <c r="V1392" s="6">
        <v>41897</v>
      </c>
      <c r="W1392" s="5" t="s">
        <v>31</v>
      </c>
      <c r="X1392" s="5" t="s">
        <v>6837</v>
      </c>
    </row>
    <row r="1393" spans="1:24" ht="27.95" x14ac:dyDescent="0.3">
      <c r="A1393" s="3">
        <v>1387</v>
      </c>
      <c r="B1393" s="3" t="str">
        <f>"1823620"</f>
        <v>1823620</v>
      </c>
      <c r="C1393" s="3" t="str">
        <f>"61557"</f>
        <v>61557</v>
      </c>
      <c r="D1393" s="3" t="s">
        <v>6838</v>
      </c>
      <c r="E1393" s="3">
        <v>20126968176</v>
      </c>
      <c r="F1393" s="3" t="s">
        <v>6839</v>
      </c>
      <c r="G1393" s="3" t="s">
        <v>6840</v>
      </c>
      <c r="H1393" s="3" t="s">
        <v>28</v>
      </c>
      <c r="I1393" s="3" t="s">
        <v>28</v>
      </c>
      <c r="J1393" s="3" t="s">
        <v>172</v>
      </c>
      <c r="K1393" s="3" t="s">
        <v>323</v>
      </c>
      <c r="L1393" s="3" t="s">
        <v>3281</v>
      </c>
      <c r="M1393" s="3"/>
      <c r="N1393" s="3"/>
      <c r="O1393" s="3"/>
      <c r="P1393" s="3"/>
      <c r="Q1393" s="3"/>
      <c r="R1393" s="3"/>
      <c r="S1393" s="3"/>
      <c r="T1393" s="3"/>
      <c r="U1393" s="3">
        <v>9800</v>
      </c>
      <c r="V1393" s="4">
        <v>39756</v>
      </c>
      <c r="W1393" s="3" t="s">
        <v>31</v>
      </c>
      <c r="X1393" s="3" t="s">
        <v>6841</v>
      </c>
    </row>
    <row r="1394" spans="1:24" x14ac:dyDescent="0.3">
      <c r="A1394" s="5">
        <v>1388</v>
      </c>
      <c r="B1394" s="5" t="str">
        <f>"1157722"</f>
        <v>1157722</v>
      </c>
      <c r="C1394" s="5" t="str">
        <f>"1342"</f>
        <v>1342</v>
      </c>
      <c r="D1394" s="5">
        <v>1012599</v>
      </c>
      <c r="E1394" s="5">
        <v>20131677457</v>
      </c>
      <c r="F1394" s="5" t="s">
        <v>1097</v>
      </c>
      <c r="G1394" s="5" t="s">
        <v>6842</v>
      </c>
      <c r="H1394" s="5" t="s">
        <v>36</v>
      </c>
      <c r="I1394" s="5" t="s">
        <v>234</v>
      </c>
      <c r="J1394" s="5" t="s">
        <v>235</v>
      </c>
      <c r="K1394" s="5" t="s">
        <v>2121</v>
      </c>
      <c r="L1394" s="5"/>
      <c r="M1394" s="5"/>
      <c r="N1394" s="5"/>
      <c r="O1394" s="5"/>
      <c r="P1394" s="5"/>
      <c r="Q1394" s="5"/>
      <c r="R1394" s="5"/>
      <c r="S1394" s="5"/>
      <c r="T1394" s="5"/>
      <c r="U1394" s="5">
        <v>8000</v>
      </c>
      <c r="V1394" s="6">
        <v>35738</v>
      </c>
      <c r="W1394" s="5" t="s">
        <v>31</v>
      </c>
      <c r="X1394" s="5" t="s">
        <v>6843</v>
      </c>
    </row>
    <row r="1395" spans="1:24" x14ac:dyDescent="0.3">
      <c r="A1395" s="3">
        <v>1389</v>
      </c>
      <c r="B1395" s="3" t="str">
        <f>"1310157"</f>
        <v>1310157</v>
      </c>
      <c r="C1395" s="3" t="str">
        <f>"20181"</f>
        <v>20181</v>
      </c>
      <c r="D1395" s="3" t="s">
        <v>6844</v>
      </c>
      <c r="E1395" s="3">
        <v>20381379648</v>
      </c>
      <c r="F1395" s="3" t="s">
        <v>6845</v>
      </c>
      <c r="G1395" s="3" t="s">
        <v>6846</v>
      </c>
      <c r="H1395" s="3" t="s">
        <v>28</v>
      </c>
      <c r="I1395" s="3" t="s">
        <v>28</v>
      </c>
      <c r="J1395" s="3" t="s">
        <v>545</v>
      </c>
      <c r="K1395" s="3" t="s">
        <v>6847</v>
      </c>
      <c r="L1395" s="3"/>
      <c r="M1395" s="3"/>
      <c r="N1395" s="3"/>
      <c r="O1395" s="3"/>
      <c r="P1395" s="3"/>
      <c r="Q1395" s="3"/>
      <c r="R1395" s="3"/>
      <c r="S1395" s="3"/>
      <c r="T1395" s="3"/>
      <c r="U1395" s="3">
        <v>7000</v>
      </c>
      <c r="V1395" s="4">
        <v>36931</v>
      </c>
      <c r="W1395" s="3" t="s">
        <v>31</v>
      </c>
      <c r="X1395" s="3" t="s">
        <v>6291</v>
      </c>
    </row>
    <row r="1396" spans="1:24" x14ac:dyDescent="0.3">
      <c r="A1396" s="5">
        <v>1390</v>
      </c>
      <c r="B1396" s="5" t="str">
        <f>"202000069938"</f>
        <v>202000069938</v>
      </c>
      <c r="C1396" s="5" t="str">
        <f>"67"</f>
        <v>67</v>
      </c>
      <c r="D1396" s="5" t="s">
        <v>6848</v>
      </c>
      <c r="E1396" s="5">
        <v>20380336384</v>
      </c>
      <c r="F1396" s="5" t="s">
        <v>860</v>
      </c>
      <c r="G1396" s="5" t="s">
        <v>6849</v>
      </c>
      <c r="H1396" s="5" t="s">
        <v>80</v>
      </c>
      <c r="I1396" s="5" t="s">
        <v>309</v>
      </c>
      <c r="J1396" s="5" t="s">
        <v>309</v>
      </c>
      <c r="K1396" s="5" t="s">
        <v>3928</v>
      </c>
      <c r="L1396" s="5" t="s">
        <v>6850</v>
      </c>
      <c r="M1396" s="5"/>
      <c r="N1396" s="5"/>
      <c r="O1396" s="5"/>
      <c r="P1396" s="5"/>
      <c r="Q1396" s="5"/>
      <c r="R1396" s="5"/>
      <c r="S1396" s="5"/>
      <c r="T1396" s="5"/>
      <c r="U1396" s="5">
        <v>44500</v>
      </c>
      <c r="V1396" s="6">
        <v>44007</v>
      </c>
      <c r="W1396" s="5" t="s">
        <v>31</v>
      </c>
      <c r="X1396" s="5" t="s">
        <v>6851</v>
      </c>
    </row>
    <row r="1397" spans="1:24" x14ac:dyDescent="0.3">
      <c r="A1397" s="3">
        <v>1391</v>
      </c>
      <c r="B1397" s="3" t="str">
        <f>"1110710"</f>
        <v>1110710</v>
      </c>
      <c r="C1397" s="3" t="str">
        <f>"266"</f>
        <v>266</v>
      </c>
      <c r="D1397" s="3">
        <v>972856</v>
      </c>
      <c r="E1397" s="3">
        <v>20123532351</v>
      </c>
      <c r="F1397" s="3" t="s">
        <v>6852</v>
      </c>
      <c r="G1397" s="3" t="s">
        <v>6853</v>
      </c>
      <c r="H1397" s="3" t="s">
        <v>28</v>
      </c>
      <c r="I1397" s="3" t="s">
        <v>28</v>
      </c>
      <c r="J1397" s="3" t="s">
        <v>102</v>
      </c>
      <c r="K1397" s="3" t="s">
        <v>6854</v>
      </c>
      <c r="L1397" s="3"/>
      <c r="M1397" s="3"/>
      <c r="N1397" s="3"/>
      <c r="O1397" s="3"/>
      <c r="P1397" s="3"/>
      <c r="Q1397" s="3"/>
      <c r="R1397" s="3"/>
      <c r="S1397" s="3"/>
      <c r="T1397" s="3"/>
      <c r="U1397" s="3">
        <v>9000</v>
      </c>
      <c r="V1397" s="4">
        <v>35508</v>
      </c>
      <c r="W1397" s="3" t="s">
        <v>31</v>
      </c>
      <c r="X1397" s="3" t="s">
        <v>6855</v>
      </c>
    </row>
    <row r="1398" spans="1:24" ht="27.95" x14ac:dyDescent="0.3">
      <c r="A1398" s="5">
        <v>1392</v>
      </c>
      <c r="B1398" s="5" t="str">
        <f>"201600138314"</f>
        <v>201600138314</v>
      </c>
      <c r="C1398" s="5" t="str">
        <f>"16189"</f>
        <v>16189</v>
      </c>
      <c r="D1398" s="5" t="s">
        <v>6856</v>
      </c>
      <c r="E1398" s="5">
        <v>20204844381</v>
      </c>
      <c r="F1398" s="5" t="s">
        <v>6857</v>
      </c>
      <c r="G1398" s="5" t="s">
        <v>6858</v>
      </c>
      <c r="H1398" s="5" t="s">
        <v>36</v>
      </c>
      <c r="I1398" s="5" t="s">
        <v>234</v>
      </c>
      <c r="J1398" s="5" t="s">
        <v>234</v>
      </c>
      <c r="K1398" s="5" t="s">
        <v>6859</v>
      </c>
      <c r="L1398" s="5"/>
      <c r="M1398" s="5"/>
      <c r="N1398" s="5"/>
      <c r="O1398" s="5"/>
      <c r="P1398" s="5"/>
      <c r="Q1398" s="5"/>
      <c r="R1398" s="5"/>
      <c r="S1398" s="5"/>
      <c r="T1398" s="5"/>
      <c r="U1398" s="5">
        <v>17000</v>
      </c>
      <c r="V1398" s="6">
        <v>42643</v>
      </c>
      <c r="W1398" s="5" t="s">
        <v>31</v>
      </c>
      <c r="X1398" s="5" t="s">
        <v>6860</v>
      </c>
    </row>
    <row r="1399" spans="1:24" ht="27.95" x14ac:dyDescent="0.3">
      <c r="A1399" s="3">
        <v>1393</v>
      </c>
      <c r="B1399" s="3" t="str">
        <f>"201800028681"</f>
        <v>201800028681</v>
      </c>
      <c r="C1399" s="3" t="str">
        <f>"102647"</f>
        <v>102647</v>
      </c>
      <c r="D1399" s="3" t="s">
        <v>6861</v>
      </c>
      <c r="E1399" s="3">
        <v>20505470941</v>
      </c>
      <c r="F1399" s="3" t="s">
        <v>6862</v>
      </c>
      <c r="G1399" s="3" t="s">
        <v>6863</v>
      </c>
      <c r="H1399" s="3" t="s">
        <v>28</v>
      </c>
      <c r="I1399" s="3" t="s">
        <v>28</v>
      </c>
      <c r="J1399" s="3" t="s">
        <v>1432</v>
      </c>
      <c r="K1399" s="3" t="s">
        <v>756</v>
      </c>
      <c r="L1399" s="3" t="s">
        <v>6864</v>
      </c>
      <c r="M1399" s="3"/>
      <c r="N1399" s="3"/>
      <c r="O1399" s="3"/>
      <c r="P1399" s="3"/>
      <c r="Q1399" s="3"/>
      <c r="R1399" s="3"/>
      <c r="S1399" s="3"/>
      <c r="T1399" s="3"/>
      <c r="U1399" s="3">
        <v>16465</v>
      </c>
      <c r="V1399" s="4">
        <v>43157</v>
      </c>
      <c r="W1399" s="3" t="s">
        <v>31</v>
      </c>
      <c r="X1399" s="3" t="s">
        <v>6865</v>
      </c>
    </row>
    <row r="1400" spans="1:24" ht="27.95" x14ac:dyDescent="0.3">
      <c r="A1400" s="5">
        <v>1394</v>
      </c>
      <c r="B1400" s="5" t="str">
        <f>"202000042533"</f>
        <v>202000042533</v>
      </c>
      <c r="C1400" s="5" t="str">
        <f>"146533"</f>
        <v>146533</v>
      </c>
      <c r="D1400" s="5" t="s">
        <v>6866</v>
      </c>
      <c r="E1400" s="5">
        <v>20491188309</v>
      </c>
      <c r="F1400" s="5" t="s">
        <v>6867</v>
      </c>
      <c r="G1400" s="5" t="s">
        <v>6868</v>
      </c>
      <c r="H1400" s="5" t="s">
        <v>165</v>
      </c>
      <c r="I1400" s="5" t="s">
        <v>166</v>
      </c>
      <c r="J1400" s="5" t="s">
        <v>165</v>
      </c>
      <c r="K1400" s="5" t="s">
        <v>1577</v>
      </c>
      <c r="L1400" s="5"/>
      <c r="M1400" s="5"/>
      <c r="N1400" s="5"/>
      <c r="O1400" s="5"/>
      <c r="P1400" s="5"/>
      <c r="Q1400" s="5"/>
      <c r="R1400" s="5"/>
      <c r="S1400" s="5"/>
      <c r="T1400" s="5"/>
      <c r="U1400" s="5">
        <v>11000</v>
      </c>
      <c r="V1400" s="6">
        <v>43900</v>
      </c>
      <c r="W1400" s="5" t="s">
        <v>31</v>
      </c>
      <c r="X1400" s="5" t="s">
        <v>6869</v>
      </c>
    </row>
    <row r="1401" spans="1:24" ht="27.95" x14ac:dyDescent="0.3">
      <c r="A1401" s="3">
        <v>1395</v>
      </c>
      <c r="B1401" s="3" t="str">
        <f>"202000109330"</f>
        <v>202000109330</v>
      </c>
      <c r="C1401" s="3" t="str">
        <f>"150772"</f>
        <v>150772</v>
      </c>
      <c r="D1401" s="3" t="s">
        <v>6870</v>
      </c>
      <c r="E1401" s="3">
        <v>20531320060</v>
      </c>
      <c r="F1401" s="3" t="s">
        <v>6871</v>
      </c>
      <c r="G1401" s="3" t="s">
        <v>6872</v>
      </c>
      <c r="H1401" s="3" t="s">
        <v>373</v>
      </c>
      <c r="I1401" s="3" t="s">
        <v>6799</v>
      </c>
      <c r="J1401" s="3" t="s">
        <v>6799</v>
      </c>
      <c r="K1401" s="3" t="s">
        <v>593</v>
      </c>
      <c r="L1401" s="3"/>
      <c r="M1401" s="3"/>
      <c r="N1401" s="3"/>
      <c r="O1401" s="3"/>
      <c r="P1401" s="3"/>
      <c r="Q1401" s="3"/>
      <c r="R1401" s="3"/>
      <c r="S1401" s="3"/>
      <c r="T1401" s="3"/>
      <c r="U1401" s="3">
        <v>2600</v>
      </c>
      <c r="V1401" s="4">
        <v>44073</v>
      </c>
      <c r="W1401" s="3" t="s">
        <v>31</v>
      </c>
      <c r="X1401" s="3" t="s">
        <v>6873</v>
      </c>
    </row>
    <row r="1402" spans="1:24" x14ac:dyDescent="0.3">
      <c r="A1402" s="5">
        <v>1396</v>
      </c>
      <c r="B1402" s="5" t="str">
        <f>"201400016469"</f>
        <v>201400016469</v>
      </c>
      <c r="C1402" s="5" t="str">
        <f>"16061"</f>
        <v>16061</v>
      </c>
      <c r="D1402" s="5" t="s">
        <v>6874</v>
      </c>
      <c r="E1402" s="5">
        <v>20104121374</v>
      </c>
      <c r="F1402" s="5" t="s">
        <v>6875</v>
      </c>
      <c r="G1402" s="5" t="s">
        <v>6876</v>
      </c>
      <c r="H1402" s="5" t="s">
        <v>373</v>
      </c>
      <c r="I1402" s="5" t="s">
        <v>1141</v>
      </c>
      <c r="J1402" s="5" t="s">
        <v>1142</v>
      </c>
      <c r="K1402" s="5" t="s">
        <v>6877</v>
      </c>
      <c r="L1402" s="5" t="s">
        <v>2180</v>
      </c>
      <c r="M1402" s="5" t="s">
        <v>273</v>
      </c>
      <c r="N1402" s="5"/>
      <c r="O1402" s="5"/>
      <c r="P1402" s="5"/>
      <c r="Q1402" s="5"/>
      <c r="R1402" s="5"/>
      <c r="S1402" s="5"/>
      <c r="T1402" s="5"/>
      <c r="U1402" s="5">
        <v>17700</v>
      </c>
      <c r="V1402" s="6">
        <v>41765</v>
      </c>
      <c r="W1402" s="5" t="s">
        <v>31</v>
      </c>
      <c r="X1402" s="5" t="s">
        <v>6878</v>
      </c>
    </row>
    <row r="1403" spans="1:24" x14ac:dyDescent="0.3">
      <c r="A1403" s="3">
        <v>1397</v>
      </c>
      <c r="B1403" s="3" t="str">
        <f>"201700186728"</f>
        <v>201700186728</v>
      </c>
      <c r="C1403" s="3" t="str">
        <f>"129039"</f>
        <v>129039</v>
      </c>
      <c r="D1403" s="3" t="s">
        <v>6879</v>
      </c>
      <c r="E1403" s="3">
        <v>20527171246</v>
      </c>
      <c r="F1403" s="3" t="s">
        <v>6880</v>
      </c>
      <c r="G1403" s="3" t="s">
        <v>6881</v>
      </c>
      <c r="H1403" s="3" t="s">
        <v>165</v>
      </c>
      <c r="I1403" s="3" t="s">
        <v>166</v>
      </c>
      <c r="J1403" s="3" t="s">
        <v>167</v>
      </c>
      <c r="K1403" s="3" t="s">
        <v>3396</v>
      </c>
      <c r="L1403" s="3" t="s">
        <v>6882</v>
      </c>
      <c r="M1403" s="3"/>
      <c r="N1403" s="3"/>
      <c r="O1403" s="3"/>
      <c r="P1403" s="3"/>
      <c r="Q1403" s="3"/>
      <c r="R1403" s="3"/>
      <c r="S1403" s="3"/>
      <c r="T1403" s="3"/>
      <c r="U1403" s="3">
        <v>14800</v>
      </c>
      <c r="V1403" s="4">
        <v>43048</v>
      </c>
      <c r="W1403" s="3" t="s">
        <v>31</v>
      </c>
      <c r="X1403" s="3" t="s">
        <v>6883</v>
      </c>
    </row>
    <row r="1404" spans="1:24" x14ac:dyDescent="0.3">
      <c r="A1404" s="5">
        <v>1398</v>
      </c>
      <c r="B1404" s="5" t="str">
        <f>"201200036069"</f>
        <v>201200036069</v>
      </c>
      <c r="C1404" s="5" t="str">
        <f>"96029"</f>
        <v>96029</v>
      </c>
      <c r="D1404" s="5" t="s">
        <v>6884</v>
      </c>
      <c r="E1404" s="5">
        <v>20128874004</v>
      </c>
      <c r="F1404" s="5" t="s">
        <v>6885</v>
      </c>
      <c r="G1404" s="5" t="s">
        <v>6886</v>
      </c>
      <c r="H1404" s="5" t="s">
        <v>58</v>
      </c>
      <c r="I1404" s="5" t="s">
        <v>59</v>
      </c>
      <c r="J1404" s="5" t="s">
        <v>60</v>
      </c>
      <c r="K1404" s="5" t="s">
        <v>6887</v>
      </c>
      <c r="L1404" s="5"/>
      <c r="M1404" s="5"/>
      <c r="N1404" s="5"/>
      <c r="O1404" s="5"/>
      <c r="P1404" s="5"/>
      <c r="Q1404" s="5"/>
      <c r="R1404" s="5"/>
      <c r="S1404" s="5"/>
      <c r="T1404" s="5"/>
      <c r="U1404" s="5">
        <v>560</v>
      </c>
      <c r="V1404" s="6">
        <v>41003</v>
      </c>
      <c r="W1404" s="5" t="s">
        <v>31</v>
      </c>
      <c r="X1404" s="5"/>
    </row>
    <row r="1405" spans="1:24" x14ac:dyDescent="0.3">
      <c r="A1405" s="3">
        <v>1399</v>
      </c>
      <c r="B1405" s="3" t="str">
        <f>"201400016471"</f>
        <v>201400016471</v>
      </c>
      <c r="C1405" s="3" t="str">
        <f>"107895"</f>
        <v>107895</v>
      </c>
      <c r="D1405" s="3" t="s">
        <v>6888</v>
      </c>
      <c r="E1405" s="3">
        <v>20163901197</v>
      </c>
      <c r="F1405" s="3" t="s">
        <v>6889</v>
      </c>
      <c r="G1405" s="3" t="s">
        <v>6890</v>
      </c>
      <c r="H1405" s="3" t="s">
        <v>373</v>
      </c>
      <c r="I1405" s="3" t="s">
        <v>1141</v>
      </c>
      <c r="J1405" s="3" t="s">
        <v>1142</v>
      </c>
      <c r="K1405" s="3" t="s">
        <v>2180</v>
      </c>
      <c r="L1405" s="3"/>
      <c r="M1405" s="3"/>
      <c r="N1405" s="3"/>
      <c r="O1405" s="3"/>
      <c r="P1405" s="3"/>
      <c r="Q1405" s="3"/>
      <c r="R1405" s="3"/>
      <c r="S1405" s="3"/>
      <c r="T1405" s="3"/>
      <c r="U1405" s="3">
        <v>10000</v>
      </c>
      <c r="V1405" s="4">
        <v>41764</v>
      </c>
      <c r="W1405" s="3" t="s">
        <v>31</v>
      </c>
      <c r="X1405" s="3" t="s">
        <v>6891</v>
      </c>
    </row>
    <row r="1406" spans="1:24" ht="27.95" x14ac:dyDescent="0.3">
      <c r="A1406" s="5">
        <v>1400</v>
      </c>
      <c r="B1406" s="5" t="str">
        <f>"201900081419"</f>
        <v>201900081419</v>
      </c>
      <c r="C1406" s="5" t="str">
        <f>"144235"</f>
        <v>144235</v>
      </c>
      <c r="D1406" s="5" t="s">
        <v>6892</v>
      </c>
      <c r="E1406" s="5">
        <v>20490919156</v>
      </c>
      <c r="F1406" s="5" t="s">
        <v>6893</v>
      </c>
      <c r="G1406" s="5" t="s">
        <v>6894</v>
      </c>
      <c r="H1406" s="5" t="s">
        <v>165</v>
      </c>
      <c r="I1406" s="5" t="s">
        <v>166</v>
      </c>
      <c r="J1406" s="5" t="s">
        <v>167</v>
      </c>
      <c r="K1406" s="5" t="s">
        <v>198</v>
      </c>
      <c r="L1406" s="5"/>
      <c r="M1406" s="5"/>
      <c r="N1406" s="5"/>
      <c r="O1406" s="5"/>
      <c r="P1406" s="5"/>
      <c r="Q1406" s="5"/>
      <c r="R1406" s="5"/>
      <c r="S1406" s="5"/>
      <c r="T1406" s="5"/>
      <c r="U1406" s="5">
        <v>9000</v>
      </c>
      <c r="V1406" s="6">
        <v>43612</v>
      </c>
      <c r="W1406" s="5" t="s">
        <v>31</v>
      </c>
      <c r="X1406" s="5" t="s">
        <v>6895</v>
      </c>
    </row>
    <row r="1407" spans="1:24" x14ac:dyDescent="0.3">
      <c r="A1407" s="3">
        <v>1401</v>
      </c>
      <c r="B1407" s="3" t="str">
        <f>"1454623"</f>
        <v>1454623</v>
      </c>
      <c r="C1407" s="3" t="str">
        <f>"39030"</f>
        <v>39030</v>
      </c>
      <c r="D1407" s="3" t="s">
        <v>6896</v>
      </c>
      <c r="E1407" s="3">
        <v>20506228515</v>
      </c>
      <c r="F1407" s="3" t="s">
        <v>6897</v>
      </c>
      <c r="G1407" s="3" t="s">
        <v>6898</v>
      </c>
      <c r="H1407" s="3" t="s">
        <v>28</v>
      </c>
      <c r="I1407" s="3" t="s">
        <v>490</v>
      </c>
      <c r="J1407" s="3" t="s">
        <v>490</v>
      </c>
      <c r="K1407" s="3" t="s">
        <v>6899</v>
      </c>
      <c r="L1407" s="3"/>
      <c r="M1407" s="3"/>
      <c r="N1407" s="3"/>
      <c r="O1407" s="3"/>
      <c r="P1407" s="3"/>
      <c r="Q1407" s="3"/>
      <c r="R1407" s="3"/>
      <c r="S1407" s="3"/>
      <c r="T1407" s="3"/>
      <c r="U1407" s="3">
        <v>4520</v>
      </c>
      <c r="V1407" s="4">
        <v>38042</v>
      </c>
      <c r="W1407" s="3" t="s">
        <v>31</v>
      </c>
      <c r="X1407" s="3" t="s">
        <v>5237</v>
      </c>
    </row>
    <row r="1408" spans="1:24" x14ac:dyDescent="0.3">
      <c r="A1408" s="5">
        <v>1402</v>
      </c>
      <c r="B1408" s="5" t="str">
        <f>"201600113057"</f>
        <v>201600113057</v>
      </c>
      <c r="C1408" s="5" t="str">
        <f>"123092"</f>
        <v>123092</v>
      </c>
      <c r="D1408" s="5" t="s">
        <v>6900</v>
      </c>
      <c r="E1408" s="5">
        <v>17286441751</v>
      </c>
      <c r="F1408" s="5" t="s">
        <v>6901</v>
      </c>
      <c r="G1408" s="5" t="s">
        <v>6902</v>
      </c>
      <c r="H1408" s="5" t="s">
        <v>165</v>
      </c>
      <c r="I1408" s="5" t="s">
        <v>166</v>
      </c>
      <c r="J1408" s="5" t="s">
        <v>167</v>
      </c>
      <c r="K1408" s="5" t="s">
        <v>1893</v>
      </c>
      <c r="L1408" s="5" t="s">
        <v>1893</v>
      </c>
      <c r="M1408" s="5"/>
      <c r="N1408" s="5"/>
      <c r="O1408" s="5"/>
      <c r="P1408" s="5"/>
      <c r="Q1408" s="5"/>
      <c r="R1408" s="5"/>
      <c r="S1408" s="5"/>
      <c r="T1408" s="5"/>
      <c r="U1408" s="5">
        <v>16800</v>
      </c>
      <c r="V1408" s="6">
        <v>42599</v>
      </c>
      <c r="W1408" s="5" t="s">
        <v>31</v>
      </c>
      <c r="X1408" s="5" t="s">
        <v>6901</v>
      </c>
    </row>
    <row r="1409" spans="1:24" x14ac:dyDescent="0.3">
      <c r="A1409" s="3">
        <v>1403</v>
      </c>
      <c r="B1409" s="3" t="str">
        <f>"201500062748"</f>
        <v>201500062748</v>
      </c>
      <c r="C1409" s="3" t="str">
        <f>"61934"</f>
        <v>61934</v>
      </c>
      <c r="D1409" s="3" t="s">
        <v>6903</v>
      </c>
      <c r="E1409" s="3">
        <v>20538428524</v>
      </c>
      <c r="F1409" s="3" t="s">
        <v>4817</v>
      </c>
      <c r="G1409" s="3" t="s">
        <v>4818</v>
      </c>
      <c r="H1409" s="3" t="s">
        <v>743</v>
      </c>
      <c r="I1409" s="3" t="s">
        <v>744</v>
      </c>
      <c r="J1409" s="3" t="s">
        <v>4819</v>
      </c>
      <c r="K1409" s="3" t="s">
        <v>6904</v>
      </c>
      <c r="L1409" s="3" t="s">
        <v>6905</v>
      </c>
      <c r="M1409" s="3" t="s">
        <v>6906</v>
      </c>
      <c r="N1409" s="3" t="s">
        <v>6907</v>
      </c>
      <c r="O1409" s="3" t="s">
        <v>6908</v>
      </c>
      <c r="P1409" s="3" t="s">
        <v>6908</v>
      </c>
      <c r="Q1409" s="3"/>
      <c r="R1409" s="3"/>
      <c r="S1409" s="3"/>
      <c r="T1409" s="3"/>
      <c r="U1409" s="3">
        <v>1420514</v>
      </c>
      <c r="V1409" s="4">
        <v>42142</v>
      </c>
      <c r="W1409" s="3" t="s">
        <v>31</v>
      </c>
      <c r="X1409" s="3" t="s">
        <v>6909</v>
      </c>
    </row>
    <row r="1410" spans="1:24" x14ac:dyDescent="0.3">
      <c r="A1410" s="5">
        <v>1404</v>
      </c>
      <c r="B1410" s="5" t="str">
        <f>"201900158721"</f>
        <v>201900158721</v>
      </c>
      <c r="C1410" s="5" t="str">
        <f>"14766"</f>
        <v>14766</v>
      </c>
      <c r="D1410" s="5" t="s">
        <v>6910</v>
      </c>
      <c r="E1410" s="5">
        <v>20504311342</v>
      </c>
      <c r="F1410" s="5" t="s">
        <v>579</v>
      </c>
      <c r="G1410" s="5" t="s">
        <v>6911</v>
      </c>
      <c r="H1410" s="5" t="s">
        <v>58</v>
      </c>
      <c r="I1410" s="5" t="s">
        <v>58</v>
      </c>
      <c r="J1410" s="5" t="s">
        <v>2704</v>
      </c>
      <c r="K1410" s="5" t="s">
        <v>6912</v>
      </c>
      <c r="L1410" s="5"/>
      <c r="M1410" s="5"/>
      <c r="N1410" s="5"/>
      <c r="O1410" s="5"/>
      <c r="P1410" s="5"/>
      <c r="Q1410" s="5"/>
      <c r="R1410" s="5"/>
      <c r="S1410" s="5"/>
      <c r="T1410" s="5"/>
      <c r="U1410" s="5">
        <v>84000</v>
      </c>
      <c r="V1410" s="6">
        <v>43741</v>
      </c>
      <c r="W1410" s="5" t="s">
        <v>31</v>
      </c>
      <c r="X1410" s="5" t="s">
        <v>6913</v>
      </c>
    </row>
    <row r="1411" spans="1:24" ht="27.95" x14ac:dyDescent="0.3">
      <c r="A1411" s="3">
        <v>1405</v>
      </c>
      <c r="B1411" s="3" t="str">
        <f>"201400106810"</f>
        <v>201400106810</v>
      </c>
      <c r="C1411" s="3" t="str">
        <f>"111131"</f>
        <v>111131</v>
      </c>
      <c r="D1411" s="3" t="s">
        <v>6914</v>
      </c>
      <c r="E1411" s="3">
        <v>10293054458</v>
      </c>
      <c r="F1411" s="3" t="s">
        <v>6915</v>
      </c>
      <c r="G1411" s="3" t="s">
        <v>6916</v>
      </c>
      <c r="H1411" s="3" t="s">
        <v>165</v>
      </c>
      <c r="I1411" s="3" t="s">
        <v>732</v>
      </c>
      <c r="J1411" s="3" t="s">
        <v>733</v>
      </c>
      <c r="K1411" s="3" t="s">
        <v>5120</v>
      </c>
      <c r="L1411" s="3" t="s">
        <v>5120</v>
      </c>
      <c r="M1411" s="3"/>
      <c r="N1411" s="3"/>
      <c r="O1411" s="3"/>
      <c r="P1411" s="3"/>
      <c r="Q1411" s="3"/>
      <c r="R1411" s="3"/>
      <c r="S1411" s="3"/>
      <c r="T1411" s="3"/>
      <c r="U1411" s="3">
        <v>10600</v>
      </c>
      <c r="V1411" s="4">
        <v>41921</v>
      </c>
      <c r="W1411" s="3" t="s">
        <v>31</v>
      </c>
      <c r="X1411" s="3" t="s">
        <v>6915</v>
      </c>
    </row>
    <row r="1412" spans="1:24" x14ac:dyDescent="0.3">
      <c r="A1412" s="5">
        <v>1406</v>
      </c>
      <c r="B1412" s="5" t="str">
        <f>"201600159948"</f>
        <v>201600159948</v>
      </c>
      <c r="C1412" s="5" t="str">
        <f>"39366"</f>
        <v>39366</v>
      </c>
      <c r="D1412" s="5" t="s">
        <v>6917</v>
      </c>
      <c r="E1412" s="5">
        <v>20444806541</v>
      </c>
      <c r="F1412" s="5" t="s">
        <v>6918</v>
      </c>
      <c r="G1412" s="5" t="s">
        <v>6919</v>
      </c>
      <c r="H1412" s="5" t="s">
        <v>566</v>
      </c>
      <c r="I1412" s="5" t="s">
        <v>1724</v>
      </c>
      <c r="J1412" s="5" t="s">
        <v>1724</v>
      </c>
      <c r="K1412" s="5" t="s">
        <v>6920</v>
      </c>
      <c r="L1412" s="5"/>
      <c r="M1412" s="5"/>
      <c r="N1412" s="5"/>
      <c r="O1412" s="5"/>
      <c r="P1412" s="5"/>
      <c r="Q1412" s="5"/>
      <c r="R1412" s="5"/>
      <c r="S1412" s="5"/>
      <c r="T1412" s="5"/>
      <c r="U1412" s="5">
        <v>1500</v>
      </c>
      <c r="V1412" s="6">
        <v>42681</v>
      </c>
      <c r="W1412" s="5" t="s">
        <v>31</v>
      </c>
      <c r="X1412" s="5" t="s">
        <v>6921</v>
      </c>
    </row>
    <row r="1413" spans="1:24" ht="27.95" x14ac:dyDescent="0.3">
      <c r="A1413" s="3">
        <v>1407</v>
      </c>
      <c r="B1413" s="3" t="str">
        <f>"1488237"</f>
        <v>1488237</v>
      </c>
      <c r="C1413" s="3" t="str">
        <f>"91800"</f>
        <v>91800</v>
      </c>
      <c r="D1413" s="3" t="s">
        <v>6922</v>
      </c>
      <c r="E1413" s="3">
        <v>20507252436</v>
      </c>
      <c r="F1413" s="3" t="s">
        <v>6923</v>
      </c>
      <c r="G1413" s="3" t="s">
        <v>6924</v>
      </c>
      <c r="H1413" s="3" t="s">
        <v>28</v>
      </c>
      <c r="I1413" s="3" t="s">
        <v>28</v>
      </c>
      <c r="J1413" s="3" t="s">
        <v>501</v>
      </c>
      <c r="K1413" s="3" t="s">
        <v>397</v>
      </c>
      <c r="L1413" s="3"/>
      <c r="M1413" s="3"/>
      <c r="N1413" s="3"/>
      <c r="O1413" s="3"/>
      <c r="P1413" s="3"/>
      <c r="Q1413" s="3"/>
      <c r="R1413" s="3"/>
      <c r="S1413" s="3"/>
      <c r="T1413" s="3"/>
      <c r="U1413" s="3">
        <v>2000</v>
      </c>
      <c r="V1413" s="4">
        <v>40714</v>
      </c>
      <c r="W1413" s="3" t="s">
        <v>31</v>
      </c>
      <c r="X1413" s="3" t="s">
        <v>6925</v>
      </c>
    </row>
    <row r="1414" spans="1:24" ht="41.95" x14ac:dyDescent="0.3">
      <c r="A1414" s="5">
        <v>1408</v>
      </c>
      <c r="B1414" s="5" t="str">
        <f>"1858950"</f>
        <v>1858950</v>
      </c>
      <c r="C1414" s="5" t="str">
        <f>"82503"</f>
        <v>82503</v>
      </c>
      <c r="D1414" s="5" t="s">
        <v>6926</v>
      </c>
      <c r="E1414" s="5">
        <v>20100102413</v>
      </c>
      <c r="F1414" s="5" t="s">
        <v>6927</v>
      </c>
      <c r="G1414" s="5" t="s">
        <v>6928</v>
      </c>
      <c r="H1414" s="5" t="s">
        <v>28</v>
      </c>
      <c r="I1414" s="5" t="s">
        <v>28</v>
      </c>
      <c r="J1414" s="5" t="s">
        <v>436</v>
      </c>
      <c r="K1414" s="5" t="s">
        <v>605</v>
      </c>
      <c r="L1414" s="5"/>
      <c r="M1414" s="5"/>
      <c r="N1414" s="5"/>
      <c r="O1414" s="5"/>
      <c r="P1414" s="5"/>
      <c r="Q1414" s="5"/>
      <c r="R1414" s="5"/>
      <c r="S1414" s="5"/>
      <c r="T1414" s="5"/>
      <c r="U1414" s="5">
        <v>2000</v>
      </c>
      <c r="V1414" s="6">
        <v>39861</v>
      </c>
      <c r="W1414" s="5" t="s">
        <v>31</v>
      </c>
      <c r="X1414" s="5" t="s">
        <v>6929</v>
      </c>
    </row>
    <row r="1415" spans="1:24" ht="27.95" x14ac:dyDescent="0.3">
      <c r="A1415" s="3">
        <v>1409</v>
      </c>
      <c r="B1415" s="3" t="str">
        <f>"1397054"</f>
        <v>1397054</v>
      </c>
      <c r="C1415" s="3" t="str">
        <f>"87744"</f>
        <v>87744</v>
      </c>
      <c r="D1415" s="3" t="s">
        <v>6930</v>
      </c>
      <c r="E1415" s="3">
        <v>20110876395</v>
      </c>
      <c r="F1415" s="3" t="s">
        <v>6931</v>
      </c>
      <c r="G1415" s="3" t="s">
        <v>6932</v>
      </c>
      <c r="H1415" s="3" t="s">
        <v>28</v>
      </c>
      <c r="I1415" s="3" t="s">
        <v>28</v>
      </c>
      <c r="J1415" s="3" t="s">
        <v>109</v>
      </c>
      <c r="K1415" s="3" t="s">
        <v>1378</v>
      </c>
      <c r="L1415" s="3"/>
      <c r="M1415" s="3"/>
      <c r="N1415" s="3"/>
      <c r="O1415" s="3"/>
      <c r="P1415" s="3"/>
      <c r="Q1415" s="3"/>
      <c r="R1415" s="3"/>
      <c r="S1415" s="3"/>
      <c r="T1415" s="3"/>
      <c r="U1415" s="3">
        <v>5000</v>
      </c>
      <c r="V1415" s="4">
        <v>40413</v>
      </c>
      <c r="W1415" s="3" t="s">
        <v>31</v>
      </c>
      <c r="X1415" s="3" t="s">
        <v>6933</v>
      </c>
    </row>
    <row r="1416" spans="1:24" x14ac:dyDescent="0.3">
      <c r="A1416" s="5">
        <v>1410</v>
      </c>
      <c r="B1416" s="5" t="str">
        <f>"201900054198"</f>
        <v>201900054198</v>
      </c>
      <c r="C1416" s="5" t="str">
        <f>"111984"</f>
        <v>111984</v>
      </c>
      <c r="D1416" s="5" t="s">
        <v>6934</v>
      </c>
      <c r="E1416" s="5">
        <v>20603850204</v>
      </c>
      <c r="F1416" s="5" t="s">
        <v>6935</v>
      </c>
      <c r="G1416" s="5" t="s">
        <v>6936</v>
      </c>
      <c r="H1416" s="5" t="s">
        <v>214</v>
      </c>
      <c r="I1416" s="5" t="s">
        <v>797</v>
      </c>
      <c r="J1416" s="5" t="s">
        <v>798</v>
      </c>
      <c r="K1416" s="5" t="s">
        <v>6937</v>
      </c>
      <c r="L1416" s="5"/>
      <c r="M1416" s="5"/>
      <c r="N1416" s="5"/>
      <c r="O1416" s="5"/>
      <c r="P1416" s="5"/>
      <c r="Q1416" s="5"/>
      <c r="R1416" s="5"/>
      <c r="S1416" s="5"/>
      <c r="T1416" s="5"/>
      <c r="U1416" s="5">
        <v>5250</v>
      </c>
      <c r="V1416" s="6">
        <v>43560</v>
      </c>
      <c r="W1416" s="5" t="s">
        <v>31</v>
      </c>
      <c r="X1416" s="5" t="s">
        <v>6938</v>
      </c>
    </row>
    <row r="1417" spans="1:24" ht="27.95" x14ac:dyDescent="0.3">
      <c r="A1417" s="3">
        <v>1411</v>
      </c>
      <c r="B1417" s="3" t="str">
        <f>"1526248"</f>
        <v>1526248</v>
      </c>
      <c r="C1417" s="3" t="str">
        <f>"402"</f>
        <v>402</v>
      </c>
      <c r="D1417" s="3" t="s">
        <v>6939</v>
      </c>
      <c r="E1417" s="3">
        <v>20506812209</v>
      </c>
      <c r="F1417" s="3" t="s">
        <v>6940</v>
      </c>
      <c r="G1417" s="3" t="s">
        <v>6941</v>
      </c>
      <c r="H1417" s="3" t="s">
        <v>135</v>
      </c>
      <c r="I1417" s="3" t="s">
        <v>402</v>
      </c>
      <c r="J1417" s="3" t="s">
        <v>862</v>
      </c>
      <c r="K1417" s="3" t="s">
        <v>6942</v>
      </c>
      <c r="L1417" s="3" t="s">
        <v>6943</v>
      </c>
      <c r="M1417" s="3" t="s">
        <v>6944</v>
      </c>
      <c r="N1417" s="3" t="s">
        <v>2780</v>
      </c>
      <c r="O1417" s="3"/>
      <c r="P1417" s="3"/>
      <c r="Q1417" s="3"/>
      <c r="R1417" s="3"/>
      <c r="S1417" s="3"/>
      <c r="T1417" s="3"/>
      <c r="U1417" s="3">
        <v>249000</v>
      </c>
      <c r="V1417" s="4">
        <v>38440</v>
      </c>
      <c r="W1417" s="3" t="s">
        <v>31</v>
      </c>
      <c r="X1417" s="3" t="s">
        <v>6945</v>
      </c>
    </row>
    <row r="1418" spans="1:24" ht="27.95" x14ac:dyDescent="0.3">
      <c r="A1418" s="5">
        <v>1412</v>
      </c>
      <c r="B1418" s="5" t="str">
        <f>"201500002352"</f>
        <v>201500002352</v>
      </c>
      <c r="C1418" s="5" t="str">
        <f>"111418"</f>
        <v>111418</v>
      </c>
      <c r="D1418" s="5" t="s">
        <v>6946</v>
      </c>
      <c r="E1418" s="5">
        <v>20100814324</v>
      </c>
      <c r="F1418" s="5" t="s">
        <v>6947</v>
      </c>
      <c r="G1418" s="5" t="s">
        <v>6948</v>
      </c>
      <c r="H1418" s="5" t="s">
        <v>28</v>
      </c>
      <c r="I1418" s="5" t="s">
        <v>28</v>
      </c>
      <c r="J1418" s="5" t="s">
        <v>208</v>
      </c>
      <c r="K1418" s="5" t="s">
        <v>193</v>
      </c>
      <c r="L1418" s="5"/>
      <c r="M1418" s="5"/>
      <c r="N1418" s="5"/>
      <c r="O1418" s="5"/>
      <c r="P1418" s="5"/>
      <c r="Q1418" s="5"/>
      <c r="R1418" s="5"/>
      <c r="S1418" s="5"/>
      <c r="T1418" s="5"/>
      <c r="U1418" s="5">
        <v>2500</v>
      </c>
      <c r="V1418" s="6">
        <v>42045</v>
      </c>
      <c r="W1418" s="5" t="s">
        <v>31</v>
      </c>
      <c r="X1418" s="5" t="s">
        <v>6949</v>
      </c>
    </row>
    <row r="1419" spans="1:24" ht="27.95" x14ac:dyDescent="0.3">
      <c r="A1419" s="3">
        <v>1413</v>
      </c>
      <c r="B1419" s="3" t="str">
        <f>"201500119658"</f>
        <v>201500119658</v>
      </c>
      <c r="C1419" s="3" t="str">
        <f>"43749"</f>
        <v>43749</v>
      </c>
      <c r="D1419" s="3" t="s">
        <v>6950</v>
      </c>
      <c r="E1419" s="3">
        <v>20100073723</v>
      </c>
      <c r="F1419" s="3" t="s">
        <v>6951</v>
      </c>
      <c r="G1419" s="3" t="s">
        <v>6952</v>
      </c>
      <c r="H1419" s="3" t="s">
        <v>28</v>
      </c>
      <c r="I1419" s="3" t="s">
        <v>28</v>
      </c>
      <c r="J1419" s="3" t="s">
        <v>251</v>
      </c>
      <c r="K1419" s="3" t="s">
        <v>6953</v>
      </c>
      <c r="L1419" s="3" t="s">
        <v>6954</v>
      </c>
      <c r="M1419" s="3" t="s">
        <v>6955</v>
      </c>
      <c r="N1419" s="3" t="s">
        <v>6956</v>
      </c>
      <c r="O1419" s="3" t="s">
        <v>6957</v>
      </c>
      <c r="P1419" s="3" t="s">
        <v>6958</v>
      </c>
      <c r="Q1419" s="3" t="s">
        <v>6958</v>
      </c>
      <c r="R1419" s="3" t="s">
        <v>6959</v>
      </c>
      <c r="S1419" s="3" t="s">
        <v>6960</v>
      </c>
      <c r="T1419" s="3" t="s">
        <v>6961</v>
      </c>
      <c r="U1419" s="3">
        <v>294088</v>
      </c>
      <c r="V1419" s="4">
        <v>42265</v>
      </c>
      <c r="W1419" s="3" t="s">
        <v>31</v>
      </c>
      <c r="X1419" s="3" t="s">
        <v>6962</v>
      </c>
    </row>
    <row r="1420" spans="1:24" ht="27.95" x14ac:dyDescent="0.3">
      <c r="A1420" s="5">
        <v>1414</v>
      </c>
      <c r="B1420" s="5" t="str">
        <f>"1304713"</f>
        <v>1304713</v>
      </c>
      <c r="C1420" s="5" t="str">
        <f>"20174"</f>
        <v>20174</v>
      </c>
      <c r="D1420" s="5" t="s">
        <v>6963</v>
      </c>
      <c r="E1420" s="5">
        <v>20172822801</v>
      </c>
      <c r="F1420" s="5" t="s">
        <v>1436</v>
      </c>
      <c r="G1420" s="5" t="s">
        <v>6964</v>
      </c>
      <c r="H1420" s="5" t="s">
        <v>28</v>
      </c>
      <c r="I1420" s="5" t="s">
        <v>28</v>
      </c>
      <c r="J1420" s="5" t="s">
        <v>1432</v>
      </c>
      <c r="K1420" s="5" t="s">
        <v>323</v>
      </c>
      <c r="L1420" s="5"/>
      <c r="M1420" s="5"/>
      <c r="N1420" s="5"/>
      <c r="O1420" s="5"/>
      <c r="P1420" s="5"/>
      <c r="Q1420" s="5"/>
      <c r="R1420" s="5"/>
      <c r="S1420" s="5"/>
      <c r="T1420" s="5"/>
      <c r="U1420" s="5">
        <v>4000</v>
      </c>
      <c r="V1420" s="6">
        <v>36896</v>
      </c>
      <c r="W1420" s="5" t="s">
        <v>31</v>
      </c>
      <c r="X1420" s="5" t="s">
        <v>6965</v>
      </c>
    </row>
    <row r="1421" spans="1:24" ht="27.95" x14ac:dyDescent="0.3">
      <c r="A1421" s="3">
        <v>1415</v>
      </c>
      <c r="B1421" s="3" t="str">
        <f>"1911319"</f>
        <v>1911319</v>
      </c>
      <c r="C1421" s="3" t="str">
        <f>"16460"</f>
        <v>16460</v>
      </c>
      <c r="D1421" s="3" t="s">
        <v>6966</v>
      </c>
      <c r="E1421" s="3">
        <v>20100019516</v>
      </c>
      <c r="F1421" s="3" t="s">
        <v>6967</v>
      </c>
      <c r="G1421" s="3" t="s">
        <v>6968</v>
      </c>
      <c r="H1421" s="3" t="s">
        <v>115</v>
      </c>
      <c r="I1421" s="3" t="s">
        <v>115</v>
      </c>
      <c r="J1421" s="3" t="s">
        <v>159</v>
      </c>
      <c r="K1421" s="3" t="s">
        <v>1908</v>
      </c>
      <c r="L1421" s="3" t="s">
        <v>6969</v>
      </c>
      <c r="M1421" s="3" t="s">
        <v>1234</v>
      </c>
      <c r="N1421" s="3"/>
      <c r="O1421" s="3"/>
      <c r="P1421" s="3"/>
      <c r="Q1421" s="3"/>
      <c r="R1421" s="3"/>
      <c r="S1421" s="3"/>
      <c r="T1421" s="3"/>
      <c r="U1421" s="3">
        <v>6605</v>
      </c>
      <c r="V1421" s="4">
        <v>40049</v>
      </c>
      <c r="W1421" s="3" t="s">
        <v>31</v>
      </c>
      <c r="X1421" s="3" t="s">
        <v>6970</v>
      </c>
    </row>
    <row r="1422" spans="1:24" ht="27.95" x14ac:dyDescent="0.3">
      <c r="A1422" s="5">
        <v>1416</v>
      </c>
      <c r="B1422" s="5" t="str">
        <f>"201400122861"</f>
        <v>201400122861</v>
      </c>
      <c r="C1422" s="5" t="str">
        <f>"102937"</f>
        <v>102937</v>
      </c>
      <c r="D1422" s="5" t="s">
        <v>6971</v>
      </c>
      <c r="E1422" s="5">
        <v>20565213131</v>
      </c>
      <c r="F1422" s="5" t="s">
        <v>6972</v>
      </c>
      <c r="G1422" s="5" t="s">
        <v>6973</v>
      </c>
      <c r="H1422" s="5" t="s">
        <v>28</v>
      </c>
      <c r="I1422" s="5" t="s">
        <v>28</v>
      </c>
      <c r="J1422" s="5" t="s">
        <v>208</v>
      </c>
      <c r="K1422" s="5" t="s">
        <v>4199</v>
      </c>
      <c r="L1422" s="5"/>
      <c r="M1422" s="5"/>
      <c r="N1422" s="5"/>
      <c r="O1422" s="5"/>
      <c r="P1422" s="5"/>
      <c r="Q1422" s="5"/>
      <c r="R1422" s="5"/>
      <c r="S1422" s="5"/>
      <c r="T1422" s="5"/>
      <c r="U1422" s="5">
        <v>2262</v>
      </c>
      <c r="V1422" s="6">
        <v>41940</v>
      </c>
      <c r="W1422" s="5" t="s">
        <v>31</v>
      </c>
      <c r="X1422" s="5" t="s">
        <v>6974</v>
      </c>
    </row>
    <row r="1423" spans="1:24" x14ac:dyDescent="0.3">
      <c r="A1423" s="3">
        <v>1417</v>
      </c>
      <c r="B1423" s="3" t="str">
        <f>"201800132442"</f>
        <v>201800132442</v>
      </c>
      <c r="C1423" s="3" t="str">
        <f>"137541"</f>
        <v>137541</v>
      </c>
      <c r="D1423" s="3" t="s">
        <v>6975</v>
      </c>
      <c r="E1423" s="3">
        <v>20503370574</v>
      </c>
      <c r="F1423" s="3" t="s">
        <v>6976</v>
      </c>
      <c r="G1423" s="3" t="s">
        <v>6977</v>
      </c>
      <c r="H1423" s="3" t="s">
        <v>28</v>
      </c>
      <c r="I1423" s="3" t="s">
        <v>28</v>
      </c>
      <c r="J1423" s="3" t="s">
        <v>91</v>
      </c>
      <c r="K1423" s="3" t="s">
        <v>720</v>
      </c>
      <c r="L1423" s="3"/>
      <c r="M1423" s="3"/>
      <c r="N1423" s="3"/>
      <c r="O1423" s="3"/>
      <c r="P1423" s="3"/>
      <c r="Q1423" s="3"/>
      <c r="R1423" s="3"/>
      <c r="S1423" s="3"/>
      <c r="T1423" s="3"/>
      <c r="U1423" s="3">
        <v>4500</v>
      </c>
      <c r="V1423" s="4">
        <v>43334</v>
      </c>
      <c r="W1423" s="3" t="s">
        <v>31</v>
      </c>
      <c r="X1423" s="3" t="s">
        <v>6978</v>
      </c>
    </row>
    <row r="1424" spans="1:24" ht="27.95" x14ac:dyDescent="0.3">
      <c r="A1424" s="5">
        <v>1418</v>
      </c>
      <c r="B1424" s="5" t="str">
        <f>"1402394"</f>
        <v>1402394</v>
      </c>
      <c r="C1424" s="5" t="str">
        <f>"1089"</f>
        <v>1089</v>
      </c>
      <c r="D1424" s="5" t="s">
        <v>6979</v>
      </c>
      <c r="E1424" s="5">
        <v>20479488607</v>
      </c>
      <c r="F1424" s="5" t="s">
        <v>6980</v>
      </c>
      <c r="G1424" s="5" t="s">
        <v>6981</v>
      </c>
      <c r="H1424" s="5" t="s">
        <v>264</v>
      </c>
      <c r="I1424" s="5" t="s">
        <v>264</v>
      </c>
      <c r="J1424" s="5" t="s">
        <v>647</v>
      </c>
      <c r="K1424" s="5" t="s">
        <v>323</v>
      </c>
      <c r="L1424" s="5" t="s">
        <v>870</v>
      </c>
      <c r="M1424" s="5" t="s">
        <v>46</v>
      </c>
      <c r="N1424" s="5"/>
      <c r="O1424" s="5"/>
      <c r="P1424" s="5"/>
      <c r="Q1424" s="5"/>
      <c r="R1424" s="5"/>
      <c r="S1424" s="5"/>
      <c r="T1424" s="5"/>
      <c r="U1424" s="5">
        <v>8200</v>
      </c>
      <c r="V1424" s="6">
        <v>37643</v>
      </c>
      <c r="W1424" s="5" t="s">
        <v>31</v>
      </c>
      <c r="X1424" s="5" t="s">
        <v>6982</v>
      </c>
    </row>
    <row r="1425" spans="1:24" ht="27.95" x14ac:dyDescent="0.3">
      <c r="A1425" s="3">
        <v>1419</v>
      </c>
      <c r="B1425" s="3" t="str">
        <f>"1677888"</f>
        <v>1677888</v>
      </c>
      <c r="C1425" s="3" t="str">
        <f>"45203"</f>
        <v>45203</v>
      </c>
      <c r="D1425" s="3" t="s">
        <v>6983</v>
      </c>
      <c r="E1425" s="3">
        <v>20339035530</v>
      </c>
      <c r="F1425" s="3" t="s">
        <v>6984</v>
      </c>
      <c r="G1425" s="3" t="s">
        <v>6985</v>
      </c>
      <c r="H1425" s="3" t="s">
        <v>28</v>
      </c>
      <c r="I1425" s="3" t="s">
        <v>28</v>
      </c>
      <c r="J1425" s="3" t="s">
        <v>687</v>
      </c>
      <c r="K1425" s="3" t="s">
        <v>5659</v>
      </c>
      <c r="L1425" s="3"/>
      <c r="M1425" s="3"/>
      <c r="N1425" s="3"/>
      <c r="O1425" s="3"/>
      <c r="P1425" s="3"/>
      <c r="Q1425" s="3"/>
      <c r="R1425" s="3"/>
      <c r="S1425" s="3"/>
      <c r="T1425" s="3"/>
      <c r="U1425" s="3">
        <v>4900</v>
      </c>
      <c r="V1425" s="4">
        <v>39181</v>
      </c>
      <c r="W1425" s="3" t="s">
        <v>31</v>
      </c>
      <c r="X1425" s="3" t="s">
        <v>6986</v>
      </c>
    </row>
    <row r="1426" spans="1:24" ht="27.95" x14ac:dyDescent="0.3">
      <c r="A1426" s="5">
        <v>1420</v>
      </c>
      <c r="B1426" s="5" t="str">
        <f>"1000648"</f>
        <v>1000648</v>
      </c>
      <c r="C1426" s="5" t="str">
        <f>"18340"</f>
        <v>18340</v>
      </c>
      <c r="D1426" s="5" t="s">
        <v>6987</v>
      </c>
      <c r="E1426" s="5">
        <v>20404768906</v>
      </c>
      <c r="F1426" s="5" t="s">
        <v>6988</v>
      </c>
      <c r="G1426" s="5" t="s">
        <v>6989</v>
      </c>
      <c r="H1426" s="5" t="s">
        <v>970</v>
      </c>
      <c r="I1426" s="5" t="s">
        <v>970</v>
      </c>
      <c r="J1426" s="5" t="s">
        <v>1798</v>
      </c>
      <c r="K1426" s="5" t="s">
        <v>323</v>
      </c>
      <c r="L1426" s="5"/>
      <c r="M1426" s="5"/>
      <c r="N1426" s="5"/>
      <c r="O1426" s="5"/>
      <c r="P1426" s="5"/>
      <c r="Q1426" s="5"/>
      <c r="R1426" s="5"/>
      <c r="S1426" s="5"/>
      <c r="T1426" s="5"/>
      <c r="U1426" s="5">
        <v>4000</v>
      </c>
      <c r="V1426" s="6">
        <v>36825</v>
      </c>
      <c r="W1426" s="5" t="s">
        <v>31</v>
      </c>
      <c r="X1426" s="5" t="s">
        <v>6990</v>
      </c>
    </row>
    <row r="1427" spans="1:24" x14ac:dyDescent="0.3">
      <c r="A1427" s="3">
        <v>1421</v>
      </c>
      <c r="B1427" s="3" t="str">
        <f>"201500121546"</f>
        <v>201500121546</v>
      </c>
      <c r="C1427" s="3" t="str">
        <f>"104331"</f>
        <v>104331</v>
      </c>
      <c r="D1427" s="3" t="s">
        <v>6991</v>
      </c>
      <c r="E1427" s="3">
        <v>20484479616</v>
      </c>
      <c r="F1427" s="3" t="s">
        <v>6569</v>
      </c>
      <c r="G1427" s="3" t="s">
        <v>6992</v>
      </c>
      <c r="H1427" s="3" t="s">
        <v>165</v>
      </c>
      <c r="I1427" s="3" t="s">
        <v>732</v>
      </c>
      <c r="J1427" s="3" t="s">
        <v>732</v>
      </c>
      <c r="K1427" s="3" t="s">
        <v>198</v>
      </c>
      <c r="L1427" s="3"/>
      <c r="M1427" s="3"/>
      <c r="N1427" s="3"/>
      <c r="O1427" s="3"/>
      <c r="P1427" s="3"/>
      <c r="Q1427" s="3"/>
      <c r="R1427" s="3"/>
      <c r="S1427" s="3"/>
      <c r="T1427" s="3"/>
      <c r="U1427" s="3">
        <v>9000</v>
      </c>
      <c r="V1427" s="4">
        <v>42263</v>
      </c>
      <c r="W1427" s="3" t="s">
        <v>31</v>
      </c>
      <c r="X1427" s="3" t="s">
        <v>6572</v>
      </c>
    </row>
    <row r="1428" spans="1:24" x14ac:dyDescent="0.3">
      <c r="A1428" s="5">
        <v>1422</v>
      </c>
      <c r="B1428" s="5" t="str">
        <f>"1487166"</f>
        <v>1487166</v>
      </c>
      <c r="C1428" s="5" t="str">
        <f>"1421"</f>
        <v>1421</v>
      </c>
      <c r="D1428" s="5" t="s">
        <v>6993</v>
      </c>
      <c r="E1428" s="5">
        <v>20506377600</v>
      </c>
      <c r="F1428" s="5" t="s">
        <v>6994</v>
      </c>
      <c r="G1428" s="5" t="s">
        <v>6995</v>
      </c>
      <c r="H1428" s="5" t="s">
        <v>115</v>
      </c>
      <c r="I1428" s="5" t="s">
        <v>115</v>
      </c>
      <c r="J1428" s="5" t="s">
        <v>159</v>
      </c>
      <c r="K1428" s="5" t="s">
        <v>4545</v>
      </c>
      <c r="L1428" s="5"/>
      <c r="M1428" s="5"/>
      <c r="N1428" s="5"/>
      <c r="O1428" s="5"/>
      <c r="P1428" s="5"/>
      <c r="Q1428" s="5"/>
      <c r="R1428" s="5"/>
      <c r="S1428" s="5"/>
      <c r="T1428" s="5"/>
      <c r="U1428" s="5">
        <v>6000</v>
      </c>
      <c r="V1428" s="6">
        <v>40723</v>
      </c>
      <c r="W1428" s="5" t="s">
        <v>31</v>
      </c>
      <c r="X1428" s="5" t="s">
        <v>6996</v>
      </c>
    </row>
    <row r="1429" spans="1:24" x14ac:dyDescent="0.3">
      <c r="A1429" s="3">
        <v>1423</v>
      </c>
      <c r="B1429" s="3" t="str">
        <f>"201600029908"</f>
        <v>201600029908</v>
      </c>
      <c r="C1429" s="3" t="str">
        <f>"120189"</f>
        <v>120189</v>
      </c>
      <c r="D1429" s="3" t="s">
        <v>6997</v>
      </c>
      <c r="E1429" s="3">
        <v>20131380012</v>
      </c>
      <c r="F1429" s="3" t="s">
        <v>6998</v>
      </c>
      <c r="G1429" s="3" t="s">
        <v>6999</v>
      </c>
      <c r="H1429" s="3" t="s">
        <v>28</v>
      </c>
      <c r="I1429" s="3" t="s">
        <v>28</v>
      </c>
      <c r="J1429" s="3" t="s">
        <v>28</v>
      </c>
      <c r="K1429" s="3" t="s">
        <v>7000</v>
      </c>
      <c r="L1429" s="3"/>
      <c r="M1429" s="3"/>
      <c r="N1429" s="3"/>
      <c r="O1429" s="3"/>
      <c r="P1429" s="3"/>
      <c r="Q1429" s="3"/>
      <c r="R1429" s="3"/>
      <c r="S1429" s="3"/>
      <c r="T1429" s="3"/>
      <c r="U1429" s="3">
        <v>4100</v>
      </c>
      <c r="V1429" s="4">
        <v>42437</v>
      </c>
      <c r="W1429" s="3" t="s">
        <v>31</v>
      </c>
      <c r="X1429" s="3" t="s">
        <v>7001</v>
      </c>
    </row>
    <row r="1430" spans="1:24" ht="27.95" x14ac:dyDescent="0.3">
      <c r="A1430" s="5">
        <v>1424</v>
      </c>
      <c r="B1430" s="5" t="str">
        <f>"1648209"</f>
        <v>1648209</v>
      </c>
      <c r="C1430" s="5" t="str">
        <f>"44317"</f>
        <v>44317</v>
      </c>
      <c r="D1430" s="5" t="s">
        <v>7002</v>
      </c>
      <c r="E1430" s="5">
        <v>20345792881</v>
      </c>
      <c r="F1430" s="5" t="s">
        <v>7003</v>
      </c>
      <c r="G1430" s="5" t="s">
        <v>7004</v>
      </c>
      <c r="H1430" s="5" t="s">
        <v>28</v>
      </c>
      <c r="I1430" s="5" t="s">
        <v>28</v>
      </c>
      <c r="J1430" s="5" t="s">
        <v>409</v>
      </c>
      <c r="K1430" s="5" t="s">
        <v>323</v>
      </c>
      <c r="L1430" s="5"/>
      <c r="M1430" s="5"/>
      <c r="N1430" s="5"/>
      <c r="O1430" s="5"/>
      <c r="P1430" s="5"/>
      <c r="Q1430" s="5"/>
      <c r="R1430" s="5"/>
      <c r="S1430" s="5"/>
      <c r="T1430" s="5"/>
      <c r="U1430" s="5">
        <v>4000</v>
      </c>
      <c r="V1430" s="6">
        <v>39035</v>
      </c>
      <c r="W1430" s="5" t="s">
        <v>31</v>
      </c>
      <c r="X1430" s="5" t="s">
        <v>7005</v>
      </c>
    </row>
    <row r="1431" spans="1:24" x14ac:dyDescent="0.3">
      <c r="A1431" s="3">
        <v>1425</v>
      </c>
      <c r="B1431" s="3" t="str">
        <f>"1510993"</f>
        <v>1510993</v>
      </c>
      <c r="C1431" s="3" t="str">
        <f>"1285"</f>
        <v>1285</v>
      </c>
      <c r="D1431" s="3" t="s">
        <v>7006</v>
      </c>
      <c r="E1431" s="3">
        <v>20100083281</v>
      </c>
      <c r="F1431" s="3" t="s">
        <v>7007</v>
      </c>
      <c r="G1431" s="3" t="s">
        <v>7008</v>
      </c>
      <c r="H1431" s="3" t="s">
        <v>28</v>
      </c>
      <c r="I1431" s="3" t="s">
        <v>28</v>
      </c>
      <c r="J1431" s="3" t="s">
        <v>545</v>
      </c>
      <c r="K1431" s="3" t="s">
        <v>1872</v>
      </c>
      <c r="L1431" s="3" t="s">
        <v>1872</v>
      </c>
      <c r="M1431" s="3" t="s">
        <v>421</v>
      </c>
      <c r="N1431" s="3"/>
      <c r="O1431" s="3"/>
      <c r="P1431" s="3"/>
      <c r="Q1431" s="3"/>
      <c r="R1431" s="3"/>
      <c r="S1431" s="3"/>
      <c r="T1431" s="3"/>
      <c r="U1431" s="3">
        <v>15000</v>
      </c>
      <c r="V1431" s="4">
        <v>38371</v>
      </c>
      <c r="W1431" s="3" t="s">
        <v>31</v>
      </c>
      <c r="X1431" s="3" t="s">
        <v>3717</v>
      </c>
    </row>
    <row r="1432" spans="1:24" x14ac:dyDescent="0.3">
      <c r="A1432" s="5">
        <v>1426</v>
      </c>
      <c r="B1432" s="5" t="str">
        <f>"1106253"</f>
        <v>1106253</v>
      </c>
      <c r="C1432" s="5" t="str">
        <f>"158"</f>
        <v>158</v>
      </c>
      <c r="D1432" s="5">
        <v>960825</v>
      </c>
      <c r="E1432" s="5">
        <v>20141723601</v>
      </c>
      <c r="F1432" s="5" t="s">
        <v>7009</v>
      </c>
      <c r="G1432" s="5" t="s">
        <v>7010</v>
      </c>
      <c r="H1432" s="5" t="s">
        <v>28</v>
      </c>
      <c r="I1432" s="5" t="s">
        <v>574</v>
      </c>
      <c r="J1432" s="5" t="s">
        <v>574</v>
      </c>
      <c r="K1432" s="5" t="s">
        <v>1260</v>
      </c>
      <c r="L1432" s="5" t="s">
        <v>7011</v>
      </c>
      <c r="M1432" s="5"/>
      <c r="N1432" s="5"/>
      <c r="O1432" s="5"/>
      <c r="P1432" s="5"/>
      <c r="Q1432" s="5"/>
      <c r="R1432" s="5"/>
      <c r="S1432" s="5"/>
      <c r="T1432" s="5"/>
      <c r="U1432" s="5">
        <v>27500</v>
      </c>
      <c r="V1432" s="6">
        <v>35479</v>
      </c>
      <c r="W1432" s="5" t="s">
        <v>31</v>
      </c>
      <c r="X1432" s="5" t="s">
        <v>7012</v>
      </c>
    </row>
    <row r="1433" spans="1:24" ht="27.95" x14ac:dyDescent="0.3">
      <c r="A1433" s="3">
        <v>1427</v>
      </c>
      <c r="B1433" s="3" t="str">
        <f>"1384634"</f>
        <v>1384634</v>
      </c>
      <c r="C1433" s="3" t="str">
        <f>"33364"</f>
        <v>33364</v>
      </c>
      <c r="D1433" s="3" t="s">
        <v>7013</v>
      </c>
      <c r="E1433" s="3">
        <v>20326946088</v>
      </c>
      <c r="F1433" s="3" t="s">
        <v>7014</v>
      </c>
      <c r="G1433" s="3" t="s">
        <v>7015</v>
      </c>
      <c r="H1433" s="3" t="s">
        <v>51</v>
      </c>
      <c r="I1433" s="3" t="s">
        <v>51</v>
      </c>
      <c r="J1433" s="3" t="s">
        <v>241</v>
      </c>
      <c r="K1433" s="3" t="s">
        <v>421</v>
      </c>
      <c r="L1433" s="3"/>
      <c r="M1433" s="3"/>
      <c r="N1433" s="3"/>
      <c r="O1433" s="3"/>
      <c r="P1433" s="3"/>
      <c r="Q1433" s="3"/>
      <c r="R1433" s="3"/>
      <c r="S1433" s="3"/>
      <c r="T1433" s="3"/>
      <c r="U1433" s="3">
        <v>5000</v>
      </c>
      <c r="V1433" s="4">
        <v>37545</v>
      </c>
      <c r="W1433" s="3" t="s">
        <v>31</v>
      </c>
      <c r="X1433" s="3" t="s">
        <v>7016</v>
      </c>
    </row>
    <row r="1434" spans="1:24" x14ac:dyDescent="0.3">
      <c r="A1434" s="5">
        <v>1428</v>
      </c>
      <c r="B1434" s="5" t="str">
        <f>"201400129690"</f>
        <v>201400129690</v>
      </c>
      <c r="C1434" s="5" t="str">
        <f>"102284"</f>
        <v>102284</v>
      </c>
      <c r="D1434" s="5" t="s">
        <v>7017</v>
      </c>
      <c r="E1434" s="5">
        <v>20515002708</v>
      </c>
      <c r="F1434" s="5" t="s">
        <v>7018</v>
      </c>
      <c r="G1434" s="5" t="s">
        <v>7019</v>
      </c>
      <c r="H1434" s="5" t="s">
        <v>165</v>
      </c>
      <c r="I1434" s="5" t="s">
        <v>166</v>
      </c>
      <c r="J1434" s="5" t="s">
        <v>167</v>
      </c>
      <c r="K1434" s="5" t="s">
        <v>7020</v>
      </c>
      <c r="L1434" s="5" t="s">
        <v>7020</v>
      </c>
      <c r="M1434" s="5" t="s">
        <v>7020</v>
      </c>
      <c r="N1434" s="5" t="s">
        <v>7020</v>
      </c>
      <c r="O1434" s="5"/>
      <c r="P1434" s="5"/>
      <c r="Q1434" s="5"/>
      <c r="R1434" s="5"/>
      <c r="S1434" s="5"/>
      <c r="T1434" s="5"/>
      <c r="U1434" s="5">
        <v>15200</v>
      </c>
      <c r="V1434" s="6">
        <v>41979</v>
      </c>
      <c r="W1434" s="5" t="s">
        <v>31</v>
      </c>
      <c r="X1434" s="5" t="s">
        <v>7021</v>
      </c>
    </row>
    <row r="1435" spans="1:24" ht="27.95" x14ac:dyDescent="0.3">
      <c r="A1435" s="3">
        <v>1429</v>
      </c>
      <c r="B1435" s="3" t="str">
        <f>"201900047691"</f>
        <v>201900047691</v>
      </c>
      <c r="C1435" s="3" t="str">
        <f>"142185"</f>
        <v>142185</v>
      </c>
      <c r="D1435" s="3" t="s">
        <v>7022</v>
      </c>
      <c r="E1435" s="3">
        <v>20540052884</v>
      </c>
      <c r="F1435" s="3" t="s">
        <v>7023</v>
      </c>
      <c r="G1435" s="3" t="s">
        <v>7024</v>
      </c>
      <c r="H1435" s="3" t="s">
        <v>36</v>
      </c>
      <c r="I1435" s="3" t="s">
        <v>234</v>
      </c>
      <c r="J1435" s="3" t="s">
        <v>235</v>
      </c>
      <c r="K1435" s="3" t="s">
        <v>87</v>
      </c>
      <c r="L1435" s="3"/>
      <c r="M1435" s="3"/>
      <c r="N1435" s="3"/>
      <c r="O1435" s="3"/>
      <c r="P1435" s="3"/>
      <c r="Q1435" s="3"/>
      <c r="R1435" s="3"/>
      <c r="S1435" s="3"/>
      <c r="T1435" s="3"/>
      <c r="U1435" s="3">
        <v>6000</v>
      </c>
      <c r="V1435" s="4">
        <v>43549</v>
      </c>
      <c r="W1435" s="3" t="s">
        <v>31</v>
      </c>
      <c r="X1435" s="3" t="s">
        <v>7025</v>
      </c>
    </row>
    <row r="1436" spans="1:24" ht="27.95" x14ac:dyDescent="0.3">
      <c r="A1436" s="5">
        <v>1430</v>
      </c>
      <c r="B1436" s="5" t="str">
        <f>"1868652"</f>
        <v>1868652</v>
      </c>
      <c r="C1436" s="5" t="str">
        <f>"63847"</f>
        <v>63847</v>
      </c>
      <c r="D1436" s="5" t="s">
        <v>7026</v>
      </c>
      <c r="E1436" s="5">
        <v>20422464922</v>
      </c>
      <c r="F1436" s="5" t="s">
        <v>7027</v>
      </c>
      <c r="G1436" s="5" t="s">
        <v>7028</v>
      </c>
      <c r="H1436" s="5" t="s">
        <v>28</v>
      </c>
      <c r="I1436" s="5" t="s">
        <v>28</v>
      </c>
      <c r="J1436" s="5" t="s">
        <v>109</v>
      </c>
      <c r="K1436" s="5" t="s">
        <v>7029</v>
      </c>
      <c r="L1436" s="5"/>
      <c r="M1436" s="5"/>
      <c r="N1436" s="5"/>
      <c r="O1436" s="5"/>
      <c r="P1436" s="5"/>
      <c r="Q1436" s="5"/>
      <c r="R1436" s="5"/>
      <c r="S1436" s="5"/>
      <c r="T1436" s="5"/>
      <c r="U1436" s="5">
        <v>2060</v>
      </c>
      <c r="V1436" s="6">
        <v>39903</v>
      </c>
      <c r="W1436" s="5" t="s">
        <v>31</v>
      </c>
      <c r="X1436" s="5" t="s">
        <v>7030</v>
      </c>
    </row>
    <row r="1437" spans="1:24" ht="27.95" x14ac:dyDescent="0.3">
      <c r="A1437" s="3">
        <v>1431</v>
      </c>
      <c r="B1437" s="3" t="str">
        <f>"201800055154"</f>
        <v>201800055154</v>
      </c>
      <c r="C1437" s="3" t="str">
        <f>"135189"</f>
        <v>135189</v>
      </c>
      <c r="D1437" s="3" t="s">
        <v>7031</v>
      </c>
      <c r="E1437" s="3">
        <v>20600332822</v>
      </c>
      <c r="F1437" s="3" t="s">
        <v>7032</v>
      </c>
      <c r="G1437" s="3" t="s">
        <v>7033</v>
      </c>
      <c r="H1437" s="3" t="s">
        <v>28</v>
      </c>
      <c r="I1437" s="3" t="s">
        <v>28</v>
      </c>
      <c r="J1437" s="3" t="s">
        <v>180</v>
      </c>
      <c r="K1437" s="3" t="s">
        <v>181</v>
      </c>
      <c r="L1437" s="3"/>
      <c r="M1437" s="3"/>
      <c r="N1437" s="3"/>
      <c r="O1437" s="3"/>
      <c r="P1437" s="3"/>
      <c r="Q1437" s="3"/>
      <c r="R1437" s="3"/>
      <c r="S1437" s="3"/>
      <c r="T1437" s="3"/>
      <c r="U1437" s="3">
        <v>5000</v>
      </c>
      <c r="V1437" s="4">
        <v>43198</v>
      </c>
      <c r="W1437" s="3" t="s">
        <v>31</v>
      </c>
      <c r="X1437" s="3" t="s">
        <v>453</v>
      </c>
    </row>
    <row r="1438" spans="1:24" x14ac:dyDescent="0.3">
      <c r="A1438" s="5">
        <v>1432</v>
      </c>
      <c r="B1438" s="5" t="str">
        <f>"201800145542"</f>
        <v>201800145542</v>
      </c>
      <c r="C1438" s="5" t="str">
        <f>"1437"</f>
        <v>1437</v>
      </c>
      <c r="D1438" s="5" t="s">
        <v>7034</v>
      </c>
      <c r="E1438" s="5">
        <v>20601900514</v>
      </c>
      <c r="F1438" s="5" t="s">
        <v>7035</v>
      </c>
      <c r="G1438" s="5" t="s">
        <v>7036</v>
      </c>
      <c r="H1438" s="5" t="s">
        <v>28</v>
      </c>
      <c r="I1438" s="5" t="s">
        <v>574</v>
      </c>
      <c r="J1438" s="5" t="s">
        <v>1305</v>
      </c>
      <c r="K1438" s="5" t="s">
        <v>7037</v>
      </c>
      <c r="L1438" s="5" t="s">
        <v>7038</v>
      </c>
      <c r="M1438" s="5"/>
      <c r="N1438" s="5"/>
      <c r="O1438" s="5"/>
      <c r="P1438" s="5"/>
      <c r="Q1438" s="5"/>
      <c r="R1438" s="5"/>
      <c r="S1438" s="5"/>
      <c r="T1438" s="5"/>
      <c r="U1438" s="5">
        <v>311732</v>
      </c>
      <c r="V1438" s="6">
        <v>43349</v>
      </c>
      <c r="W1438" s="5" t="s">
        <v>31</v>
      </c>
      <c r="X1438" s="5" t="s">
        <v>7039</v>
      </c>
    </row>
    <row r="1439" spans="1:24" ht="27.95" x14ac:dyDescent="0.3">
      <c r="A1439" s="3">
        <v>1433</v>
      </c>
      <c r="B1439" s="3" t="str">
        <f>"201500141719"</f>
        <v>201500141719</v>
      </c>
      <c r="C1439" s="3" t="str">
        <f>"82184"</f>
        <v>82184</v>
      </c>
      <c r="D1439" s="3" t="s">
        <v>7040</v>
      </c>
      <c r="E1439" s="3">
        <v>20325117835</v>
      </c>
      <c r="F1439" s="3" t="s">
        <v>7041</v>
      </c>
      <c r="G1439" s="3" t="s">
        <v>7042</v>
      </c>
      <c r="H1439" s="3" t="s">
        <v>28</v>
      </c>
      <c r="I1439" s="3" t="s">
        <v>490</v>
      </c>
      <c r="J1439" s="3" t="s">
        <v>490</v>
      </c>
      <c r="K1439" s="3" t="s">
        <v>130</v>
      </c>
      <c r="L1439" s="3" t="s">
        <v>130</v>
      </c>
      <c r="M1439" s="3"/>
      <c r="N1439" s="3"/>
      <c r="O1439" s="3"/>
      <c r="P1439" s="3"/>
      <c r="Q1439" s="3"/>
      <c r="R1439" s="3"/>
      <c r="S1439" s="3"/>
      <c r="T1439" s="3"/>
      <c r="U1439" s="3">
        <v>6000</v>
      </c>
      <c r="V1439" s="4">
        <v>42348</v>
      </c>
      <c r="W1439" s="3" t="s">
        <v>31</v>
      </c>
      <c r="X1439" s="3" t="s">
        <v>7043</v>
      </c>
    </row>
    <row r="1440" spans="1:24" x14ac:dyDescent="0.3">
      <c r="A1440" s="5">
        <v>1434</v>
      </c>
      <c r="B1440" s="5" t="str">
        <f>"1825522"</f>
        <v>1825522</v>
      </c>
      <c r="C1440" s="5" t="str">
        <f>"1432"</f>
        <v>1432</v>
      </c>
      <c r="D1440" s="5" t="s">
        <v>7044</v>
      </c>
      <c r="E1440" s="5">
        <v>20143547788</v>
      </c>
      <c r="F1440" s="5" t="s">
        <v>7045</v>
      </c>
      <c r="G1440" s="5" t="s">
        <v>7046</v>
      </c>
      <c r="H1440" s="5" t="s">
        <v>28</v>
      </c>
      <c r="I1440" s="5" t="s">
        <v>28</v>
      </c>
      <c r="J1440" s="5" t="s">
        <v>1824</v>
      </c>
      <c r="K1440" s="5" t="s">
        <v>1507</v>
      </c>
      <c r="L1440" s="5" t="s">
        <v>1260</v>
      </c>
      <c r="M1440" s="5" t="s">
        <v>1260</v>
      </c>
      <c r="N1440" s="5"/>
      <c r="O1440" s="5"/>
      <c r="P1440" s="5"/>
      <c r="Q1440" s="5"/>
      <c r="R1440" s="5"/>
      <c r="S1440" s="5"/>
      <c r="T1440" s="5"/>
      <c r="U1440" s="5">
        <v>3500</v>
      </c>
      <c r="V1440" s="6">
        <v>39728</v>
      </c>
      <c r="W1440" s="5" t="s">
        <v>31</v>
      </c>
      <c r="X1440" s="5" t="s">
        <v>7047</v>
      </c>
    </row>
    <row r="1441" spans="1:24" ht="27.95" x14ac:dyDescent="0.3">
      <c r="A1441" s="3">
        <v>1435</v>
      </c>
      <c r="B1441" s="3" t="str">
        <f>"201800109466"</f>
        <v>201800109466</v>
      </c>
      <c r="C1441" s="3" t="str">
        <f>"89895"</f>
        <v>89895</v>
      </c>
      <c r="D1441" s="3" t="s">
        <v>7048</v>
      </c>
      <c r="E1441" s="3">
        <v>20506120315</v>
      </c>
      <c r="F1441" s="3" t="s">
        <v>7049</v>
      </c>
      <c r="G1441" s="3" t="s">
        <v>7050</v>
      </c>
      <c r="H1441" s="3" t="s">
        <v>28</v>
      </c>
      <c r="I1441" s="3" t="s">
        <v>28</v>
      </c>
      <c r="J1441" s="3" t="s">
        <v>180</v>
      </c>
      <c r="K1441" s="3" t="s">
        <v>67</v>
      </c>
      <c r="L1441" s="3" t="s">
        <v>7051</v>
      </c>
      <c r="M1441" s="3" t="s">
        <v>7051</v>
      </c>
      <c r="N1441" s="3"/>
      <c r="O1441" s="3"/>
      <c r="P1441" s="3"/>
      <c r="Q1441" s="3"/>
      <c r="R1441" s="3"/>
      <c r="S1441" s="3"/>
      <c r="T1441" s="3"/>
      <c r="U1441" s="3">
        <v>28520</v>
      </c>
      <c r="V1441" s="4">
        <v>43285</v>
      </c>
      <c r="W1441" s="3" t="s">
        <v>31</v>
      </c>
      <c r="X1441" s="3" t="s">
        <v>7052</v>
      </c>
    </row>
    <row r="1442" spans="1:24" ht="41.95" x14ac:dyDescent="0.3">
      <c r="A1442" s="5">
        <v>1436</v>
      </c>
      <c r="B1442" s="5" t="str">
        <f>"201900112457"</f>
        <v>201900112457</v>
      </c>
      <c r="C1442" s="5" t="str">
        <f>"145193"</f>
        <v>145193</v>
      </c>
      <c r="D1442" s="5" t="s">
        <v>7053</v>
      </c>
      <c r="E1442" s="5">
        <v>20122314317</v>
      </c>
      <c r="F1442" s="5" t="s">
        <v>7054</v>
      </c>
      <c r="G1442" s="5" t="s">
        <v>7055</v>
      </c>
      <c r="H1442" s="5" t="s">
        <v>28</v>
      </c>
      <c r="I1442" s="5" t="s">
        <v>72</v>
      </c>
      <c r="J1442" s="5" t="s">
        <v>322</v>
      </c>
      <c r="K1442" s="5" t="s">
        <v>7056</v>
      </c>
      <c r="L1442" s="5"/>
      <c r="M1442" s="5"/>
      <c r="N1442" s="5"/>
      <c r="O1442" s="5"/>
      <c r="P1442" s="5"/>
      <c r="Q1442" s="5"/>
      <c r="R1442" s="5"/>
      <c r="S1442" s="5"/>
      <c r="T1442" s="5"/>
      <c r="U1442" s="5">
        <v>5460</v>
      </c>
      <c r="V1442" s="6">
        <v>43664</v>
      </c>
      <c r="W1442" s="5" t="s">
        <v>31</v>
      </c>
      <c r="X1442" s="5" t="s">
        <v>7057</v>
      </c>
    </row>
    <row r="1443" spans="1:24" ht="27.95" x14ac:dyDescent="0.3">
      <c r="A1443" s="3">
        <v>1437</v>
      </c>
      <c r="B1443" s="3" t="str">
        <f>"1790633"</f>
        <v>1790633</v>
      </c>
      <c r="C1443" s="3" t="str">
        <f>"20186"</f>
        <v>20186</v>
      </c>
      <c r="D1443" s="3" t="s">
        <v>7058</v>
      </c>
      <c r="E1443" s="3">
        <v>20516982749</v>
      </c>
      <c r="F1443" s="3" t="s">
        <v>7059</v>
      </c>
      <c r="G1443" s="3" t="s">
        <v>7060</v>
      </c>
      <c r="H1443" s="3" t="s">
        <v>28</v>
      </c>
      <c r="I1443" s="3" t="s">
        <v>28</v>
      </c>
      <c r="J1443" s="3" t="s">
        <v>91</v>
      </c>
      <c r="K1443" s="3" t="s">
        <v>421</v>
      </c>
      <c r="L1443" s="3"/>
      <c r="M1443" s="3"/>
      <c r="N1443" s="3"/>
      <c r="O1443" s="3"/>
      <c r="P1443" s="3"/>
      <c r="Q1443" s="3"/>
      <c r="R1443" s="3"/>
      <c r="S1443" s="3"/>
      <c r="T1443" s="3"/>
      <c r="U1443" s="3">
        <v>5000</v>
      </c>
      <c r="V1443" s="4">
        <v>39620</v>
      </c>
      <c r="W1443" s="3" t="s">
        <v>31</v>
      </c>
      <c r="X1443" s="3" t="s">
        <v>7061</v>
      </c>
    </row>
    <row r="1444" spans="1:24" x14ac:dyDescent="0.3">
      <c r="A1444" s="5">
        <v>1438</v>
      </c>
      <c r="B1444" s="5" t="str">
        <f>"201700149925"</f>
        <v>201700149925</v>
      </c>
      <c r="C1444" s="5" t="str">
        <f>"127325"</f>
        <v>127325</v>
      </c>
      <c r="D1444" s="5" t="s">
        <v>7062</v>
      </c>
      <c r="E1444" s="5">
        <v>20135414931</v>
      </c>
      <c r="F1444" s="5" t="s">
        <v>7063</v>
      </c>
      <c r="G1444" s="5" t="s">
        <v>7064</v>
      </c>
      <c r="H1444" s="5" t="s">
        <v>28</v>
      </c>
      <c r="I1444" s="5" t="s">
        <v>28</v>
      </c>
      <c r="J1444" s="5" t="s">
        <v>266</v>
      </c>
      <c r="K1444" s="5" t="s">
        <v>30</v>
      </c>
      <c r="L1444" s="5" t="s">
        <v>168</v>
      </c>
      <c r="M1444" s="5"/>
      <c r="N1444" s="5"/>
      <c r="O1444" s="5"/>
      <c r="P1444" s="5"/>
      <c r="Q1444" s="5"/>
      <c r="R1444" s="5"/>
      <c r="S1444" s="5"/>
      <c r="T1444" s="5"/>
      <c r="U1444" s="5">
        <v>18000</v>
      </c>
      <c r="V1444" s="6">
        <v>42996</v>
      </c>
      <c r="W1444" s="5" t="s">
        <v>31</v>
      </c>
      <c r="X1444" s="5" t="s">
        <v>7065</v>
      </c>
    </row>
    <row r="1445" spans="1:24" ht="27.95" x14ac:dyDescent="0.3">
      <c r="A1445" s="3">
        <v>1439</v>
      </c>
      <c r="B1445" s="3" t="str">
        <f>"201900088986"</f>
        <v>201900088986</v>
      </c>
      <c r="C1445" s="3" t="str">
        <f>"144449"</f>
        <v>144449</v>
      </c>
      <c r="D1445" s="3" t="s">
        <v>7066</v>
      </c>
      <c r="E1445" s="3">
        <v>20554356851</v>
      </c>
      <c r="F1445" s="3" t="s">
        <v>7067</v>
      </c>
      <c r="G1445" s="3" t="s">
        <v>7068</v>
      </c>
      <c r="H1445" s="3" t="s">
        <v>28</v>
      </c>
      <c r="I1445" s="3" t="s">
        <v>28</v>
      </c>
      <c r="J1445" s="3" t="s">
        <v>91</v>
      </c>
      <c r="K1445" s="3" t="s">
        <v>130</v>
      </c>
      <c r="L1445" s="3"/>
      <c r="M1445" s="3"/>
      <c r="N1445" s="3"/>
      <c r="O1445" s="3"/>
      <c r="P1445" s="3"/>
      <c r="Q1445" s="3"/>
      <c r="R1445" s="3"/>
      <c r="S1445" s="3"/>
      <c r="T1445" s="3"/>
      <c r="U1445" s="3">
        <v>3000</v>
      </c>
      <c r="V1445" s="4">
        <v>43620</v>
      </c>
      <c r="W1445" s="3" t="s">
        <v>31</v>
      </c>
      <c r="X1445" s="3" t="s">
        <v>7069</v>
      </c>
    </row>
    <row r="1446" spans="1:24" x14ac:dyDescent="0.3">
      <c r="A1446" s="5">
        <v>1440</v>
      </c>
      <c r="B1446" s="5" t="str">
        <f>"201200158846"</f>
        <v>201200158846</v>
      </c>
      <c r="C1446" s="5" t="str">
        <f>"97555"</f>
        <v>97555</v>
      </c>
      <c r="D1446" s="5" t="s">
        <v>7070</v>
      </c>
      <c r="E1446" s="5">
        <v>20100028850</v>
      </c>
      <c r="F1446" s="5" t="s">
        <v>7071</v>
      </c>
      <c r="G1446" s="5" t="s">
        <v>7072</v>
      </c>
      <c r="H1446" s="5" t="s">
        <v>28</v>
      </c>
      <c r="I1446" s="5" t="s">
        <v>28</v>
      </c>
      <c r="J1446" s="5" t="s">
        <v>28</v>
      </c>
      <c r="K1446" s="5" t="s">
        <v>7073</v>
      </c>
      <c r="L1446" s="5" t="s">
        <v>7074</v>
      </c>
      <c r="M1446" s="5"/>
      <c r="N1446" s="5"/>
      <c r="O1446" s="5"/>
      <c r="P1446" s="5"/>
      <c r="Q1446" s="5"/>
      <c r="R1446" s="5"/>
      <c r="S1446" s="5"/>
      <c r="T1446" s="5"/>
      <c r="U1446" s="5">
        <v>10500</v>
      </c>
      <c r="V1446" s="6">
        <v>41165</v>
      </c>
      <c r="W1446" s="5" t="s">
        <v>31</v>
      </c>
      <c r="X1446" s="5" t="s">
        <v>7075</v>
      </c>
    </row>
    <row r="1447" spans="1:24" ht="27.95" x14ac:dyDescent="0.3">
      <c r="A1447" s="3">
        <v>1441</v>
      </c>
      <c r="B1447" s="3" t="str">
        <f>"1214262"</f>
        <v>1214262</v>
      </c>
      <c r="C1447" s="3" t="str">
        <f>"16507"</f>
        <v>16507</v>
      </c>
      <c r="D1447" s="3">
        <v>990391</v>
      </c>
      <c r="E1447" s="3">
        <v>20293623431</v>
      </c>
      <c r="F1447" s="3" t="s">
        <v>7076</v>
      </c>
      <c r="G1447" s="3" t="s">
        <v>7077</v>
      </c>
      <c r="H1447" s="3" t="s">
        <v>28</v>
      </c>
      <c r="I1447" s="3" t="s">
        <v>28</v>
      </c>
      <c r="J1447" s="3" t="s">
        <v>91</v>
      </c>
      <c r="K1447" s="3" t="s">
        <v>259</v>
      </c>
      <c r="L1447" s="3" t="s">
        <v>259</v>
      </c>
      <c r="M1447" s="3"/>
      <c r="N1447" s="3"/>
      <c r="O1447" s="3"/>
      <c r="P1447" s="3"/>
      <c r="Q1447" s="3"/>
      <c r="R1447" s="3"/>
      <c r="S1447" s="3"/>
      <c r="T1447" s="3"/>
      <c r="U1447" s="3">
        <v>12000</v>
      </c>
      <c r="V1447" s="4">
        <v>36159</v>
      </c>
      <c r="W1447" s="3" t="s">
        <v>31</v>
      </c>
      <c r="X1447" s="3" t="s">
        <v>7078</v>
      </c>
    </row>
    <row r="1448" spans="1:24" ht="27.95" x14ac:dyDescent="0.3">
      <c r="A1448" s="5">
        <v>1442</v>
      </c>
      <c r="B1448" s="5" t="str">
        <f>"201200121784"</f>
        <v>201200121784</v>
      </c>
      <c r="C1448" s="5" t="str">
        <f>"95586"</f>
        <v>95586</v>
      </c>
      <c r="D1448" s="5" t="s">
        <v>7079</v>
      </c>
      <c r="E1448" s="5">
        <v>20136165667</v>
      </c>
      <c r="F1448" s="5" t="s">
        <v>3312</v>
      </c>
      <c r="G1448" s="5" t="s">
        <v>7080</v>
      </c>
      <c r="H1448" s="5" t="s">
        <v>285</v>
      </c>
      <c r="I1448" s="5" t="s">
        <v>286</v>
      </c>
      <c r="J1448" s="5" t="s">
        <v>470</v>
      </c>
      <c r="K1448" s="5" t="s">
        <v>7081</v>
      </c>
      <c r="L1448" s="5"/>
      <c r="M1448" s="5"/>
      <c r="N1448" s="5"/>
      <c r="O1448" s="5"/>
      <c r="P1448" s="5"/>
      <c r="Q1448" s="5"/>
      <c r="R1448" s="5"/>
      <c r="S1448" s="5"/>
      <c r="T1448" s="5"/>
      <c r="U1448" s="5">
        <v>6310</v>
      </c>
      <c r="V1448" s="6">
        <v>41076</v>
      </c>
      <c r="W1448" s="5" t="s">
        <v>31</v>
      </c>
      <c r="X1448" s="5" t="s">
        <v>7082</v>
      </c>
    </row>
    <row r="1449" spans="1:24" ht="27.95" x14ac:dyDescent="0.3">
      <c r="A1449" s="3">
        <v>1443</v>
      </c>
      <c r="B1449" s="3" t="str">
        <f>"201700060876"</f>
        <v>201700060876</v>
      </c>
      <c r="C1449" s="3" t="str">
        <f>"127534"</f>
        <v>127534</v>
      </c>
      <c r="D1449" s="3" t="s">
        <v>7083</v>
      </c>
      <c r="E1449" s="3">
        <v>20288039403</v>
      </c>
      <c r="F1449" s="3" t="s">
        <v>7084</v>
      </c>
      <c r="G1449" s="3" t="s">
        <v>7085</v>
      </c>
      <c r="H1449" s="3" t="s">
        <v>165</v>
      </c>
      <c r="I1449" s="3" t="s">
        <v>166</v>
      </c>
      <c r="J1449" s="3" t="s">
        <v>167</v>
      </c>
      <c r="K1449" s="3" t="s">
        <v>181</v>
      </c>
      <c r="L1449" s="3" t="s">
        <v>181</v>
      </c>
      <c r="M1449" s="3"/>
      <c r="N1449" s="3"/>
      <c r="O1449" s="3"/>
      <c r="P1449" s="3"/>
      <c r="Q1449" s="3"/>
      <c r="R1449" s="3"/>
      <c r="S1449" s="3"/>
      <c r="T1449" s="3"/>
      <c r="U1449" s="3">
        <v>10000</v>
      </c>
      <c r="V1449" s="4">
        <v>42866</v>
      </c>
      <c r="W1449" s="3" t="s">
        <v>31</v>
      </c>
      <c r="X1449" s="3" t="s">
        <v>7086</v>
      </c>
    </row>
    <row r="1450" spans="1:24" x14ac:dyDescent="0.3">
      <c r="A1450" s="5">
        <v>1444</v>
      </c>
      <c r="B1450" s="5" t="str">
        <f>"1413166"</f>
        <v>1413166</v>
      </c>
      <c r="C1450" s="5" t="str">
        <f>"42"</f>
        <v>42</v>
      </c>
      <c r="D1450" s="5" t="s">
        <v>7087</v>
      </c>
      <c r="E1450" s="5">
        <v>20100055237</v>
      </c>
      <c r="F1450" s="5" t="s">
        <v>3445</v>
      </c>
      <c r="G1450" s="5" t="s">
        <v>7088</v>
      </c>
      <c r="H1450" s="5" t="s">
        <v>115</v>
      </c>
      <c r="I1450" s="5" t="s">
        <v>115</v>
      </c>
      <c r="J1450" s="5" t="s">
        <v>222</v>
      </c>
      <c r="K1450" s="5" t="s">
        <v>7089</v>
      </c>
      <c r="L1450" s="5"/>
      <c r="M1450" s="5"/>
      <c r="N1450" s="5"/>
      <c r="O1450" s="5"/>
      <c r="P1450" s="5"/>
      <c r="Q1450" s="5"/>
      <c r="R1450" s="5"/>
      <c r="S1450" s="5"/>
      <c r="T1450" s="5"/>
      <c r="U1450" s="5">
        <v>20480</v>
      </c>
      <c r="V1450" s="6">
        <v>40443</v>
      </c>
      <c r="W1450" s="5" t="s">
        <v>31</v>
      </c>
      <c r="X1450" s="5" t="s">
        <v>2662</v>
      </c>
    </row>
    <row r="1451" spans="1:24" x14ac:dyDescent="0.3">
      <c r="A1451" s="3">
        <v>1445</v>
      </c>
      <c r="B1451" s="3" t="str">
        <f>"1731476"</f>
        <v>1731476</v>
      </c>
      <c r="C1451" s="3" t="str">
        <f>"18267"</f>
        <v>18267</v>
      </c>
      <c r="D1451" s="3" t="s">
        <v>7090</v>
      </c>
      <c r="E1451" s="3">
        <v>20100116040</v>
      </c>
      <c r="F1451" s="3" t="s">
        <v>7091</v>
      </c>
      <c r="G1451" s="3" t="s">
        <v>7092</v>
      </c>
      <c r="H1451" s="3" t="s">
        <v>28</v>
      </c>
      <c r="I1451" s="3" t="s">
        <v>28</v>
      </c>
      <c r="J1451" s="3" t="s">
        <v>28</v>
      </c>
      <c r="K1451" s="3" t="s">
        <v>7093</v>
      </c>
      <c r="L1451" s="3"/>
      <c r="M1451" s="3"/>
      <c r="N1451" s="3"/>
      <c r="O1451" s="3"/>
      <c r="P1451" s="3"/>
      <c r="Q1451" s="3"/>
      <c r="R1451" s="3"/>
      <c r="S1451" s="3"/>
      <c r="T1451" s="3"/>
      <c r="U1451" s="3">
        <v>2600</v>
      </c>
      <c r="V1451" s="4">
        <v>39391</v>
      </c>
      <c r="W1451" s="3" t="s">
        <v>31</v>
      </c>
      <c r="X1451" s="3" t="s">
        <v>7094</v>
      </c>
    </row>
    <row r="1452" spans="1:24" x14ac:dyDescent="0.3">
      <c r="A1452" s="5">
        <v>1446</v>
      </c>
      <c r="B1452" s="5" t="str">
        <f>"201400149383"</f>
        <v>201400149383</v>
      </c>
      <c r="C1452" s="5" t="str">
        <f>"543"</f>
        <v>543</v>
      </c>
      <c r="D1452" s="5" t="s">
        <v>7095</v>
      </c>
      <c r="E1452" s="5">
        <v>20115039262</v>
      </c>
      <c r="F1452" s="5" t="s">
        <v>7096</v>
      </c>
      <c r="G1452" s="5" t="s">
        <v>7097</v>
      </c>
      <c r="H1452" s="5" t="s">
        <v>550</v>
      </c>
      <c r="I1452" s="5" t="s">
        <v>2649</v>
      </c>
      <c r="J1452" s="5" t="s">
        <v>7098</v>
      </c>
      <c r="K1452" s="5" t="s">
        <v>1089</v>
      </c>
      <c r="L1452" s="5" t="s">
        <v>7099</v>
      </c>
      <c r="M1452" s="5" t="s">
        <v>7100</v>
      </c>
      <c r="N1452" s="5" t="s">
        <v>7099</v>
      </c>
      <c r="O1452" s="5"/>
      <c r="P1452" s="5"/>
      <c r="Q1452" s="5"/>
      <c r="R1452" s="5"/>
      <c r="S1452" s="5"/>
      <c r="T1452" s="5"/>
      <c r="U1452" s="5">
        <v>450300</v>
      </c>
      <c r="V1452" s="6">
        <v>41962</v>
      </c>
      <c r="W1452" s="5" t="s">
        <v>31</v>
      </c>
      <c r="X1452" s="5" t="s">
        <v>7101</v>
      </c>
    </row>
    <row r="1453" spans="1:24" x14ac:dyDescent="0.3">
      <c r="A1453" s="3">
        <v>1447</v>
      </c>
      <c r="B1453" s="3" t="str">
        <f>"201800033421"</f>
        <v>201800033421</v>
      </c>
      <c r="C1453" s="3" t="str">
        <f>"134766"</f>
        <v>134766</v>
      </c>
      <c r="D1453" s="3" t="s">
        <v>7102</v>
      </c>
      <c r="E1453" s="3">
        <v>20516946947</v>
      </c>
      <c r="F1453" s="3" t="s">
        <v>7103</v>
      </c>
      <c r="G1453" s="3" t="s">
        <v>7104</v>
      </c>
      <c r="H1453" s="3" t="s">
        <v>28</v>
      </c>
      <c r="I1453" s="3" t="s">
        <v>574</v>
      </c>
      <c r="J1453" s="3" t="s">
        <v>574</v>
      </c>
      <c r="K1453" s="3" t="s">
        <v>168</v>
      </c>
      <c r="L1453" s="3"/>
      <c r="M1453" s="3"/>
      <c r="N1453" s="3"/>
      <c r="O1453" s="3"/>
      <c r="P1453" s="3"/>
      <c r="Q1453" s="3"/>
      <c r="R1453" s="3"/>
      <c r="S1453" s="3"/>
      <c r="T1453" s="3"/>
      <c r="U1453" s="3">
        <v>10000</v>
      </c>
      <c r="V1453" s="4">
        <v>43159</v>
      </c>
      <c r="W1453" s="3" t="s">
        <v>31</v>
      </c>
      <c r="X1453" s="3" t="s">
        <v>7105</v>
      </c>
    </row>
    <row r="1454" spans="1:24" x14ac:dyDescent="0.3">
      <c r="A1454" s="5">
        <v>1448</v>
      </c>
      <c r="B1454" s="5" t="str">
        <f>"1116697"</f>
        <v>1116697</v>
      </c>
      <c r="C1454" s="5" t="str">
        <f>"692"</f>
        <v>692</v>
      </c>
      <c r="D1454" s="5">
        <v>1006519</v>
      </c>
      <c r="E1454" s="5">
        <v>20100129451</v>
      </c>
      <c r="F1454" s="5" t="s">
        <v>7106</v>
      </c>
      <c r="G1454" s="5" t="s">
        <v>7107</v>
      </c>
      <c r="H1454" s="5" t="s">
        <v>80</v>
      </c>
      <c r="I1454" s="5" t="s">
        <v>2060</v>
      </c>
      <c r="J1454" s="5" t="s">
        <v>7108</v>
      </c>
      <c r="K1454" s="5" t="s">
        <v>7109</v>
      </c>
      <c r="L1454" s="5" t="s">
        <v>3037</v>
      </c>
      <c r="M1454" s="5" t="s">
        <v>7110</v>
      </c>
      <c r="N1454" s="5"/>
      <c r="O1454" s="5"/>
      <c r="P1454" s="5"/>
      <c r="Q1454" s="5"/>
      <c r="R1454" s="5"/>
      <c r="S1454" s="5"/>
      <c r="T1454" s="5"/>
      <c r="U1454" s="5">
        <v>32952</v>
      </c>
      <c r="V1454" s="6">
        <v>35555</v>
      </c>
      <c r="W1454" s="5" t="s">
        <v>31</v>
      </c>
      <c r="X1454" s="5" t="s">
        <v>7111</v>
      </c>
    </row>
    <row r="1455" spans="1:24" x14ac:dyDescent="0.3">
      <c r="A1455" s="3">
        <v>1449</v>
      </c>
      <c r="B1455" s="3" t="str">
        <f>"1554635"</f>
        <v>1554635</v>
      </c>
      <c r="C1455" s="3" t="str">
        <f>"41267"</f>
        <v>41267</v>
      </c>
      <c r="D1455" s="3" t="s">
        <v>7112</v>
      </c>
      <c r="E1455" s="3">
        <v>20312772133</v>
      </c>
      <c r="F1455" s="3" t="s">
        <v>7113</v>
      </c>
      <c r="G1455" s="3" t="s">
        <v>7114</v>
      </c>
      <c r="H1455" s="3" t="s">
        <v>51</v>
      </c>
      <c r="I1455" s="3" t="s">
        <v>51</v>
      </c>
      <c r="J1455" s="3" t="s">
        <v>5248</v>
      </c>
      <c r="K1455" s="3" t="s">
        <v>7115</v>
      </c>
      <c r="L1455" s="3"/>
      <c r="M1455" s="3"/>
      <c r="N1455" s="3"/>
      <c r="O1455" s="3"/>
      <c r="P1455" s="3"/>
      <c r="Q1455" s="3"/>
      <c r="R1455" s="3"/>
      <c r="S1455" s="3"/>
      <c r="T1455" s="3"/>
      <c r="U1455" s="3">
        <v>2320</v>
      </c>
      <c r="V1455" s="4">
        <v>38569</v>
      </c>
      <c r="W1455" s="3" t="s">
        <v>31</v>
      </c>
      <c r="X1455" s="3" t="s">
        <v>7116</v>
      </c>
    </row>
    <row r="1456" spans="1:24" x14ac:dyDescent="0.3">
      <c r="A1456" s="5">
        <v>1450</v>
      </c>
      <c r="B1456" s="5" t="str">
        <f>"1907211"</f>
        <v>1907211</v>
      </c>
      <c r="C1456" s="5" t="str">
        <f>"1400"</f>
        <v>1400</v>
      </c>
      <c r="D1456" s="5" t="s">
        <v>7117</v>
      </c>
      <c r="E1456" s="5">
        <v>20136165667</v>
      </c>
      <c r="F1456" s="5" t="s">
        <v>7118</v>
      </c>
      <c r="G1456" s="5" t="s">
        <v>7119</v>
      </c>
      <c r="H1456" s="5" t="s">
        <v>1147</v>
      </c>
      <c r="I1456" s="5" t="s">
        <v>1148</v>
      </c>
      <c r="J1456" s="5" t="s">
        <v>1148</v>
      </c>
      <c r="K1456" s="5" t="s">
        <v>7120</v>
      </c>
      <c r="L1456" s="5" t="s">
        <v>7121</v>
      </c>
      <c r="M1456" s="5" t="s">
        <v>7121</v>
      </c>
      <c r="N1456" s="5"/>
      <c r="O1456" s="5"/>
      <c r="P1456" s="5"/>
      <c r="Q1456" s="5"/>
      <c r="R1456" s="5"/>
      <c r="S1456" s="5"/>
      <c r="T1456" s="5"/>
      <c r="U1456" s="5">
        <v>197975</v>
      </c>
      <c r="V1456" s="6">
        <v>40004</v>
      </c>
      <c r="W1456" s="5" t="s">
        <v>31</v>
      </c>
      <c r="X1456" s="5" t="s">
        <v>7122</v>
      </c>
    </row>
    <row r="1457" spans="1:24" x14ac:dyDescent="0.3">
      <c r="A1457" s="3">
        <v>1451</v>
      </c>
      <c r="B1457" s="3" t="str">
        <f>"201900152092"</f>
        <v>201900152092</v>
      </c>
      <c r="C1457" s="3" t="str">
        <f>"146637"</f>
        <v>146637</v>
      </c>
      <c r="D1457" s="3" t="s">
        <v>7123</v>
      </c>
      <c r="E1457" s="3">
        <v>10424003617</v>
      </c>
      <c r="F1457" s="3" t="s">
        <v>7124</v>
      </c>
      <c r="G1457" s="3" t="s">
        <v>7125</v>
      </c>
      <c r="H1457" s="3" t="s">
        <v>165</v>
      </c>
      <c r="I1457" s="3" t="s">
        <v>166</v>
      </c>
      <c r="J1457" s="3" t="s">
        <v>167</v>
      </c>
      <c r="K1457" s="3" t="s">
        <v>168</v>
      </c>
      <c r="L1457" s="3"/>
      <c r="M1457" s="3"/>
      <c r="N1457" s="3"/>
      <c r="O1457" s="3"/>
      <c r="P1457" s="3"/>
      <c r="Q1457" s="3"/>
      <c r="R1457" s="3"/>
      <c r="S1457" s="3"/>
      <c r="T1457" s="3"/>
      <c r="U1457" s="3">
        <v>10000</v>
      </c>
      <c r="V1457" s="4">
        <v>43730</v>
      </c>
      <c r="W1457" s="3" t="s">
        <v>31</v>
      </c>
      <c r="X1457" s="3" t="s">
        <v>7124</v>
      </c>
    </row>
    <row r="1458" spans="1:24" x14ac:dyDescent="0.3">
      <c r="A1458" s="5">
        <v>1452</v>
      </c>
      <c r="B1458" s="5" t="str">
        <f>"1117314"</f>
        <v>1117314</v>
      </c>
      <c r="C1458" s="5" t="str">
        <f>"371"</f>
        <v>371</v>
      </c>
      <c r="D1458" s="5">
        <v>990041</v>
      </c>
      <c r="E1458" s="5">
        <v>20506228515</v>
      </c>
      <c r="F1458" s="5" t="s">
        <v>6897</v>
      </c>
      <c r="G1458" s="5" t="s">
        <v>7126</v>
      </c>
      <c r="H1458" s="5" t="s">
        <v>28</v>
      </c>
      <c r="I1458" s="5" t="s">
        <v>490</v>
      </c>
      <c r="J1458" s="5" t="s">
        <v>490</v>
      </c>
      <c r="K1458" s="5" t="s">
        <v>259</v>
      </c>
      <c r="L1458" s="5"/>
      <c r="M1458" s="5"/>
      <c r="N1458" s="5"/>
      <c r="O1458" s="5"/>
      <c r="P1458" s="5"/>
      <c r="Q1458" s="5"/>
      <c r="R1458" s="5"/>
      <c r="S1458" s="5"/>
      <c r="T1458" s="5"/>
      <c r="U1458" s="5">
        <v>6000</v>
      </c>
      <c r="V1458" s="6">
        <v>35599</v>
      </c>
      <c r="W1458" s="5" t="s">
        <v>31</v>
      </c>
      <c r="X1458" s="5" t="s">
        <v>6472</v>
      </c>
    </row>
    <row r="1459" spans="1:24" x14ac:dyDescent="0.3">
      <c r="A1459" s="3">
        <v>1453</v>
      </c>
      <c r="B1459" s="3" t="str">
        <f>"201400133418"</f>
        <v>201400133418</v>
      </c>
      <c r="C1459" s="3" t="str">
        <f>"1594"</f>
        <v>1594</v>
      </c>
      <c r="D1459" s="3" t="s">
        <v>7127</v>
      </c>
      <c r="E1459" s="3">
        <v>20147897406</v>
      </c>
      <c r="F1459" s="3" t="s">
        <v>7128</v>
      </c>
      <c r="G1459" s="3" t="s">
        <v>7129</v>
      </c>
      <c r="H1459" s="3" t="s">
        <v>28</v>
      </c>
      <c r="I1459" s="3" t="s">
        <v>28</v>
      </c>
      <c r="J1459" s="3" t="s">
        <v>1295</v>
      </c>
      <c r="K1459" s="3" t="s">
        <v>87</v>
      </c>
      <c r="L1459" s="3" t="s">
        <v>4649</v>
      </c>
      <c r="M1459" s="3"/>
      <c r="N1459" s="3"/>
      <c r="O1459" s="3"/>
      <c r="P1459" s="3"/>
      <c r="Q1459" s="3"/>
      <c r="R1459" s="3"/>
      <c r="S1459" s="3"/>
      <c r="T1459" s="3"/>
      <c r="U1459" s="3">
        <v>12000</v>
      </c>
      <c r="V1459" s="4">
        <v>41947</v>
      </c>
      <c r="W1459" s="3" t="s">
        <v>31</v>
      </c>
      <c r="X1459" s="3" t="s">
        <v>7130</v>
      </c>
    </row>
    <row r="1460" spans="1:24" ht="27.95" x14ac:dyDescent="0.3">
      <c r="A1460" s="5">
        <v>1454</v>
      </c>
      <c r="B1460" s="5" t="str">
        <f>"201600143043"</f>
        <v>201600143043</v>
      </c>
      <c r="C1460" s="5" t="str">
        <f>"99954"</f>
        <v>99954</v>
      </c>
      <c r="D1460" s="5" t="s">
        <v>7131</v>
      </c>
      <c r="E1460" s="5">
        <v>20517031624</v>
      </c>
      <c r="F1460" s="5" t="s">
        <v>7132</v>
      </c>
      <c r="G1460" s="5" t="s">
        <v>7133</v>
      </c>
      <c r="H1460" s="5" t="s">
        <v>135</v>
      </c>
      <c r="I1460" s="5" t="s">
        <v>673</v>
      </c>
      <c r="J1460" s="5" t="s">
        <v>4510</v>
      </c>
      <c r="K1460" s="5" t="s">
        <v>2776</v>
      </c>
      <c r="L1460" s="5"/>
      <c r="M1460" s="5"/>
      <c r="N1460" s="5"/>
      <c r="O1460" s="5"/>
      <c r="P1460" s="5"/>
      <c r="Q1460" s="5"/>
      <c r="R1460" s="5"/>
      <c r="S1460" s="5"/>
      <c r="T1460" s="5"/>
      <c r="U1460" s="5">
        <v>3500</v>
      </c>
      <c r="V1460" s="6">
        <v>42648</v>
      </c>
      <c r="W1460" s="5" t="s">
        <v>31</v>
      </c>
      <c r="X1460" s="5" t="s">
        <v>7134</v>
      </c>
    </row>
    <row r="1461" spans="1:24" ht="27.95" x14ac:dyDescent="0.3">
      <c r="A1461" s="3">
        <v>1455</v>
      </c>
      <c r="B1461" s="3" t="str">
        <f>"201500097499"</f>
        <v>201500097499</v>
      </c>
      <c r="C1461" s="3" t="str">
        <f>"116591"</f>
        <v>116591</v>
      </c>
      <c r="D1461" s="3" t="s">
        <v>7135</v>
      </c>
      <c r="E1461" s="3">
        <v>20100030595</v>
      </c>
      <c r="F1461" s="3" t="s">
        <v>7136</v>
      </c>
      <c r="G1461" s="3" t="s">
        <v>7137</v>
      </c>
      <c r="H1461" s="3" t="s">
        <v>28</v>
      </c>
      <c r="I1461" s="3" t="s">
        <v>28</v>
      </c>
      <c r="J1461" s="3" t="s">
        <v>558</v>
      </c>
      <c r="K1461" s="3" t="s">
        <v>5525</v>
      </c>
      <c r="L1461" s="3"/>
      <c r="M1461" s="3"/>
      <c r="N1461" s="3"/>
      <c r="O1461" s="3"/>
      <c r="P1461" s="3"/>
      <c r="Q1461" s="3"/>
      <c r="R1461" s="3"/>
      <c r="S1461" s="3"/>
      <c r="T1461" s="3"/>
      <c r="U1461" s="3">
        <v>5260</v>
      </c>
      <c r="V1461" s="4">
        <v>42262</v>
      </c>
      <c r="W1461" s="3" t="s">
        <v>31</v>
      </c>
      <c r="X1461" s="3" t="s">
        <v>7138</v>
      </c>
    </row>
    <row r="1462" spans="1:24" ht="41.95" x14ac:dyDescent="0.3">
      <c r="A1462" s="5">
        <v>1456</v>
      </c>
      <c r="B1462" s="5" t="str">
        <f>"1831918"</f>
        <v>1831918</v>
      </c>
      <c r="C1462" s="5" t="str">
        <f>"64476"</f>
        <v>64476</v>
      </c>
      <c r="D1462" s="5" t="s">
        <v>7139</v>
      </c>
      <c r="E1462" s="5">
        <v>20123299206</v>
      </c>
      <c r="F1462" s="5" t="s">
        <v>7140</v>
      </c>
      <c r="G1462" s="5" t="s">
        <v>7141</v>
      </c>
      <c r="H1462" s="5" t="s">
        <v>115</v>
      </c>
      <c r="I1462" s="5" t="s">
        <v>115</v>
      </c>
      <c r="J1462" s="5" t="s">
        <v>159</v>
      </c>
      <c r="K1462" s="5" t="s">
        <v>1182</v>
      </c>
      <c r="L1462" s="5"/>
      <c r="M1462" s="5"/>
      <c r="N1462" s="5"/>
      <c r="O1462" s="5"/>
      <c r="P1462" s="5"/>
      <c r="Q1462" s="5"/>
      <c r="R1462" s="5"/>
      <c r="S1462" s="5"/>
      <c r="T1462" s="5"/>
      <c r="U1462" s="5">
        <v>4000</v>
      </c>
      <c r="V1462" s="6">
        <v>39850</v>
      </c>
      <c r="W1462" s="5" t="s">
        <v>31</v>
      </c>
      <c r="X1462" s="5" t="s">
        <v>7142</v>
      </c>
    </row>
    <row r="1463" spans="1:24" x14ac:dyDescent="0.3">
      <c r="A1463" s="3">
        <v>1457</v>
      </c>
      <c r="B1463" s="3" t="str">
        <f>"1509489"</f>
        <v>1509489</v>
      </c>
      <c r="C1463" s="3" t="str">
        <f>"343"</f>
        <v>343</v>
      </c>
      <c r="D1463" s="3" t="s">
        <v>7143</v>
      </c>
      <c r="E1463" s="3">
        <v>20327397258</v>
      </c>
      <c r="F1463" s="3" t="s">
        <v>7144</v>
      </c>
      <c r="G1463" s="3" t="s">
        <v>7145</v>
      </c>
      <c r="H1463" s="3" t="s">
        <v>51</v>
      </c>
      <c r="I1463" s="3" t="s">
        <v>51</v>
      </c>
      <c r="J1463" s="3" t="s">
        <v>7146</v>
      </c>
      <c r="K1463" s="3" t="s">
        <v>7147</v>
      </c>
      <c r="L1463" s="3" t="s">
        <v>7148</v>
      </c>
      <c r="M1463" s="3" t="s">
        <v>7149</v>
      </c>
      <c r="N1463" s="3" t="s">
        <v>7150</v>
      </c>
      <c r="O1463" s="3"/>
      <c r="P1463" s="3"/>
      <c r="Q1463" s="3"/>
      <c r="R1463" s="3"/>
      <c r="S1463" s="3"/>
      <c r="T1463" s="3"/>
      <c r="U1463" s="3">
        <v>81933</v>
      </c>
      <c r="V1463" s="4">
        <v>38307</v>
      </c>
      <c r="W1463" s="3" t="s">
        <v>31</v>
      </c>
      <c r="X1463" s="3" t="s">
        <v>7151</v>
      </c>
    </row>
    <row r="1464" spans="1:24" ht="27.95" x14ac:dyDescent="0.3">
      <c r="A1464" s="5">
        <v>1458</v>
      </c>
      <c r="B1464" s="5" t="str">
        <f>"1845127"</f>
        <v>1845127</v>
      </c>
      <c r="C1464" s="5" t="str">
        <f>"63505"</f>
        <v>63505</v>
      </c>
      <c r="D1464" s="5" t="s">
        <v>7152</v>
      </c>
      <c r="E1464" s="5">
        <v>20138179363</v>
      </c>
      <c r="F1464" s="5" t="s">
        <v>7153</v>
      </c>
      <c r="G1464" s="5" t="s">
        <v>7154</v>
      </c>
      <c r="H1464" s="5" t="s">
        <v>28</v>
      </c>
      <c r="I1464" s="5" t="s">
        <v>72</v>
      </c>
      <c r="J1464" s="5" t="s">
        <v>322</v>
      </c>
      <c r="K1464" s="5" t="s">
        <v>46</v>
      </c>
      <c r="L1464" s="5"/>
      <c r="M1464" s="5"/>
      <c r="N1464" s="5"/>
      <c r="O1464" s="5"/>
      <c r="P1464" s="5"/>
      <c r="Q1464" s="5"/>
      <c r="R1464" s="5"/>
      <c r="S1464" s="5"/>
      <c r="T1464" s="5"/>
      <c r="U1464" s="5">
        <v>3000</v>
      </c>
      <c r="V1464" s="6">
        <v>39805</v>
      </c>
      <c r="W1464" s="5" t="s">
        <v>31</v>
      </c>
      <c r="X1464" s="5" t="s">
        <v>7155</v>
      </c>
    </row>
    <row r="1465" spans="1:24" x14ac:dyDescent="0.3">
      <c r="A1465" s="3">
        <v>1459</v>
      </c>
      <c r="B1465" s="3" t="str">
        <f>"202000056678"</f>
        <v>202000056678</v>
      </c>
      <c r="C1465" s="3" t="str">
        <f>"95984"</f>
        <v>95984</v>
      </c>
      <c r="D1465" s="3" t="s">
        <v>7156</v>
      </c>
      <c r="E1465" s="3">
        <v>20167700277</v>
      </c>
      <c r="F1465" s="3" t="s">
        <v>7157</v>
      </c>
      <c r="G1465" s="3" t="s">
        <v>7158</v>
      </c>
      <c r="H1465" s="3" t="s">
        <v>80</v>
      </c>
      <c r="I1465" s="3" t="s">
        <v>302</v>
      </c>
      <c r="J1465" s="3" t="s">
        <v>3408</v>
      </c>
      <c r="K1465" s="3" t="s">
        <v>2309</v>
      </c>
      <c r="L1465" s="3"/>
      <c r="M1465" s="3"/>
      <c r="N1465" s="3"/>
      <c r="O1465" s="3"/>
      <c r="P1465" s="3"/>
      <c r="Q1465" s="3"/>
      <c r="R1465" s="3"/>
      <c r="S1465" s="3"/>
      <c r="T1465" s="3"/>
      <c r="U1465" s="3">
        <v>2200</v>
      </c>
      <c r="V1465" s="4">
        <v>43978</v>
      </c>
      <c r="W1465" s="3" t="s">
        <v>31</v>
      </c>
      <c r="X1465" s="3" t="s">
        <v>7159</v>
      </c>
    </row>
    <row r="1466" spans="1:24" ht="27.95" x14ac:dyDescent="0.3">
      <c r="A1466" s="5">
        <v>1460</v>
      </c>
      <c r="B1466" s="5" t="str">
        <f>"201300052055"</f>
        <v>201300052055</v>
      </c>
      <c r="C1466" s="5" t="str">
        <f>"101678"</f>
        <v>101678</v>
      </c>
      <c r="D1466" s="5" t="s">
        <v>7160</v>
      </c>
      <c r="E1466" s="5">
        <v>20447844835</v>
      </c>
      <c r="F1466" s="5" t="s">
        <v>7161</v>
      </c>
      <c r="G1466" s="5" t="s">
        <v>7162</v>
      </c>
      <c r="H1466" s="5" t="s">
        <v>550</v>
      </c>
      <c r="I1466" s="5" t="s">
        <v>1780</v>
      </c>
      <c r="J1466" s="5" t="s">
        <v>1781</v>
      </c>
      <c r="K1466" s="5" t="s">
        <v>7163</v>
      </c>
      <c r="L1466" s="5"/>
      <c r="M1466" s="5"/>
      <c r="N1466" s="5"/>
      <c r="O1466" s="5"/>
      <c r="P1466" s="5"/>
      <c r="Q1466" s="5"/>
      <c r="R1466" s="5"/>
      <c r="S1466" s="5"/>
      <c r="T1466" s="5"/>
      <c r="U1466" s="5">
        <v>5361</v>
      </c>
      <c r="V1466" s="6">
        <v>41350</v>
      </c>
      <c r="W1466" s="5" t="s">
        <v>31</v>
      </c>
      <c r="X1466" s="5" t="s">
        <v>7164</v>
      </c>
    </row>
    <row r="1467" spans="1:24" x14ac:dyDescent="0.3">
      <c r="A1467" s="3">
        <v>1461</v>
      </c>
      <c r="B1467" s="3" t="str">
        <f>"1502655"</f>
        <v>1502655</v>
      </c>
      <c r="C1467" s="3" t="str">
        <f>"42982"</f>
        <v>42982</v>
      </c>
      <c r="D1467" s="3" t="s">
        <v>7165</v>
      </c>
      <c r="E1467" s="3">
        <v>20101024645</v>
      </c>
      <c r="F1467" s="3" t="s">
        <v>7166</v>
      </c>
      <c r="G1467" s="3" t="s">
        <v>7167</v>
      </c>
      <c r="H1467" s="3" t="s">
        <v>28</v>
      </c>
      <c r="I1467" s="3" t="s">
        <v>28</v>
      </c>
      <c r="J1467" s="3" t="s">
        <v>1432</v>
      </c>
      <c r="K1467" s="3" t="s">
        <v>209</v>
      </c>
      <c r="L1467" s="3" t="s">
        <v>540</v>
      </c>
      <c r="M1467" s="3"/>
      <c r="N1467" s="3"/>
      <c r="O1467" s="3"/>
      <c r="P1467" s="3"/>
      <c r="Q1467" s="3"/>
      <c r="R1467" s="3"/>
      <c r="S1467" s="3"/>
      <c r="T1467" s="3"/>
      <c r="U1467" s="3">
        <v>15000</v>
      </c>
      <c r="V1467" s="4">
        <v>40830</v>
      </c>
      <c r="W1467" s="3" t="s">
        <v>31</v>
      </c>
      <c r="X1467" s="3" t="s">
        <v>3169</v>
      </c>
    </row>
    <row r="1468" spans="1:24" x14ac:dyDescent="0.3">
      <c r="A1468" s="5">
        <v>1462</v>
      </c>
      <c r="B1468" s="5" t="str">
        <f>"201900062457"</f>
        <v>201900062457</v>
      </c>
      <c r="C1468" s="5" t="str">
        <f>"142703"</f>
        <v>142703</v>
      </c>
      <c r="D1468" s="5" t="s">
        <v>7168</v>
      </c>
      <c r="E1468" s="5">
        <v>20155140942</v>
      </c>
      <c r="F1468" s="5" t="s">
        <v>7169</v>
      </c>
      <c r="G1468" s="5" t="s">
        <v>7170</v>
      </c>
      <c r="H1468" s="5" t="s">
        <v>28</v>
      </c>
      <c r="I1468" s="5" t="s">
        <v>28</v>
      </c>
      <c r="J1468" s="5" t="s">
        <v>1432</v>
      </c>
      <c r="K1468" s="5" t="s">
        <v>1892</v>
      </c>
      <c r="L1468" s="5" t="s">
        <v>1892</v>
      </c>
      <c r="M1468" s="5"/>
      <c r="N1468" s="5"/>
      <c r="O1468" s="5"/>
      <c r="P1468" s="5"/>
      <c r="Q1468" s="5"/>
      <c r="R1468" s="5"/>
      <c r="S1468" s="5"/>
      <c r="T1468" s="5"/>
      <c r="U1468" s="5">
        <v>2800</v>
      </c>
      <c r="V1468" s="6">
        <v>43579</v>
      </c>
      <c r="W1468" s="5" t="s">
        <v>31</v>
      </c>
      <c r="X1468" s="5" t="s">
        <v>7171</v>
      </c>
    </row>
    <row r="1469" spans="1:24" x14ac:dyDescent="0.3">
      <c r="A1469" s="3">
        <v>1463</v>
      </c>
      <c r="B1469" s="3" t="str">
        <f>"1108165"</f>
        <v>1108165</v>
      </c>
      <c r="C1469" s="3" t="str">
        <f>"216"</f>
        <v>216</v>
      </c>
      <c r="D1469" s="3">
        <v>962547</v>
      </c>
      <c r="E1469" s="3">
        <v>20114042600</v>
      </c>
      <c r="F1469" s="3" t="s">
        <v>7172</v>
      </c>
      <c r="G1469" s="3" t="s">
        <v>7173</v>
      </c>
      <c r="H1469" s="3" t="s">
        <v>58</v>
      </c>
      <c r="I1469" s="3" t="s">
        <v>59</v>
      </c>
      <c r="J1469" s="3" t="s">
        <v>2573</v>
      </c>
      <c r="K1469" s="3" t="s">
        <v>7174</v>
      </c>
      <c r="L1469" s="3" t="s">
        <v>7175</v>
      </c>
      <c r="M1469" s="3"/>
      <c r="N1469" s="3"/>
      <c r="O1469" s="3"/>
      <c r="P1469" s="3"/>
      <c r="Q1469" s="3"/>
      <c r="R1469" s="3"/>
      <c r="S1469" s="3"/>
      <c r="T1469" s="3"/>
      <c r="U1469" s="3">
        <v>40000</v>
      </c>
      <c r="V1469" s="4">
        <v>35489</v>
      </c>
      <c r="W1469" s="3" t="s">
        <v>31</v>
      </c>
      <c r="X1469" s="3" t="s">
        <v>7176</v>
      </c>
    </row>
    <row r="1470" spans="1:24" ht="27.95" x14ac:dyDescent="0.3">
      <c r="A1470" s="5">
        <v>1464</v>
      </c>
      <c r="B1470" s="5" t="str">
        <f>"201600121102"</f>
        <v>201600121102</v>
      </c>
      <c r="C1470" s="5" t="str">
        <f>"33336"</f>
        <v>33336</v>
      </c>
      <c r="D1470" s="5" t="s">
        <v>7177</v>
      </c>
      <c r="E1470" s="5">
        <v>20137291313</v>
      </c>
      <c r="F1470" s="5" t="s">
        <v>2013</v>
      </c>
      <c r="G1470" s="5" t="s">
        <v>7178</v>
      </c>
      <c r="H1470" s="5" t="s">
        <v>978</v>
      </c>
      <c r="I1470" s="5" t="s">
        <v>978</v>
      </c>
      <c r="J1470" s="5" t="s">
        <v>2015</v>
      </c>
      <c r="K1470" s="5" t="s">
        <v>7179</v>
      </c>
      <c r="L1470" s="5" t="s">
        <v>7180</v>
      </c>
      <c r="M1470" s="5"/>
      <c r="N1470" s="5"/>
      <c r="O1470" s="5"/>
      <c r="P1470" s="5"/>
      <c r="Q1470" s="5"/>
      <c r="R1470" s="5"/>
      <c r="S1470" s="5"/>
      <c r="T1470" s="5"/>
      <c r="U1470" s="5">
        <v>434141</v>
      </c>
      <c r="V1470" s="6">
        <v>42620</v>
      </c>
      <c r="W1470" s="5" t="s">
        <v>31</v>
      </c>
      <c r="X1470" s="5" t="s">
        <v>2167</v>
      </c>
    </row>
    <row r="1471" spans="1:24" x14ac:dyDescent="0.3">
      <c r="A1471" s="3">
        <v>1465</v>
      </c>
      <c r="B1471" s="3" t="str">
        <f>"1116685"</f>
        <v>1116685</v>
      </c>
      <c r="C1471" s="3" t="str">
        <f>"1121"</f>
        <v>1121</v>
      </c>
      <c r="D1471" s="3">
        <v>1099596</v>
      </c>
      <c r="E1471" s="3">
        <v>20162297687</v>
      </c>
      <c r="F1471" s="3" t="s">
        <v>7181</v>
      </c>
      <c r="G1471" s="3" t="s">
        <v>7182</v>
      </c>
      <c r="H1471" s="3" t="s">
        <v>36</v>
      </c>
      <c r="I1471" s="3" t="s">
        <v>3208</v>
      </c>
      <c r="J1471" s="3" t="s">
        <v>7183</v>
      </c>
      <c r="K1471" s="3" t="s">
        <v>7184</v>
      </c>
      <c r="L1471" s="3" t="s">
        <v>6611</v>
      </c>
      <c r="M1471" s="3" t="s">
        <v>7185</v>
      </c>
      <c r="N1471" s="3"/>
      <c r="O1471" s="3"/>
      <c r="P1471" s="3"/>
      <c r="Q1471" s="3"/>
      <c r="R1471" s="3"/>
      <c r="S1471" s="3"/>
      <c r="T1471" s="3"/>
      <c r="U1471" s="3">
        <v>6110</v>
      </c>
      <c r="V1471" s="4">
        <v>35535</v>
      </c>
      <c r="W1471" s="3" t="s">
        <v>31</v>
      </c>
      <c r="X1471" s="3" t="s">
        <v>7186</v>
      </c>
    </row>
    <row r="1472" spans="1:24" ht="27.95" x14ac:dyDescent="0.3">
      <c r="A1472" s="5">
        <v>1466</v>
      </c>
      <c r="B1472" s="5" t="str">
        <f>"201800025994"</f>
        <v>201800025994</v>
      </c>
      <c r="C1472" s="5" t="str">
        <f>"1510"</f>
        <v>1510</v>
      </c>
      <c r="D1472" s="5" t="s">
        <v>7187</v>
      </c>
      <c r="E1472" s="5">
        <v>20100971772</v>
      </c>
      <c r="F1472" s="5" t="s">
        <v>914</v>
      </c>
      <c r="G1472" s="5" t="s">
        <v>7188</v>
      </c>
      <c r="H1472" s="5" t="s">
        <v>51</v>
      </c>
      <c r="I1472" s="5" t="s">
        <v>52</v>
      </c>
      <c r="J1472" s="5" t="s">
        <v>52</v>
      </c>
      <c r="K1472" s="5" t="s">
        <v>1003</v>
      </c>
      <c r="L1472" s="5" t="s">
        <v>7189</v>
      </c>
      <c r="M1472" s="5" t="s">
        <v>1003</v>
      </c>
      <c r="N1472" s="5" t="s">
        <v>7190</v>
      </c>
      <c r="O1472" s="5"/>
      <c r="P1472" s="5"/>
      <c r="Q1472" s="5"/>
      <c r="R1472" s="5"/>
      <c r="S1472" s="5"/>
      <c r="T1472" s="5"/>
      <c r="U1472" s="5">
        <v>200523</v>
      </c>
      <c r="V1472" s="6">
        <v>43151</v>
      </c>
      <c r="W1472" s="5" t="s">
        <v>31</v>
      </c>
      <c r="X1472" s="5" t="s">
        <v>7191</v>
      </c>
    </row>
    <row r="1473" spans="1:24" x14ac:dyDescent="0.3">
      <c r="A1473" s="3">
        <v>1467</v>
      </c>
      <c r="B1473" s="3" t="str">
        <f>"201900020935"</f>
        <v>201900020935</v>
      </c>
      <c r="C1473" s="3" t="str">
        <f>"20"</f>
        <v>20</v>
      </c>
      <c r="D1473" s="3" t="s">
        <v>7192</v>
      </c>
      <c r="E1473" s="3">
        <v>20370146994</v>
      </c>
      <c r="F1473" s="3" t="s">
        <v>5482</v>
      </c>
      <c r="G1473" s="3" t="s">
        <v>7193</v>
      </c>
      <c r="H1473" s="3" t="s">
        <v>135</v>
      </c>
      <c r="I1473" s="3" t="s">
        <v>943</v>
      </c>
      <c r="J1473" s="3" t="s">
        <v>944</v>
      </c>
      <c r="K1473" s="3" t="s">
        <v>181</v>
      </c>
      <c r="L1473" s="3" t="s">
        <v>181</v>
      </c>
      <c r="M1473" s="3"/>
      <c r="N1473" s="3"/>
      <c r="O1473" s="3"/>
      <c r="P1473" s="3"/>
      <c r="Q1473" s="3"/>
      <c r="R1473" s="3"/>
      <c r="S1473" s="3"/>
      <c r="T1473" s="3"/>
      <c r="U1473" s="3">
        <v>10000</v>
      </c>
      <c r="V1473" s="4">
        <v>43504</v>
      </c>
      <c r="W1473" s="3" t="s">
        <v>31</v>
      </c>
      <c r="X1473" s="3" t="s">
        <v>7194</v>
      </c>
    </row>
    <row r="1474" spans="1:24" x14ac:dyDescent="0.3">
      <c r="A1474" s="5">
        <v>1468</v>
      </c>
      <c r="B1474" s="5" t="str">
        <f>"1108169"</f>
        <v>1108169</v>
      </c>
      <c r="C1474" s="5" t="str">
        <f>"103"</f>
        <v>103</v>
      </c>
      <c r="D1474" s="5">
        <v>959742</v>
      </c>
      <c r="E1474" s="5">
        <v>20100023203</v>
      </c>
      <c r="F1474" s="5" t="s">
        <v>7195</v>
      </c>
      <c r="G1474" s="5" t="s">
        <v>7196</v>
      </c>
      <c r="H1474" s="5" t="s">
        <v>28</v>
      </c>
      <c r="I1474" s="5" t="s">
        <v>28</v>
      </c>
      <c r="J1474" s="5" t="s">
        <v>28</v>
      </c>
      <c r="K1474" s="5" t="s">
        <v>259</v>
      </c>
      <c r="L1474" s="5"/>
      <c r="M1474" s="5"/>
      <c r="N1474" s="5"/>
      <c r="O1474" s="5"/>
      <c r="P1474" s="5"/>
      <c r="Q1474" s="5"/>
      <c r="R1474" s="5"/>
      <c r="S1474" s="5"/>
      <c r="T1474" s="5"/>
      <c r="U1474" s="5">
        <v>6000</v>
      </c>
      <c r="V1474" s="6">
        <v>35489</v>
      </c>
      <c r="W1474" s="5" t="s">
        <v>31</v>
      </c>
      <c r="X1474" s="5" t="s">
        <v>7197</v>
      </c>
    </row>
    <row r="1475" spans="1:24" ht="27.95" x14ac:dyDescent="0.3">
      <c r="A1475" s="3">
        <v>1469</v>
      </c>
      <c r="B1475" s="3" t="str">
        <f>"201200005291"</f>
        <v>201200005291</v>
      </c>
      <c r="C1475" s="3" t="str">
        <f>"95088"</f>
        <v>95088</v>
      </c>
      <c r="D1475" s="3" t="s">
        <v>7198</v>
      </c>
      <c r="E1475" s="3">
        <v>20100029741</v>
      </c>
      <c r="F1475" s="3" t="s">
        <v>7199</v>
      </c>
      <c r="G1475" s="3" t="s">
        <v>7200</v>
      </c>
      <c r="H1475" s="3" t="s">
        <v>28</v>
      </c>
      <c r="I1475" s="3" t="s">
        <v>28</v>
      </c>
      <c r="J1475" s="3" t="s">
        <v>109</v>
      </c>
      <c r="K1475" s="3" t="s">
        <v>130</v>
      </c>
      <c r="L1475" s="3"/>
      <c r="M1475" s="3"/>
      <c r="N1475" s="3"/>
      <c r="O1475" s="3"/>
      <c r="P1475" s="3"/>
      <c r="Q1475" s="3"/>
      <c r="R1475" s="3"/>
      <c r="S1475" s="3"/>
      <c r="T1475" s="3"/>
      <c r="U1475" s="3">
        <v>3000</v>
      </c>
      <c r="V1475" s="4">
        <v>40924</v>
      </c>
      <c r="W1475" s="3" t="s">
        <v>31</v>
      </c>
      <c r="X1475" s="3" t="s">
        <v>7201</v>
      </c>
    </row>
    <row r="1476" spans="1:24" ht="27.95" x14ac:dyDescent="0.3">
      <c r="A1476" s="5">
        <v>1470</v>
      </c>
      <c r="B1476" s="5" t="str">
        <f>"1750790"</f>
        <v>1750790</v>
      </c>
      <c r="C1476" s="5" t="str">
        <f>"62000"</f>
        <v>62000</v>
      </c>
      <c r="D1476" s="5" t="s">
        <v>7202</v>
      </c>
      <c r="E1476" s="5">
        <v>20100102413</v>
      </c>
      <c r="F1476" s="5" t="s">
        <v>7203</v>
      </c>
      <c r="G1476" s="5" t="s">
        <v>7204</v>
      </c>
      <c r="H1476" s="5" t="s">
        <v>28</v>
      </c>
      <c r="I1476" s="5" t="s">
        <v>28</v>
      </c>
      <c r="J1476" s="5" t="s">
        <v>180</v>
      </c>
      <c r="K1476" s="5" t="s">
        <v>7205</v>
      </c>
      <c r="L1476" s="5" t="s">
        <v>7206</v>
      </c>
      <c r="M1476" s="5" t="s">
        <v>7207</v>
      </c>
      <c r="N1476" s="5"/>
      <c r="O1476" s="5"/>
      <c r="P1476" s="5"/>
      <c r="Q1476" s="5"/>
      <c r="R1476" s="5"/>
      <c r="S1476" s="5"/>
      <c r="T1476" s="5"/>
      <c r="U1476" s="5">
        <v>10377</v>
      </c>
      <c r="V1476" s="6">
        <v>39472</v>
      </c>
      <c r="W1476" s="5" t="s">
        <v>31</v>
      </c>
      <c r="X1476" s="5" t="s">
        <v>6929</v>
      </c>
    </row>
    <row r="1477" spans="1:24" x14ac:dyDescent="0.3">
      <c r="A1477" s="3">
        <v>1471</v>
      </c>
      <c r="B1477" s="3" t="str">
        <f>"202000118617"</f>
        <v>202000118617</v>
      </c>
      <c r="C1477" s="3" t="str">
        <f>"653"</f>
        <v>653</v>
      </c>
      <c r="D1477" s="3" t="s">
        <v>7208</v>
      </c>
      <c r="E1477" s="3">
        <v>20312372895</v>
      </c>
      <c r="F1477" s="3" t="s">
        <v>7209</v>
      </c>
      <c r="G1477" s="3" t="s">
        <v>7210</v>
      </c>
      <c r="H1477" s="3" t="s">
        <v>51</v>
      </c>
      <c r="I1477" s="3" t="s">
        <v>51</v>
      </c>
      <c r="J1477" s="3" t="s">
        <v>7211</v>
      </c>
      <c r="K1477" s="3" t="s">
        <v>7212</v>
      </c>
      <c r="L1477" s="3" t="s">
        <v>168</v>
      </c>
      <c r="M1477" s="3" t="s">
        <v>168</v>
      </c>
      <c r="N1477" s="3" t="s">
        <v>7213</v>
      </c>
      <c r="O1477" s="3" t="s">
        <v>397</v>
      </c>
      <c r="P1477" s="3" t="s">
        <v>110</v>
      </c>
      <c r="Q1477" s="3" t="s">
        <v>130</v>
      </c>
      <c r="R1477" s="3" t="s">
        <v>7214</v>
      </c>
      <c r="S1477" s="3" t="s">
        <v>7215</v>
      </c>
      <c r="T1477" s="3" t="s">
        <v>7216</v>
      </c>
      <c r="U1477" s="3">
        <v>350244</v>
      </c>
      <c r="V1477" s="4">
        <v>44085</v>
      </c>
      <c r="W1477" s="3" t="s">
        <v>31</v>
      </c>
      <c r="X1477" s="3" t="s">
        <v>930</v>
      </c>
    </row>
    <row r="1478" spans="1:24" x14ac:dyDescent="0.3">
      <c r="A1478" s="5">
        <v>1472</v>
      </c>
      <c r="B1478" s="5" t="str">
        <f>"201900062455"</f>
        <v>201900062455</v>
      </c>
      <c r="C1478" s="5" t="str">
        <f>"122"</f>
        <v>122</v>
      </c>
      <c r="D1478" s="5" t="s">
        <v>7217</v>
      </c>
      <c r="E1478" s="5">
        <v>20100079501</v>
      </c>
      <c r="F1478" s="5" t="s">
        <v>844</v>
      </c>
      <c r="G1478" s="5" t="s">
        <v>7218</v>
      </c>
      <c r="H1478" s="5" t="s">
        <v>28</v>
      </c>
      <c r="I1478" s="5" t="s">
        <v>4717</v>
      </c>
      <c r="J1478" s="5" t="s">
        <v>4717</v>
      </c>
      <c r="K1478" s="5" t="s">
        <v>7219</v>
      </c>
      <c r="L1478" s="5" t="s">
        <v>7220</v>
      </c>
      <c r="M1478" s="5" t="s">
        <v>7220</v>
      </c>
      <c r="N1478" s="5" t="s">
        <v>7219</v>
      </c>
      <c r="O1478" s="5" t="s">
        <v>7220</v>
      </c>
      <c r="P1478" s="5" t="s">
        <v>67</v>
      </c>
      <c r="Q1478" s="5"/>
      <c r="R1478" s="5"/>
      <c r="S1478" s="5"/>
      <c r="T1478" s="5"/>
      <c r="U1478" s="5">
        <v>73280</v>
      </c>
      <c r="V1478" s="6">
        <v>43580</v>
      </c>
      <c r="W1478" s="5" t="s">
        <v>31</v>
      </c>
      <c r="X1478" s="5" t="s">
        <v>7221</v>
      </c>
    </row>
    <row r="1479" spans="1:24" ht="27.95" x14ac:dyDescent="0.3">
      <c r="A1479" s="3">
        <v>1473</v>
      </c>
      <c r="B1479" s="3" t="str">
        <f>"201500034834"</f>
        <v>201500034834</v>
      </c>
      <c r="C1479" s="3" t="str">
        <f>"114494"</f>
        <v>114494</v>
      </c>
      <c r="D1479" s="3" t="s">
        <v>7222</v>
      </c>
      <c r="E1479" s="3">
        <v>20431871808</v>
      </c>
      <c r="F1479" s="3" t="s">
        <v>152</v>
      </c>
      <c r="G1479" s="3" t="s">
        <v>7223</v>
      </c>
      <c r="H1479" s="3" t="s">
        <v>214</v>
      </c>
      <c r="I1479" s="3" t="s">
        <v>215</v>
      </c>
      <c r="J1479" s="3" t="s">
        <v>2592</v>
      </c>
      <c r="K1479" s="3" t="s">
        <v>790</v>
      </c>
      <c r="L1479" s="3"/>
      <c r="M1479" s="3"/>
      <c r="N1479" s="3"/>
      <c r="O1479" s="3"/>
      <c r="P1479" s="3"/>
      <c r="Q1479" s="3"/>
      <c r="R1479" s="3"/>
      <c r="S1479" s="3"/>
      <c r="T1479" s="3"/>
      <c r="U1479" s="3">
        <v>12000</v>
      </c>
      <c r="V1479" s="4">
        <v>42133</v>
      </c>
      <c r="W1479" s="3" t="s">
        <v>31</v>
      </c>
      <c r="X1479" s="3" t="s">
        <v>7224</v>
      </c>
    </row>
    <row r="1480" spans="1:24" ht="27.95" x14ac:dyDescent="0.3">
      <c r="A1480" s="5">
        <v>1474</v>
      </c>
      <c r="B1480" s="5" t="str">
        <f>"201800149798"</f>
        <v>201800149798</v>
      </c>
      <c r="C1480" s="5" t="str">
        <f>"137901"</f>
        <v>137901</v>
      </c>
      <c r="D1480" s="5" t="s">
        <v>7225</v>
      </c>
      <c r="E1480" s="5">
        <v>20602822533</v>
      </c>
      <c r="F1480" s="5" t="s">
        <v>7226</v>
      </c>
      <c r="G1480" s="5" t="s">
        <v>7227</v>
      </c>
      <c r="H1480" s="5" t="s">
        <v>36</v>
      </c>
      <c r="I1480" s="5" t="s">
        <v>514</v>
      </c>
      <c r="J1480" s="5" t="s">
        <v>2101</v>
      </c>
      <c r="K1480" s="5" t="s">
        <v>1960</v>
      </c>
      <c r="L1480" s="5" t="s">
        <v>1960</v>
      </c>
      <c r="M1480" s="5" t="s">
        <v>2102</v>
      </c>
      <c r="N1480" s="5" t="s">
        <v>2102</v>
      </c>
      <c r="O1480" s="5"/>
      <c r="P1480" s="5"/>
      <c r="Q1480" s="5"/>
      <c r="R1480" s="5"/>
      <c r="S1480" s="5"/>
      <c r="T1480" s="5"/>
      <c r="U1480" s="5">
        <v>1636</v>
      </c>
      <c r="V1480" s="6">
        <v>43356</v>
      </c>
      <c r="W1480" s="5" t="s">
        <v>31</v>
      </c>
      <c r="X1480" s="5" t="s">
        <v>4393</v>
      </c>
    </row>
    <row r="1481" spans="1:24" ht="27.95" x14ac:dyDescent="0.3">
      <c r="A1481" s="3">
        <v>1475</v>
      </c>
      <c r="B1481" s="3" t="str">
        <f>"202000078874"</f>
        <v>202000078874</v>
      </c>
      <c r="C1481" s="3" t="str">
        <f>"149901"</f>
        <v>149901</v>
      </c>
      <c r="D1481" s="3" t="s">
        <v>7228</v>
      </c>
      <c r="E1481" s="3">
        <v>20137025354</v>
      </c>
      <c r="F1481" s="3" t="s">
        <v>6619</v>
      </c>
      <c r="G1481" s="3" t="s">
        <v>7229</v>
      </c>
      <c r="H1481" s="3" t="s">
        <v>36</v>
      </c>
      <c r="I1481" s="3" t="s">
        <v>3208</v>
      </c>
      <c r="J1481" s="3" t="s">
        <v>3208</v>
      </c>
      <c r="K1481" s="3" t="s">
        <v>168</v>
      </c>
      <c r="L1481" s="3" t="s">
        <v>6623</v>
      </c>
      <c r="M1481" s="3"/>
      <c r="N1481" s="3"/>
      <c r="O1481" s="3"/>
      <c r="P1481" s="3"/>
      <c r="Q1481" s="3"/>
      <c r="R1481" s="3"/>
      <c r="S1481" s="3"/>
      <c r="T1481" s="3"/>
      <c r="U1481" s="3">
        <v>13870</v>
      </c>
      <c r="V1481" s="4">
        <v>44022</v>
      </c>
      <c r="W1481" s="3" t="s">
        <v>31</v>
      </c>
      <c r="X1481" s="3" t="s">
        <v>6625</v>
      </c>
    </row>
    <row r="1482" spans="1:24" ht="27.95" x14ac:dyDescent="0.3">
      <c r="A1482" s="5">
        <v>1476</v>
      </c>
      <c r="B1482" s="5" t="str">
        <f>"202000014750"</f>
        <v>202000014750</v>
      </c>
      <c r="C1482" s="5" t="str">
        <f>"148947"</f>
        <v>148947</v>
      </c>
      <c r="D1482" s="5" t="s">
        <v>7230</v>
      </c>
      <c r="E1482" s="5">
        <v>20505688903</v>
      </c>
      <c r="F1482" s="5" t="s">
        <v>7231</v>
      </c>
      <c r="G1482" s="5" t="s">
        <v>7232</v>
      </c>
      <c r="H1482" s="5" t="s">
        <v>135</v>
      </c>
      <c r="I1482" s="5" t="s">
        <v>943</v>
      </c>
      <c r="J1482" s="5" t="s">
        <v>4355</v>
      </c>
      <c r="K1482" s="5" t="s">
        <v>1074</v>
      </c>
      <c r="L1482" s="5"/>
      <c r="M1482" s="5"/>
      <c r="N1482" s="5"/>
      <c r="O1482" s="5"/>
      <c r="P1482" s="5"/>
      <c r="Q1482" s="5"/>
      <c r="R1482" s="5"/>
      <c r="S1482" s="5"/>
      <c r="T1482" s="5"/>
      <c r="U1482" s="5">
        <v>3500</v>
      </c>
      <c r="V1482" s="6">
        <v>43857</v>
      </c>
      <c r="W1482" s="5" t="s">
        <v>31</v>
      </c>
      <c r="X1482" s="5" t="s">
        <v>7233</v>
      </c>
    </row>
    <row r="1483" spans="1:24" x14ac:dyDescent="0.3">
      <c r="A1483" s="3">
        <v>1477</v>
      </c>
      <c r="B1483" s="3" t="str">
        <f>"201600011358"</f>
        <v>201600011358</v>
      </c>
      <c r="C1483" s="3" t="str">
        <f>"113664"</f>
        <v>113664</v>
      </c>
      <c r="D1483" s="3" t="s">
        <v>7234</v>
      </c>
      <c r="E1483" s="3">
        <v>20100010217</v>
      </c>
      <c r="F1483" s="3" t="s">
        <v>725</v>
      </c>
      <c r="G1483" s="3" t="s">
        <v>7235</v>
      </c>
      <c r="H1483" s="3" t="s">
        <v>115</v>
      </c>
      <c r="I1483" s="3" t="s">
        <v>115</v>
      </c>
      <c r="J1483" s="3" t="s">
        <v>159</v>
      </c>
      <c r="K1483" s="3" t="s">
        <v>7236</v>
      </c>
      <c r="L1483" s="3"/>
      <c r="M1483" s="3"/>
      <c r="N1483" s="3"/>
      <c r="O1483" s="3"/>
      <c r="P1483" s="3"/>
      <c r="Q1483" s="3"/>
      <c r="R1483" s="3"/>
      <c r="S1483" s="3"/>
      <c r="T1483" s="3"/>
      <c r="U1483" s="3">
        <v>3145</v>
      </c>
      <c r="V1483" s="4">
        <v>42404</v>
      </c>
      <c r="W1483" s="3" t="s">
        <v>31</v>
      </c>
      <c r="X1483" s="3" t="s">
        <v>7237</v>
      </c>
    </row>
    <row r="1484" spans="1:24" ht="27.95" x14ac:dyDescent="0.3">
      <c r="A1484" s="5">
        <v>1478</v>
      </c>
      <c r="B1484" s="5" t="str">
        <f>"1222990"</f>
        <v>1222990</v>
      </c>
      <c r="C1484" s="5" t="str">
        <f>"15686"</f>
        <v>15686</v>
      </c>
      <c r="D1484" s="5">
        <v>1222990</v>
      </c>
      <c r="E1484" s="5">
        <v>20100075009</v>
      </c>
      <c r="F1484" s="5" t="s">
        <v>7238</v>
      </c>
      <c r="G1484" s="5" t="s">
        <v>7239</v>
      </c>
      <c r="H1484" s="5" t="s">
        <v>28</v>
      </c>
      <c r="I1484" s="5" t="s">
        <v>28</v>
      </c>
      <c r="J1484" s="5" t="s">
        <v>1295</v>
      </c>
      <c r="K1484" s="5" t="s">
        <v>1775</v>
      </c>
      <c r="L1484" s="5"/>
      <c r="M1484" s="5"/>
      <c r="N1484" s="5"/>
      <c r="O1484" s="5"/>
      <c r="P1484" s="5"/>
      <c r="Q1484" s="5"/>
      <c r="R1484" s="5"/>
      <c r="S1484" s="5"/>
      <c r="T1484" s="5"/>
      <c r="U1484" s="5">
        <v>2500</v>
      </c>
      <c r="V1484" s="6">
        <v>36237</v>
      </c>
      <c r="W1484" s="5" t="s">
        <v>31</v>
      </c>
      <c r="X1484" s="5" t="s">
        <v>7240</v>
      </c>
    </row>
    <row r="1485" spans="1:24" x14ac:dyDescent="0.3">
      <c r="A1485" s="3">
        <v>1479</v>
      </c>
      <c r="B1485" s="3" t="str">
        <f>"201400140076"</f>
        <v>201400140076</v>
      </c>
      <c r="C1485" s="3" t="str">
        <f>"21430"</f>
        <v>21430</v>
      </c>
      <c r="D1485" s="3" t="s">
        <v>7241</v>
      </c>
      <c r="E1485" s="3">
        <v>20563249766</v>
      </c>
      <c r="F1485" s="3" t="s">
        <v>7242</v>
      </c>
      <c r="G1485" s="3" t="s">
        <v>7243</v>
      </c>
      <c r="H1485" s="3" t="s">
        <v>285</v>
      </c>
      <c r="I1485" s="3" t="s">
        <v>286</v>
      </c>
      <c r="J1485" s="3" t="s">
        <v>470</v>
      </c>
      <c r="K1485" s="3" t="s">
        <v>7244</v>
      </c>
      <c r="L1485" s="3" t="s">
        <v>7245</v>
      </c>
      <c r="M1485" s="3" t="s">
        <v>7246</v>
      </c>
      <c r="N1485" s="3"/>
      <c r="O1485" s="3"/>
      <c r="P1485" s="3"/>
      <c r="Q1485" s="3"/>
      <c r="R1485" s="3"/>
      <c r="S1485" s="3"/>
      <c r="T1485" s="3"/>
      <c r="U1485" s="3">
        <v>2010</v>
      </c>
      <c r="V1485" s="4">
        <v>41943</v>
      </c>
      <c r="W1485" s="3" t="s">
        <v>31</v>
      </c>
      <c r="X1485" s="3" t="s">
        <v>7247</v>
      </c>
    </row>
    <row r="1486" spans="1:24" ht="27.95" x14ac:dyDescent="0.3">
      <c r="A1486" s="5">
        <v>1480</v>
      </c>
      <c r="B1486" s="5" t="str">
        <f>"1854412"</f>
        <v>1854412</v>
      </c>
      <c r="C1486" s="5" t="str">
        <f>"21179"</f>
        <v>21179</v>
      </c>
      <c r="D1486" s="5" t="s">
        <v>7248</v>
      </c>
      <c r="E1486" s="5">
        <v>20418453177</v>
      </c>
      <c r="F1486" s="5" t="s">
        <v>7249</v>
      </c>
      <c r="G1486" s="5" t="s">
        <v>7250</v>
      </c>
      <c r="H1486" s="5" t="s">
        <v>28</v>
      </c>
      <c r="I1486" s="5" t="s">
        <v>28</v>
      </c>
      <c r="J1486" s="5" t="s">
        <v>1432</v>
      </c>
      <c r="K1486" s="5" t="s">
        <v>1737</v>
      </c>
      <c r="L1486" s="5"/>
      <c r="M1486" s="5"/>
      <c r="N1486" s="5"/>
      <c r="O1486" s="5"/>
      <c r="P1486" s="5"/>
      <c r="Q1486" s="5"/>
      <c r="R1486" s="5"/>
      <c r="S1486" s="5"/>
      <c r="T1486" s="5"/>
      <c r="U1486" s="5">
        <v>16000</v>
      </c>
      <c r="V1486" s="6">
        <v>39843</v>
      </c>
      <c r="W1486" s="5" t="s">
        <v>31</v>
      </c>
      <c r="X1486" s="5" t="s">
        <v>7251</v>
      </c>
    </row>
    <row r="1487" spans="1:24" ht="27.95" x14ac:dyDescent="0.3">
      <c r="A1487" s="3">
        <v>1481</v>
      </c>
      <c r="B1487" s="3" t="str">
        <f>"1145963"</f>
        <v>1145963</v>
      </c>
      <c r="C1487" s="3" t="str">
        <f>"1277"</f>
        <v>1277</v>
      </c>
      <c r="D1487" s="3">
        <v>962140</v>
      </c>
      <c r="E1487" s="3">
        <v>20114204944</v>
      </c>
      <c r="F1487" s="3" t="s">
        <v>7252</v>
      </c>
      <c r="G1487" s="3" t="s">
        <v>7253</v>
      </c>
      <c r="H1487" s="3" t="s">
        <v>285</v>
      </c>
      <c r="I1487" s="3" t="s">
        <v>286</v>
      </c>
      <c r="J1487" s="3" t="s">
        <v>470</v>
      </c>
      <c r="K1487" s="3" t="s">
        <v>7254</v>
      </c>
      <c r="L1487" s="3"/>
      <c r="M1487" s="3"/>
      <c r="N1487" s="3"/>
      <c r="O1487" s="3"/>
      <c r="P1487" s="3"/>
      <c r="Q1487" s="3"/>
      <c r="R1487" s="3"/>
      <c r="S1487" s="3"/>
      <c r="T1487" s="3"/>
      <c r="U1487" s="3">
        <v>33000</v>
      </c>
      <c r="V1487" s="4">
        <v>35697</v>
      </c>
      <c r="W1487" s="3" t="s">
        <v>31</v>
      </c>
      <c r="X1487" s="3" t="s">
        <v>7255</v>
      </c>
    </row>
    <row r="1488" spans="1:24" x14ac:dyDescent="0.3">
      <c r="A1488" s="5">
        <v>1482</v>
      </c>
      <c r="B1488" s="5" t="str">
        <f>"1443074"</f>
        <v>1443074</v>
      </c>
      <c r="C1488" s="5" t="str">
        <f>"89549"</f>
        <v>89549</v>
      </c>
      <c r="D1488" s="5" t="s">
        <v>7256</v>
      </c>
      <c r="E1488" s="5">
        <v>20430928717</v>
      </c>
      <c r="F1488" s="5" t="s">
        <v>7257</v>
      </c>
      <c r="G1488" s="5" t="s">
        <v>7258</v>
      </c>
      <c r="H1488" s="5" t="s">
        <v>28</v>
      </c>
      <c r="I1488" s="5" t="s">
        <v>28</v>
      </c>
      <c r="J1488" s="5" t="s">
        <v>29</v>
      </c>
      <c r="K1488" s="5" t="s">
        <v>7259</v>
      </c>
      <c r="L1488" s="5"/>
      <c r="M1488" s="5"/>
      <c r="N1488" s="5"/>
      <c r="O1488" s="5"/>
      <c r="P1488" s="5"/>
      <c r="Q1488" s="5"/>
      <c r="R1488" s="5"/>
      <c r="S1488" s="5"/>
      <c r="T1488" s="5"/>
      <c r="U1488" s="5">
        <v>5000</v>
      </c>
      <c r="V1488" s="6">
        <v>40506</v>
      </c>
      <c r="W1488" s="5" t="s">
        <v>31</v>
      </c>
      <c r="X1488" s="5" t="s">
        <v>7260</v>
      </c>
    </row>
    <row r="1489" spans="1:24" x14ac:dyDescent="0.3">
      <c r="A1489" s="3">
        <v>1483</v>
      </c>
      <c r="B1489" s="3" t="str">
        <f>"1579731"</f>
        <v>1579731</v>
      </c>
      <c r="C1489" s="3" t="str">
        <f>"42238"</f>
        <v>42238</v>
      </c>
      <c r="D1489" s="3" t="s">
        <v>7261</v>
      </c>
      <c r="E1489" s="3">
        <v>20131173734</v>
      </c>
      <c r="F1489" s="3" t="s">
        <v>7262</v>
      </c>
      <c r="G1489" s="3" t="s">
        <v>7263</v>
      </c>
      <c r="H1489" s="3" t="s">
        <v>28</v>
      </c>
      <c r="I1489" s="3" t="s">
        <v>667</v>
      </c>
      <c r="J1489" s="3" t="s">
        <v>1340</v>
      </c>
      <c r="K1489" s="3" t="s">
        <v>421</v>
      </c>
      <c r="L1489" s="3"/>
      <c r="M1489" s="3"/>
      <c r="N1489" s="3"/>
      <c r="O1489" s="3"/>
      <c r="P1489" s="3"/>
      <c r="Q1489" s="3"/>
      <c r="R1489" s="3"/>
      <c r="S1489" s="3"/>
      <c r="T1489" s="3"/>
      <c r="U1489" s="3">
        <v>5000</v>
      </c>
      <c r="V1489" s="4">
        <v>38722</v>
      </c>
      <c r="W1489" s="3" t="s">
        <v>31</v>
      </c>
      <c r="X1489" s="3" t="s">
        <v>7264</v>
      </c>
    </row>
    <row r="1490" spans="1:24" x14ac:dyDescent="0.3">
      <c r="A1490" s="5">
        <v>1484</v>
      </c>
      <c r="B1490" s="5" t="str">
        <f>"201800132862"</f>
        <v>201800132862</v>
      </c>
      <c r="C1490" s="5" t="str">
        <f>"14611"</f>
        <v>14611</v>
      </c>
      <c r="D1490" s="5" t="s">
        <v>7265</v>
      </c>
      <c r="E1490" s="5">
        <v>20259880603</v>
      </c>
      <c r="F1490" s="5" t="s">
        <v>7266</v>
      </c>
      <c r="G1490" s="5" t="s">
        <v>7267</v>
      </c>
      <c r="H1490" s="5" t="s">
        <v>115</v>
      </c>
      <c r="I1490" s="5" t="s">
        <v>115</v>
      </c>
      <c r="J1490" s="5" t="s">
        <v>159</v>
      </c>
      <c r="K1490" s="5" t="s">
        <v>2309</v>
      </c>
      <c r="L1490" s="5" t="s">
        <v>7268</v>
      </c>
      <c r="M1490" s="5"/>
      <c r="N1490" s="5"/>
      <c r="O1490" s="5"/>
      <c r="P1490" s="5"/>
      <c r="Q1490" s="5"/>
      <c r="R1490" s="5"/>
      <c r="S1490" s="5"/>
      <c r="T1490" s="5"/>
      <c r="U1490" s="5">
        <v>13900</v>
      </c>
      <c r="V1490" s="6">
        <v>43326</v>
      </c>
      <c r="W1490" s="5" t="s">
        <v>31</v>
      </c>
      <c r="X1490" s="5" t="s">
        <v>7269</v>
      </c>
    </row>
    <row r="1491" spans="1:24" x14ac:dyDescent="0.3">
      <c r="A1491" s="3">
        <v>1485</v>
      </c>
      <c r="B1491" s="3" t="str">
        <f>"202000119743"</f>
        <v>202000119743</v>
      </c>
      <c r="C1491" s="3" t="str">
        <f>"44853"</f>
        <v>44853</v>
      </c>
      <c r="D1491" s="3" t="s">
        <v>7270</v>
      </c>
      <c r="E1491" s="3">
        <v>20103744211</v>
      </c>
      <c r="F1491" s="3" t="s">
        <v>7271</v>
      </c>
      <c r="G1491" s="3" t="s">
        <v>7272</v>
      </c>
      <c r="H1491" s="3" t="s">
        <v>80</v>
      </c>
      <c r="I1491" s="3" t="s">
        <v>302</v>
      </c>
      <c r="J1491" s="3" t="s">
        <v>3408</v>
      </c>
      <c r="K1491" s="3" t="s">
        <v>734</v>
      </c>
      <c r="L1491" s="3"/>
      <c r="M1491" s="3"/>
      <c r="N1491" s="3"/>
      <c r="O1491" s="3"/>
      <c r="P1491" s="3"/>
      <c r="Q1491" s="3"/>
      <c r="R1491" s="3"/>
      <c r="S1491" s="3"/>
      <c r="T1491" s="3"/>
      <c r="U1491" s="3">
        <v>7000</v>
      </c>
      <c r="V1491" s="4">
        <v>44089</v>
      </c>
      <c r="W1491" s="3" t="s">
        <v>31</v>
      </c>
      <c r="X1491" s="3" t="s">
        <v>7273</v>
      </c>
    </row>
    <row r="1492" spans="1:24" ht="27.95" x14ac:dyDescent="0.3">
      <c r="A1492" s="5">
        <v>1486</v>
      </c>
      <c r="B1492" s="5" t="str">
        <f>"201900147366"</f>
        <v>201900147366</v>
      </c>
      <c r="C1492" s="5" t="str">
        <f>"139681"</f>
        <v>139681</v>
      </c>
      <c r="D1492" s="5" t="s">
        <v>7274</v>
      </c>
      <c r="E1492" s="5">
        <v>20563472244</v>
      </c>
      <c r="F1492" s="5" t="s">
        <v>7275</v>
      </c>
      <c r="G1492" s="5" t="s">
        <v>7276</v>
      </c>
      <c r="H1492" s="5" t="s">
        <v>28</v>
      </c>
      <c r="I1492" s="5" t="s">
        <v>28</v>
      </c>
      <c r="J1492" s="5" t="s">
        <v>91</v>
      </c>
      <c r="K1492" s="5" t="s">
        <v>756</v>
      </c>
      <c r="L1492" s="5"/>
      <c r="M1492" s="5"/>
      <c r="N1492" s="5"/>
      <c r="O1492" s="5"/>
      <c r="P1492" s="5"/>
      <c r="Q1492" s="5"/>
      <c r="R1492" s="5"/>
      <c r="S1492" s="5"/>
      <c r="T1492" s="5"/>
      <c r="U1492" s="5">
        <v>6500</v>
      </c>
      <c r="V1492" s="6">
        <v>43719</v>
      </c>
      <c r="W1492" s="5" t="s">
        <v>31</v>
      </c>
      <c r="X1492" s="5" t="s">
        <v>7277</v>
      </c>
    </row>
    <row r="1493" spans="1:24" x14ac:dyDescent="0.3">
      <c r="A1493" s="3">
        <v>1487</v>
      </c>
      <c r="B1493" s="3" t="str">
        <f>"1509854"</f>
        <v>1509854</v>
      </c>
      <c r="C1493" s="3" t="str">
        <f>"94461"</f>
        <v>94461</v>
      </c>
      <c r="D1493" s="3" t="s">
        <v>7278</v>
      </c>
      <c r="E1493" s="3">
        <v>20510625235</v>
      </c>
      <c r="F1493" s="3" t="s">
        <v>4305</v>
      </c>
      <c r="G1493" s="3" t="s">
        <v>7279</v>
      </c>
      <c r="H1493" s="3" t="s">
        <v>214</v>
      </c>
      <c r="I1493" s="3" t="s">
        <v>1668</v>
      </c>
      <c r="J1493" s="3" t="s">
        <v>1669</v>
      </c>
      <c r="K1493" s="3" t="s">
        <v>2772</v>
      </c>
      <c r="L1493" s="3"/>
      <c r="M1493" s="3"/>
      <c r="N1493" s="3"/>
      <c r="O1493" s="3"/>
      <c r="P1493" s="3"/>
      <c r="Q1493" s="3"/>
      <c r="R1493" s="3"/>
      <c r="S1493" s="3"/>
      <c r="T1493" s="3"/>
      <c r="U1493" s="3">
        <v>20000</v>
      </c>
      <c r="V1493" s="4">
        <v>40844</v>
      </c>
      <c r="W1493" s="3" t="s">
        <v>31</v>
      </c>
      <c r="X1493" s="3" t="s">
        <v>7280</v>
      </c>
    </row>
    <row r="1494" spans="1:24" ht="27.95" x14ac:dyDescent="0.3">
      <c r="A1494" s="5">
        <v>1488</v>
      </c>
      <c r="B1494" s="5" t="str">
        <f>"201900195649"</f>
        <v>201900195649</v>
      </c>
      <c r="C1494" s="5" t="str">
        <f>"147988"</f>
        <v>147988</v>
      </c>
      <c r="D1494" s="5" t="s">
        <v>7281</v>
      </c>
      <c r="E1494" s="5">
        <v>20132272418</v>
      </c>
      <c r="F1494" s="5" t="s">
        <v>7282</v>
      </c>
      <c r="G1494" s="5" t="s">
        <v>7283</v>
      </c>
      <c r="H1494" s="5" t="s">
        <v>36</v>
      </c>
      <c r="I1494" s="5" t="s">
        <v>234</v>
      </c>
      <c r="J1494" s="5" t="s">
        <v>234</v>
      </c>
      <c r="K1494" s="5" t="s">
        <v>181</v>
      </c>
      <c r="L1494" s="5"/>
      <c r="M1494" s="5"/>
      <c r="N1494" s="5"/>
      <c r="O1494" s="5"/>
      <c r="P1494" s="5"/>
      <c r="Q1494" s="5"/>
      <c r="R1494" s="5"/>
      <c r="S1494" s="5"/>
      <c r="T1494" s="5"/>
      <c r="U1494" s="5">
        <v>5000</v>
      </c>
      <c r="V1494" s="6">
        <v>43802</v>
      </c>
      <c r="W1494" s="5" t="s">
        <v>31</v>
      </c>
      <c r="X1494" s="5" t="s">
        <v>7284</v>
      </c>
    </row>
    <row r="1495" spans="1:24" x14ac:dyDescent="0.3">
      <c r="A1495" s="3">
        <v>1489</v>
      </c>
      <c r="B1495" s="3" t="str">
        <f>"1117335"</f>
        <v>1117335</v>
      </c>
      <c r="C1495" s="3" t="str">
        <f>"957"</f>
        <v>957</v>
      </c>
      <c r="D1495" s="3">
        <v>1037655</v>
      </c>
      <c r="E1495" s="3">
        <v>20144442629</v>
      </c>
      <c r="F1495" s="3" t="s">
        <v>7285</v>
      </c>
      <c r="G1495" s="3" t="s">
        <v>7286</v>
      </c>
      <c r="H1495" s="3" t="s">
        <v>28</v>
      </c>
      <c r="I1495" s="3" t="s">
        <v>28</v>
      </c>
      <c r="J1495" s="3" t="s">
        <v>202</v>
      </c>
      <c r="K1495" s="3" t="s">
        <v>7287</v>
      </c>
      <c r="L1495" s="3" t="s">
        <v>7288</v>
      </c>
      <c r="M1495" s="3" t="s">
        <v>7289</v>
      </c>
      <c r="N1495" s="3"/>
      <c r="O1495" s="3"/>
      <c r="P1495" s="3"/>
      <c r="Q1495" s="3"/>
      <c r="R1495" s="3"/>
      <c r="S1495" s="3"/>
      <c r="T1495" s="3"/>
      <c r="U1495" s="3">
        <v>4520</v>
      </c>
      <c r="V1495" s="4">
        <v>35562</v>
      </c>
      <c r="W1495" s="3" t="s">
        <v>31</v>
      </c>
      <c r="X1495" s="3" t="s">
        <v>7290</v>
      </c>
    </row>
    <row r="1496" spans="1:24" x14ac:dyDescent="0.3">
      <c r="A1496" s="5">
        <v>1490</v>
      </c>
      <c r="B1496" s="5" t="str">
        <f>"1116671"</f>
        <v>1116671</v>
      </c>
      <c r="C1496" s="5" t="str">
        <f>"1564"</f>
        <v>1564</v>
      </c>
      <c r="D1496" s="5">
        <v>1001824</v>
      </c>
      <c r="E1496" s="5">
        <v>20101362702</v>
      </c>
      <c r="F1496" s="5" t="s">
        <v>7291</v>
      </c>
      <c r="G1496" s="5" t="s">
        <v>7292</v>
      </c>
      <c r="H1496" s="5" t="s">
        <v>28</v>
      </c>
      <c r="I1496" s="5" t="s">
        <v>28</v>
      </c>
      <c r="J1496" s="5" t="s">
        <v>545</v>
      </c>
      <c r="K1496" s="5" t="s">
        <v>421</v>
      </c>
      <c r="L1496" s="5"/>
      <c r="M1496" s="5"/>
      <c r="N1496" s="5"/>
      <c r="O1496" s="5"/>
      <c r="P1496" s="5"/>
      <c r="Q1496" s="5"/>
      <c r="R1496" s="5"/>
      <c r="S1496" s="5"/>
      <c r="T1496" s="5"/>
      <c r="U1496" s="5">
        <v>5000</v>
      </c>
      <c r="V1496" s="6">
        <v>35535</v>
      </c>
      <c r="W1496" s="5" t="s">
        <v>31</v>
      </c>
      <c r="X1496" s="5" t="s">
        <v>7293</v>
      </c>
    </row>
    <row r="1497" spans="1:24" x14ac:dyDescent="0.3">
      <c r="A1497" s="3">
        <v>1491</v>
      </c>
      <c r="B1497" s="3" t="str">
        <f>"1117334"</f>
        <v>1117334</v>
      </c>
      <c r="C1497" s="3" t="str">
        <f>"774"</f>
        <v>774</v>
      </c>
      <c r="D1497" s="3">
        <v>1010421</v>
      </c>
      <c r="E1497" s="3">
        <v>20100028779</v>
      </c>
      <c r="F1497" s="3" t="s">
        <v>7294</v>
      </c>
      <c r="G1497" s="3" t="s">
        <v>7295</v>
      </c>
      <c r="H1497" s="3" t="s">
        <v>28</v>
      </c>
      <c r="I1497" s="3" t="s">
        <v>28</v>
      </c>
      <c r="J1497" s="3" t="s">
        <v>28</v>
      </c>
      <c r="K1497" s="3" t="s">
        <v>7296</v>
      </c>
      <c r="L1497" s="3" t="s">
        <v>7297</v>
      </c>
      <c r="M1497" s="3" t="s">
        <v>421</v>
      </c>
      <c r="N1497" s="3"/>
      <c r="O1497" s="3"/>
      <c r="P1497" s="3"/>
      <c r="Q1497" s="3"/>
      <c r="R1497" s="3"/>
      <c r="S1497" s="3"/>
      <c r="T1497" s="3"/>
      <c r="U1497" s="3">
        <v>13980</v>
      </c>
      <c r="V1497" s="4">
        <v>35562</v>
      </c>
      <c r="W1497" s="3" t="s">
        <v>31</v>
      </c>
      <c r="X1497" s="3" t="s">
        <v>7298</v>
      </c>
    </row>
    <row r="1498" spans="1:24" x14ac:dyDescent="0.3">
      <c r="A1498" s="5">
        <v>1492</v>
      </c>
      <c r="B1498" s="5" t="str">
        <f>"201300139549"</f>
        <v>201300139549</v>
      </c>
      <c r="C1498" s="5" t="str">
        <f>"98738"</f>
        <v>98738</v>
      </c>
      <c r="D1498" s="5" t="s">
        <v>7299</v>
      </c>
      <c r="E1498" s="5">
        <v>20100028698</v>
      </c>
      <c r="F1498" s="5" t="s">
        <v>7300</v>
      </c>
      <c r="G1498" s="5" t="s">
        <v>7301</v>
      </c>
      <c r="H1498" s="5" t="s">
        <v>28</v>
      </c>
      <c r="I1498" s="5" t="s">
        <v>28</v>
      </c>
      <c r="J1498" s="5" t="s">
        <v>28</v>
      </c>
      <c r="K1498" s="5" t="s">
        <v>2150</v>
      </c>
      <c r="L1498" s="5"/>
      <c r="M1498" s="5"/>
      <c r="N1498" s="5"/>
      <c r="O1498" s="5"/>
      <c r="P1498" s="5"/>
      <c r="Q1498" s="5"/>
      <c r="R1498" s="5"/>
      <c r="S1498" s="5"/>
      <c r="T1498" s="5"/>
      <c r="U1498" s="5">
        <v>10200</v>
      </c>
      <c r="V1498" s="6">
        <v>41550</v>
      </c>
      <c r="W1498" s="5" t="s">
        <v>31</v>
      </c>
      <c r="X1498" s="5"/>
    </row>
    <row r="1499" spans="1:24" ht="41.95" x14ac:dyDescent="0.3">
      <c r="A1499" s="3">
        <v>1493</v>
      </c>
      <c r="B1499" s="3" t="str">
        <f>"202000006478"</f>
        <v>202000006478</v>
      </c>
      <c r="C1499" s="3" t="str">
        <f>"135319"</f>
        <v>135319</v>
      </c>
      <c r="D1499" s="3" t="s">
        <v>7302</v>
      </c>
      <c r="E1499" s="3">
        <v>20100028698</v>
      </c>
      <c r="F1499" s="3" t="s">
        <v>7300</v>
      </c>
      <c r="G1499" s="3" t="s">
        <v>7303</v>
      </c>
      <c r="H1499" s="3" t="s">
        <v>51</v>
      </c>
      <c r="I1499" s="3" t="s">
        <v>51</v>
      </c>
      <c r="J1499" s="3" t="s">
        <v>2149</v>
      </c>
      <c r="K1499" s="3" t="s">
        <v>181</v>
      </c>
      <c r="L1499" s="3"/>
      <c r="M1499" s="3"/>
      <c r="N1499" s="3"/>
      <c r="O1499" s="3"/>
      <c r="P1499" s="3"/>
      <c r="Q1499" s="3"/>
      <c r="R1499" s="3"/>
      <c r="S1499" s="3"/>
      <c r="T1499" s="3"/>
      <c r="U1499" s="3">
        <v>5000</v>
      </c>
      <c r="V1499" s="4">
        <v>43846</v>
      </c>
      <c r="W1499" s="3" t="s">
        <v>31</v>
      </c>
      <c r="X1499" s="3" t="s">
        <v>7304</v>
      </c>
    </row>
    <row r="1500" spans="1:24" ht="27.95" x14ac:dyDescent="0.3">
      <c r="A1500" s="5">
        <v>1494</v>
      </c>
      <c r="B1500" s="5" t="str">
        <f>"201900017051"</f>
        <v>201900017051</v>
      </c>
      <c r="C1500" s="5" t="str">
        <f>"39604"</f>
        <v>39604</v>
      </c>
      <c r="D1500" s="5" t="s">
        <v>7305</v>
      </c>
      <c r="E1500" s="5">
        <v>20512868046</v>
      </c>
      <c r="F1500" s="5" t="s">
        <v>1455</v>
      </c>
      <c r="G1500" s="5" t="s">
        <v>7306</v>
      </c>
      <c r="H1500" s="5" t="s">
        <v>51</v>
      </c>
      <c r="I1500" s="5" t="s">
        <v>2038</v>
      </c>
      <c r="J1500" s="5" t="s">
        <v>2039</v>
      </c>
      <c r="K1500" s="5" t="s">
        <v>7307</v>
      </c>
      <c r="L1500" s="5" t="s">
        <v>7308</v>
      </c>
      <c r="M1500" s="5"/>
      <c r="N1500" s="5"/>
      <c r="O1500" s="5"/>
      <c r="P1500" s="5"/>
      <c r="Q1500" s="5"/>
      <c r="R1500" s="5"/>
      <c r="S1500" s="5"/>
      <c r="T1500" s="5"/>
      <c r="U1500" s="5">
        <v>428586</v>
      </c>
      <c r="V1500" s="6">
        <v>43501</v>
      </c>
      <c r="W1500" s="5" t="s">
        <v>31</v>
      </c>
      <c r="X1500" s="5" t="s">
        <v>1461</v>
      </c>
    </row>
    <row r="1501" spans="1:24" ht="27.95" x14ac:dyDescent="0.3">
      <c r="A1501" s="3">
        <v>1495</v>
      </c>
      <c r="B1501" s="3" t="str">
        <f>"202000091749"</f>
        <v>202000091749</v>
      </c>
      <c r="C1501" s="3" t="str">
        <f>"113684"</f>
        <v>113684</v>
      </c>
      <c r="D1501" s="3" t="s">
        <v>7309</v>
      </c>
      <c r="E1501" s="3">
        <v>20102890508</v>
      </c>
      <c r="F1501" s="3" t="s">
        <v>3381</v>
      </c>
      <c r="G1501" s="3" t="s">
        <v>7310</v>
      </c>
      <c r="H1501" s="3" t="s">
        <v>80</v>
      </c>
      <c r="I1501" s="3" t="s">
        <v>80</v>
      </c>
      <c r="J1501" s="3" t="s">
        <v>80</v>
      </c>
      <c r="K1501" s="3" t="s">
        <v>168</v>
      </c>
      <c r="L1501" s="3"/>
      <c r="M1501" s="3"/>
      <c r="N1501" s="3"/>
      <c r="O1501" s="3"/>
      <c r="P1501" s="3"/>
      <c r="Q1501" s="3"/>
      <c r="R1501" s="3"/>
      <c r="S1501" s="3"/>
      <c r="T1501" s="3"/>
      <c r="U1501" s="3">
        <v>10000</v>
      </c>
      <c r="V1501" s="4">
        <v>44041</v>
      </c>
      <c r="W1501" s="3" t="s">
        <v>31</v>
      </c>
      <c r="X1501" s="3" t="s">
        <v>7311</v>
      </c>
    </row>
    <row r="1502" spans="1:24" ht="27.95" x14ac:dyDescent="0.3">
      <c r="A1502" s="5">
        <v>1496</v>
      </c>
      <c r="B1502" s="5" t="str">
        <f>"1396021"</f>
        <v>1396021</v>
      </c>
      <c r="C1502" s="5" t="str">
        <f>"40647"</f>
        <v>40647</v>
      </c>
      <c r="D1502" s="5" t="s">
        <v>7312</v>
      </c>
      <c r="E1502" s="5">
        <v>20272335541</v>
      </c>
      <c r="F1502" s="5" t="s">
        <v>7313</v>
      </c>
      <c r="G1502" s="5" t="s">
        <v>7314</v>
      </c>
      <c r="H1502" s="5" t="s">
        <v>51</v>
      </c>
      <c r="I1502" s="5" t="s">
        <v>51</v>
      </c>
      <c r="J1502" s="5" t="s">
        <v>4697</v>
      </c>
      <c r="K1502" s="5" t="s">
        <v>46</v>
      </c>
      <c r="L1502" s="5"/>
      <c r="M1502" s="5"/>
      <c r="N1502" s="5"/>
      <c r="O1502" s="5"/>
      <c r="P1502" s="5"/>
      <c r="Q1502" s="5"/>
      <c r="R1502" s="5"/>
      <c r="S1502" s="5"/>
      <c r="T1502" s="5"/>
      <c r="U1502" s="5">
        <v>3000</v>
      </c>
      <c r="V1502" s="6">
        <v>37680</v>
      </c>
      <c r="W1502" s="5" t="s">
        <v>31</v>
      </c>
      <c r="X1502" s="5" t="s">
        <v>7315</v>
      </c>
    </row>
    <row r="1503" spans="1:24" ht="41.95" x14ac:dyDescent="0.3">
      <c r="A1503" s="3">
        <v>1497</v>
      </c>
      <c r="B1503" s="3" t="str">
        <f>"201200025483"</f>
        <v>201200025483</v>
      </c>
      <c r="C1503" s="3" t="str">
        <f>"95714"</f>
        <v>95714</v>
      </c>
      <c r="D1503" s="3" t="s">
        <v>7316</v>
      </c>
      <c r="E1503" s="3">
        <v>20509059773</v>
      </c>
      <c r="F1503" s="3" t="s">
        <v>7317</v>
      </c>
      <c r="G1503" s="3" t="s">
        <v>7318</v>
      </c>
      <c r="H1503" s="3" t="s">
        <v>36</v>
      </c>
      <c r="I1503" s="3" t="s">
        <v>37</v>
      </c>
      <c r="J1503" s="3" t="s">
        <v>4710</v>
      </c>
      <c r="K1503" s="3" t="s">
        <v>7319</v>
      </c>
      <c r="L1503" s="3" t="s">
        <v>7320</v>
      </c>
      <c r="M1503" s="3" t="s">
        <v>7321</v>
      </c>
      <c r="N1503" s="3" t="s">
        <v>7322</v>
      </c>
      <c r="O1503" s="3"/>
      <c r="P1503" s="3"/>
      <c r="Q1503" s="3"/>
      <c r="R1503" s="3"/>
      <c r="S1503" s="3"/>
      <c r="T1503" s="3"/>
      <c r="U1503" s="3">
        <v>22987</v>
      </c>
      <c r="V1503" s="4">
        <v>40965</v>
      </c>
      <c r="W1503" s="3" t="s">
        <v>31</v>
      </c>
      <c r="X1503" s="3" t="s">
        <v>7323</v>
      </c>
    </row>
    <row r="1504" spans="1:24" ht="27.95" x14ac:dyDescent="0.3">
      <c r="A1504" s="5">
        <v>1498</v>
      </c>
      <c r="B1504" s="5" t="str">
        <f>"1891661"</f>
        <v>1891661</v>
      </c>
      <c r="C1504" s="5" t="str">
        <f>"39767"</f>
        <v>39767</v>
      </c>
      <c r="D1504" s="5" t="s">
        <v>7324</v>
      </c>
      <c r="E1504" s="5">
        <v>20517630331</v>
      </c>
      <c r="F1504" s="5" t="s">
        <v>7325</v>
      </c>
      <c r="G1504" s="5" t="s">
        <v>7326</v>
      </c>
      <c r="H1504" s="5" t="s">
        <v>921</v>
      </c>
      <c r="I1504" s="5" t="s">
        <v>921</v>
      </c>
      <c r="J1504" s="5" t="s">
        <v>922</v>
      </c>
      <c r="K1504" s="5" t="s">
        <v>7327</v>
      </c>
      <c r="L1504" s="5" t="s">
        <v>3492</v>
      </c>
      <c r="M1504" s="5"/>
      <c r="N1504" s="5"/>
      <c r="O1504" s="5"/>
      <c r="P1504" s="5"/>
      <c r="Q1504" s="5"/>
      <c r="R1504" s="5"/>
      <c r="S1504" s="5"/>
      <c r="T1504" s="5"/>
      <c r="U1504" s="5">
        <v>33000</v>
      </c>
      <c r="V1504" s="6">
        <v>39965</v>
      </c>
      <c r="W1504" s="5" t="s">
        <v>31</v>
      </c>
      <c r="X1504" s="5" t="s">
        <v>7328</v>
      </c>
    </row>
    <row r="1505" spans="1:24" ht="27.95" x14ac:dyDescent="0.3">
      <c r="A1505" s="3">
        <v>1499</v>
      </c>
      <c r="B1505" s="3" t="str">
        <f>"201500034823"</f>
        <v>201500034823</v>
      </c>
      <c r="C1505" s="3" t="str">
        <f>"114493"</f>
        <v>114493</v>
      </c>
      <c r="D1505" s="3" t="s">
        <v>7329</v>
      </c>
      <c r="E1505" s="3">
        <v>20431871808</v>
      </c>
      <c r="F1505" s="3" t="s">
        <v>152</v>
      </c>
      <c r="G1505" s="3" t="s">
        <v>7330</v>
      </c>
      <c r="H1505" s="3" t="s">
        <v>214</v>
      </c>
      <c r="I1505" s="3" t="s">
        <v>214</v>
      </c>
      <c r="J1505" s="3" t="s">
        <v>214</v>
      </c>
      <c r="K1505" s="3" t="s">
        <v>168</v>
      </c>
      <c r="L1505" s="3" t="s">
        <v>168</v>
      </c>
      <c r="M1505" s="3"/>
      <c r="N1505" s="3"/>
      <c r="O1505" s="3"/>
      <c r="P1505" s="3"/>
      <c r="Q1505" s="3"/>
      <c r="R1505" s="3"/>
      <c r="S1505" s="3"/>
      <c r="T1505" s="3"/>
      <c r="U1505" s="3">
        <v>20000</v>
      </c>
      <c r="V1505" s="4">
        <v>42138</v>
      </c>
      <c r="W1505" s="3" t="s">
        <v>31</v>
      </c>
      <c r="X1505" s="3" t="s">
        <v>7224</v>
      </c>
    </row>
    <row r="1506" spans="1:24" x14ac:dyDescent="0.3">
      <c r="A1506" s="5">
        <v>1500</v>
      </c>
      <c r="B1506" s="5" t="str">
        <f>"1110767"</f>
        <v>1110767</v>
      </c>
      <c r="C1506" s="5" t="str">
        <f>"68"</f>
        <v>68</v>
      </c>
      <c r="D1506" s="5">
        <v>958516</v>
      </c>
      <c r="E1506" s="5">
        <v>20100121710</v>
      </c>
      <c r="F1506" s="5" t="s">
        <v>7331</v>
      </c>
      <c r="G1506" s="5" t="s">
        <v>7332</v>
      </c>
      <c r="H1506" s="5" t="s">
        <v>28</v>
      </c>
      <c r="I1506" s="5" t="s">
        <v>28</v>
      </c>
      <c r="J1506" s="5" t="s">
        <v>4912</v>
      </c>
      <c r="K1506" s="5" t="s">
        <v>7333</v>
      </c>
      <c r="L1506" s="5" t="s">
        <v>7334</v>
      </c>
      <c r="M1506" s="5" t="s">
        <v>7335</v>
      </c>
      <c r="N1506" s="5" t="s">
        <v>7336</v>
      </c>
      <c r="O1506" s="5"/>
      <c r="P1506" s="5"/>
      <c r="Q1506" s="5"/>
      <c r="R1506" s="5"/>
      <c r="S1506" s="5"/>
      <c r="T1506" s="5"/>
      <c r="U1506" s="5">
        <v>63439</v>
      </c>
      <c r="V1506" s="6">
        <v>35513</v>
      </c>
      <c r="W1506" s="5" t="s">
        <v>31</v>
      </c>
      <c r="X1506" s="5" t="s">
        <v>7337</v>
      </c>
    </row>
    <row r="1507" spans="1:24" ht="27.95" x14ac:dyDescent="0.3">
      <c r="A1507" s="3">
        <v>1501</v>
      </c>
      <c r="B1507" s="3" t="str">
        <f>"202000056693"</f>
        <v>202000056693</v>
      </c>
      <c r="C1507" s="3" t="str">
        <f>"131309"</f>
        <v>131309</v>
      </c>
      <c r="D1507" s="3" t="s">
        <v>7338</v>
      </c>
      <c r="E1507" s="3">
        <v>20530044743</v>
      </c>
      <c r="F1507" s="3" t="s">
        <v>7339</v>
      </c>
      <c r="G1507" s="3" t="s">
        <v>7340</v>
      </c>
      <c r="H1507" s="3" t="s">
        <v>80</v>
      </c>
      <c r="I1507" s="3" t="s">
        <v>80</v>
      </c>
      <c r="J1507" s="3" t="s">
        <v>1023</v>
      </c>
      <c r="K1507" s="3" t="s">
        <v>193</v>
      </c>
      <c r="L1507" s="3"/>
      <c r="M1507" s="3"/>
      <c r="N1507" s="3"/>
      <c r="O1507" s="3"/>
      <c r="P1507" s="3"/>
      <c r="Q1507" s="3"/>
      <c r="R1507" s="3"/>
      <c r="S1507" s="3"/>
      <c r="T1507" s="3"/>
      <c r="U1507" s="3">
        <v>2500</v>
      </c>
      <c r="V1507" s="4">
        <v>43967</v>
      </c>
      <c r="W1507" s="3" t="s">
        <v>31</v>
      </c>
      <c r="X1507" s="3" t="s">
        <v>7341</v>
      </c>
    </row>
    <row r="1508" spans="1:24" ht="27.95" x14ac:dyDescent="0.3">
      <c r="A1508" s="5">
        <v>1502</v>
      </c>
      <c r="B1508" s="5" t="str">
        <f>"1637791"</f>
        <v>1637791</v>
      </c>
      <c r="C1508" s="5" t="str">
        <f>"44230"</f>
        <v>44230</v>
      </c>
      <c r="D1508" s="5" t="s">
        <v>7342</v>
      </c>
      <c r="E1508" s="5">
        <v>20175800868</v>
      </c>
      <c r="F1508" s="5" t="s">
        <v>7343</v>
      </c>
      <c r="G1508" s="5" t="s">
        <v>7344</v>
      </c>
      <c r="H1508" s="5" t="s">
        <v>115</v>
      </c>
      <c r="I1508" s="5" t="s">
        <v>115</v>
      </c>
      <c r="J1508" s="5" t="s">
        <v>159</v>
      </c>
      <c r="K1508" s="5" t="s">
        <v>7345</v>
      </c>
      <c r="L1508" s="5"/>
      <c r="M1508" s="5"/>
      <c r="N1508" s="5"/>
      <c r="O1508" s="5"/>
      <c r="P1508" s="5"/>
      <c r="Q1508" s="5"/>
      <c r="R1508" s="5"/>
      <c r="S1508" s="5"/>
      <c r="T1508" s="5"/>
      <c r="U1508" s="5">
        <v>3670</v>
      </c>
      <c r="V1508" s="6">
        <v>39001</v>
      </c>
      <c r="W1508" s="5" t="s">
        <v>31</v>
      </c>
      <c r="X1508" s="5" t="s">
        <v>7346</v>
      </c>
    </row>
    <row r="1509" spans="1:24" ht="27.95" x14ac:dyDescent="0.3">
      <c r="A1509" s="3">
        <v>1503</v>
      </c>
      <c r="B1509" s="3" t="str">
        <f>"1513157"</f>
        <v>1513157</v>
      </c>
      <c r="C1509" s="3" t="str">
        <f>"94449"</f>
        <v>94449</v>
      </c>
      <c r="D1509" s="3" t="s">
        <v>7347</v>
      </c>
      <c r="E1509" s="3">
        <v>20514807591</v>
      </c>
      <c r="F1509" s="3" t="s">
        <v>7348</v>
      </c>
      <c r="G1509" s="3" t="s">
        <v>7349</v>
      </c>
      <c r="H1509" s="3" t="s">
        <v>28</v>
      </c>
      <c r="I1509" s="3" t="s">
        <v>28</v>
      </c>
      <c r="J1509" s="3" t="s">
        <v>409</v>
      </c>
      <c r="K1509" s="3" t="s">
        <v>7350</v>
      </c>
      <c r="L1509" s="3" t="s">
        <v>7350</v>
      </c>
      <c r="M1509" s="3" t="s">
        <v>7350</v>
      </c>
      <c r="N1509" s="3"/>
      <c r="O1509" s="3"/>
      <c r="P1509" s="3"/>
      <c r="Q1509" s="3"/>
      <c r="R1509" s="3"/>
      <c r="S1509" s="3"/>
      <c r="T1509" s="3"/>
      <c r="U1509" s="3">
        <v>3300</v>
      </c>
      <c r="V1509" s="4">
        <v>40868</v>
      </c>
      <c r="W1509" s="3" t="s">
        <v>31</v>
      </c>
      <c r="X1509" s="3" t="s">
        <v>2346</v>
      </c>
    </row>
    <row r="1510" spans="1:24" x14ac:dyDescent="0.3">
      <c r="A1510" s="5">
        <v>1504</v>
      </c>
      <c r="B1510" s="5" t="str">
        <f>"1266372"</f>
        <v>1266372</v>
      </c>
      <c r="C1510" s="5" t="str">
        <f>"18230"</f>
        <v>18230</v>
      </c>
      <c r="D1510" s="5">
        <v>1266372</v>
      </c>
      <c r="E1510" s="5">
        <v>20125918884</v>
      </c>
      <c r="F1510" s="5" t="s">
        <v>7351</v>
      </c>
      <c r="G1510" s="5" t="s">
        <v>7352</v>
      </c>
      <c r="H1510" s="5" t="s">
        <v>28</v>
      </c>
      <c r="I1510" s="5" t="s">
        <v>28</v>
      </c>
      <c r="J1510" s="5" t="s">
        <v>501</v>
      </c>
      <c r="K1510" s="5" t="s">
        <v>857</v>
      </c>
      <c r="L1510" s="5"/>
      <c r="M1510" s="5"/>
      <c r="N1510" s="5"/>
      <c r="O1510" s="5"/>
      <c r="P1510" s="5"/>
      <c r="Q1510" s="5"/>
      <c r="R1510" s="5"/>
      <c r="S1510" s="5"/>
      <c r="T1510" s="5"/>
      <c r="U1510" s="5">
        <v>4500</v>
      </c>
      <c r="V1510" s="6">
        <v>36538</v>
      </c>
      <c r="W1510" s="5" t="s">
        <v>31</v>
      </c>
      <c r="X1510" s="5" t="s">
        <v>7353</v>
      </c>
    </row>
    <row r="1511" spans="1:24" ht="27.95" x14ac:dyDescent="0.3">
      <c r="A1511" s="3">
        <v>1505</v>
      </c>
      <c r="B1511" s="3" t="str">
        <f>"201500077816"</f>
        <v>201500077816</v>
      </c>
      <c r="C1511" s="3" t="str">
        <f>"115935"</f>
        <v>115935</v>
      </c>
      <c r="D1511" s="3" t="s">
        <v>7354</v>
      </c>
      <c r="E1511" s="3">
        <v>20170072465</v>
      </c>
      <c r="F1511" s="3" t="s">
        <v>7355</v>
      </c>
      <c r="G1511" s="3" t="s">
        <v>7356</v>
      </c>
      <c r="H1511" s="3" t="s">
        <v>264</v>
      </c>
      <c r="I1511" s="3" t="s">
        <v>265</v>
      </c>
      <c r="J1511" s="3" t="s">
        <v>5765</v>
      </c>
      <c r="K1511" s="3" t="s">
        <v>7357</v>
      </c>
      <c r="L1511" s="3" t="s">
        <v>7357</v>
      </c>
      <c r="M1511" s="3"/>
      <c r="N1511" s="3"/>
      <c r="O1511" s="3"/>
      <c r="P1511" s="3"/>
      <c r="Q1511" s="3"/>
      <c r="R1511" s="3"/>
      <c r="S1511" s="3"/>
      <c r="T1511" s="3"/>
      <c r="U1511" s="3">
        <v>3302150</v>
      </c>
      <c r="V1511" s="4">
        <v>42172</v>
      </c>
      <c r="W1511" s="3" t="s">
        <v>31</v>
      </c>
      <c r="X1511" s="3" t="s">
        <v>7358</v>
      </c>
    </row>
    <row r="1512" spans="1:24" ht="27.95" x14ac:dyDescent="0.3">
      <c r="A1512" s="5">
        <v>1506</v>
      </c>
      <c r="B1512" s="5" t="str">
        <f>"1390547"</f>
        <v>1390547</v>
      </c>
      <c r="C1512" s="5" t="str">
        <f>"99"</f>
        <v>99</v>
      </c>
      <c r="D1512" s="5" t="s">
        <v>7359</v>
      </c>
      <c r="E1512" s="5">
        <v>20133530003</v>
      </c>
      <c r="F1512" s="5" t="s">
        <v>457</v>
      </c>
      <c r="G1512" s="5" t="s">
        <v>7360</v>
      </c>
      <c r="H1512" s="5" t="s">
        <v>135</v>
      </c>
      <c r="I1512" s="5" t="s">
        <v>943</v>
      </c>
      <c r="J1512" s="5" t="s">
        <v>943</v>
      </c>
      <c r="K1512" s="5" t="s">
        <v>1368</v>
      </c>
      <c r="L1512" s="5"/>
      <c r="M1512" s="5"/>
      <c r="N1512" s="5"/>
      <c r="O1512" s="5"/>
      <c r="P1512" s="5"/>
      <c r="Q1512" s="5"/>
      <c r="R1512" s="5"/>
      <c r="S1512" s="5"/>
      <c r="T1512" s="5"/>
      <c r="U1512" s="5">
        <v>50000</v>
      </c>
      <c r="V1512" s="6">
        <v>37586</v>
      </c>
      <c r="W1512" s="5" t="s">
        <v>31</v>
      </c>
      <c r="X1512" s="5" t="s">
        <v>461</v>
      </c>
    </row>
    <row r="1513" spans="1:24" ht="27.95" x14ac:dyDescent="0.3">
      <c r="A1513" s="3">
        <v>1507</v>
      </c>
      <c r="B1513" s="3" t="str">
        <f>"201900094146"</f>
        <v>201900094146</v>
      </c>
      <c r="C1513" s="3" t="str">
        <f>"122154"</f>
        <v>122154</v>
      </c>
      <c r="D1513" s="3" t="s">
        <v>7361</v>
      </c>
      <c r="E1513" s="3">
        <v>20115039262</v>
      </c>
      <c r="F1513" s="3" t="s">
        <v>7362</v>
      </c>
      <c r="G1513" s="3" t="s">
        <v>7363</v>
      </c>
      <c r="H1513" s="3" t="s">
        <v>550</v>
      </c>
      <c r="I1513" s="3" t="s">
        <v>2649</v>
      </c>
      <c r="J1513" s="3" t="s">
        <v>7098</v>
      </c>
      <c r="K1513" s="3" t="s">
        <v>7364</v>
      </c>
      <c r="L1513" s="3" t="s">
        <v>3181</v>
      </c>
      <c r="M1513" s="3" t="s">
        <v>181</v>
      </c>
      <c r="N1513" s="3" t="s">
        <v>110</v>
      </c>
      <c r="O1513" s="3"/>
      <c r="P1513" s="3"/>
      <c r="Q1513" s="3"/>
      <c r="R1513" s="3"/>
      <c r="S1513" s="3"/>
      <c r="T1513" s="3"/>
      <c r="U1513" s="3">
        <v>36400</v>
      </c>
      <c r="V1513" s="4">
        <v>43629</v>
      </c>
      <c r="W1513" s="3" t="s">
        <v>31</v>
      </c>
      <c r="X1513" s="3" t="s">
        <v>7101</v>
      </c>
    </row>
    <row r="1514" spans="1:24" ht="27.95" x14ac:dyDescent="0.3">
      <c r="A1514" s="5">
        <v>1508</v>
      </c>
      <c r="B1514" s="5" t="str">
        <f>"201600121121"</f>
        <v>201600121121</v>
      </c>
      <c r="C1514" s="5" t="str">
        <f>"21068"</f>
        <v>21068</v>
      </c>
      <c r="D1514" s="5" t="s">
        <v>7365</v>
      </c>
      <c r="E1514" s="5">
        <v>20137291313</v>
      </c>
      <c r="F1514" s="5" t="s">
        <v>2013</v>
      </c>
      <c r="G1514" s="5" t="s">
        <v>7366</v>
      </c>
      <c r="H1514" s="5" t="s">
        <v>978</v>
      </c>
      <c r="I1514" s="5" t="s">
        <v>978</v>
      </c>
      <c r="J1514" s="5" t="s">
        <v>2015</v>
      </c>
      <c r="K1514" s="5" t="s">
        <v>7367</v>
      </c>
      <c r="L1514" s="5" t="s">
        <v>7368</v>
      </c>
      <c r="M1514" s="5" t="s">
        <v>7369</v>
      </c>
      <c r="N1514" s="5"/>
      <c r="O1514" s="5"/>
      <c r="P1514" s="5"/>
      <c r="Q1514" s="5"/>
      <c r="R1514" s="5"/>
      <c r="S1514" s="5"/>
      <c r="T1514" s="5"/>
      <c r="U1514" s="5">
        <v>229000</v>
      </c>
      <c r="V1514" s="6">
        <v>42606</v>
      </c>
      <c r="W1514" s="5" t="s">
        <v>31</v>
      </c>
      <c r="X1514" s="5" t="s">
        <v>2157</v>
      </c>
    </row>
    <row r="1515" spans="1:24" ht="27.95" x14ac:dyDescent="0.3">
      <c r="A1515" s="3">
        <v>1509</v>
      </c>
      <c r="B1515" s="3" t="str">
        <f>"201700025674"</f>
        <v>201700025674</v>
      </c>
      <c r="C1515" s="3" t="str">
        <f>"124829"</f>
        <v>124829</v>
      </c>
      <c r="D1515" s="3" t="s">
        <v>7370</v>
      </c>
      <c r="E1515" s="3">
        <v>20527235236</v>
      </c>
      <c r="F1515" s="3" t="s">
        <v>7371</v>
      </c>
      <c r="G1515" s="3" t="s">
        <v>7372</v>
      </c>
      <c r="H1515" s="3" t="s">
        <v>165</v>
      </c>
      <c r="I1515" s="3" t="s">
        <v>166</v>
      </c>
      <c r="J1515" s="3" t="s">
        <v>167</v>
      </c>
      <c r="K1515" s="3" t="s">
        <v>7373</v>
      </c>
      <c r="L1515" s="3" t="s">
        <v>7374</v>
      </c>
      <c r="M1515" s="3"/>
      <c r="N1515" s="3"/>
      <c r="O1515" s="3"/>
      <c r="P1515" s="3"/>
      <c r="Q1515" s="3"/>
      <c r="R1515" s="3"/>
      <c r="S1515" s="3"/>
      <c r="T1515" s="3"/>
      <c r="U1515" s="3">
        <v>7380</v>
      </c>
      <c r="V1515" s="4">
        <v>42788</v>
      </c>
      <c r="W1515" s="3" t="s">
        <v>31</v>
      </c>
      <c r="X1515" s="3" t="s">
        <v>3961</v>
      </c>
    </row>
    <row r="1516" spans="1:24" x14ac:dyDescent="0.3">
      <c r="A1516" s="5">
        <v>1510</v>
      </c>
      <c r="B1516" s="5" t="str">
        <f>"1673939"</f>
        <v>1673939</v>
      </c>
      <c r="C1516" s="5" t="str">
        <f>"34579"</f>
        <v>34579</v>
      </c>
      <c r="D1516" s="5" t="s">
        <v>7375</v>
      </c>
      <c r="E1516" s="5">
        <v>20100112214</v>
      </c>
      <c r="F1516" s="5" t="s">
        <v>3132</v>
      </c>
      <c r="G1516" s="5" t="s">
        <v>7376</v>
      </c>
      <c r="H1516" s="5" t="s">
        <v>36</v>
      </c>
      <c r="I1516" s="5" t="s">
        <v>234</v>
      </c>
      <c r="J1516" s="5" t="s">
        <v>258</v>
      </c>
      <c r="K1516" s="5" t="s">
        <v>329</v>
      </c>
      <c r="L1516" s="5" t="s">
        <v>1997</v>
      </c>
      <c r="M1516" s="5" t="s">
        <v>229</v>
      </c>
      <c r="N1516" s="5"/>
      <c r="O1516" s="5"/>
      <c r="P1516" s="5"/>
      <c r="Q1516" s="5"/>
      <c r="R1516" s="5"/>
      <c r="S1516" s="5"/>
      <c r="T1516" s="5"/>
      <c r="U1516" s="5">
        <v>9000</v>
      </c>
      <c r="V1516" s="6">
        <v>39134</v>
      </c>
      <c r="W1516" s="5" t="s">
        <v>31</v>
      </c>
      <c r="X1516" s="5" t="s">
        <v>7377</v>
      </c>
    </row>
    <row r="1517" spans="1:24" x14ac:dyDescent="0.3">
      <c r="A1517" s="3">
        <v>1511</v>
      </c>
      <c r="B1517" s="3" t="str">
        <f>"201200163901"</f>
        <v>201200163901</v>
      </c>
      <c r="C1517" s="3" t="str">
        <f>"20137"</f>
        <v>20137</v>
      </c>
      <c r="D1517" s="3" t="s">
        <v>7378</v>
      </c>
      <c r="E1517" s="3">
        <v>20523088361</v>
      </c>
      <c r="F1517" s="3" t="s">
        <v>7379</v>
      </c>
      <c r="G1517" s="3" t="s">
        <v>7380</v>
      </c>
      <c r="H1517" s="3" t="s">
        <v>285</v>
      </c>
      <c r="I1517" s="3" t="s">
        <v>286</v>
      </c>
      <c r="J1517" s="3" t="s">
        <v>286</v>
      </c>
      <c r="K1517" s="3" t="s">
        <v>209</v>
      </c>
      <c r="L1517" s="3"/>
      <c r="M1517" s="3"/>
      <c r="N1517" s="3"/>
      <c r="O1517" s="3"/>
      <c r="P1517" s="3"/>
      <c r="Q1517" s="3"/>
      <c r="R1517" s="3"/>
      <c r="S1517" s="3"/>
      <c r="T1517" s="3"/>
      <c r="U1517" s="3">
        <v>10000</v>
      </c>
      <c r="V1517" s="4">
        <v>41160</v>
      </c>
      <c r="W1517" s="3" t="s">
        <v>31</v>
      </c>
      <c r="X1517" s="3" t="s">
        <v>7381</v>
      </c>
    </row>
    <row r="1518" spans="1:24" x14ac:dyDescent="0.3">
      <c r="A1518" s="5">
        <v>1512</v>
      </c>
      <c r="B1518" s="5" t="str">
        <f>"201700206313"</f>
        <v>201700206313</v>
      </c>
      <c r="C1518" s="5" t="str">
        <f>"133265"</f>
        <v>133265</v>
      </c>
      <c r="D1518" s="5" t="s">
        <v>7382</v>
      </c>
      <c r="E1518" s="5">
        <v>20527530823</v>
      </c>
      <c r="F1518" s="5" t="s">
        <v>7383</v>
      </c>
      <c r="G1518" s="5" t="s">
        <v>7384</v>
      </c>
      <c r="H1518" s="5" t="s">
        <v>165</v>
      </c>
      <c r="I1518" s="5" t="s">
        <v>166</v>
      </c>
      <c r="J1518" s="5" t="s">
        <v>167</v>
      </c>
      <c r="K1518" s="5" t="s">
        <v>734</v>
      </c>
      <c r="L1518" s="5" t="s">
        <v>734</v>
      </c>
      <c r="M1518" s="5"/>
      <c r="N1518" s="5"/>
      <c r="O1518" s="5"/>
      <c r="P1518" s="5"/>
      <c r="Q1518" s="5"/>
      <c r="R1518" s="5"/>
      <c r="S1518" s="5"/>
      <c r="T1518" s="5"/>
      <c r="U1518" s="5">
        <v>14000</v>
      </c>
      <c r="V1518" s="6">
        <v>43073</v>
      </c>
      <c r="W1518" s="5" t="s">
        <v>31</v>
      </c>
      <c r="X1518" s="5" t="s">
        <v>7385</v>
      </c>
    </row>
    <row r="1519" spans="1:24" x14ac:dyDescent="0.3">
      <c r="A1519" s="3">
        <v>1513</v>
      </c>
      <c r="B1519" s="3" t="str">
        <f>"201800053297"</f>
        <v>201800053297</v>
      </c>
      <c r="C1519" s="3" t="str">
        <f>"135337"</f>
        <v>135337</v>
      </c>
      <c r="D1519" s="3" t="s">
        <v>7386</v>
      </c>
      <c r="E1519" s="3">
        <v>20501620107</v>
      </c>
      <c r="F1519" s="3" t="s">
        <v>7387</v>
      </c>
      <c r="G1519" s="3" t="s">
        <v>7388</v>
      </c>
      <c r="H1519" s="3" t="s">
        <v>51</v>
      </c>
      <c r="I1519" s="3" t="s">
        <v>316</v>
      </c>
      <c r="J1519" s="3" t="s">
        <v>6323</v>
      </c>
      <c r="K1519" s="3" t="s">
        <v>7389</v>
      </c>
      <c r="L1519" s="3" t="s">
        <v>7390</v>
      </c>
      <c r="M1519" s="3" t="s">
        <v>515</v>
      </c>
      <c r="N1519" s="3"/>
      <c r="O1519" s="3"/>
      <c r="P1519" s="3"/>
      <c r="Q1519" s="3"/>
      <c r="R1519" s="3"/>
      <c r="S1519" s="3"/>
      <c r="T1519" s="3"/>
      <c r="U1519" s="3">
        <v>5621</v>
      </c>
      <c r="V1519" s="4">
        <v>43198</v>
      </c>
      <c r="W1519" s="3" t="s">
        <v>31</v>
      </c>
      <c r="X1519" s="3" t="s">
        <v>7391</v>
      </c>
    </row>
    <row r="1520" spans="1:24" x14ac:dyDescent="0.3">
      <c r="A1520" s="5">
        <v>1514</v>
      </c>
      <c r="B1520" s="5" t="str">
        <f>"1147616"</f>
        <v>1147616</v>
      </c>
      <c r="C1520" s="5" t="str">
        <f>"18662"</f>
        <v>18662</v>
      </c>
      <c r="D1520" s="5">
        <v>1274070</v>
      </c>
      <c r="E1520" s="5">
        <v>20179550556</v>
      </c>
      <c r="F1520" s="5" t="s">
        <v>7392</v>
      </c>
      <c r="G1520" s="5" t="s">
        <v>7393</v>
      </c>
      <c r="H1520" s="5" t="s">
        <v>28</v>
      </c>
      <c r="I1520" s="5" t="s">
        <v>28</v>
      </c>
      <c r="J1520" s="5" t="s">
        <v>28</v>
      </c>
      <c r="K1520" s="5" t="s">
        <v>871</v>
      </c>
      <c r="L1520" s="5"/>
      <c r="M1520" s="5"/>
      <c r="N1520" s="5"/>
      <c r="O1520" s="5"/>
      <c r="P1520" s="5"/>
      <c r="Q1520" s="5"/>
      <c r="R1520" s="5"/>
      <c r="S1520" s="5"/>
      <c r="T1520" s="5"/>
      <c r="U1520" s="5">
        <v>3500</v>
      </c>
      <c r="V1520" s="6">
        <v>36605</v>
      </c>
      <c r="W1520" s="5" t="s">
        <v>31</v>
      </c>
      <c r="X1520" s="5" t="s">
        <v>118</v>
      </c>
    </row>
    <row r="1521" spans="1:24" x14ac:dyDescent="0.3">
      <c r="A1521" s="3">
        <v>1515</v>
      </c>
      <c r="B1521" s="3" t="str">
        <f>"1819236"</f>
        <v>1819236</v>
      </c>
      <c r="C1521" s="3" t="str">
        <f>"42724"</f>
        <v>42724</v>
      </c>
      <c r="D1521" s="3" t="s">
        <v>7394</v>
      </c>
      <c r="E1521" s="3">
        <v>20516323036</v>
      </c>
      <c r="F1521" s="3" t="s">
        <v>7395</v>
      </c>
      <c r="G1521" s="3" t="s">
        <v>7396</v>
      </c>
      <c r="H1521" s="3" t="s">
        <v>115</v>
      </c>
      <c r="I1521" s="3" t="s">
        <v>115</v>
      </c>
      <c r="J1521" s="3" t="s">
        <v>159</v>
      </c>
      <c r="K1521" s="3" t="s">
        <v>1872</v>
      </c>
      <c r="L1521" s="3"/>
      <c r="M1521" s="3"/>
      <c r="N1521" s="3"/>
      <c r="O1521" s="3"/>
      <c r="P1521" s="3"/>
      <c r="Q1521" s="3"/>
      <c r="R1521" s="3"/>
      <c r="S1521" s="3"/>
      <c r="T1521" s="3"/>
      <c r="U1521" s="3">
        <v>5000</v>
      </c>
      <c r="V1521" s="4">
        <v>39703</v>
      </c>
      <c r="W1521" s="3" t="s">
        <v>31</v>
      </c>
      <c r="X1521" s="3" t="s">
        <v>7397</v>
      </c>
    </row>
    <row r="1522" spans="1:24" ht="27.95" x14ac:dyDescent="0.3">
      <c r="A1522" s="5">
        <v>1516</v>
      </c>
      <c r="B1522" s="5" t="str">
        <f>"1116665"</f>
        <v>1116665</v>
      </c>
      <c r="C1522" s="5" t="str">
        <f>"1447"</f>
        <v>1447</v>
      </c>
      <c r="D1522" s="5">
        <v>1001868</v>
      </c>
      <c r="E1522" s="5">
        <v>20100677581</v>
      </c>
      <c r="F1522" s="5" t="s">
        <v>7398</v>
      </c>
      <c r="G1522" s="5" t="s">
        <v>7399</v>
      </c>
      <c r="H1522" s="5" t="s">
        <v>28</v>
      </c>
      <c r="I1522" s="5" t="s">
        <v>28</v>
      </c>
      <c r="J1522" s="5" t="s">
        <v>91</v>
      </c>
      <c r="K1522" s="5" t="s">
        <v>7400</v>
      </c>
      <c r="L1522" s="5" t="s">
        <v>1422</v>
      </c>
      <c r="M1522" s="5" t="s">
        <v>7401</v>
      </c>
      <c r="N1522" s="5"/>
      <c r="O1522" s="5"/>
      <c r="P1522" s="5"/>
      <c r="Q1522" s="5"/>
      <c r="R1522" s="5"/>
      <c r="S1522" s="5"/>
      <c r="T1522" s="5"/>
      <c r="U1522" s="5">
        <v>28500</v>
      </c>
      <c r="V1522" s="6">
        <v>35538</v>
      </c>
      <c r="W1522" s="5" t="s">
        <v>31</v>
      </c>
      <c r="X1522" s="5" t="s">
        <v>7402</v>
      </c>
    </row>
    <row r="1523" spans="1:24" x14ac:dyDescent="0.3">
      <c r="A1523" s="3">
        <v>1517</v>
      </c>
      <c r="B1523" s="3" t="str">
        <f>"1247248"</f>
        <v>1247248</v>
      </c>
      <c r="C1523" s="3" t="str">
        <f>"16531"</f>
        <v>16531</v>
      </c>
      <c r="D1523" s="3">
        <v>1247248</v>
      </c>
      <c r="E1523" s="3">
        <v>20106740004</v>
      </c>
      <c r="F1523" s="3" t="s">
        <v>7403</v>
      </c>
      <c r="G1523" s="3" t="s">
        <v>7404</v>
      </c>
      <c r="H1523" s="3" t="s">
        <v>28</v>
      </c>
      <c r="I1523" s="3" t="s">
        <v>28</v>
      </c>
      <c r="J1523" s="3" t="s">
        <v>28</v>
      </c>
      <c r="K1523" s="3" t="s">
        <v>877</v>
      </c>
      <c r="L1523" s="3"/>
      <c r="M1523" s="3"/>
      <c r="N1523" s="3"/>
      <c r="O1523" s="3"/>
      <c r="P1523" s="3"/>
      <c r="Q1523" s="3"/>
      <c r="R1523" s="3"/>
      <c r="S1523" s="3"/>
      <c r="T1523" s="3"/>
      <c r="U1523" s="3">
        <v>2900</v>
      </c>
      <c r="V1523" s="4">
        <v>36388</v>
      </c>
      <c r="W1523" s="3" t="s">
        <v>31</v>
      </c>
      <c r="X1523" s="3" t="s">
        <v>7405</v>
      </c>
    </row>
    <row r="1524" spans="1:24" ht="27.95" x14ac:dyDescent="0.3">
      <c r="A1524" s="5">
        <v>1518</v>
      </c>
      <c r="B1524" s="5" t="str">
        <f>"201400111060"</f>
        <v>201400111060</v>
      </c>
      <c r="C1524" s="5" t="str">
        <f>"111225"</f>
        <v>111225</v>
      </c>
      <c r="D1524" s="5" t="s">
        <v>7406</v>
      </c>
      <c r="E1524" s="5">
        <v>20480127286</v>
      </c>
      <c r="F1524" s="5" t="s">
        <v>7407</v>
      </c>
      <c r="G1524" s="5" t="s">
        <v>7408</v>
      </c>
      <c r="H1524" s="5" t="s">
        <v>978</v>
      </c>
      <c r="I1524" s="5" t="s">
        <v>1222</v>
      </c>
      <c r="J1524" s="5" t="s">
        <v>1222</v>
      </c>
      <c r="K1524" s="5" t="s">
        <v>4545</v>
      </c>
      <c r="L1524" s="5"/>
      <c r="M1524" s="5"/>
      <c r="N1524" s="5"/>
      <c r="O1524" s="5"/>
      <c r="P1524" s="5"/>
      <c r="Q1524" s="5"/>
      <c r="R1524" s="5"/>
      <c r="S1524" s="5"/>
      <c r="T1524" s="5"/>
      <c r="U1524" s="5">
        <v>6000</v>
      </c>
      <c r="V1524" s="6">
        <v>41900</v>
      </c>
      <c r="W1524" s="5" t="s">
        <v>31</v>
      </c>
      <c r="X1524" s="5" t="s">
        <v>7409</v>
      </c>
    </row>
    <row r="1525" spans="1:24" ht="27.95" x14ac:dyDescent="0.3">
      <c r="A1525" s="3">
        <v>1519</v>
      </c>
      <c r="B1525" s="3" t="str">
        <f>"201600105032"</f>
        <v>201600105032</v>
      </c>
      <c r="C1525" s="3" t="str">
        <f>"122802"</f>
        <v>122802</v>
      </c>
      <c r="D1525" s="3" t="s">
        <v>7410</v>
      </c>
      <c r="E1525" s="3">
        <v>20483851171</v>
      </c>
      <c r="F1525" s="3" t="s">
        <v>7411</v>
      </c>
      <c r="G1525" s="3" t="s">
        <v>7412</v>
      </c>
      <c r="H1525" s="3" t="s">
        <v>80</v>
      </c>
      <c r="I1525" s="3" t="s">
        <v>192</v>
      </c>
      <c r="J1525" s="3" t="s">
        <v>192</v>
      </c>
      <c r="K1525" s="3" t="s">
        <v>7413</v>
      </c>
      <c r="L1525" s="3"/>
      <c r="M1525" s="3"/>
      <c r="N1525" s="3"/>
      <c r="O1525" s="3"/>
      <c r="P1525" s="3"/>
      <c r="Q1525" s="3"/>
      <c r="R1525" s="3"/>
      <c r="S1525" s="3"/>
      <c r="T1525" s="3"/>
      <c r="U1525" s="3">
        <v>4400</v>
      </c>
      <c r="V1525" s="4">
        <v>42612</v>
      </c>
      <c r="W1525" s="3" t="s">
        <v>31</v>
      </c>
      <c r="X1525" s="3" t="s">
        <v>7414</v>
      </c>
    </row>
    <row r="1526" spans="1:24" ht="27.95" x14ac:dyDescent="0.3">
      <c r="A1526" s="5">
        <v>1520</v>
      </c>
      <c r="B1526" s="5" t="str">
        <f>"202000078826"</f>
        <v>202000078826</v>
      </c>
      <c r="C1526" s="5" t="str">
        <f>"104353"</f>
        <v>104353</v>
      </c>
      <c r="D1526" s="5" t="s">
        <v>7415</v>
      </c>
      <c r="E1526" s="5">
        <v>20522473571</v>
      </c>
      <c r="F1526" s="5" t="s">
        <v>7416</v>
      </c>
      <c r="G1526" s="5" t="s">
        <v>7417</v>
      </c>
      <c r="H1526" s="5" t="s">
        <v>80</v>
      </c>
      <c r="I1526" s="5" t="s">
        <v>309</v>
      </c>
      <c r="J1526" s="5" t="s">
        <v>309</v>
      </c>
      <c r="K1526" s="5" t="s">
        <v>181</v>
      </c>
      <c r="L1526" s="5" t="s">
        <v>1513</v>
      </c>
      <c r="M1526" s="5"/>
      <c r="N1526" s="5"/>
      <c r="O1526" s="5"/>
      <c r="P1526" s="5"/>
      <c r="Q1526" s="5"/>
      <c r="R1526" s="5"/>
      <c r="S1526" s="5"/>
      <c r="T1526" s="5"/>
      <c r="U1526" s="5">
        <v>10800</v>
      </c>
      <c r="V1526" s="6">
        <v>44042</v>
      </c>
      <c r="W1526" s="5" t="s">
        <v>31</v>
      </c>
      <c r="X1526" s="5" t="s">
        <v>7418</v>
      </c>
    </row>
    <row r="1527" spans="1:24" ht="27.95" x14ac:dyDescent="0.3">
      <c r="A1527" s="3">
        <v>1521</v>
      </c>
      <c r="B1527" s="3" t="str">
        <f>"202000073868"</f>
        <v>202000073868</v>
      </c>
      <c r="C1527" s="3" t="str">
        <f>"149799"</f>
        <v>149799</v>
      </c>
      <c r="D1527" s="3" t="s">
        <v>7419</v>
      </c>
      <c r="E1527" s="3">
        <v>20137025354</v>
      </c>
      <c r="F1527" s="3" t="s">
        <v>7420</v>
      </c>
      <c r="G1527" s="3" t="s">
        <v>7421</v>
      </c>
      <c r="H1527" s="3" t="s">
        <v>36</v>
      </c>
      <c r="I1527" s="3" t="s">
        <v>3208</v>
      </c>
      <c r="J1527" s="3" t="s">
        <v>3208</v>
      </c>
      <c r="K1527" s="3" t="s">
        <v>7422</v>
      </c>
      <c r="L1527" s="3"/>
      <c r="M1527" s="3"/>
      <c r="N1527" s="3"/>
      <c r="O1527" s="3"/>
      <c r="P1527" s="3"/>
      <c r="Q1527" s="3"/>
      <c r="R1527" s="3"/>
      <c r="S1527" s="3"/>
      <c r="T1527" s="3"/>
      <c r="U1527" s="3">
        <v>10115</v>
      </c>
      <c r="V1527" s="4">
        <v>44009</v>
      </c>
      <c r="W1527" s="3" t="s">
        <v>31</v>
      </c>
      <c r="X1527" s="3" t="s">
        <v>6625</v>
      </c>
    </row>
    <row r="1528" spans="1:24" x14ac:dyDescent="0.3">
      <c r="A1528" s="5">
        <v>1522</v>
      </c>
      <c r="B1528" s="5" t="str">
        <f>"1109651"</f>
        <v>1109651</v>
      </c>
      <c r="C1528" s="5" t="str">
        <f>"384"</f>
        <v>384</v>
      </c>
      <c r="D1528" s="5">
        <v>990261</v>
      </c>
      <c r="E1528" s="5">
        <v>20136435397</v>
      </c>
      <c r="F1528" s="5" t="s">
        <v>7423</v>
      </c>
      <c r="G1528" s="5" t="s">
        <v>7424</v>
      </c>
      <c r="H1528" s="5" t="s">
        <v>28</v>
      </c>
      <c r="I1528" s="5" t="s">
        <v>28</v>
      </c>
      <c r="J1528" s="5" t="s">
        <v>91</v>
      </c>
      <c r="K1528" s="5" t="s">
        <v>1316</v>
      </c>
      <c r="L1528" s="5"/>
      <c r="M1528" s="5"/>
      <c r="N1528" s="5"/>
      <c r="O1528" s="5"/>
      <c r="P1528" s="5"/>
      <c r="Q1528" s="5"/>
      <c r="R1528" s="5"/>
      <c r="S1528" s="5"/>
      <c r="T1528" s="5"/>
      <c r="U1528" s="5">
        <v>12000</v>
      </c>
      <c r="V1528" s="6">
        <v>35495</v>
      </c>
      <c r="W1528" s="5" t="s">
        <v>31</v>
      </c>
      <c r="X1528" s="5" t="s">
        <v>7425</v>
      </c>
    </row>
    <row r="1529" spans="1:24" ht="27.95" x14ac:dyDescent="0.3">
      <c r="A1529" s="3">
        <v>1523</v>
      </c>
      <c r="B1529" s="3" t="str">
        <f>"201200157294"</f>
        <v>201200157294</v>
      </c>
      <c r="C1529" s="3" t="str">
        <f>"97955"</f>
        <v>97955</v>
      </c>
      <c r="D1529" s="3" t="s">
        <v>7426</v>
      </c>
      <c r="E1529" s="3">
        <v>20522247643</v>
      </c>
      <c r="F1529" s="3" t="s">
        <v>7427</v>
      </c>
      <c r="G1529" s="3" t="s">
        <v>7428</v>
      </c>
      <c r="H1529" s="3" t="s">
        <v>1147</v>
      </c>
      <c r="I1529" s="3" t="s">
        <v>1757</v>
      </c>
      <c r="J1529" s="3" t="s">
        <v>7429</v>
      </c>
      <c r="K1529" s="3" t="s">
        <v>540</v>
      </c>
      <c r="L1529" s="3" t="s">
        <v>1725</v>
      </c>
      <c r="M1529" s="3"/>
      <c r="N1529" s="3"/>
      <c r="O1529" s="3"/>
      <c r="P1529" s="3"/>
      <c r="Q1529" s="3"/>
      <c r="R1529" s="3"/>
      <c r="S1529" s="3"/>
      <c r="T1529" s="3"/>
      <c r="U1529" s="3">
        <v>7000</v>
      </c>
      <c r="V1529" s="4">
        <v>41163</v>
      </c>
      <c r="W1529" s="3" t="s">
        <v>31</v>
      </c>
      <c r="X1529" s="3" t="s">
        <v>7430</v>
      </c>
    </row>
    <row r="1530" spans="1:24" ht="27.95" x14ac:dyDescent="0.3">
      <c r="A1530" s="5">
        <v>1524</v>
      </c>
      <c r="B1530" s="5" t="str">
        <f>"1231691"</f>
        <v>1231691</v>
      </c>
      <c r="C1530" s="5" t="str">
        <f>"16171"</f>
        <v>16171</v>
      </c>
      <c r="D1530" s="5">
        <v>960214</v>
      </c>
      <c r="E1530" s="5">
        <v>20262221335</v>
      </c>
      <c r="F1530" s="5" t="s">
        <v>2647</v>
      </c>
      <c r="G1530" s="5" t="s">
        <v>7431</v>
      </c>
      <c r="H1530" s="5" t="s">
        <v>214</v>
      </c>
      <c r="I1530" s="5" t="s">
        <v>2207</v>
      </c>
      <c r="J1530" s="5" t="s">
        <v>7432</v>
      </c>
      <c r="K1530" s="5" t="s">
        <v>7433</v>
      </c>
      <c r="L1530" s="5"/>
      <c r="M1530" s="5"/>
      <c r="N1530" s="5"/>
      <c r="O1530" s="5"/>
      <c r="P1530" s="5"/>
      <c r="Q1530" s="5"/>
      <c r="R1530" s="5"/>
      <c r="S1530" s="5"/>
      <c r="T1530" s="5"/>
      <c r="U1530" s="5">
        <v>680000</v>
      </c>
      <c r="V1530" s="6">
        <v>36286</v>
      </c>
      <c r="W1530" s="5" t="s">
        <v>31</v>
      </c>
      <c r="X1530" s="5" t="s">
        <v>2652</v>
      </c>
    </row>
    <row r="1531" spans="1:24" x14ac:dyDescent="0.3">
      <c r="A1531" s="3">
        <v>1525</v>
      </c>
      <c r="B1531" s="3" t="str">
        <f>"202000013674"</f>
        <v>202000013674</v>
      </c>
      <c r="C1531" s="3" t="str">
        <f>"148920"</f>
        <v>148920</v>
      </c>
      <c r="D1531" s="3" t="s">
        <v>7434</v>
      </c>
      <c r="E1531" s="3">
        <v>20509373303</v>
      </c>
      <c r="F1531" s="3" t="s">
        <v>7435</v>
      </c>
      <c r="G1531" s="3" t="s">
        <v>7436</v>
      </c>
      <c r="H1531" s="3" t="s">
        <v>28</v>
      </c>
      <c r="I1531" s="3" t="s">
        <v>28</v>
      </c>
      <c r="J1531" s="3" t="s">
        <v>1432</v>
      </c>
      <c r="K1531" s="3" t="s">
        <v>7437</v>
      </c>
      <c r="L1531" s="3" t="s">
        <v>7438</v>
      </c>
      <c r="M1531" s="3" t="s">
        <v>7439</v>
      </c>
      <c r="N1531" s="3"/>
      <c r="O1531" s="3"/>
      <c r="P1531" s="3"/>
      <c r="Q1531" s="3"/>
      <c r="R1531" s="3"/>
      <c r="S1531" s="3"/>
      <c r="T1531" s="3"/>
      <c r="U1531" s="3">
        <v>12392</v>
      </c>
      <c r="V1531" s="4">
        <v>43878</v>
      </c>
      <c r="W1531" s="3" t="s">
        <v>31</v>
      </c>
      <c r="X1531" s="3" t="s">
        <v>7440</v>
      </c>
    </row>
    <row r="1532" spans="1:24" x14ac:dyDescent="0.3">
      <c r="A1532" s="5">
        <v>1526</v>
      </c>
      <c r="B1532" s="5" t="str">
        <f>"201700099864"</f>
        <v>201700099864</v>
      </c>
      <c r="C1532" s="5" t="str">
        <f>"128444"</f>
        <v>128444</v>
      </c>
      <c r="D1532" s="5" t="s">
        <v>7441</v>
      </c>
      <c r="E1532" s="5">
        <v>20486774445</v>
      </c>
      <c r="F1532" s="5" t="s">
        <v>7442</v>
      </c>
      <c r="G1532" s="5" t="s">
        <v>7443</v>
      </c>
      <c r="H1532" s="5" t="s">
        <v>566</v>
      </c>
      <c r="I1532" s="5" t="s">
        <v>3842</v>
      </c>
      <c r="J1532" s="5" t="s">
        <v>7444</v>
      </c>
      <c r="K1532" s="5" t="s">
        <v>168</v>
      </c>
      <c r="L1532" s="5"/>
      <c r="M1532" s="5"/>
      <c r="N1532" s="5"/>
      <c r="O1532" s="5"/>
      <c r="P1532" s="5"/>
      <c r="Q1532" s="5"/>
      <c r="R1532" s="5"/>
      <c r="S1532" s="5"/>
      <c r="T1532" s="5"/>
      <c r="U1532" s="5">
        <v>10000</v>
      </c>
      <c r="V1532" s="6">
        <v>42920</v>
      </c>
      <c r="W1532" s="5" t="s">
        <v>31</v>
      </c>
      <c r="X1532" s="5" t="s">
        <v>7445</v>
      </c>
    </row>
    <row r="1533" spans="1:24" x14ac:dyDescent="0.3">
      <c r="A1533" s="3">
        <v>1527</v>
      </c>
      <c r="B1533" s="3" t="str">
        <f>"1261731"</f>
        <v>1261731</v>
      </c>
      <c r="C1533" s="3" t="str">
        <f>"18222"</f>
        <v>18222</v>
      </c>
      <c r="D1533" s="3">
        <v>1261731</v>
      </c>
      <c r="E1533" s="3">
        <v>20100128056</v>
      </c>
      <c r="F1533" s="3" t="s">
        <v>7446</v>
      </c>
      <c r="G1533" s="3" t="s">
        <v>7447</v>
      </c>
      <c r="H1533" s="3" t="s">
        <v>28</v>
      </c>
      <c r="I1533" s="3" t="s">
        <v>28</v>
      </c>
      <c r="J1533" s="3" t="s">
        <v>172</v>
      </c>
      <c r="K1533" s="3" t="s">
        <v>1259</v>
      </c>
      <c r="L1533" s="3"/>
      <c r="M1533" s="3"/>
      <c r="N1533" s="3"/>
      <c r="O1533" s="3"/>
      <c r="P1533" s="3"/>
      <c r="Q1533" s="3"/>
      <c r="R1533" s="3"/>
      <c r="S1533" s="3"/>
      <c r="T1533" s="3"/>
      <c r="U1533" s="3">
        <v>1000</v>
      </c>
      <c r="V1533" s="4">
        <v>36494</v>
      </c>
      <c r="W1533" s="3" t="s">
        <v>31</v>
      </c>
      <c r="X1533" s="3" t="s">
        <v>7448</v>
      </c>
    </row>
    <row r="1534" spans="1:24" ht="27.95" x14ac:dyDescent="0.3">
      <c r="A1534" s="5">
        <v>1528</v>
      </c>
      <c r="B1534" s="5" t="str">
        <f>"201800077789"</f>
        <v>201800077789</v>
      </c>
      <c r="C1534" s="5" t="str">
        <f>"136096"</f>
        <v>136096</v>
      </c>
      <c r="D1534" s="5" t="s">
        <v>7449</v>
      </c>
      <c r="E1534" s="5">
        <v>20262895646</v>
      </c>
      <c r="F1534" s="5" t="s">
        <v>7450</v>
      </c>
      <c r="G1534" s="5" t="s">
        <v>7451</v>
      </c>
      <c r="H1534" s="5" t="s">
        <v>285</v>
      </c>
      <c r="I1534" s="5" t="s">
        <v>286</v>
      </c>
      <c r="J1534" s="5" t="s">
        <v>6746</v>
      </c>
      <c r="K1534" s="5" t="s">
        <v>7452</v>
      </c>
      <c r="L1534" s="5" t="s">
        <v>7453</v>
      </c>
      <c r="M1534" s="5"/>
      <c r="N1534" s="5"/>
      <c r="O1534" s="5"/>
      <c r="P1534" s="5"/>
      <c r="Q1534" s="5"/>
      <c r="R1534" s="5"/>
      <c r="S1534" s="5"/>
      <c r="T1534" s="5"/>
      <c r="U1534" s="5">
        <v>33425</v>
      </c>
      <c r="V1534" s="6">
        <v>43234</v>
      </c>
      <c r="W1534" s="5" t="s">
        <v>31</v>
      </c>
      <c r="X1534" s="5" t="s">
        <v>7454</v>
      </c>
    </row>
    <row r="1535" spans="1:24" ht="27.95" x14ac:dyDescent="0.3">
      <c r="A1535" s="3">
        <v>1529</v>
      </c>
      <c r="B1535" s="3" t="str">
        <f>"201200204446"</f>
        <v>201200204446</v>
      </c>
      <c r="C1535" s="3" t="str">
        <f>"95375"</f>
        <v>95375</v>
      </c>
      <c r="D1535" s="3" t="s">
        <v>7455</v>
      </c>
      <c r="E1535" s="3">
        <v>20354077150</v>
      </c>
      <c r="F1535" s="3" t="s">
        <v>7456</v>
      </c>
      <c r="G1535" s="3" t="s">
        <v>7457</v>
      </c>
      <c r="H1535" s="3" t="s">
        <v>36</v>
      </c>
      <c r="I1535" s="3" t="s">
        <v>234</v>
      </c>
      <c r="J1535" s="3" t="s">
        <v>235</v>
      </c>
      <c r="K1535" s="3" t="s">
        <v>1217</v>
      </c>
      <c r="L1535" s="3"/>
      <c r="M1535" s="3"/>
      <c r="N1535" s="3"/>
      <c r="O1535" s="3"/>
      <c r="P1535" s="3"/>
      <c r="Q1535" s="3"/>
      <c r="R1535" s="3"/>
      <c r="S1535" s="3"/>
      <c r="T1535" s="3"/>
      <c r="U1535" s="3">
        <v>2500</v>
      </c>
      <c r="V1535" s="4">
        <v>41237</v>
      </c>
      <c r="W1535" s="3" t="s">
        <v>31</v>
      </c>
      <c r="X1535" s="3" t="s">
        <v>7458</v>
      </c>
    </row>
    <row r="1536" spans="1:24" x14ac:dyDescent="0.3">
      <c r="A1536" s="5">
        <v>1530</v>
      </c>
      <c r="B1536" s="5" t="str">
        <f>"201800107192"</f>
        <v>201800107192</v>
      </c>
      <c r="C1536" s="5" t="str">
        <f>"136830"</f>
        <v>136830</v>
      </c>
      <c r="D1536" s="5" t="s">
        <v>7459</v>
      </c>
      <c r="E1536" s="5">
        <v>10238135929</v>
      </c>
      <c r="F1536" s="5" t="s">
        <v>7460</v>
      </c>
      <c r="G1536" s="5" t="s">
        <v>7461</v>
      </c>
      <c r="H1536" s="5" t="s">
        <v>165</v>
      </c>
      <c r="I1536" s="5" t="s">
        <v>166</v>
      </c>
      <c r="J1536" s="5" t="s">
        <v>165</v>
      </c>
      <c r="K1536" s="5" t="s">
        <v>7462</v>
      </c>
      <c r="L1536" s="5"/>
      <c r="M1536" s="5"/>
      <c r="N1536" s="5"/>
      <c r="O1536" s="5"/>
      <c r="P1536" s="5"/>
      <c r="Q1536" s="5"/>
      <c r="R1536" s="5"/>
      <c r="S1536" s="5"/>
      <c r="T1536" s="5"/>
      <c r="U1536" s="5">
        <v>10400</v>
      </c>
      <c r="V1536" s="6">
        <v>43279</v>
      </c>
      <c r="W1536" s="5" t="s">
        <v>31</v>
      </c>
      <c r="X1536" s="5" t="s">
        <v>7460</v>
      </c>
    </row>
    <row r="1537" spans="1:24" ht="41.95" x14ac:dyDescent="0.3">
      <c r="A1537" s="3">
        <v>1531</v>
      </c>
      <c r="B1537" s="3" t="str">
        <f>"201900114636"</f>
        <v>201900114636</v>
      </c>
      <c r="C1537" s="3" t="str">
        <f>"145313"</f>
        <v>145313</v>
      </c>
      <c r="D1537" s="3" t="s">
        <v>7463</v>
      </c>
      <c r="E1537" s="3">
        <v>20600378059</v>
      </c>
      <c r="F1537" s="3" t="s">
        <v>7464</v>
      </c>
      <c r="G1537" s="3" t="s">
        <v>7465</v>
      </c>
      <c r="H1537" s="3" t="s">
        <v>28</v>
      </c>
      <c r="I1537" s="3" t="s">
        <v>28</v>
      </c>
      <c r="J1537" s="3" t="s">
        <v>202</v>
      </c>
      <c r="K1537" s="3" t="s">
        <v>2309</v>
      </c>
      <c r="L1537" s="3"/>
      <c r="M1537" s="3"/>
      <c r="N1537" s="3"/>
      <c r="O1537" s="3"/>
      <c r="P1537" s="3"/>
      <c r="Q1537" s="3"/>
      <c r="R1537" s="3"/>
      <c r="S1537" s="3"/>
      <c r="T1537" s="3"/>
      <c r="U1537" s="3">
        <v>2200</v>
      </c>
      <c r="V1537" s="4">
        <v>43672</v>
      </c>
      <c r="W1537" s="3" t="s">
        <v>31</v>
      </c>
      <c r="X1537" s="3" t="s">
        <v>7466</v>
      </c>
    </row>
    <row r="1538" spans="1:24" ht="27.95" x14ac:dyDescent="0.3">
      <c r="A1538" s="5">
        <v>1532</v>
      </c>
      <c r="B1538" s="5" t="str">
        <f>"1119388"</f>
        <v>1119388</v>
      </c>
      <c r="C1538" s="5" t="str">
        <f>"258"</f>
        <v>258</v>
      </c>
      <c r="D1538" s="5">
        <v>972296</v>
      </c>
      <c r="E1538" s="5">
        <v>20121728428</v>
      </c>
      <c r="F1538" s="5" t="s">
        <v>7467</v>
      </c>
      <c r="G1538" s="5" t="s">
        <v>7468</v>
      </c>
      <c r="H1538" s="5" t="s">
        <v>566</v>
      </c>
      <c r="I1538" s="5" t="s">
        <v>657</v>
      </c>
      <c r="J1538" s="5" t="s">
        <v>657</v>
      </c>
      <c r="K1538" s="5" t="s">
        <v>5831</v>
      </c>
      <c r="L1538" s="5" t="s">
        <v>2939</v>
      </c>
      <c r="M1538" s="5" t="s">
        <v>2939</v>
      </c>
      <c r="N1538" s="5" t="s">
        <v>2939</v>
      </c>
      <c r="O1538" s="5"/>
      <c r="P1538" s="5"/>
      <c r="Q1538" s="5"/>
      <c r="R1538" s="5"/>
      <c r="S1538" s="5"/>
      <c r="T1538" s="5"/>
      <c r="U1538" s="5">
        <v>11000</v>
      </c>
      <c r="V1538" s="6">
        <v>35585</v>
      </c>
      <c r="W1538" s="5" t="s">
        <v>31</v>
      </c>
      <c r="X1538" s="5" t="s">
        <v>7469</v>
      </c>
    </row>
    <row r="1539" spans="1:24" x14ac:dyDescent="0.3">
      <c r="A1539" s="3">
        <v>1533</v>
      </c>
      <c r="B1539" s="3" t="str">
        <f>"1431734"</f>
        <v>1431734</v>
      </c>
      <c r="C1539" s="3" t="str">
        <f>"89014"</f>
        <v>89014</v>
      </c>
      <c r="D1539" s="3" t="s">
        <v>7470</v>
      </c>
      <c r="E1539" s="3">
        <v>20312372895</v>
      </c>
      <c r="F1539" s="3" t="s">
        <v>7471</v>
      </c>
      <c r="G1539" s="3" t="s">
        <v>7472</v>
      </c>
      <c r="H1539" s="3" t="s">
        <v>51</v>
      </c>
      <c r="I1539" s="3" t="s">
        <v>51</v>
      </c>
      <c r="J1539" s="3" t="s">
        <v>7211</v>
      </c>
      <c r="K1539" s="3" t="s">
        <v>7473</v>
      </c>
      <c r="L1539" s="3" t="s">
        <v>7473</v>
      </c>
      <c r="M1539" s="3" t="s">
        <v>7474</v>
      </c>
      <c r="N1539" s="3"/>
      <c r="O1539" s="3"/>
      <c r="P1539" s="3"/>
      <c r="Q1539" s="3"/>
      <c r="R1539" s="3"/>
      <c r="S1539" s="3"/>
      <c r="T1539" s="3"/>
      <c r="U1539" s="3">
        <v>13484</v>
      </c>
      <c r="V1539" s="4">
        <v>40478</v>
      </c>
      <c r="W1539" s="3" t="s">
        <v>31</v>
      </c>
      <c r="X1539" s="3" t="s">
        <v>882</v>
      </c>
    </row>
    <row r="1540" spans="1:24" x14ac:dyDescent="0.3">
      <c r="A1540" s="5">
        <v>1534</v>
      </c>
      <c r="B1540" s="5" t="str">
        <f>"201800200767"</f>
        <v>201800200767</v>
      </c>
      <c r="C1540" s="5" t="str">
        <f>"140145"</f>
        <v>140145</v>
      </c>
      <c r="D1540" s="5" t="s">
        <v>7475</v>
      </c>
      <c r="E1540" s="5">
        <v>17309235886</v>
      </c>
      <c r="F1540" s="5" t="s">
        <v>4379</v>
      </c>
      <c r="G1540" s="5" t="s">
        <v>7476</v>
      </c>
      <c r="H1540" s="5" t="s">
        <v>165</v>
      </c>
      <c r="I1540" s="5" t="s">
        <v>166</v>
      </c>
      <c r="J1540" s="5" t="s">
        <v>167</v>
      </c>
      <c r="K1540" s="5" t="s">
        <v>3396</v>
      </c>
      <c r="L1540" s="5" t="s">
        <v>3396</v>
      </c>
      <c r="M1540" s="5"/>
      <c r="N1540" s="5"/>
      <c r="O1540" s="5"/>
      <c r="P1540" s="5"/>
      <c r="Q1540" s="5"/>
      <c r="R1540" s="5"/>
      <c r="S1540" s="5"/>
      <c r="T1540" s="5"/>
      <c r="U1540" s="5">
        <v>15000</v>
      </c>
      <c r="V1540" s="6">
        <v>43437</v>
      </c>
      <c r="W1540" s="5" t="s">
        <v>31</v>
      </c>
      <c r="X1540" s="5" t="s">
        <v>4379</v>
      </c>
    </row>
    <row r="1541" spans="1:24" x14ac:dyDescent="0.3">
      <c r="A1541" s="3">
        <v>1535</v>
      </c>
      <c r="B1541" s="3" t="str">
        <f>"201900064437"</f>
        <v>201900064437</v>
      </c>
      <c r="C1541" s="3" t="str">
        <f>"99946"</f>
        <v>99946</v>
      </c>
      <c r="D1541" s="3" t="s">
        <v>7477</v>
      </c>
      <c r="E1541" s="3">
        <v>20278362915</v>
      </c>
      <c r="F1541" s="3" t="s">
        <v>7478</v>
      </c>
      <c r="G1541" s="3" t="s">
        <v>7479</v>
      </c>
      <c r="H1541" s="3" t="s">
        <v>214</v>
      </c>
      <c r="I1541" s="3" t="s">
        <v>215</v>
      </c>
      <c r="J1541" s="3" t="s">
        <v>216</v>
      </c>
      <c r="K1541" s="3" t="s">
        <v>2083</v>
      </c>
      <c r="L1541" s="3" t="s">
        <v>2083</v>
      </c>
      <c r="M1541" s="3" t="s">
        <v>2083</v>
      </c>
      <c r="N1541" s="3"/>
      <c r="O1541" s="3"/>
      <c r="P1541" s="3"/>
      <c r="Q1541" s="3"/>
      <c r="R1541" s="3"/>
      <c r="S1541" s="3"/>
      <c r="T1541" s="3"/>
      <c r="U1541" s="3">
        <v>10200</v>
      </c>
      <c r="V1541" s="4">
        <v>43577</v>
      </c>
      <c r="W1541" s="3" t="s">
        <v>31</v>
      </c>
      <c r="X1541" s="3" t="s">
        <v>7480</v>
      </c>
    </row>
    <row r="1542" spans="1:24" ht="27.95" x14ac:dyDescent="0.3">
      <c r="A1542" s="5">
        <v>1536</v>
      </c>
      <c r="B1542" s="5" t="str">
        <f>"201500048272"</f>
        <v>201500048272</v>
      </c>
      <c r="C1542" s="5" t="str">
        <f>"510"</f>
        <v>510</v>
      </c>
      <c r="D1542" s="5" t="s">
        <v>7481</v>
      </c>
      <c r="E1542" s="5">
        <v>20119407738</v>
      </c>
      <c r="F1542" s="5" t="s">
        <v>7482</v>
      </c>
      <c r="G1542" s="5" t="s">
        <v>7483</v>
      </c>
      <c r="H1542" s="5" t="s">
        <v>769</v>
      </c>
      <c r="I1542" s="5" t="s">
        <v>769</v>
      </c>
      <c r="J1542" s="5" t="s">
        <v>769</v>
      </c>
      <c r="K1542" s="5" t="s">
        <v>7484</v>
      </c>
      <c r="L1542" s="5" t="s">
        <v>4545</v>
      </c>
      <c r="M1542" s="5"/>
      <c r="N1542" s="5"/>
      <c r="O1542" s="5"/>
      <c r="P1542" s="5"/>
      <c r="Q1542" s="5"/>
      <c r="R1542" s="5"/>
      <c r="S1542" s="5"/>
      <c r="T1542" s="5"/>
      <c r="U1542" s="5">
        <v>12640</v>
      </c>
      <c r="V1542" s="6">
        <v>42142</v>
      </c>
      <c r="W1542" s="5" t="s">
        <v>31</v>
      </c>
      <c r="X1542" s="5" t="s">
        <v>1519</v>
      </c>
    </row>
    <row r="1543" spans="1:24" ht="27.95" x14ac:dyDescent="0.3">
      <c r="A1543" s="3">
        <v>1537</v>
      </c>
      <c r="B1543" s="3" t="str">
        <f>"1527779"</f>
        <v>1527779</v>
      </c>
      <c r="C1543" s="3" t="str">
        <f>"40433"</f>
        <v>40433</v>
      </c>
      <c r="D1543" s="3" t="s">
        <v>7485</v>
      </c>
      <c r="E1543" s="3">
        <v>20132373958</v>
      </c>
      <c r="F1543" s="3" t="s">
        <v>2876</v>
      </c>
      <c r="G1543" s="3" t="s">
        <v>7486</v>
      </c>
      <c r="H1543" s="3" t="s">
        <v>36</v>
      </c>
      <c r="I1543" s="3" t="s">
        <v>234</v>
      </c>
      <c r="J1543" s="3" t="s">
        <v>235</v>
      </c>
      <c r="K1543" s="3" t="s">
        <v>2878</v>
      </c>
      <c r="L1543" s="3"/>
      <c r="M1543" s="3"/>
      <c r="N1543" s="3"/>
      <c r="O1543" s="3"/>
      <c r="P1543" s="3"/>
      <c r="Q1543" s="3"/>
      <c r="R1543" s="3"/>
      <c r="S1543" s="3"/>
      <c r="T1543" s="3"/>
      <c r="U1543" s="3">
        <v>4900</v>
      </c>
      <c r="V1543" s="4">
        <v>38391</v>
      </c>
      <c r="W1543" s="3" t="s">
        <v>31</v>
      </c>
      <c r="X1543" s="3" t="s">
        <v>2879</v>
      </c>
    </row>
    <row r="1544" spans="1:24" ht="41.95" x14ac:dyDescent="0.3">
      <c r="A1544" s="5">
        <v>1538</v>
      </c>
      <c r="B1544" s="5" t="str">
        <f>"201600129383"</f>
        <v>201600129383</v>
      </c>
      <c r="C1544" s="5" t="str">
        <f>"123721"</f>
        <v>123721</v>
      </c>
      <c r="D1544" s="5" t="s">
        <v>7487</v>
      </c>
      <c r="E1544" s="5">
        <v>20494013453</v>
      </c>
      <c r="F1544" s="5" t="s">
        <v>7488</v>
      </c>
      <c r="G1544" s="5" t="s">
        <v>7489</v>
      </c>
      <c r="H1544" s="5" t="s">
        <v>373</v>
      </c>
      <c r="I1544" s="5" t="s">
        <v>373</v>
      </c>
      <c r="J1544" s="5" t="s">
        <v>7490</v>
      </c>
      <c r="K1544" s="5" t="s">
        <v>1217</v>
      </c>
      <c r="L1544" s="5"/>
      <c r="M1544" s="5"/>
      <c r="N1544" s="5"/>
      <c r="O1544" s="5"/>
      <c r="P1544" s="5"/>
      <c r="Q1544" s="5"/>
      <c r="R1544" s="5"/>
      <c r="S1544" s="5"/>
      <c r="T1544" s="5"/>
      <c r="U1544" s="5">
        <v>2500</v>
      </c>
      <c r="V1544" s="6">
        <v>42628</v>
      </c>
      <c r="W1544" s="5" t="s">
        <v>31</v>
      </c>
      <c r="X1544" s="5" t="s">
        <v>7491</v>
      </c>
    </row>
    <row r="1545" spans="1:24" x14ac:dyDescent="0.3">
      <c r="A1545" s="3">
        <v>1539</v>
      </c>
      <c r="B1545" s="3" t="str">
        <f>"1537632"</f>
        <v>1537632</v>
      </c>
      <c r="C1545" s="3" t="str">
        <f>"182"</f>
        <v>182</v>
      </c>
      <c r="D1545" s="3" t="s">
        <v>7492</v>
      </c>
      <c r="E1545" s="3">
        <v>20108068281</v>
      </c>
      <c r="F1545" s="3" t="s">
        <v>7493</v>
      </c>
      <c r="G1545" s="3" t="s">
        <v>7494</v>
      </c>
      <c r="H1545" s="3" t="s">
        <v>28</v>
      </c>
      <c r="I1545" s="3" t="s">
        <v>28</v>
      </c>
      <c r="J1545" s="3" t="s">
        <v>426</v>
      </c>
      <c r="K1545" s="3" t="s">
        <v>421</v>
      </c>
      <c r="L1545" s="3"/>
      <c r="M1545" s="3"/>
      <c r="N1545" s="3"/>
      <c r="O1545" s="3"/>
      <c r="P1545" s="3"/>
      <c r="Q1545" s="3"/>
      <c r="R1545" s="3"/>
      <c r="S1545" s="3"/>
      <c r="T1545" s="3"/>
      <c r="U1545" s="3">
        <v>5000</v>
      </c>
      <c r="V1545" s="4">
        <v>38523</v>
      </c>
      <c r="W1545" s="3" t="s">
        <v>31</v>
      </c>
      <c r="X1545" s="3" t="s">
        <v>7495</v>
      </c>
    </row>
    <row r="1546" spans="1:24" ht="27.95" x14ac:dyDescent="0.3">
      <c r="A1546" s="5">
        <v>1540</v>
      </c>
      <c r="B1546" s="5" t="str">
        <f>"201700221392"</f>
        <v>201700221392</v>
      </c>
      <c r="C1546" s="5" t="str">
        <f>"62833"</f>
        <v>62833</v>
      </c>
      <c r="D1546" s="5" t="s">
        <v>7496</v>
      </c>
      <c r="E1546" s="5">
        <v>20498189637</v>
      </c>
      <c r="F1546" s="5" t="s">
        <v>4275</v>
      </c>
      <c r="G1546" s="5" t="s">
        <v>7497</v>
      </c>
      <c r="H1546" s="5" t="s">
        <v>51</v>
      </c>
      <c r="I1546" s="5" t="s">
        <v>51</v>
      </c>
      <c r="J1546" s="5" t="s">
        <v>1177</v>
      </c>
      <c r="K1546" s="5" t="s">
        <v>7498</v>
      </c>
      <c r="L1546" s="5" t="s">
        <v>181</v>
      </c>
      <c r="M1546" s="5"/>
      <c r="N1546" s="5"/>
      <c r="O1546" s="5"/>
      <c r="P1546" s="5"/>
      <c r="Q1546" s="5"/>
      <c r="R1546" s="5"/>
      <c r="S1546" s="5"/>
      <c r="T1546" s="5"/>
      <c r="U1546" s="5">
        <v>10108</v>
      </c>
      <c r="V1546" s="6">
        <v>43108</v>
      </c>
      <c r="W1546" s="5" t="s">
        <v>31</v>
      </c>
      <c r="X1546" s="5" t="s">
        <v>4277</v>
      </c>
    </row>
    <row r="1547" spans="1:24" x14ac:dyDescent="0.3">
      <c r="A1547" s="3">
        <v>1541</v>
      </c>
      <c r="B1547" s="3" t="str">
        <f>"1967859"</f>
        <v>1967859</v>
      </c>
      <c r="C1547" s="3" t="str">
        <f>"1309"</f>
        <v>1309</v>
      </c>
      <c r="D1547" s="3" t="s">
        <v>7499</v>
      </c>
      <c r="E1547" s="3">
        <v>20100055237</v>
      </c>
      <c r="F1547" s="3" t="s">
        <v>7500</v>
      </c>
      <c r="G1547" s="3" t="s">
        <v>7501</v>
      </c>
      <c r="H1547" s="3" t="s">
        <v>51</v>
      </c>
      <c r="I1547" s="3" t="s">
        <v>51</v>
      </c>
      <c r="J1547" s="3" t="s">
        <v>51</v>
      </c>
      <c r="K1547" s="3" t="s">
        <v>7502</v>
      </c>
      <c r="L1547" s="3" t="s">
        <v>496</v>
      </c>
      <c r="M1547" s="3" t="s">
        <v>7503</v>
      </c>
      <c r="N1547" s="3" t="s">
        <v>7504</v>
      </c>
      <c r="O1547" s="3" t="s">
        <v>2025</v>
      </c>
      <c r="P1547" s="3" t="s">
        <v>7505</v>
      </c>
      <c r="Q1547" s="3" t="s">
        <v>7505</v>
      </c>
      <c r="R1547" s="3"/>
      <c r="S1547" s="3"/>
      <c r="T1547" s="3"/>
      <c r="U1547" s="3">
        <v>41350</v>
      </c>
      <c r="V1547" s="4">
        <v>40228</v>
      </c>
      <c r="W1547" s="3" t="s">
        <v>31</v>
      </c>
      <c r="X1547" s="3" t="s">
        <v>7506</v>
      </c>
    </row>
    <row r="1548" spans="1:24" x14ac:dyDescent="0.3">
      <c r="A1548" s="5">
        <v>1542</v>
      </c>
      <c r="B1548" s="5" t="str">
        <f>"1119372"</f>
        <v>1119372</v>
      </c>
      <c r="C1548" s="5" t="str">
        <f>"894"</f>
        <v>894</v>
      </c>
      <c r="D1548" s="5">
        <v>1023855</v>
      </c>
      <c r="E1548" s="5">
        <v>20120350634</v>
      </c>
      <c r="F1548" s="5" t="s">
        <v>7507</v>
      </c>
      <c r="G1548" s="5" t="s">
        <v>7508</v>
      </c>
      <c r="H1548" s="5" t="s">
        <v>566</v>
      </c>
      <c r="I1548" s="5" t="s">
        <v>2671</v>
      </c>
      <c r="J1548" s="5" t="s">
        <v>2671</v>
      </c>
      <c r="K1548" s="5" t="s">
        <v>329</v>
      </c>
      <c r="L1548" s="5"/>
      <c r="M1548" s="5"/>
      <c r="N1548" s="5"/>
      <c r="O1548" s="5"/>
      <c r="P1548" s="5"/>
      <c r="Q1548" s="5"/>
      <c r="R1548" s="5"/>
      <c r="S1548" s="5"/>
      <c r="T1548" s="5"/>
      <c r="U1548" s="5">
        <v>10000</v>
      </c>
      <c r="V1548" s="6">
        <v>35585</v>
      </c>
      <c r="W1548" s="5" t="s">
        <v>31</v>
      </c>
      <c r="X1548" s="5" t="s">
        <v>7509</v>
      </c>
    </row>
    <row r="1549" spans="1:24" ht="41.95" x14ac:dyDescent="0.3">
      <c r="A1549" s="3">
        <v>1543</v>
      </c>
      <c r="B1549" s="3" t="str">
        <f>"1527776"</f>
        <v>1527776</v>
      </c>
      <c r="C1549" s="3" t="str">
        <f>"40556"</f>
        <v>40556</v>
      </c>
      <c r="D1549" s="3" t="s">
        <v>7510</v>
      </c>
      <c r="E1549" s="3">
        <v>20132373958</v>
      </c>
      <c r="F1549" s="3" t="s">
        <v>2876</v>
      </c>
      <c r="G1549" s="3" t="s">
        <v>7511</v>
      </c>
      <c r="H1549" s="3" t="s">
        <v>36</v>
      </c>
      <c r="I1549" s="3" t="s">
        <v>234</v>
      </c>
      <c r="J1549" s="3" t="s">
        <v>235</v>
      </c>
      <c r="K1549" s="3" t="s">
        <v>2878</v>
      </c>
      <c r="L1549" s="3"/>
      <c r="M1549" s="3"/>
      <c r="N1549" s="3"/>
      <c r="O1549" s="3"/>
      <c r="P1549" s="3"/>
      <c r="Q1549" s="3"/>
      <c r="R1549" s="3"/>
      <c r="S1549" s="3"/>
      <c r="T1549" s="3"/>
      <c r="U1549" s="3">
        <v>4900</v>
      </c>
      <c r="V1549" s="4">
        <v>38393</v>
      </c>
      <c r="W1549" s="3" t="s">
        <v>31</v>
      </c>
      <c r="X1549" s="3" t="s">
        <v>2879</v>
      </c>
    </row>
    <row r="1550" spans="1:24" x14ac:dyDescent="0.3">
      <c r="A1550" s="5">
        <v>1544</v>
      </c>
      <c r="B1550" s="5" t="str">
        <f>"201700098219"</f>
        <v>201700098219</v>
      </c>
      <c r="C1550" s="5" t="str">
        <f>"33499"</f>
        <v>33499</v>
      </c>
      <c r="D1550" s="5" t="s">
        <v>7512</v>
      </c>
      <c r="E1550" s="5">
        <v>20601434335</v>
      </c>
      <c r="F1550" s="5" t="s">
        <v>7513</v>
      </c>
      <c r="G1550" s="5" t="s">
        <v>7514</v>
      </c>
      <c r="H1550" s="5" t="s">
        <v>2002</v>
      </c>
      <c r="I1550" s="5" t="s">
        <v>4574</v>
      </c>
      <c r="J1550" s="5" t="s">
        <v>5221</v>
      </c>
      <c r="K1550" s="5" t="s">
        <v>168</v>
      </c>
      <c r="L1550" s="5" t="s">
        <v>168</v>
      </c>
      <c r="M1550" s="5" t="s">
        <v>168</v>
      </c>
      <c r="N1550" s="5" t="s">
        <v>168</v>
      </c>
      <c r="O1550" s="5" t="s">
        <v>7515</v>
      </c>
      <c r="P1550" s="5" t="s">
        <v>7515</v>
      </c>
      <c r="Q1550" s="5" t="s">
        <v>1452</v>
      </c>
      <c r="R1550" s="5"/>
      <c r="S1550" s="5"/>
      <c r="T1550" s="5"/>
      <c r="U1550" s="5">
        <v>53300</v>
      </c>
      <c r="V1550" s="6">
        <v>42912</v>
      </c>
      <c r="W1550" s="5" t="s">
        <v>31</v>
      </c>
      <c r="X1550" s="5" t="s">
        <v>3526</v>
      </c>
    </row>
    <row r="1551" spans="1:24" x14ac:dyDescent="0.3">
      <c r="A1551" s="3">
        <v>1545</v>
      </c>
      <c r="B1551" s="3" t="str">
        <f>"1248728"</f>
        <v>1248728</v>
      </c>
      <c r="C1551" s="3" t="str">
        <f>"16532"</f>
        <v>16532</v>
      </c>
      <c r="D1551" s="3">
        <v>1248728</v>
      </c>
      <c r="E1551" s="3">
        <v>20109584666</v>
      </c>
      <c r="F1551" s="3" t="s">
        <v>7516</v>
      </c>
      <c r="G1551" s="3" t="s">
        <v>7517</v>
      </c>
      <c r="H1551" s="3" t="s">
        <v>115</v>
      </c>
      <c r="I1551" s="3" t="s">
        <v>115</v>
      </c>
      <c r="J1551" s="3" t="s">
        <v>159</v>
      </c>
      <c r="K1551" s="3" t="s">
        <v>259</v>
      </c>
      <c r="L1551" s="3"/>
      <c r="M1551" s="3"/>
      <c r="N1551" s="3"/>
      <c r="O1551" s="3"/>
      <c r="P1551" s="3"/>
      <c r="Q1551" s="3"/>
      <c r="R1551" s="3"/>
      <c r="S1551" s="3"/>
      <c r="T1551" s="3"/>
      <c r="U1551" s="3">
        <v>6000</v>
      </c>
      <c r="V1551" s="4">
        <v>36384</v>
      </c>
      <c r="W1551" s="3" t="s">
        <v>31</v>
      </c>
      <c r="X1551" s="3" t="s">
        <v>7518</v>
      </c>
    </row>
    <row r="1552" spans="1:24" ht="27.95" x14ac:dyDescent="0.3">
      <c r="A1552" s="5">
        <v>1546</v>
      </c>
      <c r="B1552" s="5" t="str">
        <f>"201900014565"</f>
        <v>201900014565</v>
      </c>
      <c r="C1552" s="5" t="str">
        <f>"141008"</f>
        <v>141008</v>
      </c>
      <c r="D1552" s="5" t="s">
        <v>7519</v>
      </c>
      <c r="E1552" s="5">
        <v>10311903212</v>
      </c>
      <c r="F1552" s="5" t="s">
        <v>7520</v>
      </c>
      <c r="G1552" s="5" t="s">
        <v>7521</v>
      </c>
      <c r="H1552" s="5" t="s">
        <v>165</v>
      </c>
      <c r="I1552" s="5" t="s">
        <v>166</v>
      </c>
      <c r="J1552" s="5" t="s">
        <v>167</v>
      </c>
      <c r="K1552" s="5" t="s">
        <v>7522</v>
      </c>
      <c r="L1552" s="5"/>
      <c r="M1552" s="5"/>
      <c r="N1552" s="5"/>
      <c r="O1552" s="5"/>
      <c r="P1552" s="5"/>
      <c r="Q1552" s="5"/>
      <c r="R1552" s="5"/>
      <c r="S1552" s="5"/>
      <c r="T1552" s="5"/>
      <c r="U1552" s="5">
        <v>7800</v>
      </c>
      <c r="V1552" s="6">
        <v>43493</v>
      </c>
      <c r="W1552" s="5" t="s">
        <v>31</v>
      </c>
      <c r="X1552" s="5" t="s">
        <v>7520</v>
      </c>
    </row>
    <row r="1553" spans="1:24" ht="27.95" x14ac:dyDescent="0.3">
      <c r="A1553" s="3">
        <v>1547</v>
      </c>
      <c r="B1553" s="3" t="str">
        <f>"201600035371"</f>
        <v>201600035371</v>
      </c>
      <c r="C1553" s="3" t="str">
        <f>"740"</f>
        <v>740</v>
      </c>
      <c r="D1553" s="3" t="s">
        <v>7523</v>
      </c>
      <c r="E1553" s="3">
        <v>20484004421</v>
      </c>
      <c r="F1553" s="3" t="s">
        <v>7524</v>
      </c>
      <c r="G1553" s="3" t="s">
        <v>7525</v>
      </c>
      <c r="H1553" s="3" t="s">
        <v>80</v>
      </c>
      <c r="I1553" s="3" t="s">
        <v>228</v>
      </c>
      <c r="J1553" s="3" t="s">
        <v>228</v>
      </c>
      <c r="K1553" s="3" t="s">
        <v>2856</v>
      </c>
      <c r="L1553" s="3"/>
      <c r="M1553" s="3"/>
      <c r="N1553" s="3"/>
      <c r="O1553" s="3"/>
      <c r="P1553" s="3"/>
      <c r="Q1553" s="3"/>
      <c r="R1553" s="3"/>
      <c r="S1553" s="3"/>
      <c r="T1553" s="3"/>
      <c r="U1553" s="3">
        <v>3000</v>
      </c>
      <c r="V1553" s="4">
        <v>42451</v>
      </c>
      <c r="W1553" s="3" t="s">
        <v>31</v>
      </c>
      <c r="X1553" s="3" t="s">
        <v>7526</v>
      </c>
    </row>
    <row r="1554" spans="1:24" x14ac:dyDescent="0.3">
      <c r="A1554" s="5">
        <v>1548</v>
      </c>
      <c r="B1554" s="5" t="str">
        <f>"1128477"</f>
        <v>1128477</v>
      </c>
      <c r="C1554" s="5" t="str">
        <f>"310"</f>
        <v>310</v>
      </c>
      <c r="D1554" s="5">
        <v>981871</v>
      </c>
      <c r="E1554" s="5">
        <v>20100062012</v>
      </c>
      <c r="F1554" s="5" t="s">
        <v>7527</v>
      </c>
      <c r="G1554" s="5" t="s">
        <v>7528</v>
      </c>
      <c r="H1554" s="5" t="s">
        <v>28</v>
      </c>
      <c r="I1554" s="5" t="s">
        <v>28</v>
      </c>
      <c r="J1554" s="5" t="s">
        <v>91</v>
      </c>
      <c r="K1554" s="5" t="s">
        <v>1775</v>
      </c>
      <c r="L1554" s="5"/>
      <c r="M1554" s="5"/>
      <c r="N1554" s="5"/>
      <c r="O1554" s="5"/>
      <c r="P1554" s="5"/>
      <c r="Q1554" s="5"/>
      <c r="R1554" s="5"/>
      <c r="S1554" s="5"/>
      <c r="T1554" s="5"/>
      <c r="U1554" s="5">
        <v>2500</v>
      </c>
      <c r="V1554" s="6">
        <v>35655</v>
      </c>
      <c r="W1554" s="5" t="s">
        <v>31</v>
      </c>
      <c r="X1554" s="5" t="s">
        <v>7529</v>
      </c>
    </row>
    <row r="1555" spans="1:24" x14ac:dyDescent="0.3">
      <c r="A1555" s="3">
        <v>1549</v>
      </c>
      <c r="B1555" s="3" t="str">
        <f>"201600081024"</f>
        <v>201600081024</v>
      </c>
      <c r="C1555" s="3" t="str">
        <f>"18250"</f>
        <v>18250</v>
      </c>
      <c r="D1555" s="3" t="s">
        <v>7530</v>
      </c>
      <c r="E1555" s="3">
        <v>20330262428</v>
      </c>
      <c r="F1555" s="3" t="s">
        <v>1106</v>
      </c>
      <c r="G1555" s="3" t="s">
        <v>7531</v>
      </c>
      <c r="H1555" s="3" t="s">
        <v>285</v>
      </c>
      <c r="I1555" s="3" t="s">
        <v>3700</v>
      </c>
      <c r="J1555" s="3" t="s">
        <v>3700</v>
      </c>
      <c r="K1555" s="3" t="s">
        <v>168</v>
      </c>
      <c r="L1555" s="3"/>
      <c r="M1555" s="3"/>
      <c r="N1555" s="3"/>
      <c r="O1555" s="3"/>
      <c r="P1555" s="3"/>
      <c r="Q1555" s="3"/>
      <c r="R1555" s="3"/>
      <c r="S1555" s="3"/>
      <c r="T1555" s="3"/>
      <c r="U1555" s="3">
        <v>10000</v>
      </c>
      <c r="V1555" s="4">
        <v>42535</v>
      </c>
      <c r="W1555" s="3" t="s">
        <v>31</v>
      </c>
      <c r="X1555" s="3" t="s">
        <v>4651</v>
      </c>
    </row>
    <row r="1556" spans="1:24" x14ac:dyDescent="0.3">
      <c r="A1556" s="5">
        <v>1550</v>
      </c>
      <c r="B1556" s="5" t="str">
        <f>"1115105"</f>
        <v>1115105</v>
      </c>
      <c r="C1556" s="5" t="str">
        <f>"559"</f>
        <v>559</v>
      </c>
      <c r="D1556" s="5">
        <v>1000206</v>
      </c>
      <c r="E1556" s="5">
        <v>20100014719</v>
      </c>
      <c r="F1556" s="5" t="s">
        <v>7532</v>
      </c>
      <c r="G1556" s="5" t="s">
        <v>7533</v>
      </c>
      <c r="H1556" s="5" t="s">
        <v>115</v>
      </c>
      <c r="I1556" s="5" t="s">
        <v>115</v>
      </c>
      <c r="J1556" s="5" t="s">
        <v>116</v>
      </c>
      <c r="K1556" s="5" t="s">
        <v>1997</v>
      </c>
      <c r="L1556" s="5" t="s">
        <v>1997</v>
      </c>
      <c r="M1556" s="5"/>
      <c r="N1556" s="5"/>
      <c r="O1556" s="5"/>
      <c r="P1556" s="5"/>
      <c r="Q1556" s="5"/>
      <c r="R1556" s="5"/>
      <c r="S1556" s="5"/>
      <c r="T1556" s="5"/>
      <c r="U1556" s="5">
        <v>14000</v>
      </c>
      <c r="V1556" s="6">
        <v>35529</v>
      </c>
      <c r="W1556" s="5" t="s">
        <v>31</v>
      </c>
      <c r="X1556" s="5" t="s">
        <v>7534</v>
      </c>
    </row>
    <row r="1557" spans="1:24" x14ac:dyDescent="0.3">
      <c r="A1557" s="3">
        <v>1551</v>
      </c>
      <c r="B1557" s="3" t="str">
        <f>"1920488"</f>
        <v>1920488</v>
      </c>
      <c r="C1557" s="3" t="str">
        <f>"1371"</f>
        <v>1371</v>
      </c>
      <c r="D1557" s="3" t="s">
        <v>7535</v>
      </c>
      <c r="E1557" s="3">
        <v>20131895365</v>
      </c>
      <c r="F1557" s="3" t="s">
        <v>2965</v>
      </c>
      <c r="G1557" s="3" t="s">
        <v>7536</v>
      </c>
      <c r="H1557" s="3" t="s">
        <v>80</v>
      </c>
      <c r="I1557" s="3" t="s">
        <v>309</v>
      </c>
      <c r="J1557" s="3" t="s">
        <v>309</v>
      </c>
      <c r="K1557" s="3" t="s">
        <v>2848</v>
      </c>
      <c r="L1557" s="3"/>
      <c r="M1557" s="3"/>
      <c r="N1557" s="3"/>
      <c r="O1557" s="3"/>
      <c r="P1557" s="3"/>
      <c r="Q1557" s="3"/>
      <c r="R1557" s="3"/>
      <c r="S1557" s="3"/>
      <c r="T1557" s="3"/>
      <c r="U1557" s="3">
        <v>20000</v>
      </c>
      <c r="V1557" s="4">
        <v>40058</v>
      </c>
      <c r="W1557" s="3" t="s">
        <v>31</v>
      </c>
      <c r="X1557" s="3" t="s">
        <v>7537</v>
      </c>
    </row>
    <row r="1558" spans="1:24" ht="27.95" x14ac:dyDescent="0.3">
      <c r="A1558" s="5">
        <v>1552</v>
      </c>
      <c r="B1558" s="5" t="str">
        <f>"201700193664"</f>
        <v>201700193664</v>
      </c>
      <c r="C1558" s="5" t="str">
        <f>"678"</f>
        <v>678</v>
      </c>
      <c r="D1558" s="5" t="s">
        <v>7538</v>
      </c>
      <c r="E1558" s="5">
        <v>20216293593</v>
      </c>
      <c r="F1558" s="5" t="s">
        <v>7539</v>
      </c>
      <c r="G1558" s="5" t="s">
        <v>7540</v>
      </c>
      <c r="H1558" s="5" t="s">
        <v>51</v>
      </c>
      <c r="I1558" s="5" t="s">
        <v>51</v>
      </c>
      <c r="J1558" s="5" t="s">
        <v>51</v>
      </c>
      <c r="K1558" s="5" t="s">
        <v>7541</v>
      </c>
      <c r="L1558" s="5" t="s">
        <v>7541</v>
      </c>
      <c r="M1558" s="5" t="s">
        <v>7542</v>
      </c>
      <c r="N1558" s="5"/>
      <c r="O1558" s="5"/>
      <c r="P1558" s="5"/>
      <c r="Q1558" s="5"/>
      <c r="R1558" s="5"/>
      <c r="S1558" s="5"/>
      <c r="T1558" s="5"/>
      <c r="U1558" s="5">
        <v>383000</v>
      </c>
      <c r="V1558" s="6">
        <v>43054</v>
      </c>
      <c r="W1558" s="5" t="s">
        <v>31</v>
      </c>
      <c r="X1558" s="5" t="s">
        <v>7543</v>
      </c>
    </row>
    <row r="1559" spans="1:24" x14ac:dyDescent="0.3">
      <c r="A1559" s="3">
        <v>1553</v>
      </c>
      <c r="B1559" s="3" t="str">
        <f>"1484968"</f>
        <v>1484968</v>
      </c>
      <c r="C1559" s="3" t="str">
        <f>"91386"</f>
        <v>91386</v>
      </c>
      <c r="D1559" s="3" t="s">
        <v>7544</v>
      </c>
      <c r="E1559" s="3">
        <v>20432747833</v>
      </c>
      <c r="F1559" s="3" t="s">
        <v>7545</v>
      </c>
      <c r="G1559" s="3" t="s">
        <v>7546</v>
      </c>
      <c r="H1559" s="3" t="s">
        <v>550</v>
      </c>
      <c r="I1559" s="3" t="s">
        <v>2649</v>
      </c>
      <c r="J1559" s="3" t="s">
        <v>2650</v>
      </c>
      <c r="K1559" s="3" t="s">
        <v>7547</v>
      </c>
      <c r="L1559" s="3" t="s">
        <v>7547</v>
      </c>
      <c r="M1559" s="3"/>
      <c r="N1559" s="3"/>
      <c r="O1559" s="3"/>
      <c r="P1559" s="3"/>
      <c r="Q1559" s="3"/>
      <c r="R1559" s="3"/>
      <c r="S1559" s="3"/>
      <c r="T1559" s="3"/>
      <c r="U1559" s="3">
        <v>25000</v>
      </c>
      <c r="V1559" s="4">
        <v>40688</v>
      </c>
      <c r="W1559" s="3" t="s">
        <v>31</v>
      </c>
      <c r="X1559" s="3" t="s">
        <v>7548</v>
      </c>
    </row>
    <row r="1560" spans="1:24" ht="41.95" x14ac:dyDescent="0.3">
      <c r="A1560" s="5">
        <v>1554</v>
      </c>
      <c r="B1560" s="5" t="str">
        <f>"1405662"</f>
        <v>1405662</v>
      </c>
      <c r="C1560" s="5" t="str">
        <f>"87898"</f>
        <v>87898</v>
      </c>
      <c r="D1560" s="5" t="s">
        <v>7549</v>
      </c>
      <c r="E1560" s="5">
        <v>20506342563</v>
      </c>
      <c r="F1560" s="5" t="s">
        <v>7550</v>
      </c>
      <c r="G1560" s="5" t="s">
        <v>7551</v>
      </c>
      <c r="H1560" s="5" t="s">
        <v>28</v>
      </c>
      <c r="I1560" s="5" t="s">
        <v>122</v>
      </c>
      <c r="J1560" s="5" t="s">
        <v>3998</v>
      </c>
      <c r="K1560" s="5" t="s">
        <v>7552</v>
      </c>
      <c r="L1560" s="5" t="s">
        <v>7553</v>
      </c>
      <c r="M1560" s="5" t="s">
        <v>7553</v>
      </c>
      <c r="N1560" s="5" t="s">
        <v>7553</v>
      </c>
      <c r="O1560" s="5"/>
      <c r="P1560" s="5"/>
      <c r="Q1560" s="5"/>
      <c r="R1560" s="5"/>
      <c r="S1560" s="5"/>
      <c r="T1560" s="5"/>
      <c r="U1560" s="5">
        <v>38570</v>
      </c>
      <c r="V1560" s="6">
        <v>40424</v>
      </c>
      <c r="W1560" s="5" t="s">
        <v>31</v>
      </c>
      <c r="X1560" s="5" t="s">
        <v>7554</v>
      </c>
    </row>
    <row r="1561" spans="1:24" x14ac:dyDescent="0.3">
      <c r="A1561" s="3">
        <v>1555</v>
      </c>
      <c r="B1561" s="3" t="str">
        <f>"1377904"</f>
        <v>1377904</v>
      </c>
      <c r="C1561" s="3" t="str">
        <f>"18676"</f>
        <v>18676</v>
      </c>
      <c r="D1561" s="3" t="s">
        <v>7555</v>
      </c>
      <c r="E1561" s="3">
        <v>20309525532</v>
      </c>
      <c r="F1561" s="3" t="s">
        <v>7556</v>
      </c>
      <c r="G1561" s="3" t="s">
        <v>7557</v>
      </c>
      <c r="H1561" s="3" t="s">
        <v>334</v>
      </c>
      <c r="I1561" s="3" t="s">
        <v>335</v>
      </c>
      <c r="J1561" s="3" t="s">
        <v>336</v>
      </c>
      <c r="K1561" s="3" t="s">
        <v>7558</v>
      </c>
      <c r="L1561" s="3" t="s">
        <v>1422</v>
      </c>
      <c r="M1561" s="3"/>
      <c r="N1561" s="3"/>
      <c r="O1561" s="3"/>
      <c r="P1561" s="3"/>
      <c r="Q1561" s="3"/>
      <c r="R1561" s="3"/>
      <c r="S1561" s="3"/>
      <c r="T1561" s="3"/>
      <c r="U1561" s="3">
        <v>13000</v>
      </c>
      <c r="V1561" s="4">
        <v>37474</v>
      </c>
      <c r="W1561" s="3" t="s">
        <v>31</v>
      </c>
      <c r="X1561" s="3" t="s">
        <v>7559</v>
      </c>
    </row>
    <row r="1562" spans="1:24" ht="27.95" x14ac:dyDescent="0.3">
      <c r="A1562" s="5">
        <v>1556</v>
      </c>
      <c r="B1562" s="5" t="str">
        <f>"201700110496"</f>
        <v>201700110496</v>
      </c>
      <c r="C1562" s="5" t="str">
        <f>"130526"</f>
        <v>130526</v>
      </c>
      <c r="D1562" s="5" t="s">
        <v>7560</v>
      </c>
      <c r="E1562" s="5">
        <v>20148168955</v>
      </c>
      <c r="F1562" s="5" t="s">
        <v>5951</v>
      </c>
      <c r="G1562" s="5" t="s">
        <v>7561</v>
      </c>
      <c r="H1562" s="5" t="s">
        <v>373</v>
      </c>
      <c r="I1562" s="5" t="s">
        <v>7562</v>
      </c>
      <c r="J1562" s="5" t="s">
        <v>7563</v>
      </c>
      <c r="K1562" s="5" t="s">
        <v>7564</v>
      </c>
      <c r="L1562" s="5"/>
      <c r="M1562" s="5"/>
      <c r="N1562" s="5"/>
      <c r="O1562" s="5"/>
      <c r="P1562" s="5"/>
      <c r="Q1562" s="5"/>
      <c r="R1562" s="5"/>
      <c r="S1562" s="5"/>
      <c r="T1562" s="5"/>
      <c r="U1562" s="5">
        <v>1800</v>
      </c>
      <c r="V1562" s="6">
        <v>42933</v>
      </c>
      <c r="W1562" s="5" t="s">
        <v>31</v>
      </c>
      <c r="X1562" s="5" t="s">
        <v>7565</v>
      </c>
    </row>
    <row r="1563" spans="1:24" ht="27.95" x14ac:dyDescent="0.3">
      <c r="A1563" s="3">
        <v>1557</v>
      </c>
      <c r="B1563" s="3" t="str">
        <f>"1487645"</f>
        <v>1487645</v>
      </c>
      <c r="C1563" s="3" t="str">
        <f>"21434"</f>
        <v>21434</v>
      </c>
      <c r="D1563" s="3" t="s">
        <v>7566</v>
      </c>
      <c r="E1563" s="3">
        <v>20451833198</v>
      </c>
      <c r="F1563" s="3" t="s">
        <v>7567</v>
      </c>
      <c r="G1563" s="3" t="s">
        <v>7568</v>
      </c>
      <c r="H1563" s="3" t="s">
        <v>36</v>
      </c>
      <c r="I1563" s="3" t="s">
        <v>514</v>
      </c>
      <c r="J1563" s="3" t="s">
        <v>514</v>
      </c>
      <c r="K1563" s="3" t="s">
        <v>7569</v>
      </c>
      <c r="L1563" s="3"/>
      <c r="M1563" s="3"/>
      <c r="N1563" s="3"/>
      <c r="O1563" s="3"/>
      <c r="P1563" s="3"/>
      <c r="Q1563" s="3"/>
      <c r="R1563" s="3"/>
      <c r="S1563" s="3"/>
      <c r="T1563" s="3"/>
      <c r="U1563" s="3">
        <v>5200</v>
      </c>
      <c r="V1563" s="4">
        <v>40735</v>
      </c>
      <c r="W1563" s="3" t="s">
        <v>31</v>
      </c>
      <c r="X1563" s="3" t="s">
        <v>7570</v>
      </c>
    </row>
    <row r="1564" spans="1:24" x14ac:dyDescent="0.3">
      <c r="A1564" s="5">
        <v>1558</v>
      </c>
      <c r="B1564" s="5" t="str">
        <f>"1202280"</f>
        <v>1202280</v>
      </c>
      <c r="C1564" s="5" t="str">
        <f>"18642"</f>
        <v>18642</v>
      </c>
      <c r="D1564" s="5" t="s">
        <v>7571</v>
      </c>
      <c r="E1564" s="5">
        <v>20113597365</v>
      </c>
      <c r="F1564" s="5" t="s">
        <v>7572</v>
      </c>
      <c r="G1564" s="5" t="s">
        <v>7573</v>
      </c>
      <c r="H1564" s="5" t="s">
        <v>80</v>
      </c>
      <c r="I1564" s="5" t="s">
        <v>80</v>
      </c>
      <c r="J1564" s="5" t="s">
        <v>129</v>
      </c>
      <c r="K1564" s="5" t="s">
        <v>1775</v>
      </c>
      <c r="L1564" s="5"/>
      <c r="M1564" s="5"/>
      <c r="N1564" s="5"/>
      <c r="O1564" s="5"/>
      <c r="P1564" s="5"/>
      <c r="Q1564" s="5"/>
      <c r="R1564" s="5"/>
      <c r="S1564" s="5"/>
      <c r="T1564" s="5"/>
      <c r="U1564" s="5">
        <v>2500</v>
      </c>
      <c r="V1564" s="6">
        <v>36600</v>
      </c>
      <c r="W1564" s="5" t="s">
        <v>31</v>
      </c>
      <c r="X1564" s="5" t="s">
        <v>7574</v>
      </c>
    </row>
    <row r="1565" spans="1:24" ht="27.95" x14ac:dyDescent="0.3">
      <c r="A1565" s="3">
        <v>1559</v>
      </c>
      <c r="B1565" s="3" t="str">
        <f>"201400156236"</f>
        <v>201400156236</v>
      </c>
      <c r="C1565" s="3" t="str">
        <f>"63849"</f>
        <v>63849</v>
      </c>
      <c r="D1565" s="3" t="s">
        <v>7575</v>
      </c>
      <c r="E1565" s="3">
        <v>20486340101</v>
      </c>
      <c r="F1565" s="3" t="s">
        <v>7576</v>
      </c>
      <c r="G1565" s="3" t="s">
        <v>7577</v>
      </c>
      <c r="H1565" s="3" t="s">
        <v>566</v>
      </c>
      <c r="I1565" s="3" t="s">
        <v>1031</v>
      </c>
      <c r="J1565" s="3" t="s">
        <v>1031</v>
      </c>
      <c r="K1565" s="3" t="s">
        <v>4545</v>
      </c>
      <c r="L1565" s="3" t="s">
        <v>7578</v>
      </c>
      <c r="M1565" s="3"/>
      <c r="N1565" s="3"/>
      <c r="O1565" s="3"/>
      <c r="P1565" s="3"/>
      <c r="Q1565" s="3"/>
      <c r="R1565" s="3"/>
      <c r="S1565" s="3"/>
      <c r="T1565" s="3"/>
      <c r="U1565" s="3">
        <v>12168</v>
      </c>
      <c r="V1565" s="4">
        <v>41977</v>
      </c>
      <c r="W1565" s="3" t="s">
        <v>31</v>
      </c>
      <c r="X1565" s="3" t="s">
        <v>7579</v>
      </c>
    </row>
    <row r="1566" spans="1:24" x14ac:dyDescent="0.3">
      <c r="A1566" s="5">
        <v>1560</v>
      </c>
      <c r="B1566" s="5" t="str">
        <f>"201400132709"</f>
        <v>201400132709</v>
      </c>
      <c r="C1566" s="5" t="str">
        <f>"1162"</f>
        <v>1162</v>
      </c>
      <c r="D1566" s="5" t="s">
        <v>7580</v>
      </c>
      <c r="E1566" s="5">
        <v>20116544289</v>
      </c>
      <c r="F1566" s="5" t="s">
        <v>7581</v>
      </c>
      <c r="G1566" s="5" t="s">
        <v>7582</v>
      </c>
      <c r="H1566" s="5" t="s">
        <v>165</v>
      </c>
      <c r="I1566" s="5" t="s">
        <v>732</v>
      </c>
      <c r="J1566" s="5" t="s">
        <v>732</v>
      </c>
      <c r="K1566" s="5" t="s">
        <v>7583</v>
      </c>
      <c r="L1566" s="5"/>
      <c r="M1566" s="5"/>
      <c r="N1566" s="5"/>
      <c r="O1566" s="5"/>
      <c r="P1566" s="5"/>
      <c r="Q1566" s="5"/>
      <c r="R1566" s="5"/>
      <c r="S1566" s="5"/>
      <c r="T1566" s="5"/>
      <c r="U1566" s="5">
        <v>198482</v>
      </c>
      <c r="V1566" s="6">
        <v>41967</v>
      </c>
      <c r="W1566" s="5" t="s">
        <v>31</v>
      </c>
      <c r="X1566" s="5" t="s">
        <v>7584</v>
      </c>
    </row>
    <row r="1567" spans="1:24" ht="27.95" x14ac:dyDescent="0.3">
      <c r="A1567" s="3">
        <v>1561</v>
      </c>
      <c r="B1567" s="3" t="str">
        <f>"201600091211"</f>
        <v>201600091211</v>
      </c>
      <c r="C1567" s="3" t="str">
        <f>"122206"</f>
        <v>122206</v>
      </c>
      <c r="D1567" s="3" t="s">
        <v>7585</v>
      </c>
      <c r="E1567" s="3">
        <v>20172474501</v>
      </c>
      <c r="F1567" s="3" t="s">
        <v>7586</v>
      </c>
      <c r="G1567" s="3" t="s">
        <v>7587</v>
      </c>
      <c r="H1567" s="3" t="s">
        <v>214</v>
      </c>
      <c r="I1567" s="3" t="s">
        <v>214</v>
      </c>
      <c r="J1567" s="3" t="s">
        <v>214</v>
      </c>
      <c r="K1567" s="3" t="s">
        <v>130</v>
      </c>
      <c r="L1567" s="3"/>
      <c r="M1567" s="3"/>
      <c r="N1567" s="3"/>
      <c r="O1567" s="3"/>
      <c r="P1567" s="3"/>
      <c r="Q1567" s="3"/>
      <c r="R1567" s="3"/>
      <c r="S1567" s="3"/>
      <c r="T1567" s="3"/>
      <c r="U1567" s="3">
        <v>3000</v>
      </c>
      <c r="V1567" s="4">
        <v>42590</v>
      </c>
      <c r="W1567" s="3" t="s">
        <v>31</v>
      </c>
      <c r="X1567" s="3" t="s">
        <v>7588</v>
      </c>
    </row>
    <row r="1568" spans="1:24" ht="27.95" x14ac:dyDescent="0.3">
      <c r="A1568" s="5">
        <v>1562</v>
      </c>
      <c r="B1568" s="5" t="str">
        <f>"1521308"</f>
        <v>1521308</v>
      </c>
      <c r="C1568" s="5" t="str">
        <f>"40521"</f>
        <v>40521</v>
      </c>
      <c r="D1568" s="5" t="s">
        <v>7589</v>
      </c>
      <c r="E1568" s="5">
        <v>20501480925</v>
      </c>
      <c r="F1568" s="5" t="s">
        <v>7590</v>
      </c>
      <c r="G1568" s="5" t="s">
        <v>7591</v>
      </c>
      <c r="H1568" s="5" t="s">
        <v>28</v>
      </c>
      <c r="I1568" s="5" t="s">
        <v>72</v>
      </c>
      <c r="J1568" s="5" t="s">
        <v>322</v>
      </c>
      <c r="K1568" s="5" t="s">
        <v>323</v>
      </c>
      <c r="L1568" s="5"/>
      <c r="M1568" s="5"/>
      <c r="N1568" s="5"/>
      <c r="O1568" s="5"/>
      <c r="P1568" s="5"/>
      <c r="Q1568" s="5"/>
      <c r="R1568" s="5"/>
      <c r="S1568" s="5"/>
      <c r="T1568" s="5"/>
      <c r="U1568" s="5">
        <v>4000</v>
      </c>
      <c r="V1568" s="6">
        <v>38428</v>
      </c>
      <c r="W1568" s="5" t="s">
        <v>31</v>
      </c>
      <c r="X1568" s="5" t="s">
        <v>7592</v>
      </c>
    </row>
    <row r="1569" spans="1:24" x14ac:dyDescent="0.3">
      <c r="A1569" s="3">
        <v>1563</v>
      </c>
      <c r="B1569" s="3" t="str">
        <f>"201600063361"</f>
        <v>201600063361</v>
      </c>
      <c r="C1569" s="3" t="str">
        <f>"53"</f>
        <v>53</v>
      </c>
      <c r="D1569" s="3" t="s">
        <v>7593</v>
      </c>
      <c r="E1569" s="3">
        <v>20514608041</v>
      </c>
      <c r="F1569" s="3" t="s">
        <v>7594</v>
      </c>
      <c r="G1569" s="3" t="s">
        <v>7595</v>
      </c>
      <c r="H1569" s="3" t="s">
        <v>921</v>
      </c>
      <c r="I1569" s="3" t="s">
        <v>921</v>
      </c>
      <c r="J1569" s="3" t="s">
        <v>1162</v>
      </c>
      <c r="K1569" s="3" t="s">
        <v>2180</v>
      </c>
      <c r="L1569" s="3"/>
      <c r="M1569" s="3"/>
      <c r="N1569" s="3"/>
      <c r="O1569" s="3"/>
      <c r="P1569" s="3"/>
      <c r="Q1569" s="3"/>
      <c r="R1569" s="3"/>
      <c r="S1569" s="3"/>
      <c r="T1569" s="3"/>
      <c r="U1569" s="3">
        <v>30000</v>
      </c>
      <c r="V1569" s="4">
        <v>42495</v>
      </c>
      <c r="W1569" s="3" t="s">
        <v>31</v>
      </c>
      <c r="X1569" s="3" t="s">
        <v>3126</v>
      </c>
    </row>
    <row r="1570" spans="1:24" x14ac:dyDescent="0.3">
      <c r="A1570" s="5">
        <v>1564</v>
      </c>
      <c r="B1570" s="5" t="str">
        <f>"201400040949"</f>
        <v>201400040949</v>
      </c>
      <c r="C1570" s="5" t="str">
        <f>"108774"</f>
        <v>108774</v>
      </c>
      <c r="D1570" s="5" t="s">
        <v>7596</v>
      </c>
      <c r="E1570" s="5">
        <v>20531496851</v>
      </c>
      <c r="F1570" s="5" t="s">
        <v>7597</v>
      </c>
      <c r="G1570" s="5" t="s">
        <v>7598</v>
      </c>
      <c r="H1570" s="5" t="s">
        <v>58</v>
      </c>
      <c r="I1570" s="5" t="s">
        <v>507</v>
      </c>
      <c r="J1570" s="5" t="s">
        <v>508</v>
      </c>
      <c r="K1570" s="5" t="s">
        <v>4412</v>
      </c>
      <c r="L1570" s="5"/>
      <c r="M1570" s="5"/>
      <c r="N1570" s="5"/>
      <c r="O1570" s="5"/>
      <c r="P1570" s="5"/>
      <c r="Q1570" s="5"/>
      <c r="R1570" s="5"/>
      <c r="S1570" s="5"/>
      <c r="T1570" s="5"/>
      <c r="U1570" s="5">
        <v>1100</v>
      </c>
      <c r="V1570" s="6">
        <v>41738</v>
      </c>
      <c r="W1570" s="5" t="s">
        <v>31</v>
      </c>
      <c r="X1570" s="5" t="s">
        <v>7599</v>
      </c>
    </row>
    <row r="1571" spans="1:24" x14ac:dyDescent="0.3">
      <c r="A1571" s="3">
        <v>1565</v>
      </c>
      <c r="B1571" s="3" t="str">
        <f>"201600081035"</f>
        <v>201600081035</v>
      </c>
      <c r="C1571" s="3" t="str">
        <f>"39382"</f>
        <v>39382</v>
      </c>
      <c r="D1571" s="3" t="s">
        <v>7600</v>
      </c>
      <c r="E1571" s="3">
        <v>20330262428</v>
      </c>
      <c r="F1571" s="3" t="s">
        <v>1106</v>
      </c>
      <c r="G1571" s="3" t="s">
        <v>7601</v>
      </c>
      <c r="H1571" s="3" t="s">
        <v>285</v>
      </c>
      <c r="I1571" s="3" t="s">
        <v>1087</v>
      </c>
      <c r="J1571" s="3" t="s">
        <v>1088</v>
      </c>
      <c r="K1571" s="3" t="s">
        <v>1475</v>
      </c>
      <c r="L1571" s="3"/>
      <c r="M1571" s="3"/>
      <c r="N1571" s="3"/>
      <c r="O1571" s="3"/>
      <c r="P1571" s="3"/>
      <c r="Q1571" s="3"/>
      <c r="R1571" s="3"/>
      <c r="S1571" s="3"/>
      <c r="T1571" s="3"/>
      <c r="U1571" s="3">
        <v>35000</v>
      </c>
      <c r="V1571" s="4">
        <v>42535</v>
      </c>
      <c r="W1571" s="3" t="s">
        <v>31</v>
      </c>
      <c r="X1571" s="3" t="s">
        <v>4651</v>
      </c>
    </row>
    <row r="1572" spans="1:24" ht="27.95" x14ac:dyDescent="0.3">
      <c r="A1572" s="5">
        <v>1566</v>
      </c>
      <c r="B1572" s="5" t="str">
        <f>"201700064518"</f>
        <v>201700064518</v>
      </c>
      <c r="C1572" s="5" t="str">
        <f>"45037"</f>
        <v>45037</v>
      </c>
      <c r="D1572" s="5" t="s">
        <v>7602</v>
      </c>
      <c r="E1572" s="5">
        <v>20438637380</v>
      </c>
      <c r="F1572" s="5" t="s">
        <v>5755</v>
      </c>
      <c r="G1572" s="5" t="s">
        <v>7603</v>
      </c>
      <c r="H1572" s="5" t="s">
        <v>36</v>
      </c>
      <c r="I1572" s="5" t="s">
        <v>234</v>
      </c>
      <c r="J1572" s="5" t="s">
        <v>234</v>
      </c>
      <c r="K1572" s="5" t="s">
        <v>7604</v>
      </c>
      <c r="L1572" s="5" t="s">
        <v>7604</v>
      </c>
      <c r="M1572" s="5" t="s">
        <v>2625</v>
      </c>
      <c r="N1572" s="5"/>
      <c r="O1572" s="5"/>
      <c r="P1572" s="5"/>
      <c r="Q1572" s="5"/>
      <c r="R1572" s="5"/>
      <c r="S1572" s="5"/>
      <c r="T1572" s="5"/>
      <c r="U1572" s="5">
        <v>9900</v>
      </c>
      <c r="V1572" s="6">
        <v>42855</v>
      </c>
      <c r="W1572" s="5" t="s">
        <v>31</v>
      </c>
      <c r="X1572" s="5" t="s">
        <v>2696</v>
      </c>
    </row>
    <row r="1573" spans="1:24" x14ac:dyDescent="0.3">
      <c r="A1573" s="3">
        <v>1567</v>
      </c>
      <c r="B1573" s="3" t="str">
        <f>"201200069026"</f>
        <v>201200069026</v>
      </c>
      <c r="C1573" s="3" t="str">
        <f>"42037"</f>
        <v>42037</v>
      </c>
      <c r="D1573" s="3" t="s">
        <v>7605</v>
      </c>
      <c r="E1573" s="3">
        <v>20380336384</v>
      </c>
      <c r="F1573" s="3" t="s">
        <v>860</v>
      </c>
      <c r="G1573" s="3" t="s">
        <v>7606</v>
      </c>
      <c r="H1573" s="3" t="s">
        <v>115</v>
      </c>
      <c r="I1573" s="3" t="s">
        <v>115</v>
      </c>
      <c r="J1573" s="3" t="s">
        <v>159</v>
      </c>
      <c r="K1573" s="3" t="s">
        <v>5831</v>
      </c>
      <c r="L1573" s="3" t="s">
        <v>7607</v>
      </c>
      <c r="M1573" s="3" t="s">
        <v>7608</v>
      </c>
      <c r="N1573" s="3" t="s">
        <v>7609</v>
      </c>
      <c r="O1573" s="3" t="s">
        <v>7610</v>
      </c>
      <c r="P1573" s="3"/>
      <c r="Q1573" s="3"/>
      <c r="R1573" s="3"/>
      <c r="S1573" s="3"/>
      <c r="T1573" s="3"/>
      <c r="U1573" s="3">
        <v>102735</v>
      </c>
      <c r="V1573" s="4">
        <v>41051</v>
      </c>
      <c r="W1573" s="3" t="s">
        <v>31</v>
      </c>
      <c r="X1573" s="3" t="s">
        <v>7611</v>
      </c>
    </row>
    <row r="1574" spans="1:24" x14ac:dyDescent="0.3">
      <c r="A1574" s="5">
        <v>1568</v>
      </c>
      <c r="B1574" s="5" t="str">
        <f>"201500063212"</f>
        <v>201500063212</v>
      </c>
      <c r="C1574" s="5" t="str">
        <f>"113762"</f>
        <v>113762</v>
      </c>
      <c r="D1574" s="5" t="s">
        <v>7612</v>
      </c>
      <c r="E1574" s="5">
        <v>20524380472</v>
      </c>
      <c r="F1574" s="5" t="s">
        <v>7613</v>
      </c>
      <c r="G1574" s="5" t="s">
        <v>7614</v>
      </c>
      <c r="H1574" s="5" t="s">
        <v>285</v>
      </c>
      <c r="I1574" s="5" t="s">
        <v>7615</v>
      </c>
      <c r="J1574" s="5" t="s">
        <v>7616</v>
      </c>
      <c r="K1574" s="5" t="s">
        <v>7617</v>
      </c>
      <c r="L1574" s="5" t="s">
        <v>7618</v>
      </c>
      <c r="M1574" s="5"/>
      <c r="N1574" s="5"/>
      <c r="O1574" s="5"/>
      <c r="P1574" s="5"/>
      <c r="Q1574" s="5"/>
      <c r="R1574" s="5"/>
      <c r="S1574" s="5"/>
      <c r="T1574" s="5"/>
      <c r="U1574" s="5">
        <v>10200</v>
      </c>
      <c r="V1574" s="6">
        <v>42144</v>
      </c>
      <c r="W1574" s="5" t="s">
        <v>31</v>
      </c>
      <c r="X1574" s="5" t="s">
        <v>7619</v>
      </c>
    </row>
    <row r="1575" spans="1:24" x14ac:dyDescent="0.3">
      <c r="A1575" s="3">
        <v>1569</v>
      </c>
      <c r="B1575" s="3" t="str">
        <f>"201900050620"</f>
        <v>201900050620</v>
      </c>
      <c r="C1575" s="3" t="str">
        <f>"142316"</f>
        <v>142316</v>
      </c>
      <c r="D1575" s="3" t="s">
        <v>7620</v>
      </c>
      <c r="E1575" s="3">
        <v>20485052446</v>
      </c>
      <c r="F1575" s="3" t="s">
        <v>7621</v>
      </c>
      <c r="G1575" s="3" t="s">
        <v>7622</v>
      </c>
      <c r="H1575" s="3" t="s">
        <v>214</v>
      </c>
      <c r="I1575" s="3" t="s">
        <v>214</v>
      </c>
      <c r="J1575" s="3" t="s">
        <v>6813</v>
      </c>
      <c r="K1575" s="3" t="s">
        <v>130</v>
      </c>
      <c r="L1575" s="3"/>
      <c r="M1575" s="3"/>
      <c r="N1575" s="3"/>
      <c r="O1575" s="3"/>
      <c r="P1575" s="3"/>
      <c r="Q1575" s="3"/>
      <c r="R1575" s="3"/>
      <c r="S1575" s="3"/>
      <c r="T1575" s="3"/>
      <c r="U1575" s="3">
        <v>3000</v>
      </c>
      <c r="V1575" s="4">
        <v>43553</v>
      </c>
      <c r="W1575" s="3" t="s">
        <v>31</v>
      </c>
      <c r="X1575" s="3" t="s">
        <v>7623</v>
      </c>
    </row>
    <row r="1576" spans="1:24" x14ac:dyDescent="0.3">
      <c r="A1576" s="5">
        <v>1570</v>
      </c>
      <c r="B1576" s="5" t="str">
        <f>"201700022989"</f>
        <v>201700022989</v>
      </c>
      <c r="C1576" s="5" t="str">
        <f>"108766"</f>
        <v>108766</v>
      </c>
      <c r="D1576" s="5" t="s">
        <v>7624</v>
      </c>
      <c r="E1576" s="5">
        <v>20395419715</v>
      </c>
      <c r="F1576" s="5" t="s">
        <v>7625</v>
      </c>
      <c r="G1576" s="5" t="s">
        <v>7626</v>
      </c>
      <c r="H1576" s="5" t="s">
        <v>264</v>
      </c>
      <c r="I1576" s="5" t="s">
        <v>265</v>
      </c>
      <c r="J1576" s="5" t="s">
        <v>265</v>
      </c>
      <c r="K1576" s="5" t="s">
        <v>2625</v>
      </c>
      <c r="L1576" s="5"/>
      <c r="M1576" s="5"/>
      <c r="N1576" s="5"/>
      <c r="O1576" s="5"/>
      <c r="P1576" s="5"/>
      <c r="Q1576" s="5"/>
      <c r="R1576" s="5"/>
      <c r="S1576" s="5"/>
      <c r="T1576" s="5"/>
      <c r="U1576" s="5">
        <v>5000</v>
      </c>
      <c r="V1576" s="6">
        <v>42780</v>
      </c>
      <c r="W1576" s="5" t="s">
        <v>31</v>
      </c>
      <c r="X1576" s="5" t="s">
        <v>7627</v>
      </c>
    </row>
    <row r="1577" spans="1:24" ht="27.95" x14ac:dyDescent="0.3">
      <c r="A1577" s="3">
        <v>1571</v>
      </c>
      <c r="B1577" s="3" t="str">
        <f>"1122424"</f>
        <v>1122424</v>
      </c>
      <c r="C1577" s="3" t="str">
        <f>"363"</f>
        <v>363</v>
      </c>
      <c r="D1577" s="3">
        <v>989598</v>
      </c>
      <c r="E1577" s="3">
        <v>10026161181</v>
      </c>
      <c r="F1577" s="3" t="s">
        <v>7628</v>
      </c>
      <c r="G1577" s="3" t="s">
        <v>7629</v>
      </c>
      <c r="H1577" s="3" t="s">
        <v>264</v>
      </c>
      <c r="I1577" s="3" t="s">
        <v>264</v>
      </c>
      <c r="J1577" s="3" t="s">
        <v>647</v>
      </c>
      <c r="K1577" s="3" t="s">
        <v>1316</v>
      </c>
      <c r="L1577" s="3" t="s">
        <v>668</v>
      </c>
      <c r="M1577" s="3"/>
      <c r="N1577" s="3"/>
      <c r="O1577" s="3"/>
      <c r="P1577" s="3"/>
      <c r="Q1577" s="3"/>
      <c r="R1577" s="3"/>
      <c r="S1577" s="3"/>
      <c r="T1577" s="3"/>
      <c r="U1577" s="3">
        <v>13800</v>
      </c>
      <c r="V1577" s="4">
        <v>35618</v>
      </c>
      <c r="W1577" s="3" t="s">
        <v>31</v>
      </c>
      <c r="X1577" s="3" t="s">
        <v>7630</v>
      </c>
    </row>
    <row r="1578" spans="1:24" x14ac:dyDescent="0.3">
      <c r="A1578" s="5">
        <v>1572</v>
      </c>
      <c r="B1578" s="5" t="str">
        <f>"1119392"</f>
        <v>1119392</v>
      </c>
      <c r="C1578" s="5" t="str">
        <f>"983"</f>
        <v>983</v>
      </c>
      <c r="D1578" s="5">
        <v>1050189</v>
      </c>
      <c r="E1578" s="5">
        <v>20153377538</v>
      </c>
      <c r="F1578" s="5" t="s">
        <v>7631</v>
      </c>
      <c r="G1578" s="5" t="s">
        <v>7632</v>
      </c>
      <c r="H1578" s="5" t="s">
        <v>566</v>
      </c>
      <c r="I1578" s="5" t="s">
        <v>2671</v>
      </c>
      <c r="J1578" s="5" t="s">
        <v>2671</v>
      </c>
      <c r="K1578" s="5" t="s">
        <v>323</v>
      </c>
      <c r="L1578" s="5" t="s">
        <v>323</v>
      </c>
      <c r="M1578" s="5"/>
      <c r="N1578" s="5"/>
      <c r="O1578" s="5"/>
      <c r="P1578" s="5"/>
      <c r="Q1578" s="5"/>
      <c r="R1578" s="5"/>
      <c r="S1578" s="5"/>
      <c r="T1578" s="5"/>
      <c r="U1578" s="5">
        <v>8000</v>
      </c>
      <c r="V1578" s="6">
        <v>35584</v>
      </c>
      <c r="W1578" s="5" t="s">
        <v>31</v>
      </c>
      <c r="X1578" s="5" t="s">
        <v>7633</v>
      </c>
    </row>
    <row r="1579" spans="1:24" ht="27.95" x14ac:dyDescent="0.3">
      <c r="A1579" s="3">
        <v>1573</v>
      </c>
      <c r="B1579" s="3" t="str">
        <f>"1116610"</f>
        <v>1116610</v>
      </c>
      <c r="C1579" s="3" t="str">
        <f>"890"</f>
        <v>890</v>
      </c>
      <c r="D1579" s="3">
        <v>1022961</v>
      </c>
      <c r="E1579" s="3">
        <v>20101619673</v>
      </c>
      <c r="F1579" s="3" t="s">
        <v>7634</v>
      </c>
      <c r="G1579" s="3" t="s">
        <v>7635</v>
      </c>
      <c r="H1579" s="3" t="s">
        <v>28</v>
      </c>
      <c r="I1579" s="3" t="s">
        <v>28</v>
      </c>
      <c r="J1579" s="3" t="s">
        <v>91</v>
      </c>
      <c r="K1579" s="3" t="s">
        <v>857</v>
      </c>
      <c r="L1579" s="3" t="s">
        <v>1492</v>
      </c>
      <c r="M1579" s="3"/>
      <c r="N1579" s="3"/>
      <c r="O1579" s="3"/>
      <c r="P1579" s="3"/>
      <c r="Q1579" s="3"/>
      <c r="R1579" s="3"/>
      <c r="S1579" s="3"/>
      <c r="T1579" s="3"/>
      <c r="U1579" s="3">
        <v>7500</v>
      </c>
      <c r="V1579" s="4">
        <v>35634</v>
      </c>
      <c r="W1579" s="3" t="s">
        <v>31</v>
      </c>
      <c r="X1579" s="3" t="s">
        <v>7636</v>
      </c>
    </row>
    <row r="1580" spans="1:24" x14ac:dyDescent="0.3">
      <c r="A1580" s="5">
        <v>1574</v>
      </c>
      <c r="B1580" s="5" t="str">
        <f>"1932527"</f>
        <v>1932527</v>
      </c>
      <c r="C1580" s="5" t="str">
        <f>"261"</f>
        <v>261</v>
      </c>
      <c r="D1580" s="5" t="s">
        <v>7637</v>
      </c>
      <c r="E1580" s="5">
        <v>20447466547</v>
      </c>
      <c r="F1580" s="5" t="s">
        <v>7638</v>
      </c>
      <c r="G1580" s="5" t="s">
        <v>7639</v>
      </c>
      <c r="H1580" s="5" t="s">
        <v>28</v>
      </c>
      <c r="I1580" s="5" t="s">
        <v>574</v>
      </c>
      <c r="J1580" s="5" t="s">
        <v>575</v>
      </c>
      <c r="K1580" s="5" t="s">
        <v>1550</v>
      </c>
      <c r="L1580" s="5" t="s">
        <v>6054</v>
      </c>
      <c r="M1580" s="5" t="s">
        <v>7640</v>
      </c>
      <c r="N1580" s="5"/>
      <c r="O1580" s="5"/>
      <c r="P1580" s="5"/>
      <c r="Q1580" s="5"/>
      <c r="R1580" s="5"/>
      <c r="S1580" s="5"/>
      <c r="T1580" s="5"/>
      <c r="U1580" s="5">
        <v>70000</v>
      </c>
      <c r="V1580" s="6">
        <v>40119</v>
      </c>
      <c r="W1580" s="5" t="s">
        <v>31</v>
      </c>
      <c r="X1580" s="5" t="s">
        <v>1255</v>
      </c>
    </row>
    <row r="1581" spans="1:24" ht="27.95" x14ac:dyDescent="0.3">
      <c r="A1581" s="3">
        <v>1575</v>
      </c>
      <c r="B1581" s="3" t="str">
        <f>"201600173990"</f>
        <v>201600173990</v>
      </c>
      <c r="C1581" s="3" t="str">
        <f>"1492"</f>
        <v>1492</v>
      </c>
      <c r="D1581" s="3" t="s">
        <v>7641</v>
      </c>
      <c r="E1581" s="3">
        <v>20330791412</v>
      </c>
      <c r="F1581" s="3" t="s">
        <v>7642</v>
      </c>
      <c r="G1581" s="3" t="s">
        <v>7643</v>
      </c>
      <c r="H1581" s="3" t="s">
        <v>115</v>
      </c>
      <c r="I1581" s="3" t="s">
        <v>115</v>
      </c>
      <c r="J1581" s="3" t="s">
        <v>116</v>
      </c>
      <c r="K1581" s="3" t="s">
        <v>7644</v>
      </c>
      <c r="L1581" s="3"/>
      <c r="M1581" s="3"/>
      <c r="N1581" s="3"/>
      <c r="O1581" s="3"/>
      <c r="P1581" s="3"/>
      <c r="Q1581" s="3"/>
      <c r="R1581" s="3"/>
      <c r="S1581" s="3"/>
      <c r="T1581" s="3"/>
      <c r="U1581" s="3">
        <v>28304</v>
      </c>
      <c r="V1581" s="4">
        <v>42716</v>
      </c>
      <c r="W1581" s="3" t="s">
        <v>31</v>
      </c>
      <c r="X1581" s="3" t="s">
        <v>7645</v>
      </c>
    </row>
    <row r="1582" spans="1:24" ht="27.95" x14ac:dyDescent="0.3">
      <c r="A1582" s="5">
        <v>1576</v>
      </c>
      <c r="B1582" s="5" t="str">
        <f>"201300020659"</f>
        <v>201300020659</v>
      </c>
      <c r="C1582" s="5" t="str">
        <f>"98199"</f>
        <v>98199</v>
      </c>
      <c r="D1582" s="5" t="s">
        <v>7646</v>
      </c>
      <c r="E1582" s="5">
        <v>20100136741</v>
      </c>
      <c r="F1582" s="5" t="s">
        <v>7647</v>
      </c>
      <c r="G1582" s="5" t="s">
        <v>7648</v>
      </c>
      <c r="H1582" s="5" t="s">
        <v>769</v>
      </c>
      <c r="I1582" s="5" t="s">
        <v>769</v>
      </c>
      <c r="J1582" s="5" t="s">
        <v>7649</v>
      </c>
      <c r="K1582" s="5" t="s">
        <v>7650</v>
      </c>
      <c r="L1582" s="5"/>
      <c r="M1582" s="5"/>
      <c r="N1582" s="5"/>
      <c r="O1582" s="5"/>
      <c r="P1582" s="5"/>
      <c r="Q1582" s="5"/>
      <c r="R1582" s="5"/>
      <c r="S1582" s="5"/>
      <c r="T1582" s="5"/>
      <c r="U1582" s="5">
        <v>76618</v>
      </c>
      <c r="V1582" s="6">
        <v>41310</v>
      </c>
      <c r="W1582" s="5" t="s">
        <v>31</v>
      </c>
      <c r="X1582" s="5" t="s">
        <v>7651</v>
      </c>
    </row>
    <row r="1583" spans="1:24" x14ac:dyDescent="0.3">
      <c r="A1583" s="3">
        <v>1577</v>
      </c>
      <c r="B1583" s="3" t="str">
        <f>"1877488"</f>
        <v>1877488</v>
      </c>
      <c r="C1583" s="3" t="str">
        <f>"1250"</f>
        <v>1250</v>
      </c>
      <c r="D1583" s="3" t="s">
        <v>7652</v>
      </c>
      <c r="E1583" s="3">
        <v>20100066352</v>
      </c>
      <c r="F1583" s="3" t="s">
        <v>7653</v>
      </c>
      <c r="G1583" s="3" t="s">
        <v>7654</v>
      </c>
      <c r="H1583" s="3" t="s">
        <v>28</v>
      </c>
      <c r="I1583" s="3" t="s">
        <v>28</v>
      </c>
      <c r="J1583" s="3" t="s">
        <v>91</v>
      </c>
      <c r="K1583" s="3" t="s">
        <v>5157</v>
      </c>
      <c r="L1583" s="3"/>
      <c r="M1583" s="3"/>
      <c r="N1583" s="3"/>
      <c r="O1583" s="3"/>
      <c r="P1583" s="3"/>
      <c r="Q1583" s="3"/>
      <c r="R1583" s="3"/>
      <c r="S1583" s="3"/>
      <c r="T1583" s="3"/>
      <c r="U1583" s="3">
        <v>10000</v>
      </c>
      <c r="V1583" s="4">
        <v>39926</v>
      </c>
      <c r="W1583" s="3" t="s">
        <v>31</v>
      </c>
      <c r="X1583" s="3" t="s">
        <v>7425</v>
      </c>
    </row>
    <row r="1584" spans="1:24" x14ac:dyDescent="0.3">
      <c r="A1584" s="5">
        <v>1578</v>
      </c>
      <c r="B1584" s="5" t="str">
        <f>"1122491"</f>
        <v>1122491</v>
      </c>
      <c r="C1584" s="5" t="str">
        <f>"1047"</f>
        <v>1047</v>
      </c>
      <c r="D1584" s="5">
        <v>1078619</v>
      </c>
      <c r="E1584" s="5">
        <v>20172082417</v>
      </c>
      <c r="F1584" s="5" t="s">
        <v>7655</v>
      </c>
      <c r="G1584" s="5" t="s">
        <v>7656</v>
      </c>
      <c r="H1584" s="5" t="s">
        <v>285</v>
      </c>
      <c r="I1584" s="5" t="s">
        <v>1083</v>
      </c>
      <c r="J1584" s="5" t="s">
        <v>5564</v>
      </c>
      <c r="K1584" s="5" t="s">
        <v>323</v>
      </c>
      <c r="L1584" s="5"/>
      <c r="M1584" s="5"/>
      <c r="N1584" s="5"/>
      <c r="O1584" s="5"/>
      <c r="P1584" s="5"/>
      <c r="Q1584" s="5"/>
      <c r="R1584" s="5"/>
      <c r="S1584" s="5"/>
      <c r="T1584" s="5"/>
      <c r="U1584" s="5">
        <v>4000</v>
      </c>
      <c r="V1584" s="6">
        <v>35593</v>
      </c>
      <c r="W1584" s="5" t="s">
        <v>31</v>
      </c>
      <c r="X1584" s="5" t="s">
        <v>7657</v>
      </c>
    </row>
    <row r="1585" spans="1:24" ht="27.95" x14ac:dyDescent="0.3">
      <c r="A1585" s="3">
        <v>1579</v>
      </c>
      <c r="B1585" s="3" t="str">
        <f>"201600173998"</f>
        <v>201600173998</v>
      </c>
      <c r="C1585" s="3" t="str">
        <f>"146"</f>
        <v>146</v>
      </c>
      <c r="D1585" s="3" t="s">
        <v>7658</v>
      </c>
      <c r="E1585" s="3">
        <v>20330791412</v>
      </c>
      <c r="F1585" s="3" t="s">
        <v>7642</v>
      </c>
      <c r="G1585" s="3" t="s">
        <v>7659</v>
      </c>
      <c r="H1585" s="3" t="s">
        <v>28</v>
      </c>
      <c r="I1585" s="3" t="s">
        <v>28</v>
      </c>
      <c r="J1585" s="3" t="s">
        <v>28</v>
      </c>
      <c r="K1585" s="3" t="s">
        <v>7660</v>
      </c>
      <c r="L1585" s="3" t="s">
        <v>7660</v>
      </c>
      <c r="M1585" s="3"/>
      <c r="N1585" s="3"/>
      <c r="O1585" s="3"/>
      <c r="P1585" s="3"/>
      <c r="Q1585" s="3"/>
      <c r="R1585" s="3"/>
      <c r="S1585" s="3"/>
      <c r="T1585" s="3"/>
      <c r="U1585" s="3">
        <v>792516</v>
      </c>
      <c r="V1585" s="4">
        <v>42719</v>
      </c>
      <c r="W1585" s="3" t="s">
        <v>31</v>
      </c>
      <c r="X1585" s="3" t="s">
        <v>7661</v>
      </c>
    </row>
    <row r="1586" spans="1:24" ht="27.95" x14ac:dyDescent="0.3">
      <c r="A1586" s="5">
        <v>1580</v>
      </c>
      <c r="B1586" s="5" t="str">
        <f>"202000068265"</f>
        <v>202000068265</v>
      </c>
      <c r="C1586" s="5" t="str">
        <f>"43037"</f>
        <v>43037</v>
      </c>
      <c r="D1586" s="5" t="s">
        <v>7662</v>
      </c>
      <c r="E1586" s="5">
        <v>20107012011</v>
      </c>
      <c r="F1586" s="5" t="s">
        <v>754</v>
      </c>
      <c r="G1586" s="5" t="s">
        <v>7663</v>
      </c>
      <c r="H1586" s="5" t="s">
        <v>80</v>
      </c>
      <c r="I1586" s="5" t="s">
        <v>309</v>
      </c>
      <c r="J1586" s="5" t="s">
        <v>309</v>
      </c>
      <c r="K1586" s="5" t="s">
        <v>193</v>
      </c>
      <c r="L1586" s="5"/>
      <c r="M1586" s="5"/>
      <c r="N1586" s="5"/>
      <c r="O1586" s="5"/>
      <c r="P1586" s="5"/>
      <c r="Q1586" s="5"/>
      <c r="R1586" s="5"/>
      <c r="S1586" s="5"/>
      <c r="T1586" s="5"/>
      <c r="U1586" s="5">
        <v>2500</v>
      </c>
      <c r="V1586" s="6">
        <v>44005</v>
      </c>
      <c r="W1586" s="5" t="s">
        <v>31</v>
      </c>
      <c r="X1586" s="5" t="s">
        <v>757</v>
      </c>
    </row>
    <row r="1587" spans="1:24" ht="27.95" x14ac:dyDescent="0.3">
      <c r="A1587" s="3">
        <v>1581</v>
      </c>
      <c r="B1587" s="3" t="str">
        <f>"1587074"</f>
        <v>1587074</v>
      </c>
      <c r="C1587" s="3" t="str">
        <f>"680"</f>
        <v>680</v>
      </c>
      <c r="D1587" s="3" t="s">
        <v>7664</v>
      </c>
      <c r="E1587" s="3">
        <v>20100078792</v>
      </c>
      <c r="F1587" s="3" t="s">
        <v>7665</v>
      </c>
      <c r="G1587" s="3" t="s">
        <v>7666</v>
      </c>
      <c r="H1587" s="3" t="s">
        <v>28</v>
      </c>
      <c r="I1587" s="3" t="s">
        <v>28</v>
      </c>
      <c r="J1587" s="3" t="s">
        <v>545</v>
      </c>
      <c r="K1587" s="3" t="s">
        <v>46</v>
      </c>
      <c r="L1587" s="3"/>
      <c r="M1587" s="3"/>
      <c r="N1587" s="3"/>
      <c r="O1587" s="3"/>
      <c r="P1587" s="3"/>
      <c r="Q1587" s="3"/>
      <c r="R1587" s="3"/>
      <c r="S1587" s="3"/>
      <c r="T1587" s="3"/>
      <c r="U1587" s="3">
        <v>3000</v>
      </c>
      <c r="V1587" s="4">
        <v>38758</v>
      </c>
      <c r="W1587" s="3" t="s">
        <v>31</v>
      </c>
      <c r="X1587" s="3" t="s">
        <v>7667</v>
      </c>
    </row>
    <row r="1588" spans="1:24" ht="27.95" x14ac:dyDescent="0.3">
      <c r="A1588" s="5">
        <v>1582</v>
      </c>
      <c r="B1588" s="5" t="str">
        <f>"202000061757"</f>
        <v>202000061757</v>
      </c>
      <c r="C1588" s="5" t="str">
        <f>"149619"</f>
        <v>149619</v>
      </c>
      <c r="D1588" s="5" t="s">
        <v>7668</v>
      </c>
      <c r="E1588" s="5">
        <v>20527859957</v>
      </c>
      <c r="F1588" s="5" t="s">
        <v>7669</v>
      </c>
      <c r="G1588" s="5" t="s">
        <v>7670</v>
      </c>
      <c r="H1588" s="5" t="s">
        <v>165</v>
      </c>
      <c r="I1588" s="5" t="s">
        <v>166</v>
      </c>
      <c r="J1588" s="5" t="s">
        <v>167</v>
      </c>
      <c r="K1588" s="5" t="s">
        <v>2768</v>
      </c>
      <c r="L1588" s="5"/>
      <c r="M1588" s="5"/>
      <c r="N1588" s="5"/>
      <c r="O1588" s="5"/>
      <c r="P1588" s="5"/>
      <c r="Q1588" s="5"/>
      <c r="R1588" s="5"/>
      <c r="S1588" s="5"/>
      <c r="T1588" s="5"/>
      <c r="U1588" s="5">
        <v>7000</v>
      </c>
      <c r="V1588" s="6">
        <v>44017</v>
      </c>
      <c r="W1588" s="5" t="s">
        <v>31</v>
      </c>
      <c r="X1588" s="5" t="s">
        <v>7671</v>
      </c>
    </row>
    <row r="1589" spans="1:24" x14ac:dyDescent="0.3">
      <c r="A1589" s="3">
        <v>1583</v>
      </c>
      <c r="B1589" s="3" t="str">
        <f>"201600081008"</f>
        <v>201600081008</v>
      </c>
      <c r="C1589" s="3" t="str">
        <f>"20138"</f>
        <v>20138</v>
      </c>
      <c r="D1589" s="3" t="s">
        <v>7672</v>
      </c>
      <c r="E1589" s="3">
        <v>20330262428</v>
      </c>
      <c r="F1589" s="3" t="s">
        <v>1106</v>
      </c>
      <c r="G1589" s="3" t="s">
        <v>7673</v>
      </c>
      <c r="H1589" s="3" t="s">
        <v>285</v>
      </c>
      <c r="I1589" s="3" t="s">
        <v>1087</v>
      </c>
      <c r="J1589" s="3" t="s">
        <v>1088</v>
      </c>
      <c r="K1589" s="3" t="s">
        <v>1089</v>
      </c>
      <c r="L1589" s="3"/>
      <c r="M1589" s="3"/>
      <c r="N1589" s="3"/>
      <c r="O1589" s="3"/>
      <c r="P1589" s="3"/>
      <c r="Q1589" s="3"/>
      <c r="R1589" s="3"/>
      <c r="S1589" s="3"/>
      <c r="T1589" s="3"/>
      <c r="U1589" s="3">
        <v>30000</v>
      </c>
      <c r="V1589" s="4">
        <v>42535</v>
      </c>
      <c r="W1589" s="3" t="s">
        <v>31</v>
      </c>
      <c r="X1589" s="3" t="s">
        <v>4651</v>
      </c>
    </row>
    <row r="1590" spans="1:24" x14ac:dyDescent="0.3">
      <c r="A1590" s="5">
        <v>1584</v>
      </c>
      <c r="B1590" s="5" t="str">
        <f>"201900175678"</f>
        <v>201900175678</v>
      </c>
      <c r="C1590" s="5" t="str">
        <f>"133782"</f>
        <v>133782</v>
      </c>
      <c r="D1590" s="5" t="s">
        <v>7674</v>
      </c>
      <c r="E1590" s="5">
        <v>20302241598</v>
      </c>
      <c r="F1590" s="5" t="s">
        <v>7675</v>
      </c>
      <c r="G1590" s="5" t="s">
        <v>7676</v>
      </c>
      <c r="H1590" s="5" t="s">
        <v>115</v>
      </c>
      <c r="I1590" s="5" t="s">
        <v>115</v>
      </c>
      <c r="J1590" s="5" t="s">
        <v>159</v>
      </c>
      <c r="K1590" s="5" t="s">
        <v>130</v>
      </c>
      <c r="L1590" s="5"/>
      <c r="M1590" s="5"/>
      <c r="N1590" s="5"/>
      <c r="O1590" s="5"/>
      <c r="P1590" s="5"/>
      <c r="Q1590" s="5"/>
      <c r="R1590" s="5"/>
      <c r="S1590" s="5"/>
      <c r="T1590" s="5"/>
      <c r="U1590" s="5">
        <v>3000</v>
      </c>
      <c r="V1590" s="6">
        <v>43777</v>
      </c>
      <c r="W1590" s="5" t="s">
        <v>31</v>
      </c>
      <c r="X1590" s="5" t="s">
        <v>7677</v>
      </c>
    </row>
    <row r="1591" spans="1:24" ht="27.95" x14ac:dyDescent="0.3">
      <c r="A1591" s="3">
        <v>1585</v>
      </c>
      <c r="B1591" s="3" t="str">
        <f>"1827340"</f>
        <v>1827340</v>
      </c>
      <c r="C1591" s="3" t="str">
        <f>"64081"</f>
        <v>64081</v>
      </c>
      <c r="D1591" s="3" t="s">
        <v>7678</v>
      </c>
      <c r="E1591" s="3">
        <v>20264846855</v>
      </c>
      <c r="F1591" s="3" t="s">
        <v>7679</v>
      </c>
      <c r="G1591" s="3" t="s">
        <v>7680</v>
      </c>
      <c r="H1591" s="3" t="s">
        <v>115</v>
      </c>
      <c r="I1591" s="3" t="s">
        <v>115</v>
      </c>
      <c r="J1591" s="3" t="s">
        <v>159</v>
      </c>
      <c r="K1591" s="3" t="s">
        <v>7681</v>
      </c>
      <c r="L1591" s="3"/>
      <c r="M1591" s="3"/>
      <c r="N1591" s="3"/>
      <c r="O1591" s="3"/>
      <c r="P1591" s="3"/>
      <c r="Q1591" s="3"/>
      <c r="R1591" s="3"/>
      <c r="S1591" s="3"/>
      <c r="T1591" s="3"/>
      <c r="U1591" s="3">
        <v>40000</v>
      </c>
      <c r="V1591" s="4">
        <v>39738</v>
      </c>
      <c r="W1591" s="3" t="s">
        <v>31</v>
      </c>
      <c r="X1591" s="3" t="s">
        <v>7682</v>
      </c>
    </row>
    <row r="1592" spans="1:24" ht="27.95" x14ac:dyDescent="0.3">
      <c r="A1592" s="5">
        <v>1586</v>
      </c>
      <c r="B1592" s="5" t="str">
        <f>"1584196"</f>
        <v>1584196</v>
      </c>
      <c r="C1592" s="5" t="str">
        <f>"42456"</f>
        <v>42456</v>
      </c>
      <c r="D1592" s="5" t="s">
        <v>7683</v>
      </c>
      <c r="E1592" s="5">
        <v>20101024483</v>
      </c>
      <c r="F1592" s="5" t="s">
        <v>7684</v>
      </c>
      <c r="G1592" s="5" t="s">
        <v>7685</v>
      </c>
      <c r="H1592" s="5" t="s">
        <v>28</v>
      </c>
      <c r="I1592" s="5" t="s">
        <v>28</v>
      </c>
      <c r="J1592" s="5" t="s">
        <v>208</v>
      </c>
      <c r="K1592" s="5" t="s">
        <v>1775</v>
      </c>
      <c r="L1592" s="5"/>
      <c r="M1592" s="5"/>
      <c r="N1592" s="5"/>
      <c r="O1592" s="5"/>
      <c r="P1592" s="5"/>
      <c r="Q1592" s="5"/>
      <c r="R1592" s="5"/>
      <c r="S1592" s="5"/>
      <c r="T1592" s="5"/>
      <c r="U1592" s="5">
        <v>2500</v>
      </c>
      <c r="V1592" s="6">
        <v>38740</v>
      </c>
      <c r="W1592" s="5" t="s">
        <v>31</v>
      </c>
      <c r="X1592" s="5" t="s">
        <v>7686</v>
      </c>
    </row>
    <row r="1593" spans="1:24" x14ac:dyDescent="0.3">
      <c r="A1593" s="3">
        <v>1587</v>
      </c>
      <c r="B1593" s="3" t="str">
        <f>"201600081015"</f>
        <v>201600081015</v>
      </c>
      <c r="C1593" s="3" t="str">
        <f>"21176"</f>
        <v>21176</v>
      </c>
      <c r="D1593" s="3" t="s">
        <v>7687</v>
      </c>
      <c r="E1593" s="3">
        <v>20330262428</v>
      </c>
      <c r="F1593" s="3" t="s">
        <v>1106</v>
      </c>
      <c r="G1593" s="3" t="s">
        <v>7688</v>
      </c>
      <c r="H1593" s="3" t="s">
        <v>285</v>
      </c>
      <c r="I1593" s="3" t="s">
        <v>3700</v>
      </c>
      <c r="J1593" s="3" t="s">
        <v>3700</v>
      </c>
      <c r="K1593" s="3" t="s">
        <v>110</v>
      </c>
      <c r="L1593" s="3"/>
      <c r="M1593" s="3"/>
      <c r="N1593" s="3"/>
      <c r="O1593" s="3"/>
      <c r="P1593" s="3"/>
      <c r="Q1593" s="3"/>
      <c r="R1593" s="3"/>
      <c r="S1593" s="3"/>
      <c r="T1593" s="3"/>
      <c r="U1593" s="3">
        <v>4000</v>
      </c>
      <c r="V1593" s="4">
        <v>42535</v>
      </c>
      <c r="W1593" s="3" t="s">
        <v>31</v>
      </c>
      <c r="X1593" s="3" t="s">
        <v>4651</v>
      </c>
    </row>
    <row r="1594" spans="1:24" x14ac:dyDescent="0.3">
      <c r="A1594" s="5">
        <v>1588</v>
      </c>
      <c r="B1594" s="5" t="str">
        <f>"201200159401"</f>
        <v>201200159401</v>
      </c>
      <c r="C1594" s="5" t="str">
        <f>"97673"</f>
        <v>97673</v>
      </c>
      <c r="D1594" s="5" t="s">
        <v>7689</v>
      </c>
      <c r="E1594" s="5">
        <v>20352427081</v>
      </c>
      <c r="F1594" s="5" t="s">
        <v>7690</v>
      </c>
      <c r="G1594" s="5" t="s">
        <v>7691</v>
      </c>
      <c r="H1594" s="5" t="s">
        <v>334</v>
      </c>
      <c r="I1594" s="5" t="s">
        <v>7692</v>
      </c>
      <c r="J1594" s="5" t="s">
        <v>7692</v>
      </c>
      <c r="K1594" s="5" t="s">
        <v>7693</v>
      </c>
      <c r="L1594" s="5"/>
      <c r="M1594" s="5"/>
      <c r="N1594" s="5"/>
      <c r="O1594" s="5"/>
      <c r="P1594" s="5"/>
      <c r="Q1594" s="5"/>
      <c r="R1594" s="5"/>
      <c r="S1594" s="5"/>
      <c r="T1594" s="5"/>
      <c r="U1594" s="5">
        <v>275</v>
      </c>
      <c r="V1594" s="6">
        <v>41172</v>
      </c>
      <c r="W1594" s="5" t="s">
        <v>31</v>
      </c>
      <c r="X1594" s="5" t="s">
        <v>7694</v>
      </c>
    </row>
    <row r="1595" spans="1:24" x14ac:dyDescent="0.3">
      <c r="A1595" s="3">
        <v>1589</v>
      </c>
      <c r="B1595" s="3" t="str">
        <f>"201700151972"</f>
        <v>201700151972</v>
      </c>
      <c r="C1595" s="3" t="str">
        <f>"131863"</f>
        <v>131863</v>
      </c>
      <c r="D1595" s="3" t="s">
        <v>7695</v>
      </c>
      <c r="E1595" s="3">
        <v>20505792042</v>
      </c>
      <c r="F1595" s="3" t="s">
        <v>1282</v>
      </c>
      <c r="G1595" s="3" t="s">
        <v>7696</v>
      </c>
      <c r="H1595" s="3" t="s">
        <v>978</v>
      </c>
      <c r="I1595" s="3" t="s">
        <v>1284</v>
      </c>
      <c r="J1595" s="3" t="s">
        <v>1285</v>
      </c>
      <c r="K1595" s="3" t="s">
        <v>3181</v>
      </c>
      <c r="L1595" s="3" t="s">
        <v>3181</v>
      </c>
      <c r="M1595" s="3"/>
      <c r="N1595" s="3"/>
      <c r="O1595" s="3"/>
      <c r="P1595" s="3"/>
      <c r="Q1595" s="3"/>
      <c r="R1595" s="3"/>
      <c r="S1595" s="3"/>
      <c r="T1595" s="3"/>
      <c r="U1595" s="3">
        <v>40000</v>
      </c>
      <c r="V1595" s="4">
        <v>43003</v>
      </c>
      <c r="W1595" s="3" t="s">
        <v>31</v>
      </c>
      <c r="X1595" s="3" t="s">
        <v>7697</v>
      </c>
    </row>
    <row r="1596" spans="1:24" ht="27.95" x14ac:dyDescent="0.3">
      <c r="A1596" s="5">
        <v>1590</v>
      </c>
      <c r="B1596" s="5" t="str">
        <f>"201200147396"</f>
        <v>201200147396</v>
      </c>
      <c r="C1596" s="5" t="str">
        <f>"93317"</f>
        <v>93317</v>
      </c>
      <c r="D1596" s="5" t="s">
        <v>7698</v>
      </c>
      <c r="E1596" s="5">
        <v>20545518865</v>
      </c>
      <c r="F1596" s="5" t="s">
        <v>7699</v>
      </c>
      <c r="G1596" s="5" t="s">
        <v>7700</v>
      </c>
      <c r="H1596" s="5" t="s">
        <v>115</v>
      </c>
      <c r="I1596" s="5" t="s">
        <v>115</v>
      </c>
      <c r="J1596" s="5" t="s">
        <v>1300</v>
      </c>
      <c r="K1596" s="5" t="s">
        <v>7701</v>
      </c>
      <c r="L1596" s="5"/>
      <c r="M1596" s="5"/>
      <c r="N1596" s="5"/>
      <c r="O1596" s="5"/>
      <c r="P1596" s="5"/>
      <c r="Q1596" s="5"/>
      <c r="R1596" s="5"/>
      <c r="S1596" s="5"/>
      <c r="T1596" s="5"/>
      <c r="U1596" s="5">
        <v>3424</v>
      </c>
      <c r="V1596" s="6">
        <v>41121</v>
      </c>
      <c r="W1596" s="5" t="s">
        <v>31</v>
      </c>
      <c r="X1596" s="5" t="s">
        <v>7702</v>
      </c>
    </row>
    <row r="1597" spans="1:24" x14ac:dyDescent="0.3">
      <c r="A1597" s="3">
        <v>1591</v>
      </c>
      <c r="B1597" s="3" t="str">
        <f>"201500067378"</f>
        <v>201500067378</v>
      </c>
      <c r="C1597" s="3" t="str">
        <f>"113721"</f>
        <v>113721</v>
      </c>
      <c r="D1597" s="3" t="s">
        <v>7703</v>
      </c>
      <c r="E1597" s="3">
        <v>20501781291</v>
      </c>
      <c r="F1597" s="3" t="s">
        <v>7704</v>
      </c>
      <c r="G1597" s="3" t="s">
        <v>7705</v>
      </c>
      <c r="H1597" s="3" t="s">
        <v>28</v>
      </c>
      <c r="I1597" s="3" t="s">
        <v>28</v>
      </c>
      <c r="J1597" s="3" t="s">
        <v>426</v>
      </c>
      <c r="K1597" s="3" t="s">
        <v>938</v>
      </c>
      <c r="L1597" s="3"/>
      <c r="M1597" s="3"/>
      <c r="N1597" s="3"/>
      <c r="O1597" s="3"/>
      <c r="P1597" s="3"/>
      <c r="Q1597" s="3"/>
      <c r="R1597" s="3"/>
      <c r="S1597" s="3"/>
      <c r="T1597" s="3"/>
      <c r="U1597" s="3">
        <v>2700</v>
      </c>
      <c r="V1597" s="4">
        <v>42198</v>
      </c>
      <c r="W1597" s="3" t="s">
        <v>31</v>
      </c>
      <c r="X1597" s="3" t="s">
        <v>7706</v>
      </c>
    </row>
    <row r="1598" spans="1:24" x14ac:dyDescent="0.3">
      <c r="A1598" s="5">
        <v>1592</v>
      </c>
      <c r="B1598" s="5" t="str">
        <f>"1600598"</f>
        <v>1600598</v>
      </c>
      <c r="C1598" s="5" t="str">
        <f>"357"</f>
        <v>357</v>
      </c>
      <c r="D1598" s="5" t="s">
        <v>7707</v>
      </c>
      <c r="E1598" s="5">
        <v>20261511551</v>
      </c>
      <c r="F1598" s="5" t="s">
        <v>7708</v>
      </c>
      <c r="G1598" s="5" t="s">
        <v>7709</v>
      </c>
      <c r="H1598" s="5" t="s">
        <v>28</v>
      </c>
      <c r="I1598" s="5" t="s">
        <v>28</v>
      </c>
      <c r="J1598" s="5" t="s">
        <v>91</v>
      </c>
      <c r="K1598" s="5" t="s">
        <v>1737</v>
      </c>
      <c r="L1598" s="5" t="s">
        <v>1737</v>
      </c>
      <c r="M1598" s="5" t="s">
        <v>229</v>
      </c>
      <c r="N1598" s="5"/>
      <c r="O1598" s="5"/>
      <c r="P1598" s="5"/>
      <c r="Q1598" s="5"/>
      <c r="R1598" s="5"/>
      <c r="S1598" s="5"/>
      <c r="T1598" s="5"/>
      <c r="U1598" s="5">
        <v>34000</v>
      </c>
      <c r="V1598" s="6">
        <v>38826</v>
      </c>
      <c r="W1598" s="5" t="s">
        <v>31</v>
      </c>
      <c r="X1598" s="5" t="s">
        <v>7710</v>
      </c>
    </row>
    <row r="1599" spans="1:24" x14ac:dyDescent="0.3">
      <c r="A1599" s="3">
        <v>1593</v>
      </c>
      <c r="B1599" s="3" t="str">
        <f>"201400132381"</f>
        <v>201400132381</v>
      </c>
      <c r="C1599" s="3" t="str">
        <f>"102349"</f>
        <v>102349</v>
      </c>
      <c r="D1599" s="3" t="s">
        <v>7711</v>
      </c>
      <c r="E1599" s="3">
        <v>20490805223</v>
      </c>
      <c r="F1599" s="3" t="s">
        <v>7712</v>
      </c>
      <c r="G1599" s="3" t="s">
        <v>7372</v>
      </c>
      <c r="H1599" s="3" t="s">
        <v>165</v>
      </c>
      <c r="I1599" s="3" t="s">
        <v>166</v>
      </c>
      <c r="J1599" s="3" t="s">
        <v>167</v>
      </c>
      <c r="K1599" s="3" t="s">
        <v>2250</v>
      </c>
      <c r="L1599" s="3" t="s">
        <v>2250</v>
      </c>
      <c r="M1599" s="3"/>
      <c r="N1599" s="3"/>
      <c r="O1599" s="3"/>
      <c r="P1599" s="3"/>
      <c r="Q1599" s="3"/>
      <c r="R1599" s="3"/>
      <c r="S1599" s="3"/>
      <c r="T1599" s="3"/>
      <c r="U1599" s="3">
        <v>7200</v>
      </c>
      <c r="V1599" s="4">
        <v>41959</v>
      </c>
      <c r="W1599" s="3" t="s">
        <v>31</v>
      </c>
      <c r="X1599" s="3" t="s">
        <v>7713</v>
      </c>
    </row>
    <row r="1600" spans="1:24" ht="27.95" x14ac:dyDescent="0.3">
      <c r="A1600" s="5">
        <v>1594</v>
      </c>
      <c r="B1600" s="5" t="str">
        <f>"201800072141"</f>
        <v>201800072141</v>
      </c>
      <c r="C1600" s="5" t="str">
        <f>"34840"</f>
        <v>34840</v>
      </c>
      <c r="D1600" s="5" t="s">
        <v>7714</v>
      </c>
      <c r="E1600" s="5">
        <v>20297543653</v>
      </c>
      <c r="F1600" s="5" t="s">
        <v>884</v>
      </c>
      <c r="G1600" s="5" t="s">
        <v>7715</v>
      </c>
      <c r="H1600" s="5" t="s">
        <v>28</v>
      </c>
      <c r="I1600" s="5" t="s">
        <v>28</v>
      </c>
      <c r="J1600" s="5" t="s">
        <v>545</v>
      </c>
      <c r="K1600" s="5" t="s">
        <v>1074</v>
      </c>
      <c r="L1600" s="5"/>
      <c r="M1600" s="5"/>
      <c r="N1600" s="5"/>
      <c r="O1600" s="5"/>
      <c r="P1600" s="5"/>
      <c r="Q1600" s="5"/>
      <c r="R1600" s="5"/>
      <c r="S1600" s="5"/>
      <c r="T1600" s="5"/>
      <c r="U1600" s="5">
        <v>3500</v>
      </c>
      <c r="V1600" s="6">
        <v>43223</v>
      </c>
      <c r="W1600" s="5" t="s">
        <v>31</v>
      </c>
      <c r="X1600" s="5" t="s">
        <v>886</v>
      </c>
    </row>
    <row r="1601" spans="1:24" x14ac:dyDescent="0.3">
      <c r="A1601" s="3">
        <v>1595</v>
      </c>
      <c r="B1601" s="3" t="str">
        <f>"1630919"</f>
        <v>1630919</v>
      </c>
      <c r="C1601" s="3" t="str">
        <f>"44043"</f>
        <v>44043</v>
      </c>
      <c r="D1601" s="3" t="s">
        <v>7716</v>
      </c>
      <c r="E1601" s="3">
        <v>20476662444</v>
      </c>
      <c r="F1601" s="3" t="s">
        <v>7717</v>
      </c>
      <c r="G1601" s="3" t="s">
        <v>7718</v>
      </c>
      <c r="H1601" s="3" t="s">
        <v>28</v>
      </c>
      <c r="I1601" s="3" t="s">
        <v>490</v>
      </c>
      <c r="J1601" s="3" t="s">
        <v>985</v>
      </c>
      <c r="K1601" s="3" t="s">
        <v>7719</v>
      </c>
      <c r="L1601" s="3" t="s">
        <v>7720</v>
      </c>
      <c r="M1601" s="3" t="s">
        <v>7721</v>
      </c>
      <c r="N1601" s="3" t="s">
        <v>7722</v>
      </c>
      <c r="O1601" s="3" t="s">
        <v>7723</v>
      </c>
      <c r="P1601" s="3"/>
      <c r="Q1601" s="3"/>
      <c r="R1601" s="3"/>
      <c r="S1601" s="3"/>
      <c r="T1601" s="3"/>
      <c r="U1601" s="3">
        <v>72961</v>
      </c>
      <c r="V1601" s="4">
        <v>38981</v>
      </c>
      <c r="W1601" s="3" t="s">
        <v>31</v>
      </c>
      <c r="X1601" s="3" t="s">
        <v>7724</v>
      </c>
    </row>
    <row r="1602" spans="1:24" x14ac:dyDescent="0.3">
      <c r="A1602" s="5">
        <v>1596</v>
      </c>
      <c r="B1602" s="5" t="str">
        <f>"1571714"</f>
        <v>1571714</v>
      </c>
      <c r="C1602" s="5" t="str">
        <f>"369"</f>
        <v>369</v>
      </c>
      <c r="D1602" s="5" t="s">
        <v>7725</v>
      </c>
      <c r="E1602" s="5">
        <v>20136009614</v>
      </c>
      <c r="F1602" s="5" t="s">
        <v>7726</v>
      </c>
      <c r="G1602" s="5" t="s">
        <v>7727</v>
      </c>
      <c r="H1602" s="5" t="s">
        <v>264</v>
      </c>
      <c r="I1602" s="5" t="s">
        <v>265</v>
      </c>
      <c r="J1602" s="5" t="s">
        <v>7728</v>
      </c>
      <c r="K1602" s="5" t="s">
        <v>7729</v>
      </c>
      <c r="L1602" s="5" t="s">
        <v>7730</v>
      </c>
      <c r="M1602" s="5" t="s">
        <v>421</v>
      </c>
      <c r="N1602" s="5"/>
      <c r="O1602" s="5"/>
      <c r="P1602" s="5"/>
      <c r="Q1602" s="5"/>
      <c r="R1602" s="5"/>
      <c r="S1602" s="5"/>
      <c r="T1602" s="5"/>
      <c r="U1602" s="5">
        <v>14315</v>
      </c>
      <c r="V1602" s="6">
        <v>38666</v>
      </c>
      <c r="W1602" s="5" t="s">
        <v>31</v>
      </c>
      <c r="X1602" s="5" t="s">
        <v>7731</v>
      </c>
    </row>
    <row r="1603" spans="1:24" x14ac:dyDescent="0.3">
      <c r="A1603" s="3">
        <v>1597</v>
      </c>
      <c r="B1603" s="3" t="str">
        <f>"1374996"</f>
        <v>1374996</v>
      </c>
      <c r="C1603" s="3" t="str">
        <f>"87504"</f>
        <v>87504</v>
      </c>
      <c r="D1603" s="3" t="s">
        <v>7732</v>
      </c>
      <c r="E1603" s="3">
        <v>20131257750</v>
      </c>
      <c r="F1603" s="3" t="s">
        <v>7733</v>
      </c>
      <c r="G1603" s="3" t="s">
        <v>7734</v>
      </c>
      <c r="H1603" s="3" t="s">
        <v>135</v>
      </c>
      <c r="I1603" s="3" t="s">
        <v>135</v>
      </c>
      <c r="J1603" s="3" t="s">
        <v>135</v>
      </c>
      <c r="K1603" s="3" t="s">
        <v>2732</v>
      </c>
      <c r="L1603" s="3"/>
      <c r="M1603" s="3"/>
      <c r="N1603" s="3"/>
      <c r="O1603" s="3"/>
      <c r="P1603" s="3"/>
      <c r="Q1603" s="3"/>
      <c r="R1603" s="3"/>
      <c r="S1603" s="3"/>
      <c r="T1603" s="3"/>
      <c r="U1603" s="3">
        <v>2500</v>
      </c>
      <c r="V1603" s="4">
        <v>40373</v>
      </c>
      <c r="W1603" s="3" t="s">
        <v>31</v>
      </c>
      <c r="X1603" s="3" t="s">
        <v>7735</v>
      </c>
    </row>
    <row r="1604" spans="1:24" ht="27.95" x14ac:dyDescent="0.3">
      <c r="A1604" s="5">
        <v>1598</v>
      </c>
      <c r="B1604" s="5" t="str">
        <f>"1302572"</f>
        <v>1302572</v>
      </c>
      <c r="C1604" s="5" t="str">
        <f>"20165"</f>
        <v>20165</v>
      </c>
      <c r="D1604" s="5">
        <v>1302572</v>
      </c>
      <c r="E1604" s="5">
        <v>20107992104</v>
      </c>
      <c r="F1604" s="5" t="s">
        <v>7736</v>
      </c>
      <c r="G1604" s="5" t="s">
        <v>7737</v>
      </c>
      <c r="H1604" s="5" t="s">
        <v>28</v>
      </c>
      <c r="I1604" s="5" t="s">
        <v>28</v>
      </c>
      <c r="J1604" s="5" t="s">
        <v>91</v>
      </c>
      <c r="K1604" s="5" t="s">
        <v>3550</v>
      </c>
      <c r="L1604" s="5"/>
      <c r="M1604" s="5"/>
      <c r="N1604" s="5"/>
      <c r="O1604" s="5"/>
      <c r="P1604" s="5"/>
      <c r="Q1604" s="5"/>
      <c r="R1604" s="5"/>
      <c r="S1604" s="5"/>
      <c r="T1604" s="5"/>
      <c r="U1604" s="5">
        <v>14000</v>
      </c>
      <c r="V1604" s="6">
        <v>36864</v>
      </c>
      <c r="W1604" s="5" t="s">
        <v>31</v>
      </c>
      <c r="X1604" s="5" t="s">
        <v>7738</v>
      </c>
    </row>
    <row r="1605" spans="1:24" ht="27.95" x14ac:dyDescent="0.3">
      <c r="A1605" s="3">
        <v>1599</v>
      </c>
      <c r="B1605" s="3" t="str">
        <f>"1550989"</f>
        <v>1550989</v>
      </c>
      <c r="C1605" s="3" t="str">
        <f>"69"</f>
        <v>69</v>
      </c>
      <c r="D1605" s="3" t="s">
        <v>7739</v>
      </c>
      <c r="E1605" s="3">
        <v>20100188113</v>
      </c>
      <c r="F1605" s="3" t="s">
        <v>7740</v>
      </c>
      <c r="G1605" s="3" t="s">
        <v>7741</v>
      </c>
      <c r="H1605" s="3" t="s">
        <v>51</v>
      </c>
      <c r="I1605" s="3" t="s">
        <v>51</v>
      </c>
      <c r="J1605" s="3" t="s">
        <v>51</v>
      </c>
      <c r="K1605" s="3" t="s">
        <v>7742</v>
      </c>
      <c r="L1605" s="3" t="s">
        <v>7743</v>
      </c>
      <c r="M1605" s="3"/>
      <c r="N1605" s="3"/>
      <c r="O1605" s="3"/>
      <c r="P1605" s="3"/>
      <c r="Q1605" s="3"/>
      <c r="R1605" s="3"/>
      <c r="S1605" s="3"/>
      <c r="T1605" s="3"/>
      <c r="U1605" s="3">
        <v>3452</v>
      </c>
      <c r="V1605" s="4">
        <v>38546</v>
      </c>
      <c r="W1605" s="3" t="s">
        <v>31</v>
      </c>
      <c r="X1605" s="3" t="s">
        <v>7744</v>
      </c>
    </row>
    <row r="1606" spans="1:24" x14ac:dyDescent="0.3">
      <c r="A1606" s="5">
        <v>1600</v>
      </c>
      <c r="B1606" s="5" t="str">
        <f>"1550986"</f>
        <v>1550986</v>
      </c>
      <c r="C1606" s="5" t="str">
        <f>"41254"</f>
        <v>41254</v>
      </c>
      <c r="D1606" s="5" t="s">
        <v>7745</v>
      </c>
      <c r="E1606" s="5">
        <v>20498116320</v>
      </c>
      <c r="F1606" s="5" t="s">
        <v>7746</v>
      </c>
      <c r="G1606" s="5" t="s">
        <v>7747</v>
      </c>
      <c r="H1606" s="5" t="s">
        <v>51</v>
      </c>
      <c r="I1606" s="5" t="s">
        <v>51</v>
      </c>
      <c r="J1606" s="5" t="s">
        <v>2806</v>
      </c>
      <c r="K1606" s="5" t="s">
        <v>46</v>
      </c>
      <c r="L1606" s="5"/>
      <c r="M1606" s="5"/>
      <c r="N1606" s="5"/>
      <c r="O1606" s="5"/>
      <c r="P1606" s="5"/>
      <c r="Q1606" s="5"/>
      <c r="R1606" s="5"/>
      <c r="S1606" s="5"/>
      <c r="T1606" s="5"/>
      <c r="U1606" s="5">
        <v>3000</v>
      </c>
      <c r="V1606" s="6">
        <v>42998</v>
      </c>
      <c r="W1606" s="5" t="s">
        <v>31</v>
      </c>
      <c r="X1606" s="5" t="s">
        <v>4969</v>
      </c>
    </row>
    <row r="1607" spans="1:24" ht="27.95" x14ac:dyDescent="0.3">
      <c r="A1607" s="3">
        <v>1601</v>
      </c>
      <c r="B1607" s="3" t="str">
        <f>"1109631"</f>
        <v>1109631</v>
      </c>
      <c r="C1607" s="3" t="str">
        <f>"314"</f>
        <v>314</v>
      </c>
      <c r="D1607" s="3">
        <v>983236</v>
      </c>
      <c r="E1607" s="3">
        <v>20134079836</v>
      </c>
      <c r="F1607" s="3" t="s">
        <v>7748</v>
      </c>
      <c r="G1607" s="3" t="s">
        <v>7749</v>
      </c>
      <c r="H1607" s="3" t="s">
        <v>28</v>
      </c>
      <c r="I1607" s="3" t="s">
        <v>28</v>
      </c>
      <c r="J1607" s="3" t="s">
        <v>172</v>
      </c>
      <c r="K1607" s="3" t="s">
        <v>259</v>
      </c>
      <c r="L1607" s="3" t="s">
        <v>323</v>
      </c>
      <c r="M1607" s="3"/>
      <c r="N1607" s="3"/>
      <c r="O1607" s="3"/>
      <c r="P1607" s="3"/>
      <c r="Q1607" s="3"/>
      <c r="R1607" s="3"/>
      <c r="S1607" s="3"/>
      <c r="T1607" s="3"/>
      <c r="U1607" s="3">
        <v>10000</v>
      </c>
      <c r="V1607" s="4">
        <v>35502</v>
      </c>
      <c r="W1607" s="3" t="s">
        <v>31</v>
      </c>
      <c r="X1607" s="3" t="s">
        <v>7750</v>
      </c>
    </row>
    <row r="1608" spans="1:24" x14ac:dyDescent="0.3">
      <c r="A1608" s="5">
        <v>1602</v>
      </c>
      <c r="B1608" s="5" t="str">
        <f>"201600135759"</f>
        <v>201600135759</v>
      </c>
      <c r="C1608" s="5" t="str">
        <f>"45572"</f>
        <v>45572</v>
      </c>
      <c r="D1608" s="5" t="s">
        <v>7751</v>
      </c>
      <c r="E1608" s="5">
        <v>20445470407</v>
      </c>
      <c r="F1608" s="5" t="s">
        <v>7752</v>
      </c>
      <c r="G1608" s="5" t="s">
        <v>7753</v>
      </c>
      <c r="H1608" s="5" t="s">
        <v>285</v>
      </c>
      <c r="I1608" s="5" t="s">
        <v>286</v>
      </c>
      <c r="J1608" s="5" t="s">
        <v>1512</v>
      </c>
      <c r="K1608" s="5" t="s">
        <v>7754</v>
      </c>
      <c r="L1608" s="5"/>
      <c r="M1608" s="5"/>
      <c r="N1608" s="5"/>
      <c r="O1608" s="5"/>
      <c r="P1608" s="5"/>
      <c r="Q1608" s="5"/>
      <c r="R1608" s="5"/>
      <c r="S1608" s="5"/>
      <c r="T1608" s="5"/>
      <c r="U1608" s="5">
        <v>5375</v>
      </c>
      <c r="V1608" s="6">
        <v>42654</v>
      </c>
      <c r="W1608" s="5" t="s">
        <v>31</v>
      </c>
      <c r="X1608" s="5" t="s">
        <v>7755</v>
      </c>
    </row>
    <row r="1609" spans="1:24" ht="27.95" x14ac:dyDescent="0.3">
      <c r="A1609" s="3">
        <v>1603</v>
      </c>
      <c r="B1609" s="3" t="str">
        <f>"1315263"</f>
        <v>1315263</v>
      </c>
      <c r="C1609" s="3" t="str">
        <f>"18242"</f>
        <v>18242</v>
      </c>
      <c r="D1609" s="3" t="s">
        <v>7756</v>
      </c>
      <c r="E1609" s="3">
        <v>20100154308</v>
      </c>
      <c r="F1609" s="3" t="s">
        <v>4033</v>
      </c>
      <c r="G1609" s="3" t="s">
        <v>7757</v>
      </c>
      <c r="H1609" s="3" t="s">
        <v>28</v>
      </c>
      <c r="I1609" s="3" t="s">
        <v>28</v>
      </c>
      <c r="J1609" s="3" t="s">
        <v>180</v>
      </c>
      <c r="K1609" s="3" t="s">
        <v>668</v>
      </c>
      <c r="L1609" s="3"/>
      <c r="M1609" s="3"/>
      <c r="N1609" s="3"/>
      <c r="O1609" s="3"/>
      <c r="P1609" s="3"/>
      <c r="Q1609" s="3"/>
      <c r="R1609" s="3"/>
      <c r="S1609" s="3"/>
      <c r="T1609" s="3"/>
      <c r="U1609" s="3">
        <v>1800</v>
      </c>
      <c r="V1609" s="4">
        <v>36980</v>
      </c>
      <c r="W1609" s="3" t="s">
        <v>31</v>
      </c>
      <c r="X1609" s="3" t="s">
        <v>7758</v>
      </c>
    </row>
    <row r="1610" spans="1:24" x14ac:dyDescent="0.3">
      <c r="A1610" s="5">
        <v>1604</v>
      </c>
      <c r="B1610" s="5" t="str">
        <f>"1315262"</f>
        <v>1315262</v>
      </c>
      <c r="C1610" s="5" t="str">
        <f>"18240"</f>
        <v>18240</v>
      </c>
      <c r="D1610" s="5" t="s">
        <v>7759</v>
      </c>
      <c r="E1610" s="5">
        <v>20100154308</v>
      </c>
      <c r="F1610" s="5" t="s">
        <v>4033</v>
      </c>
      <c r="G1610" s="5" t="s">
        <v>7760</v>
      </c>
      <c r="H1610" s="5" t="s">
        <v>28</v>
      </c>
      <c r="I1610" s="5" t="s">
        <v>667</v>
      </c>
      <c r="J1610" s="5" t="s">
        <v>667</v>
      </c>
      <c r="K1610" s="5" t="s">
        <v>7761</v>
      </c>
      <c r="L1610" s="5" t="s">
        <v>3955</v>
      </c>
      <c r="M1610" s="5"/>
      <c r="N1610" s="5"/>
      <c r="O1610" s="5"/>
      <c r="P1610" s="5"/>
      <c r="Q1610" s="5"/>
      <c r="R1610" s="5"/>
      <c r="S1610" s="5"/>
      <c r="T1610" s="5"/>
      <c r="U1610" s="5">
        <v>9200</v>
      </c>
      <c r="V1610" s="6">
        <v>36980</v>
      </c>
      <c r="W1610" s="5" t="s">
        <v>31</v>
      </c>
      <c r="X1610" s="5" t="s">
        <v>7758</v>
      </c>
    </row>
    <row r="1611" spans="1:24" x14ac:dyDescent="0.3">
      <c r="A1611" s="3">
        <v>1605</v>
      </c>
      <c r="B1611" s="3" t="str">
        <f>"201900084746"</f>
        <v>201900084746</v>
      </c>
      <c r="C1611" s="3" t="str">
        <f>"144309"</f>
        <v>144309</v>
      </c>
      <c r="D1611" s="3" t="s">
        <v>7762</v>
      </c>
      <c r="E1611" s="3">
        <v>20297543653</v>
      </c>
      <c r="F1611" s="3" t="s">
        <v>6145</v>
      </c>
      <c r="G1611" s="3" t="s">
        <v>7763</v>
      </c>
      <c r="H1611" s="3" t="s">
        <v>28</v>
      </c>
      <c r="I1611" s="3" t="s">
        <v>28</v>
      </c>
      <c r="J1611" s="3" t="s">
        <v>687</v>
      </c>
      <c r="K1611" s="3" t="s">
        <v>130</v>
      </c>
      <c r="L1611" s="3"/>
      <c r="M1611" s="3"/>
      <c r="N1611" s="3"/>
      <c r="O1611" s="3"/>
      <c r="P1611" s="3"/>
      <c r="Q1611" s="3"/>
      <c r="R1611" s="3"/>
      <c r="S1611" s="3"/>
      <c r="T1611" s="3"/>
      <c r="U1611" s="3">
        <v>3000</v>
      </c>
      <c r="V1611" s="4">
        <v>43620</v>
      </c>
      <c r="W1611" s="3" t="s">
        <v>31</v>
      </c>
      <c r="X1611" s="3" t="s">
        <v>886</v>
      </c>
    </row>
    <row r="1612" spans="1:24" x14ac:dyDescent="0.3">
      <c r="A1612" s="5">
        <v>1606</v>
      </c>
      <c r="B1612" s="5" t="str">
        <f>"1302979"</f>
        <v>1302979</v>
      </c>
      <c r="C1612" s="5" t="str">
        <f>"966"</f>
        <v>966</v>
      </c>
      <c r="D1612" s="5" t="s">
        <v>7764</v>
      </c>
      <c r="E1612" s="5">
        <v>20445060926</v>
      </c>
      <c r="F1612" s="5" t="s">
        <v>7765</v>
      </c>
      <c r="G1612" s="5" t="s">
        <v>7766</v>
      </c>
      <c r="H1612" s="5" t="s">
        <v>285</v>
      </c>
      <c r="I1612" s="5" t="s">
        <v>286</v>
      </c>
      <c r="J1612" s="5" t="s">
        <v>628</v>
      </c>
      <c r="K1612" s="5" t="s">
        <v>2366</v>
      </c>
      <c r="L1612" s="5" t="s">
        <v>5488</v>
      </c>
      <c r="M1612" s="5" t="s">
        <v>7767</v>
      </c>
      <c r="N1612" s="5"/>
      <c r="O1612" s="5"/>
      <c r="P1612" s="5"/>
      <c r="Q1612" s="5"/>
      <c r="R1612" s="5"/>
      <c r="S1612" s="5"/>
      <c r="T1612" s="5"/>
      <c r="U1612" s="5">
        <v>10090</v>
      </c>
      <c r="V1612" s="6">
        <v>37756</v>
      </c>
      <c r="W1612" s="5" t="s">
        <v>31</v>
      </c>
      <c r="X1612" s="5" t="s">
        <v>7768</v>
      </c>
    </row>
    <row r="1613" spans="1:24" ht="27.95" x14ac:dyDescent="0.3">
      <c r="A1613" s="3">
        <v>1607</v>
      </c>
      <c r="B1613" s="3" t="str">
        <f>"201800070223"</f>
        <v>201800070223</v>
      </c>
      <c r="C1613" s="3" t="str">
        <f>"123044"</f>
        <v>123044</v>
      </c>
      <c r="D1613" s="3" t="s">
        <v>7769</v>
      </c>
      <c r="E1613" s="3">
        <v>20507024051</v>
      </c>
      <c r="F1613" s="3" t="s">
        <v>7770</v>
      </c>
      <c r="G1613" s="3" t="s">
        <v>7771</v>
      </c>
      <c r="H1613" s="3" t="s">
        <v>970</v>
      </c>
      <c r="I1613" s="3" t="s">
        <v>970</v>
      </c>
      <c r="J1613" s="3" t="s">
        <v>7772</v>
      </c>
      <c r="K1613" s="3" t="s">
        <v>6407</v>
      </c>
      <c r="L1613" s="3" t="s">
        <v>181</v>
      </c>
      <c r="M1613" s="3"/>
      <c r="N1613" s="3"/>
      <c r="O1613" s="3"/>
      <c r="P1613" s="3"/>
      <c r="Q1613" s="3"/>
      <c r="R1613" s="3"/>
      <c r="S1613" s="3"/>
      <c r="T1613" s="3"/>
      <c r="U1613" s="3">
        <v>8500</v>
      </c>
      <c r="V1613" s="4">
        <v>43227</v>
      </c>
      <c r="W1613" s="3" t="s">
        <v>31</v>
      </c>
      <c r="X1613" s="3" t="s">
        <v>7773</v>
      </c>
    </row>
    <row r="1614" spans="1:24" x14ac:dyDescent="0.3">
      <c r="A1614" s="5">
        <v>1608</v>
      </c>
      <c r="B1614" s="5" t="str">
        <f>"201800164348"</f>
        <v>201800164348</v>
      </c>
      <c r="C1614" s="5" t="str">
        <f>"91232"</f>
        <v>91232</v>
      </c>
      <c r="D1614" s="5" t="s">
        <v>7774</v>
      </c>
      <c r="E1614" s="5">
        <v>20507975977</v>
      </c>
      <c r="F1614" s="5" t="s">
        <v>7775</v>
      </c>
      <c r="G1614" s="5" t="s">
        <v>7776</v>
      </c>
      <c r="H1614" s="5" t="s">
        <v>978</v>
      </c>
      <c r="I1614" s="5" t="s">
        <v>7777</v>
      </c>
      <c r="J1614" s="5" t="s">
        <v>7778</v>
      </c>
      <c r="K1614" s="5" t="s">
        <v>945</v>
      </c>
      <c r="L1614" s="5" t="s">
        <v>945</v>
      </c>
      <c r="M1614" s="5"/>
      <c r="N1614" s="5"/>
      <c r="O1614" s="5"/>
      <c r="P1614" s="5"/>
      <c r="Q1614" s="5"/>
      <c r="R1614" s="5"/>
      <c r="S1614" s="5"/>
      <c r="T1614" s="5"/>
      <c r="U1614" s="5">
        <v>120000</v>
      </c>
      <c r="V1614" s="6">
        <v>43382</v>
      </c>
      <c r="W1614" s="5" t="s">
        <v>31</v>
      </c>
      <c r="X1614" s="5" t="s">
        <v>7779</v>
      </c>
    </row>
    <row r="1615" spans="1:24" ht="27.95" x14ac:dyDescent="0.3">
      <c r="A1615" s="3">
        <v>1609</v>
      </c>
      <c r="B1615" s="3" t="str">
        <f>"201800187840"</f>
        <v>201800187840</v>
      </c>
      <c r="C1615" s="3" t="str">
        <f>"62260"</f>
        <v>62260</v>
      </c>
      <c r="D1615" s="3" t="s">
        <v>7780</v>
      </c>
      <c r="E1615" s="3">
        <v>20509516341</v>
      </c>
      <c r="F1615" s="3" t="s">
        <v>7781</v>
      </c>
      <c r="G1615" s="3" t="s">
        <v>7782</v>
      </c>
      <c r="H1615" s="3" t="s">
        <v>28</v>
      </c>
      <c r="I1615" s="3" t="s">
        <v>28</v>
      </c>
      <c r="J1615" s="3" t="s">
        <v>91</v>
      </c>
      <c r="K1615" s="3" t="s">
        <v>397</v>
      </c>
      <c r="L1615" s="3"/>
      <c r="M1615" s="3"/>
      <c r="N1615" s="3"/>
      <c r="O1615" s="3"/>
      <c r="P1615" s="3"/>
      <c r="Q1615" s="3"/>
      <c r="R1615" s="3"/>
      <c r="S1615" s="3"/>
      <c r="T1615" s="3"/>
      <c r="U1615" s="3">
        <v>2000</v>
      </c>
      <c r="V1615" s="4">
        <v>43418</v>
      </c>
      <c r="W1615" s="3" t="s">
        <v>31</v>
      </c>
      <c r="X1615" s="3" t="s">
        <v>32</v>
      </c>
    </row>
    <row r="1616" spans="1:24" x14ac:dyDescent="0.3">
      <c r="A1616" s="5">
        <v>1610</v>
      </c>
      <c r="B1616" s="5" t="str">
        <f>"1587993"</f>
        <v>1587993</v>
      </c>
      <c r="C1616" s="5" t="str">
        <f>"42763"</f>
        <v>42763</v>
      </c>
      <c r="D1616" s="5" t="s">
        <v>7783</v>
      </c>
      <c r="E1616" s="5">
        <v>20127270113</v>
      </c>
      <c r="F1616" s="5" t="s">
        <v>7784</v>
      </c>
      <c r="G1616" s="5" t="s">
        <v>7785</v>
      </c>
      <c r="H1616" s="5" t="s">
        <v>28</v>
      </c>
      <c r="I1616" s="5" t="s">
        <v>28</v>
      </c>
      <c r="J1616" s="5" t="s">
        <v>109</v>
      </c>
      <c r="K1616" s="5" t="s">
        <v>7786</v>
      </c>
      <c r="L1616" s="5" t="s">
        <v>576</v>
      </c>
      <c r="M1616" s="5"/>
      <c r="N1616" s="5"/>
      <c r="O1616" s="5"/>
      <c r="P1616" s="5"/>
      <c r="Q1616" s="5"/>
      <c r="R1616" s="5"/>
      <c r="S1616" s="5"/>
      <c r="T1616" s="5"/>
      <c r="U1616" s="5">
        <v>3650</v>
      </c>
      <c r="V1616" s="6">
        <v>38756</v>
      </c>
      <c r="W1616" s="5" t="s">
        <v>31</v>
      </c>
      <c r="X1616" s="5" t="s">
        <v>7787</v>
      </c>
    </row>
    <row r="1617" spans="1:24" x14ac:dyDescent="0.3">
      <c r="A1617" s="3">
        <v>1611</v>
      </c>
      <c r="B1617" s="3" t="str">
        <f>"201600002859"</f>
        <v>201600002859</v>
      </c>
      <c r="C1617" s="3" t="str">
        <f>"115162"</f>
        <v>115162</v>
      </c>
      <c r="D1617" s="3" t="s">
        <v>7788</v>
      </c>
      <c r="E1617" s="3">
        <v>20100971772</v>
      </c>
      <c r="F1617" s="3" t="s">
        <v>7789</v>
      </c>
      <c r="G1617" s="3" t="s">
        <v>7790</v>
      </c>
      <c r="H1617" s="3" t="s">
        <v>28</v>
      </c>
      <c r="I1617" s="3" t="s">
        <v>28</v>
      </c>
      <c r="J1617" s="3" t="s">
        <v>4912</v>
      </c>
      <c r="K1617" s="3" t="s">
        <v>181</v>
      </c>
      <c r="L1617" s="3"/>
      <c r="M1617" s="3"/>
      <c r="N1617" s="3"/>
      <c r="O1617" s="3"/>
      <c r="P1617" s="3"/>
      <c r="Q1617" s="3"/>
      <c r="R1617" s="3"/>
      <c r="S1617" s="3"/>
      <c r="T1617" s="3"/>
      <c r="U1617" s="3">
        <v>5000</v>
      </c>
      <c r="V1617" s="4">
        <v>42400</v>
      </c>
      <c r="W1617" s="3" t="s">
        <v>31</v>
      </c>
      <c r="X1617" s="3" t="s">
        <v>7791</v>
      </c>
    </row>
    <row r="1618" spans="1:24" x14ac:dyDescent="0.3">
      <c r="A1618" s="5">
        <v>1612</v>
      </c>
      <c r="B1618" s="5" t="str">
        <f>"1524180"</f>
        <v>1524180</v>
      </c>
      <c r="C1618" s="5" t="str">
        <f>"281"</f>
        <v>281</v>
      </c>
      <c r="D1618" s="5" t="s">
        <v>7792</v>
      </c>
      <c r="E1618" s="5">
        <v>20100032610</v>
      </c>
      <c r="F1618" s="5" t="s">
        <v>7793</v>
      </c>
      <c r="G1618" s="5" t="s">
        <v>7794</v>
      </c>
      <c r="H1618" s="5" t="s">
        <v>28</v>
      </c>
      <c r="I1618" s="5" t="s">
        <v>28</v>
      </c>
      <c r="J1618" s="5" t="s">
        <v>28</v>
      </c>
      <c r="K1618" s="5" t="s">
        <v>4942</v>
      </c>
      <c r="L1618" s="5"/>
      <c r="M1618" s="5"/>
      <c r="N1618" s="5"/>
      <c r="O1618" s="5"/>
      <c r="P1618" s="5"/>
      <c r="Q1618" s="5"/>
      <c r="R1618" s="5"/>
      <c r="S1618" s="5"/>
      <c r="T1618" s="5"/>
      <c r="U1618" s="5">
        <v>5500</v>
      </c>
      <c r="V1618" s="6">
        <v>38453</v>
      </c>
      <c r="W1618" s="5" t="s">
        <v>31</v>
      </c>
      <c r="X1618" s="5" t="s">
        <v>7795</v>
      </c>
    </row>
    <row r="1619" spans="1:24" x14ac:dyDescent="0.3">
      <c r="A1619" s="3">
        <v>1613</v>
      </c>
      <c r="B1619" s="3" t="str">
        <f>"1734167"</f>
        <v>1734167</v>
      </c>
      <c r="C1619" s="3" t="str">
        <f>"61770"</f>
        <v>61770</v>
      </c>
      <c r="D1619" s="3" t="s">
        <v>7796</v>
      </c>
      <c r="E1619" s="3">
        <v>20513452153</v>
      </c>
      <c r="F1619" s="3" t="s">
        <v>7797</v>
      </c>
      <c r="G1619" s="3" t="s">
        <v>7798</v>
      </c>
      <c r="H1619" s="3" t="s">
        <v>285</v>
      </c>
      <c r="I1619" s="3" t="s">
        <v>286</v>
      </c>
      <c r="J1619" s="3" t="s">
        <v>286</v>
      </c>
      <c r="K1619" s="3" t="s">
        <v>7799</v>
      </c>
      <c r="L1619" s="3" t="s">
        <v>1193</v>
      </c>
      <c r="M1619" s="3" t="s">
        <v>7800</v>
      </c>
      <c r="N1619" s="3" t="s">
        <v>7801</v>
      </c>
      <c r="O1619" s="3" t="s">
        <v>7802</v>
      </c>
      <c r="P1619" s="3" t="s">
        <v>7803</v>
      </c>
      <c r="Q1619" s="3"/>
      <c r="R1619" s="3"/>
      <c r="S1619" s="3"/>
      <c r="T1619" s="3"/>
      <c r="U1619" s="3">
        <v>155050</v>
      </c>
      <c r="V1619" s="4">
        <v>39392</v>
      </c>
      <c r="W1619" s="3" t="s">
        <v>31</v>
      </c>
      <c r="X1619" s="3" t="s">
        <v>7804</v>
      </c>
    </row>
    <row r="1620" spans="1:24" x14ac:dyDescent="0.3">
      <c r="A1620" s="5">
        <v>1614</v>
      </c>
      <c r="B1620" s="5" t="str">
        <f>"201700162969"</f>
        <v>201700162969</v>
      </c>
      <c r="C1620" s="5" t="str">
        <f>"62784"</f>
        <v>62784</v>
      </c>
      <c r="D1620" s="5" t="s">
        <v>7805</v>
      </c>
      <c r="E1620" s="5">
        <v>20136258240</v>
      </c>
      <c r="F1620" s="5" t="s">
        <v>7806</v>
      </c>
      <c r="G1620" s="5" t="s">
        <v>7807</v>
      </c>
      <c r="H1620" s="5" t="s">
        <v>566</v>
      </c>
      <c r="I1620" s="5" t="s">
        <v>1031</v>
      </c>
      <c r="J1620" s="5" t="s">
        <v>1031</v>
      </c>
      <c r="K1620" s="5" t="s">
        <v>7808</v>
      </c>
      <c r="L1620" s="5" t="s">
        <v>7809</v>
      </c>
      <c r="M1620" s="5" t="s">
        <v>7810</v>
      </c>
      <c r="N1620" s="5"/>
      <c r="O1620" s="5"/>
      <c r="P1620" s="5"/>
      <c r="Q1620" s="5"/>
      <c r="R1620" s="5"/>
      <c r="S1620" s="5"/>
      <c r="T1620" s="5"/>
      <c r="U1620" s="5">
        <v>16162</v>
      </c>
      <c r="V1620" s="6">
        <v>43014</v>
      </c>
      <c r="W1620" s="5" t="s">
        <v>31</v>
      </c>
      <c r="X1620" s="5" t="s">
        <v>7811</v>
      </c>
    </row>
    <row r="1621" spans="1:24" ht="27.95" x14ac:dyDescent="0.3">
      <c r="A1621" s="3">
        <v>1615</v>
      </c>
      <c r="B1621" s="3" t="str">
        <f>"1538326"</f>
        <v>1538326</v>
      </c>
      <c r="C1621" s="3" t="str">
        <f>"15689"</f>
        <v>15689</v>
      </c>
      <c r="D1621" s="3" t="s">
        <v>7812</v>
      </c>
      <c r="E1621" s="3">
        <v>20131371293</v>
      </c>
      <c r="F1621" s="3" t="s">
        <v>7813</v>
      </c>
      <c r="G1621" s="3" t="s">
        <v>7814</v>
      </c>
      <c r="H1621" s="3" t="s">
        <v>28</v>
      </c>
      <c r="I1621" s="3" t="s">
        <v>28</v>
      </c>
      <c r="J1621" s="3" t="s">
        <v>687</v>
      </c>
      <c r="K1621" s="3" t="s">
        <v>7815</v>
      </c>
      <c r="L1621" s="3" t="s">
        <v>323</v>
      </c>
      <c r="M1621" s="3"/>
      <c r="N1621" s="3"/>
      <c r="O1621" s="3"/>
      <c r="P1621" s="3"/>
      <c r="Q1621" s="3"/>
      <c r="R1621" s="3"/>
      <c r="S1621" s="3"/>
      <c r="T1621" s="3"/>
      <c r="U1621" s="3">
        <v>10000</v>
      </c>
      <c r="V1621" s="4">
        <v>38516</v>
      </c>
      <c r="W1621" s="3" t="s">
        <v>31</v>
      </c>
      <c r="X1621" s="3" t="s">
        <v>7816</v>
      </c>
    </row>
    <row r="1622" spans="1:24" ht="27.95" x14ac:dyDescent="0.3">
      <c r="A1622" s="5">
        <v>1616</v>
      </c>
      <c r="B1622" s="5" t="str">
        <f>"1339964"</f>
        <v>1339964</v>
      </c>
      <c r="C1622" s="5" t="str">
        <f>"21439"</f>
        <v>21439</v>
      </c>
      <c r="D1622" s="5" t="s">
        <v>7817</v>
      </c>
      <c r="E1622" s="5">
        <v>20127143863</v>
      </c>
      <c r="F1622" s="5" t="s">
        <v>7818</v>
      </c>
      <c r="G1622" s="5" t="s">
        <v>7819</v>
      </c>
      <c r="H1622" s="5" t="s">
        <v>28</v>
      </c>
      <c r="I1622" s="5" t="s">
        <v>28</v>
      </c>
      <c r="J1622" s="5" t="s">
        <v>409</v>
      </c>
      <c r="K1622" s="5" t="s">
        <v>323</v>
      </c>
      <c r="L1622" s="5"/>
      <c r="M1622" s="5"/>
      <c r="N1622" s="5"/>
      <c r="O1622" s="5"/>
      <c r="P1622" s="5"/>
      <c r="Q1622" s="5"/>
      <c r="R1622" s="5"/>
      <c r="S1622" s="5"/>
      <c r="T1622" s="5"/>
      <c r="U1622" s="5">
        <v>4000</v>
      </c>
      <c r="V1622" s="6">
        <v>37194</v>
      </c>
      <c r="W1622" s="5" t="s">
        <v>31</v>
      </c>
      <c r="X1622" s="5" t="s">
        <v>7820</v>
      </c>
    </row>
    <row r="1623" spans="1:24" ht="27.95" x14ac:dyDescent="0.3">
      <c r="A1623" s="3">
        <v>1617</v>
      </c>
      <c r="B1623" s="3" t="str">
        <f>"1785922"</f>
        <v>1785922</v>
      </c>
      <c r="C1623" s="3" t="str">
        <f>"62068"</f>
        <v>62068</v>
      </c>
      <c r="D1623" s="3" t="s">
        <v>7821</v>
      </c>
      <c r="E1623" s="3">
        <v>20445358747</v>
      </c>
      <c r="F1623" s="3" t="s">
        <v>7822</v>
      </c>
      <c r="G1623" s="3" t="s">
        <v>7823</v>
      </c>
      <c r="H1623" s="3" t="s">
        <v>285</v>
      </c>
      <c r="I1623" s="3" t="s">
        <v>286</v>
      </c>
      <c r="J1623" s="3" t="s">
        <v>470</v>
      </c>
      <c r="K1623" s="3" t="s">
        <v>323</v>
      </c>
      <c r="L1623" s="3"/>
      <c r="M1623" s="3"/>
      <c r="N1623" s="3"/>
      <c r="O1623" s="3"/>
      <c r="P1623" s="3"/>
      <c r="Q1623" s="3"/>
      <c r="R1623" s="3"/>
      <c r="S1623" s="3"/>
      <c r="T1623" s="3"/>
      <c r="U1623" s="3">
        <v>4000</v>
      </c>
      <c r="V1623" s="4">
        <v>39595</v>
      </c>
      <c r="W1623" s="3" t="s">
        <v>31</v>
      </c>
      <c r="X1623" s="3" t="s">
        <v>7824</v>
      </c>
    </row>
    <row r="1624" spans="1:24" ht="27.95" x14ac:dyDescent="0.3">
      <c r="A1624" s="5">
        <v>1618</v>
      </c>
      <c r="B1624" s="5" t="str">
        <f>"1399562"</f>
        <v>1399562</v>
      </c>
      <c r="C1624" s="5" t="str">
        <f>"39025"</f>
        <v>39025</v>
      </c>
      <c r="D1624" s="5" t="s">
        <v>7825</v>
      </c>
      <c r="E1624" s="5">
        <v>20106977608</v>
      </c>
      <c r="F1624" s="5" t="s">
        <v>7826</v>
      </c>
      <c r="G1624" s="5" t="s">
        <v>7827</v>
      </c>
      <c r="H1624" s="5" t="s">
        <v>28</v>
      </c>
      <c r="I1624" s="5" t="s">
        <v>28</v>
      </c>
      <c r="J1624" s="5" t="s">
        <v>5353</v>
      </c>
      <c r="K1624" s="5" t="s">
        <v>46</v>
      </c>
      <c r="L1624" s="5"/>
      <c r="M1624" s="5"/>
      <c r="N1624" s="5"/>
      <c r="O1624" s="5"/>
      <c r="P1624" s="5"/>
      <c r="Q1624" s="5"/>
      <c r="R1624" s="5"/>
      <c r="S1624" s="5"/>
      <c r="T1624" s="5"/>
      <c r="U1624" s="5">
        <v>3000</v>
      </c>
      <c r="V1624" s="6">
        <v>37662</v>
      </c>
      <c r="W1624" s="5" t="s">
        <v>31</v>
      </c>
      <c r="X1624" s="5" t="s">
        <v>7828</v>
      </c>
    </row>
    <row r="1625" spans="1:24" x14ac:dyDescent="0.3">
      <c r="A1625" s="3">
        <v>1619</v>
      </c>
      <c r="B1625" s="3" t="str">
        <f>"201900113544"</f>
        <v>201900113544</v>
      </c>
      <c r="C1625" s="3" t="str">
        <f>"94099"</f>
        <v>94099</v>
      </c>
      <c r="D1625" s="3" t="s">
        <v>7829</v>
      </c>
      <c r="E1625" s="3">
        <v>20458830437</v>
      </c>
      <c r="F1625" s="3" t="s">
        <v>7830</v>
      </c>
      <c r="G1625" s="3" t="s">
        <v>7831</v>
      </c>
      <c r="H1625" s="3" t="s">
        <v>28</v>
      </c>
      <c r="I1625" s="3" t="s">
        <v>28</v>
      </c>
      <c r="J1625" s="3" t="s">
        <v>91</v>
      </c>
      <c r="K1625" s="3" t="s">
        <v>7832</v>
      </c>
      <c r="L1625" s="3"/>
      <c r="M1625" s="3"/>
      <c r="N1625" s="3"/>
      <c r="O1625" s="3"/>
      <c r="P1625" s="3"/>
      <c r="Q1625" s="3"/>
      <c r="R1625" s="3"/>
      <c r="S1625" s="3"/>
      <c r="T1625" s="3"/>
      <c r="U1625" s="3">
        <v>3660</v>
      </c>
      <c r="V1625" s="4">
        <v>43661</v>
      </c>
      <c r="W1625" s="3" t="s">
        <v>31</v>
      </c>
      <c r="X1625" s="3" t="s">
        <v>7833</v>
      </c>
    </row>
    <row r="1626" spans="1:24" x14ac:dyDescent="0.3">
      <c r="A1626" s="5">
        <v>1620</v>
      </c>
      <c r="B1626" s="5" t="str">
        <f>"1393088"</f>
        <v>1393088</v>
      </c>
      <c r="C1626" s="5" t="str">
        <f>"393"</f>
        <v>393</v>
      </c>
      <c r="D1626" s="5" t="s">
        <v>7834</v>
      </c>
      <c r="E1626" s="5">
        <v>20380336384</v>
      </c>
      <c r="F1626" s="5" t="s">
        <v>6557</v>
      </c>
      <c r="G1626" s="5" t="s">
        <v>7835</v>
      </c>
      <c r="H1626" s="5" t="s">
        <v>28</v>
      </c>
      <c r="I1626" s="5" t="s">
        <v>574</v>
      </c>
      <c r="J1626" s="5" t="s">
        <v>1305</v>
      </c>
      <c r="K1626" s="5" t="s">
        <v>7836</v>
      </c>
      <c r="L1626" s="5" t="s">
        <v>7837</v>
      </c>
      <c r="M1626" s="5" t="s">
        <v>7838</v>
      </c>
      <c r="N1626" s="5" t="s">
        <v>7839</v>
      </c>
      <c r="O1626" s="5" t="s">
        <v>7840</v>
      </c>
      <c r="P1626" s="5" t="s">
        <v>7841</v>
      </c>
      <c r="Q1626" s="5" t="s">
        <v>7842</v>
      </c>
      <c r="R1626" s="5" t="s">
        <v>7843</v>
      </c>
      <c r="S1626" s="5"/>
      <c r="T1626" s="5"/>
      <c r="U1626" s="5">
        <v>163431</v>
      </c>
      <c r="V1626" s="6">
        <v>37602</v>
      </c>
      <c r="W1626" s="5" t="s">
        <v>31</v>
      </c>
      <c r="X1626" s="5" t="s">
        <v>6563</v>
      </c>
    </row>
    <row r="1627" spans="1:24" ht="27.95" x14ac:dyDescent="0.3">
      <c r="A1627" s="3">
        <v>1621</v>
      </c>
      <c r="B1627" s="3" t="str">
        <f>"201800055545"</f>
        <v>201800055545</v>
      </c>
      <c r="C1627" s="3" t="str">
        <f>"92483"</f>
        <v>92483</v>
      </c>
      <c r="D1627" s="3" t="s">
        <v>7844</v>
      </c>
      <c r="E1627" s="3">
        <v>20450572676</v>
      </c>
      <c r="F1627" s="3" t="s">
        <v>7845</v>
      </c>
      <c r="G1627" s="3" t="s">
        <v>7846</v>
      </c>
      <c r="H1627" s="3" t="s">
        <v>165</v>
      </c>
      <c r="I1627" s="3" t="s">
        <v>166</v>
      </c>
      <c r="J1627" s="3" t="s">
        <v>167</v>
      </c>
      <c r="K1627" s="3" t="s">
        <v>7847</v>
      </c>
      <c r="L1627" s="3" t="s">
        <v>6937</v>
      </c>
      <c r="M1627" s="3"/>
      <c r="N1627" s="3"/>
      <c r="O1627" s="3"/>
      <c r="P1627" s="3"/>
      <c r="Q1627" s="3"/>
      <c r="R1627" s="3"/>
      <c r="S1627" s="3"/>
      <c r="T1627" s="3"/>
      <c r="U1627" s="3">
        <v>9600</v>
      </c>
      <c r="V1627" s="4">
        <v>43200</v>
      </c>
      <c r="W1627" s="3" t="s">
        <v>31</v>
      </c>
      <c r="X1627" s="3" t="s">
        <v>7848</v>
      </c>
    </row>
    <row r="1628" spans="1:24" x14ac:dyDescent="0.3">
      <c r="A1628" s="5">
        <v>1622</v>
      </c>
      <c r="B1628" s="5" t="str">
        <f>"1614453"</f>
        <v>1614453</v>
      </c>
      <c r="C1628" s="5" t="str">
        <f>"1541"</f>
        <v>1541</v>
      </c>
      <c r="D1628" s="5" t="s">
        <v>7849</v>
      </c>
      <c r="E1628" s="5">
        <v>20213568672</v>
      </c>
      <c r="F1628" s="5" t="s">
        <v>7850</v>
      </c>
      <c r="G1628" s="5" t="s">
        <v>7851</v>
      </c>
      <c r="H1628" s="5" t="s">
        <v>28</v>
      </c>
      <c r="I1628" s="5" t="s">
        <v>28</v>
      </c>
      <c r="J1628" s="5" t="s">
        <v>545</v>
      </c>
      <c r="K1628" s="5" t="s">
        <v>7852</v>
      </c>
      <c r="L1628" s="5"/>
      <c r="M1628" s="5"/>
      <c r="N1628" s="5"/>
      <c r="O1628" s="5"/>
      <c r="P1628" s="5"/>
      <c r="Q1628" s="5"/>
      <c r="R1628" s="5"/>
      <c r="S1628" s="5"/>
      <c r="T1628" s="5"/>
      <c r="U1628" s="5">
        <v>32154</v>
      </c>
      <c r="V1628" s="6">
        <v>38902</v>
      </c>
      <c r="W1628" s="5" t="s">
        <v>31</v>
      </c>
      <c r="X1628" s="5" t="s">
        <v>7853</v>
      </c>
    </row>
    <row r="1629" spans="1:24" x14ac:dyDescent="0.3">
      <c r="A1629" s="3">
        <v>1623</v>
      </c>
      <c r="B1629" s="3" t="str">
        <f>"1664494"</f>
        <v>1664494</v>
      </c>
      <c r="C1629" s="3" t="str">
        <f>"43756"</f>
        <v>43756</v>
      </c>
      <c r="D1629" s="3" t="s">
        <v>7854</v>
      </c>
      <c r="E1629" s="3">
        <v>20514993956</v>
      </c>
      <c r="F1629" s="3" t="s">
        <v>7855</v>
      </c>
      <c r="G1629" s="3" t="s">
        <v>7856</v>
      </c>
      <c r="H1629" s="3" t="s">
        <v>28</v>
      </c>
      <c r="I1629" s="3" t="s">
        <v>28</v>
      </c>
      <c r="J1629" s="3" t="s">
        <v>91</v>
      </c>
      <c r="K1629" s="3" t="s">
        <v>1775</v>
      </c>
      <c r="L1629" s="3"/>
      <c r="M1629" s="3"/>
      <c r="N1629" s="3"/>
      <c r="O1629" s="3"/>
      <c r="P1629" s="3"/>
      <c r="Q1629" s="3"/>
      <c r="R1629" s="3"/>
      <c r="S1629" s="3"/>
      <c r="T1629" s="3"/>
      <c r="U1629" s="3">
        <v>2500</v>
      </c>
      <c r="V1629" s="4">
        <v>39141</v>
      </c>
      <c r="W1629" s="3" t="s">
        <v>31</v>
      </c>
      <c r="X1629" s="3" t="s">
        <v>7857</v>
      </c>
    </row>
    <row r="1630" spans="1:24" ht="27.95" x14ac:dyDescent="0.3">
      <c r="A1630" s="5">
        <v>1624</v>
      </c>
      <c r="B1630" s="5" t="str">
        <f>"1388279"</f>
        <v>1388279</v>
      </c>
      <c r="C1630" s="5" t="str">
        <f>"45511"</f>
        <v>45511</v>
      </c>
      <c r="D1630" s="5" t="s">
        <v>7858</v>
      </c>
      <c r="E1630" s="5">
        <v>20131872233</v>
      </c>
      <c r="F1630" s="5" t="s">
        <v>7859</v>
      </c>
      <c r="G1630" s="5" t="s">
        <v>7860</v>
      </c>
      <c r="H1630" s="5" t="s">
        <v>36</v>
      </c>
      <c r="I1630" s="5" t="s">
        <v>234</v>
      </c>
      <c r="J1630" s="5" t="s">
        <v>587</v>
      </c>
      <c r="K1630" s="5" t="s">
        <v>432</v>
      </c>
      <c r="L1630" s="5" t="s">
        <v>7861</v>
      </c>
      <c r="M1630" s="5"/>
      <c r="N1630" s="5"/>
      <c r="O1630" s="5"/>
      <c r="P1630" s="5"/>
      <c r="Q1630" s="5"/>
      <c r="R1630" s="5"/>
      <c r="S1630" s="5"/>
      <c r="T1630" s="5"/>
      <c r="U1630" s="5">
        <v>4170</v>
      </c>
      <c r="V1630" s="6">
        <v>40407</v>
      </c>
      <c r="W1630" s="5" t="s">
        <v>31</v>
      </c>
      <c r="X1630" s="5" t="s">
        <v>7862</v>
      </c>
    </row>
    <row r="1631" spans="1:24" ht="41.95" x14ac:dyDescent="0.3">
      <c r="A1631" s="3">
        <v>1625</v>
      </c>
      <c r="B1631" s="3" t="str">
        <f>"201800066707"</f>
        <v>201800066707</v>
      </c>
      <c r="C1631" s="3" t="str">
        <f>"135794"</f>
        <v>135794</v>
      </c>
      <c r="D1631" s="3" t="s">
        <v>7863</v>
      </c>
      <c r="E1631" s="3">
        <v>20109565017</v>
      </c>
      <c r="F1631" s="3" t="s">
        <v>7864</v>
      </c>
      <c r="G1631" s="3" t="s">
        <v>7865</v>
      </c>
      <c r="H1631" s="3" t="s">
        <v>51</v>
      </c>
      <c r="I1631" s="3" t="s">
        <v>51</v>
      </c>
      <c r="J1631" s="3" t="s">
        <v>957</v>
      </c>
      <c r="K1631" s="3" t="s">
        <v>5318</v>
      </c>
      <c r="L1631" s="3"/>
      <c r="M1631" s="3"/>
      <c r="N1631" s="3"/>
      <c r="O1631" s="3"/>
      <c r="P1631" s="3"/>
      <c r="Q1631" s="3"/>
      <c r="R1631" s="3"/>
      <c r="S1631" s="3"/>
      <c r="T1631" s="3"/>
      <c r="U1631" s="3">
        <v>9220</v>
      </c>
      <c r="V1631" s="4">
        <v>43216</v>
      </c>
      <c r="W1631" s="3" t="s">
        <v>31</v>
      </c>
      <c r="X1631" s="3" t="s">
        <v>7866</v>
      </c>
    </row>
    <row r="1632" spans="1:24" x14ac:dyDescent="0.3">
      <c r="A1632" s="5">
        <v>1626</v>
      </c>
      <c r="B1632" s="5" t="str">
        <f>"1973395"</f>
        <v>1973395</v>
      </c>
      <c r="C1632" s="5" t="str">
        <f>"85665"</f>
        <v>85665</v>
      </c>
      <c r="D1632" s="5" t="s">
        <v>7867</v>
      </c>
      <c r="E1632" s="5">
        <v>20100147514</v>
      </c>
      <c r="F1632" s="5" t="s">
        <v>4756</v>
      </c>
      <c r="G1632" s="5" t="s">
        <v>7868</v>
      </c>
      <c r="H1632" s="5" t="s">
        <v>1147</v>
      </c>
      <c r="I1632" s="5" t="s">
        <v>1148</v>
      </c>
      <c r="J1632" s="5" t="s">
        <v>2741</v>
      </c>
      <c r="K1632" s="5" t="s">
        <v>7869</v>
      </c>
      <c r="L1632" s="5"/>
      <c r="M1632" s="5"/>
      <c r="N1632" s="5"/>
      <c r="O1632" s="5"/>
      <c r="P1632" s="5"/>
      <c r="Q1632" s="5"/>
      <c r="R1632" s="5"/>
      <c r="S1632" s="5"/>
      <c r="T1632" s="5"/>
      <c r="U1632" s="5">
        <v>59800</v>
      </c>
      <c r="V1632" s="6">
        <v>40242</v>
      </c>
      <c r="W1632" s="5" t="s">
        <v>31</v>
      </c>
      <c r="X1632" s="5" t="s">
        <v>4758</v>
      </c>
    </row>
    <row r="1633" spans="1:24" ht="27.95" x14ac:dyDescent="0.3">
      <c r="A1633" s="3">
        <v>1627</v>
      </c>
      <c r="B1633" s="3" t="str">
        <f>"201400083563"</f>
        <v>201400083563</v>
      </c>
      <c r="C1633" s="3" t="str">
        <f>"167"</f>
        <v>167</v>
      </c>
      <c r="D1633" s="3" t="s">
        <v>7870</v>
      </c>
      <c r="E1633" s="3">
        <v>20555271566</v>
      </c>
      <c r="F1633" s="3" t="s">
        <v>7871</v>
      </c>
      <c r="G1633" s="3" t="s">
        <v>7872</v>
      </c>
      <c r="H1633" s="3" t="s">
        <v>36</v>
      </c>
      <c r="I1633" s="3" t="s">
        <v>234</v>
      </c>
      <c r="J1633" s="3" t="s">
        <v>587</v>
      </c>
      <c r="K1633" s="3" t="s">
        <v>7873</v>
      </c>
      <c r="L1633" s="3" t="s">
        <v>7873</v>
      </c>
      <c r="M1633" s="3"/>
      <c r="N1633" s="3"/>
      <c r="O1633" s="3"/>
      <c r="P1633" s="3"/>
      <c r="Q1633" s="3"/>
      <c r="R1633" s="3"/>
      <c r="S1633" s="3"/>
      <c r="T1633" s="3"/>
      <c r="U1633" s="3">
        <v>13800</v>
      </c>
      <c r="V1633" s="4">
        <v>41835</v>
      </c>
      <c r="W1633" s="3" t="s">
        <v>31</v>
      </c>
      <c r="X1633" s="3" t="s">
        <v>7874</v>
      </c>
    </row>
    <row r="1634" spans="1:24" ht="27.95" x14ac:dyDescent="0.3">
      <c r="A1634" s="5">
        <v>1628</v>
      </c>
      <c r="B1634" s="5" t="str">
        <f>"201200169664"</f>
        <v>201200169664</v>
      </c>
      <c r="C1634" s="5" t="str">
        <f>"82303"</f>
        <v>82303</v>
      </c>
      <c r="D1634" s="5" t="s">
        <v>7875</v>
      </c>
      <c r="E1634" s="5">
        <v>20315367078</v>
      </c>
      <c r="F1634" s="5" t="s">
        <v>7876</v>
      </c>
      <c r="G1634" s="5" t="s">
        <v>7877</v>
      </c>
      <c r="H1634" s="5" t="s">
        <v>36</v>
      </c>
      <c r="I1634" s="5" t="s">
        <v>234</v>
      </c>
      <c r="J1634" s="5" t="s">
        <v>234</v>
      </c>
      <c r="K1634" s="5" t="s">
        <v>5771</v>
      </c>
      <c r="L1634" s="5"/>
      <c r="M1634" s="5"/>
      <c r="N1634" s="5"/>
      <c r="O1634" s="5"/>
      <c r="P1634" s="5"/>
      <c r="Q1634" s="5"/>
      <c r="R1634" s="5"/>
      <c r="S1634" s="5"/>
      <c r="T1634" s="5"/>
      <c r="U1634" s="5">
        <v>5500</v>
      </c>
      <c r="V1634" s="6">
        <v>41193</v>
      </c>
      <c r="W1634" s="5" t="s">
        <v>31</v>
      </c>
      <c r="X1634" s="5" t="s">
        <v>7878</v>
      </c>
    </row>
    <row r="1635" spans="1:24" ht="27.95" x14ac:dyDescent="0.3">
      <c r="A1635" s="3">
        <v>1629</v>
      </c>
      <c r="B1635" s="3" t="str">
        <f>"1973397"</f>
        <v>1973397</v>
      </c>
      <c r="C1635" s="3" t="str">
        <f>"85705"</f>
        <v>85705</v>
      </c>
      <c r="D1635" s="3" t="s">
        <v>7879</v>
      </c>
      <c r="E1635" s="3">
        <v>20100147514</v>
      </c>
      <c r="F1635" s="3" t="s">
        <v>7880</v>
      </c>
      <c r="G1635" s="3" t="s">
        <v>7881</v>
      </c>
      <c r="H1635" s="3" t="s">
        <v>1147</v>
      </c>
      <c r="I1635" s="3" t="s">
        <v>3784</v>
      </c>
      <c r="J1635" s="3" t="s">
        <v>3834</v>
      </c>
      <c r="K1635" s="3" t="s">
        <v>236</v>
      </c>
      <c r="L1635" s="3"/>
      <c r="M1635" s="3"/>
      <c r="N1635" s="3"/>
      <c r="O1635" s="3"/>
      <c r="P1635" s="3"/>
      <c r="Q1635" s="3"/>
      <c r="R1635" s="3"/>
      <c r="S1635" s="3"/>
      <c r="T1635" s="3"/>
      <c r="U1635" s="3">
        <v>4500</v>
      </c>
      <c r="V1635" s="4">
        <v>40242</v>
      </c>
      <c r="W1635" s="3" t="s">
        <v>31</v>
      </c>
      <c r="X1635" s="3" t="s">
        <v>4758</v>
      </c>
    </row>
    <row r="1636" spans="1:24" x14ac:dyDescent="0.3">
      <c r="A1636" s="5">
        <v>1630</v>
      </c>
      <c r="B1636" s="5" t="str">
        <f>"1123589"</f>
        <v>1123589</v>
      </c>
      <c r="C1636" s="5" t="str">
        <f>"245"</f>
        <v>245</v>
      </c>
      <c r="D1636" s="5" t="s">
        <v>7882</v>
      </c>
      <c r="E1636" s="5">
        <v>20131577746</v>
      </c>
      <c r="F1636" s="5" t="s">
        <v>7883</v>
      </c>
      <c r="G1636" s="5" t="s">
        <v>7884</v>
      </c>
      <c r="H1636" s="5" t="s">
        <v>36</v>
      </c>
      <c r="I1636" s="5" t="s">
        <v>234</v>
      </c>
      <c r="J1636" s="5" t="s">
        <v>234</v>
      </c>
      <c r="K1636" s="5" t="s">
        <v>2262</v>
      </c>
      <c r="L1636" s="5" t="s">
        <v>7885</v>
      </c>
      <c r="M1636" s="5" t="s">
        <v>7886</v>
      </c>
      <c r="N1636" s="5"/>
      <c r="O1636" s="5"/>
      <c r="P1636" s="5"/>
      <c r="Q1636" s="5"/>
      <c r="R1636" s="5"/>
      <c r="S1636" s="5"/>
      <c r="T1636" s="5"/>
      <c r="U1636" s="5">
        <v>9000</v>
      </c>
      <c r="V1636" s="6">
        <v>36802</v>
      </c>
      <c r="W1636" s="5" t="s">
        <v>31</v>
      </c>
      <c r="X1636" s="5" t="s">
        <v>7887</v>
      </c>
    </row>
    <row r="1637" spans="1:24" ht="27.95" x14ac:dyDescent="0.3">
      <c r="A1637" s="3">
        <v>1631</v>
      </c>
      <c r="B1637" s="3" t="str">
        <f>"1865871"</f>
        <v>1865871</v>
      </c>
      <c r="C1637" s="3" t="str">
        <f>"82889"</f>
        <v>82889</v>
      </c>
      <c r="D1637" s="3" t="s">
        <v>7888</v>
      </c>
      <c r="E1637" s="3">
        <v>20111092509</v>
      </c>
      <c r="F1637" s="3" t="s">
        <v>7889</v>
      </c>
      <c r="G1637" s="3" t="s">
        <v>7890</v>
      </c>
      <c r="H1637" s="3" t="s">
        <v>28</v>
      </c>
      <c r="I1637" s="3" t="s">
        <v>28</v>
      </c>
      <c r="J1637" s="3" t="s">
        <v>91</v>
      </c>
      <c r="K1637" s="3" t="s">
        <v>2967</v>
      </c>
      <c r="L1637" s="3"/>
      <c r="M1637" s="3"/>
      <c r="N1637" s="3"/>
      <c r="O1637" s="3"/>
      <c r="P1637" s="3"/>
      <c r="Q1637" s="3"/>
      <c r="R1637" s="3"/>
      <c r="S1637" s="3"/>
      <c r="T1637" s="3"/>
      <c r="U1637" s="3">
        <v>3700</v>
      </c>
      <c r="V1637" s="4">
        <v>39909</v>
      </c>
      <c r="W1637" s="3" t="s">
        <v>31</v>
      </c>
      <c r="X1637" s="3" t="s">
        <v>7891</v>
      </c>
    </row>
    <row r="1638" spans="1:24" x14ac:dyDescent="0.3">
      <c r="A1638" s="5">
        <v>1632</v>
      </c>
      <c r="B1638" s="5" t="str">
        <f>"201300161381"</f>
        <v>201300161381</v>
      </c>
      <c r="C1638" s="5" t="str">
        <f>"16495"</f>
        <v>16495</v>
      </c>
      <c r="D1638" s="5" t="s">
        <v>7892</v>
      </c>
      <c r="E1638" s="5">
        <v>20527279101</v>
      </c>
      <c r="F1638" s="5" t="s">
        <v>7893</v>
      </c>
      <c r="G1638" s="5" t="s">
        <v>7894</v>
      </c>
      <c r="H1638" s="5" t="s">
        <v>214</v>
      </c>
      <c r="I1638" s="5" t="s">
        <v>214</v>
      </c>
      <c r="J1638" s="5" t="s">
        <v>214</v>
      </c>
      <c r="K1638" s="5" t="s">
        <v>515</v>
      </c>
      <c r="L1638" s="5" t="s">
        <v>515</v>
      </c>
      <c r="M1638" s="5"/>
      <c r="N1638" s="5"/>
      <c r="O1638" s="5"/>
      <c r="P1638" s="5"/>
      <c r="Q1638" s="5"/>
      <c r="R1638" s="5"/>
      <c r="S1638" s="5"/>
      <c r="T1638" s="5"/>
      <c r="U1638" s="5">
        <v>2000</v>
      </c>
      <c r="V1638" s="6">
        <v>41580</v>
      </c>
      <c r="W1638" s="5" t="s">
        <v>31</v>
      </c>
      <c r="X1638" s="5" t="s">
        <v>7895</v>
      </c>
    </row>
    <row r="1639" spans="1:24" x14ac:dyDescent="0.3">
      <c r="A1639" s="3">
        <v>1633</v>
      </c>
      <c r="B1639" s="3" t="str">
        <f>"1400680"</f>
        <v>1400680</v>
      </c>
      <c r="C1639" s="3" t="str">
        <f>"39031"</f>
        <v>39031</v>
      </c>
      <c r="D1639" s="3" t="s">
        <v>7896</v>
      </c>
      <c r="E1639" s="3">
        <v>20100267765</v>
      </c>
      <c r="F1639" s="3" t="s">
        <v>7897</v>
      </c>
      <c r="G1639" s="3" t="s">
        <v>7898</v>
      </c>
      <c r="H1639" s="3" t="s">
        <v>28</v>
      </c>
      <c r="I1639" s="3" t="s">
        <v>28</v>
      </c>
      <c r="J1639" s="3" t="s">
        <v>28</v>
      </c>
      <c r="K1639" s="3" t="s">
        <v>1760</v>
      </c>
      <c r="L1639" s="3"/>
      <c r="M1639" s="3"/>
      <c r="N1639" s="3"/>
      <c r="O1639" s="3"/>
      <c r="P1639" s="3"/>
      <c r="Q1639" s="3"/>
      <c r="R1639" s="3"/>
      <c r="S1639" s="3"/>
      <c r="T1639" s="3"/>
      <c r="U1639" s="3">
        <v>9000</v>
      </c>
      <c r="V1639" s="4">
        <v>37678</v>
      </c>
      <c r="W1639" s="3" t="s">
        <v>31</v>
      </c>
      <c r="X1639" s="3" t="s">
        <v>7899</v>
      </c>
    </row>
    <row r="1640" spans="1:24" ht="27.95" x14ac:dyDescent="0.3">
      <c r="A1640" s="5">
        <v>1634</v>
      </c>
      <c r="B1640" s="5" t="str">
        <f>"201700044367"</f>
        <v>201700044367</v>
      </c>
      <c r="C1640" s="5" t="str">
        <f>"38009"</f>
        <v>38009</v>
      </c>
      <c r="D1640" s="5" t="s">
        <v>7900</v>
      </c>
      <c r="E1640" s="5">
        <v>20224748711</v>
      </c>
      <c r="F1640" s="5" t="s">
        <v>3761</v>
      </c>
      <c r="G1640" s="5" t="s">
        <v>7901</v>
      </c>
      <c r="H1640" s="5" t="s">
        <v>36</v>
      </c>
      <c r="I1640" s="5" t="s">
        <v>1269</v>
      </c>
      <c r="J1640" s="5" t="s">
        <v>1270</v>
      </c>
      <c r="K1640" s="5" t="s">
        <v>7902</v>
      </c>
      <c r="L1640" s="5" t="s">
        <v>7903</v>
      </c>
      <c r="M1640" s="5" t="s">
        <v>7904</v>
      </c>
      <c r="N1640" s="5" t="s">
        <v>7904</v>
      </c>
      <c r="O1640" s="5" t="s">
        <v>7905</v>
      </c>
      <c r="P1640" s="5"/>
      <c r="Q1640" s="5"/>
      <c r="R1640" s="5"/>
      <c r="S1640" s="5"/>
      <c r="T1640" s="5"/>
      <c r="U1640" s="5">
        <v>365048</v>
      </c>
      <c r="V1640" s="6">
        <v>42822</v>
      </c>
      <c r="W1640" s="5" t="s">
        <v>31</v>
      </c>
      <c r="X1640" s="5" t="s">
        <v>1461</v>
      </c>
    </row>
    <row r="1641" spans="1:24" ht="27.95" x14ac:dyDescent="0.3">
      <c r="A1641" s="3">
        <v>1635</v>
      </c>
      <c r="B1641" s="3" t="str">
        <f>"202000048052"</f>
        <v>202000048052</v>
      </c>
      <c r="C1641" s="3" t="str">
        <f>"149535"</f>
        <v>149535</v>
      </c>
      <c r="D1641" s="3" t="s">
        <v>7906</v>
      </c>
      <c r="E1641" s="3">
        <v>20601224624</v>
      </c>
      <c r="F1641" s="3" t="s">
        <v>7907</v>
      </c>
      <c r="G1641" s="3" t="s">
        <v>7908</v>
      </c>
      <c r="H1641" s="3" t="s">
        <v>28</v>
      </c>
      <c r="I1641" s="3" t="s">
        <v>28</v>
      </c>
      <c r="J1641" s="3" t="s">
        <v>172</v>
      </c>
      <c r="K1641" s="3" t="s">
        <v>181</v>
      </c>
      <c r="L1641" s="3"/>
      <c r="M1641" s="3"/>
      <c r="N1641" s="3"/>
      <c r="O1641" s="3"/>
      <c r="P1641" s="3"/>
      <c r="Q1641" s="3"/>
      <c r="R1641" s="3"/>
      <c r="S1641" s="3"/>
      <c r="T1641" s="3"/>
      <c r="U1641" s="3">
        <v>5000</v>
      </c>
      <c r="V1641" s="4">
        <v>43909</v>
      </c>
      <c r="W1641" s="3" t="s">
        <v>31</v>
      </c>
      <c r="X1641" s="3" t="s">
        <v>7909</v>
      </c>
    </row>
    <row r="1642" spans="1:24" ht="27.95" x14ac:dyDescent="0.3">
      <c r="A1642" s="5">
        <v>1636</v>
      </c>
      <c r="B1642" s="5" t="str">
        <f>"201300056392"</f>
        <v>201300056392</v>
      </c>
      <c r="C1642" s="5" t="str">
        <f>"43206"</f>
        <v>43206</v>
      </c>
      <c r="D1642" s="5" t="s">
        <v>7910</v>
      </c>
      <c r="E1642" s="5">
        <v>20123356366</v>
      </c>
      <c r="F1642" s="5" t="s">
        <v>7911</v>
      </c>
      <c r="G1642" s="5" t="s">
        <v>7912</v>
      </c>
      <c r="H1642" s="5" t="s">
        <v>28</v>
      </c>
      <c r="I1642" s="5" t="s">
        <v>28</v>
      </c>
      <c r="J1642" s="5" t="s">
        <v>409</v>
      </c>
      <c r="K1642" s="5" t="s">
        <v>3829</v>
      </c>
      <c r="L1642" s="5"/>
      <c r="M1642" s="5"/>
      <c r="N1642" s="5"/>
      <c r="O1642" s="5"/>
      <c r="P1642" s="5"/>
      <c r="Q1642" s="5"/>
      <c r="R1642" s="5"/>
      <c r="S1642" s="5"/>
      <c r="T1642" s="5"/>
      <c r="U1642" s="5">
        <v>3950</v>
      </c>
      <c r="V1642" s="6">
        <v>41363</v>
      </c>
      <c r="W1642" s="5" t="s">
        <v>31</v>
      </c>
      <c r="X1642" s="5" t="s">
        <v>7913</v>
      </c>
    </row>
    <row r="1643" spans="1:24" ht="27.95" x14ac:dyDescent="0.3">
      <c r="A1643" s="3">
        <v>1637</v>
      </c>
      <c r="B1643" s="3" t="str">
        <f>"1448942"</f>
        <v>1448942</v>
      </c>
      <c r="C1643" s="3" t="str">
        <f>"88364"</f>
        <v>88364</v>
      </c>
      <c r="D1643" s="3" t="s">
        <v>7914</v>
      </c>
      <c r="E1643" s="3">
        <v>20109105288</v>
      </c>
      <c r="F1643" s="3" t="s">
        <v>7915</v>
      </c>
      <c r="G1643" s="3" t="s">
        <v>7916</v>
      </c>
      <c r="H1643" s="3" t="s">
        <v>28</v>
      </c>
      <c r="I1643" s="3" t="s">
        <v>28</v>
      </c>
      <c r="J1643" s="3" t="s">
        <v>1907</v>
      </c>
      <c r="K1643" s="3" t="s">
        <v>7917</v>
      </c>
      <c r="L1643" s="3"/>
      <c r="M1643" s="3"/>
      <c r="N1643" s="3"/>
      <c r="O1643" s="3"/>
      <c r="P1643" s="3"/>
      <c r="Q1643" s="3"/>
      <c r="R1643" s="3"/>
      <c r="S1643" s="3"/>
      <c r="T1643" s="3"/>
      <c r="U1643" s="3">
        <v>6500</v>
      </c>
      <c r="V1643" s="4">
        <v>40522</v>
      </c>
      <c r="W1643" s="3" t="s">
        <v>31</v>
      </c>
      <c r="X1643" s="3" t="s">
        <v>7918</v>
      </c>
    </row>
    <row r="1644" spans="1:24" x14ac:dyDescent="0.3">
      <c r="A1644" s="5">
        <v>1638</v>
      </c>
      <c r="B1644" s="5" t="str">
        <f>"1521771"</f>
        <v>1521771</v>
      </c>
      <c r="C1644" s="5" t="str">
        <f>"19080"</f>
        <v>19080</v>
      </c>
      <c r="D1644" s="5" t="s">
        <v>7919</v>
      </c>
      <c r="E1644" s="5">
        <v>20131257750</v>
      </c>
      <c r="F1644" s="5" t="s">
        <v>7920</v>
      </c>
      <c r="G1644" s="5" t="s">
        <v>7921</v>
      </c>
      <c r="H1644" s="5" t="s">
        <v>214</v>
      </c>
      <c r="I1644" s="5" t="s">
        <v>214</v>
      </c>
      <c r="J1644" s="5" t="s">
        <v>2350</v>
      </c>
      <c r="K1644" s="5" t="s">
        <v>1316</v>
      </c>
      <c r="L1644" s="5" t="s">
        <v>1316</v>
      </c>
      <c r="M1644" s="5" t="s">
        <v>6233</v>
      </c>
      <c r="N1644" s="5"/>
      <c r="O1644" s="5"/>
      <c r="P1644" s="5"/>
      <c r="Q1644" s="5"/>
      <c r="R1644" s="5"/>
      <c r="S1644" s="5"/>
      <c r="T1644" s="5"/>
      <c r="U1644" s="5">
        <v>36000</v>
      </c>
      <c r="V1644" s="6">
        <v>38384</v>
      </c>
      <c r="W1644" s="5" t="s">
        <v>31</v>
      </c>
      <c r="X1644" s="5" t="s">
        <v>1423</v>
      </c>
    </row>
    <row r="1645" spans="1:24" x14ac:dyDescent="0.3">
      <c r="A1645" s="3">
        <v>1639</v>
      </c>
      <c r="B1645" s="3" t="str">
        <f>"201300153891"</f>
        <v>201300153891</v>
      </c>
      <c r="C1645" s="3" t="str">
        <f>"364"</f>
        <v>364</v>
      </c>
      <c r="D1645" s="3" t="s">
        <v>7922</v>
      </c>
      <c r="E1645" s="3">
        <v>20100005566</v>
      </c>
      <c r="F1645" s="3" t="s">
        <v>7923</v>
      </c>
      <c r="G1645" s="3" t="s">
        <v>7924</v>
      </c>
      <c r="H1645" s="3" t="s">
        <v>115</v>
      </c>
      <c r="I1645" s="3" t="s">
        <v>115</v>
      </c>
      <c r="J1645" s="3" t="s">
        <v>159</v>
      </c>
      <c r="K1645" s="3" t="s">
        <v>7925</v>
      </c>
      <c r="L1645" s="3" t="s">
        <v>7926</v>
      </c>
      <c r="M1645" s="3"/>
      <c r="N1645" s="3"/>
      <c r="O1645" s="3"/>
      <c r="P1645" s="3"/>
      <c r="Q1645" s="3"/>
      <c r="R1645" s="3"/>
      <c r="S1645" s="3"/>
      <c r="T1645" s="3"/>
      <c r="U1645" s="3">
        <v>16034</v>
      </c>
      <c r="V1645" s="4">
        <v>41569</v>
      </c>
      <c r="W1645" s="3" t="s">
        <v>31</v>
      </c>
      <c r="X1645" s="3" t="s">
        <v>7927</v>
      </c>
    </row>
    <row r="1646" spans="1:24" x14ac:dyDescent="0.3">
      <c r="A1646" s="5">
        <v>1640</v>
      </c>
      <c r="B1646" s="5" t="str">
        <f>"1395397"</f>
        <v>1395397</v>
      </c>
      <c r="C1646" s="5" t="str">
        <f>"18759"</f>
        <v>18759</v>
      </c>
      <c r="D1646" s="5" t="s">
        <v>7928</v>
      </c>
      <c r="E1646" s="5">
        <v>20101024645</v>
      </c>
      <c r="F1646" s="5" t="s">
        <v>3166</v>
      </c>
      <c r="G1646" s="5" t="s">
        <v>7929</v>
      </c>
      <c r="H1646" s="5" t="s">
        <v>28</v>
      </c>
      <c r="I1646" s="5" t="s">
        <v>28</v>
      </c>
      <c r="J1646" s="5" t="s">
        <v>661</v>
      </c>
      <c r="K1646" s="5" t="s">
        <v>209</v>
      </c>
      <c r="L1646" s="5" t="s">
        <v>1550</v>
      </c>
      <c r="M1646" s="5" t="s">
        <v>1550</v>
      </c>
      <c r="N1646" s="5" t="s">
        <v>7930</v>
      </c>
      <c r="O1646" s="5"/>
      <c r="P1646" s="5"/>
      <c r="Q1646" s="5"/>
      <c r="R1646" s="5"/>
      <c r="S1646" s="5"/>
      <c r="T1646" s="5"/>
      <c r="U1646" s="5">
        <v>16055</v>
      </c>
      <c r="V1646" s="6">
        <v>40415</v>
      </c>
      <c r="W1646" s="5" t="s">
        <v>31</v>
      </c>
      <c r="X1646" s="5" t="s">
        <v>7931</v>
      </c>
    </row>
    <row r="1647" spans="1:24" ht="27.95" x14ac:dyDescent="0.3">
      <c r="A1647" s="3">
        <v>1641</v>
      </c>
      <c r="B1647" s="3" t="str">
        <f>"202000074489"</f>
        <v>202000074489</v>
      </c>
      <c r="C1647" s="3" t="str">
        <f>"1171"</f>
        <v>1171</v>
      </c>
      <c r="D1647" s="3" t="s">
        <v>7932</v>
      </c>
      <c r="E1647" s="3">
        <v>20600281489</v>
      </c>
      <c r="F1647" s="3" t="s">
        <v>7933</v>
      </c>
      <c r="G1647" s="3" t="s">
        <v>7934</v>
      </c>
      <c r="H1647" s="3" t="s">
        <v>80</v>
      </c>
      <c r="I1647" s="3" t="s">
        <v>192</v>
      </c>
      <c r="J1647" s="3" t="s">
        <v>192</v>
      </c>
      <c r="K1647" s="3" t="s">
        <v>6024</v>
      </c>
      <c r="L1647" s="3"/>
      <c r="M1647" s="3"/>
      <c r="N1647" s="3"/>
      <c r="O1647" s="3"/>
      <c r="P1647" s="3"/>
      <c r="Q1647" s="3"/>
      <c r="R1647" s="3"/>
      <c r="S1647" s="3"/>
      <c r="T1647" s="3"/>
      <c r="U1647" s="3">
        <v>8500</v>
      </c>
      <c r="V1647" s="4">
        <v>44028</v>
      </c>
      <c r="W1647" s="3" t="s">
        <v>31</v>
      </c>
      <c r="X1647" s="3" t="s">
        <v>7935</v>
      </c>
    </row>
    <row r="1648" spans="1:24" ht="27.95" x14ac:dyDescent="0.3">
      <c r="A1648" s="5">
        <v>1642</v>
      </c>
      <c r="B1648" s="5" t="str">
        <f>"1103544"</f>
        <v>1103544</v>
      </c>
      <c r="C1648" s="5" t="str">
        <f>"163"</f>
        <v>163</v>
      </c>
      <c r="D1648" s="5">
        <v>960863</v>
      </c>
      <c r="E1648" s="5">
        <v>20100170681</v>
      </c>
      <c r="F1648" s="5" t="s">
        <v>7936</v>
      </c>
      <c r="G1648" s="5" t="s">
        <v>7937</v>
      </c>
      <c r="H1648" s="5" t="s">
        <v>28</v>
      </c>
      <c r="I1648" s="5" t="s">
        <v>28</v>
      </c>
      <c r="J1648" s="5" t="s">
        <v>501</v>
      </c>
      <c r="K1648" s="5" t="s">
        <v>973</v>
      </c>
      <c r="L1648" s="5" t="s">
        <v>252</v>
      </c>
      <c r="M1648" s="5"/>
      <c r="N1648" s="5"/>
      <c r="O1648" s="5"/>
      <c r="P1648" s="5"/>
      <c r="Q1648" s="5"/>
      <c r="R1648" s="5"/>
      <c r="S1648" s="5"/>
      <c r="T1648" s="5"/>
      <c r="U1648" s="5">
        <v>16000</v>
      </c>
      <c r="V1648" s="6">
        <v>35454</v>
      </c>
      <c r="W1648" s="5" t="s">
        <v>31</v>
      </c>
      <c r="X1648" s="5" t="s">
        <v>7938</v>
      </c>
    </row>
    <row r="1649" spans="1:24" x14ac:dyDescent="0.3">
      <c r="A1649" s="3">
        <v>1643</v>
      </c>
      <c r="B1649" s="3" t="str">
        <f>"202000010241"</f>
        <v>202000010241</v>
      </c>
      <c r="C1649" s="3" t="str">
        <f>"148837"</f>
        <v>148837</v>
      </c>
      <c r="D1649" s="3" t="s">
        <v>7939</v>
      </c>
      <c r="E1649" s="3">
        <v>20119407738</v>
      </c>
      <c r="F1649" s="3" t="s">
        <v>7940</v>
      </c>
      <c r="G1649" s="3" t="s">
        <v>7941</v>
      </c>
      <c r="H1649" s="3" t="s">
        <v>769</v>
      </c>
      <c r="I1649" s="3" t="s">
        <v>769</v>
      </c>
      <c r="J1649" s="3" t="s">
        <v>769</v>
      </c>
      <c r="K1649" s="3" t="s">
        <v>168</v>
      </c>
      <c r="L1649" s="3"/>
      <c r="M1649" s="3"/>
      <c r="N1649" s="3"/>
      <c r="O1649" s="3"/>
      <c r="P1649" s="3"/>
      <c r="Q1649" s="3"/>
      <c r="R1649" s="3"/>
      <c r="S1649" s="3"/>
      <c r="T1649" s="3"/>
      <c r="U1649" s="3">
        <v>10000</v>
      </c>
      <c r="V1649" s="4">
        <v>43854</v>
      </c>
      <c r="W1649" s="3" t="s">
        <v>31</v>
      </c>
      <c r="X1649" s="3" t="s">
        <v>7942</v>
      </c>
    </row>
    <row r="1650" spans="1:24" ht="27.95" x14ac:dyDescent="0.3">
      <c r="A1650" s="5">
        <v>1644</v>
      </c>
      <c r="B1650" s="5" t="str">
        <f>"201900035379"</f>
        <v>201900035379</v>
      </c>
      <c r="C1650" s="5" t="str">
        <f>"141740"</f>
        <v>141740</v>
      </c>
      <c r="D1650" s="5" t="s">
        <v>7943</v>
      </c>
      <c r="E1650" s="5">
        <v>20100814162</v>
      </c>
      <c r="F1650" s="5" t="s">
        <v>7944</v>
      </c>
      <c r="G1650" s="5" t="s">
        <v>7945</v>
      </c>
      <c r="H1650" s="5" t="s">
        <v>550</v>
      </c>
      <c r="I1650" s="5" t="s">
        <v>2649</v>
      </c>
      <c r="J1650" s="5" t="s">
        <v>7098</v>
      </c>
      <c r="K1650" s="5" t="s">
        <v>168</v>
      </c>
      <c r="L1650" s="5" t="s">
        <v>168</v>
      </c>
      <c r="M1650" s="5"/>
      <c r="N1650" s="5"/>
      <c r="O1650" s="5"/>
      <c r="P1650" s="5"/>
      <c r="Q1650" s="5"/>
      <c r="R1650" s="5"/>
      <c r="S1650" s="5"/>
      <c r="T1650" s="5"/>
      <c r="U1650" s="5">
        <v>20000</v>
      </c>
      <c r="V1650" s="6">
        <v>43529</v>
      </c>
      <c r="W1650" s="5" t="s">
        <v>31</v>
      </c>
      <c r="X1650" s="5" t="s">
        <v>7946</v>
      </c>
    </row>
    <row r="1651" spans="1:24" x14ac:dyDescent="0.3">
      <c r="A1651" s="3">
        <v>1645</v>
      </c>
      <c r="B1651" s="3" t="str">
        <f>"1894062"</f>
        <v>1894062</v>
      </c>
      <c r="C1651" s="3" t="str">
        <f>"130"</f>
        <v>130</v>
      </c>
      <c r="D1651" s="3" t="s">
        <v>7947</v>
      </c>
      <c r="E1651" s="3">
        <v>20517336492</v>
      </c>
      <c r="F1651" s="3" t="s">
        <v>7948</v>
      </c>
      <c r="G1651" s="3" t="s">
        <v>7949</v>
      </c>
      <c r="H1651" s="3" t="s">
        <v>135</v>
      </c>
      <c r="I1651" s="3" t="s">
        <v>943</v>
      </c>
      <c r="J1651" s="3" t="s">
        <v>943</v>
      </c>
      <c r="K1651" s="3" t="s">
        <v>7950</v>
      </c>
      <c r="L1651" s="3"/>
      <c r="M1651" s="3"/>
      <c r="N1651" s="3"/>
      <c r="O1651" s="3"/>
      <c r="P1651" s="3"/>
      <c r="Q1651" s="3"/>
      <c r="R1651" s="3"/>
      <c r="S1651" s="3"/>
      <c r="T1651" s="3"/>
      <c r="U1651" s="3">
        <v>22000</v>
      </c>
      <c r="V1651" s="4">
        <v>39974</v>
      </c>
      <c r="W1651" s="3" t="s">
        <v>31</v>
      </c>
      <c r="X1651" s="3" t="s">
        <v>7951</v>
      </c>
    </row>
    <row r="1652" spans="1:24" x14ac:dyDescent="0.3">
      <c r="A1652" s="5">
        <v>1646</v>
      </c>
      <c r="B1652" s="5" t="str">
        <f>"1103549"</f>
        <v>1103549</v>
      </c>
      <c r="C1652" s="5" t="str">
        <f>"10"</f>
        <v>10</v>
      </c>
      <c r="D1652" s="5">
        <v>948334</v>
      </c>
      <c r="E1652" s="5">
        <v>20100085063</v>
      </c>
      <c r="F1652" s="5" t="s">
        <v>7952</v>
      </c>
      <c r="G1652" s="5" t="s">
        <v>7953</v>
      </c>
      <c r="H1652" s="5" t="s">
        <v>115</v>
      </c>
      <c r="I1652" s="5" t="s">
        <v>115</v>
      </c>
      <c r="J1652" s="5" t="s">
        <v>116</v>
      </c>
      <c r="K1652" s="5" t="s">
        <v>1997</v>
      </c>
      <c r="L1652" s="5" t="s">
        <v>404</v>
      </c>
      <c r="M1652" s="5"/>
      <c r="N1652" s="5"/>
      <c r="O1652" s="5"/>
      <c r="P1652" s="5"/>
      <c r="Q1652" s="5"/>
      <c r="R1652" s="5"/>
      <c r="S1652" s="5"/>
      <c r="T1652" s="5"/>
      <c r="U1652" s="5">
        <v>37000</v>
      </c>
      <c r="V1652" s="6">
        <v>35467</v>
      </c>
      <c r="W1652" s="5" t="s">
        <v>31</v>
      </c>
      <c r="X1652" s="5" t="s">
        <v>7954</v>
      </c>
    </row>
    <row r="1653" spans="1:24" x14ac:dyDescent="0.3">
      <c r="A1653" s="3">
        <v>1647</v>
      </c>
      <c r="B1653" s="3" t="str">
        <f>"201200196475"</f>
        <v>201200196475</v>
      </c>
      <c r="C1653" s="3" t="str">
        <f>"1218"</f>
        <v>1218</v>
      </c>
      <c r="D1653" s="3" t="s">
        <v>7955</v>
      </c>
      <c r="E1653" s="3">
        <v>20131565659</v>
      </c>
      <c r="F1653" s="3" t="s">
        <v>2600</v>
      </c>
      <c r="G1653" s="3" t="s">
        <v>7956</v>
      </c>
      <c r="H1653" s="3" t="s">
        <v>36</v>
      </c>
      <c r="I1653" s="3" t="s">
        <v>234</v>
      </c>
      <c r="J1653" s="3" t="s">
        <v>258</v>
      </c>
      <c r="K1653" s="3" t="s">
        <v>7957</v>
      </c>
      <c r="L1653" s="3"/>
      <c r="M1653" s="3"/>
      <c r="N1653" s="3"/>
      <c r="O1653" s="3"/>
      <c r="P1653" s="3"/>
      <c r="Q1653" s="3"/>
      <c r="R1653" s="3"/>
      <c r="S1653" s="3"/>
      <c r="T1653" s="3"/>
      <c r="U1653" s="3">
        <v>12000</v>
      </c>
      <c r="V1653" s="4">
        <v>41218</v>
      </c>
      <c r="W1653" s="3" t="s">
        <v>31</v>
      </c>
      <c r="X1653" s="3" t="s">
        <v>2104</v>
      </c>
    </row>
    <row r="1654" spans="1:24" ht="27.95" x14ac:dyDescent="0.3">
      <c r="A1654" s="5">
        <v>1648</v>
      </c>
      <c r="B1654" s="5" t="str">
        <f>"201800149802"</f>
        <v>201800149802</v>
      </c>
      <c r="C1654" s="5" t="str">
        <f>"138492"</f>
        <v>138492</v>
      </c>
      <c r="D1654" s="5" t="s">
        <v>7958</v>
      </c>
      <c r="E1654" s="5">
        <v>10048122723</v>
      </c>
      <c r="F1654" s="5" t="s">
        <v>7959</v>
      </c>
      <c r="G1654" s="5" t="s">
        <v>7960</v>
      </c>
      <c r="H1654" s="5" t="s">
        <v>165</v>
      </c>
      <c r="I1654" s="5" t="s">
        <v>732</v>
      </c>
      <c r="J1654" s="5" t="s">
        <v>1065</v>
      </c>
      <c r="K1654" s="5" t="s">
        <v>7961</v>
      </c>
      <c r="L1654" s="5"/>
      <c r="M1654" s="5"/>
      <c r="N1654" s="5"/>
      <c r="O1654" s="5"/>
      <c r="P1654" s="5"/>
      <c r="Q1654" s="5"/>
      <c r="R1654" s="5"/>
      <c r="S1654" s="5"/>
      <c r="T1654" s="5"/>
      <c r="U1654" s="5">
        <v>9329</v>
      </c>
      <c r="V1654" s="6">
        <v>43351</v>
      </c>
      <c r="W1654" s="5" t="s">
        <v>31</v>
      </c>
      <c r="X1654" s="5" t="s">
        <v>7959</v>
      </c>
    </row>
    <row r="1655" spans="1:24" x14ac:dyDescent="0.3">
      <c r="A1655" s="3">
        <v>1649</v>
      </c>
      <c r="B1655" s="3" t="str">
        <f>"1554131"</f>
        <v>1554131</v>
      </c>
      <c r="C1655" s="3" t="str">
        <f>"304"</f>
        <v>304</v>
      </c>
      <c r="D1655" s="3" t="s">
        <v>7962</v>
      </c>
      <c r="E1655" s="3">
        <v>20100182263</v>
      </c>
      <c r="F1655" s="3" t="s">
        <v>7963</v>
      </c>
      <c r="G1655" s="3" t="s">
        <v>7964</v>
      </c>
      <c r="H1655" s="3" t="s">
        <v>28</v>
      </c>
      <c r="I1655" s="3" t="s">
        <v>28</v>
      </c>
      <c r="J1655" s="3" t="s">
        <v>102</v>
      </c>
      <c r="K1655" s="3" t="s">
        <v>1936</v>
      </c>
      <c r="L1655" s="3"/>
      <c r="M1655" s="3"/>
      <c r="N1655" s="3"/>
      <c r="O1655" s="3"/>
      <c r="P1655" s="3"/>
      <c r="Q1655" s="3"/>
      <c r="R1655" s="3"/>
      <c r="S1655" s="3"/>
      <c r="T1655" s="3"/>
      <c r="U1655" s="3">
        <v>3000</v>
      </c>
      <c r="V1655" s="4">
        <v>38589</v>
      </c>
      <c r="W1655" s="3" t="s">
        <v>31</v>
      </c>
      <c r="X1655" s="3" t="s">
        <v>7965</v>
      </c>
    </row>
    <row r="1656" spans="1:24" ht="27.95" x14ac:dyDescent="0.3">
      <c r="A1656" s="5">
        <v>1650</v>
      </c>
      <c r="B1656" s="5" t="str">
        <f>"1154621"</f>
        <v>1154621</v>
      </c>
      <c r="C1656" s="5" t="str">
        <f>"1354"</f>
        <v>1354</v>
      </c>
      <c r="D1656" s="5">
        <v>1154621</v>
      </c>
      <c r="E1656" s="5">
        <v>20138647642</v>
      </c>
      <c r="F1656" s="5" t="s">
        <v>7966</v>
      </c>
      <c r="G1656" s="5" t="s">
        <v>7967</v>
      </c>
      <c r="H1656" s="5" t="s">
        <v>28</v>
      </c>
      <c r="I1656" s="5" t="s">
        <v>28</v>
      </c>
      <c r="J1656" s="5" t="s">
        <v>172</v>
      </c>
      <c r="K1656" s="5" t="s">
        <v>1760</v>
      </c>
      <c r="L1656" s="5" t="s">
        <v>1760</v>
      </c>
      <c r="M1656" s="5" t="s">
        <v>1760</v>
      </c>
      <c r="N1656" s="5"/>
      <c r="O1656" s="5"/>
      <c r="P1656" s="5"/>
      <c r="Q1656" s="5"/>
      <c r="R1656" s="5"/>
      <c r="S1656" s="5"/>
      <c r="T1656" s="5"/>
      <c r="U1656" s="5">
        <v>27000</v>
      </c>
      <c r="V1656" s="6">
        <v>35753</v>
      </c>
      <c r="W1656" s="5" t="s">
        <v>31</v>
      </c>
      <c r="X1656" s="5" t="s">
        <v>7968</v>
      </c>
    </row>
    <row r="1657" spans="1:24" x14ac:dyDescent="0.3">
      <c r="A1657" s="3">
        <v>1651</v>
      </c>
      <c r="B1657" s="3" t="str">
        <f>"1106772"</f>
        <v>1106772</v>
      </c>
      <c r="C1657" s="3" t="str">
        <f>"1490"</f>
        <v>1490</v>
      </c>
      <c r="D1657" s="3">
        <v>1106772</v>
      </c>
      <c r="E1657" s="3">
        <v>20122742114</v>
      </c>
      <c r="F1657" s="3" t="s">
        <v>7969</v>
      </c>
      <c r="G1657" s="3" t="s">
        <v>7970</v>
      </c>
      <c r="H1657" s="3" t="s">
        <v>28</v>
      </c>
      <c r="I1657" s="3" t="s">
        <v>28</v>
      </c>
      <c r="J1657" s="3" t="s">
        <v>28</v>
      </c>
      <c r="K1657" s="3" t="s">
        <v>1936</v>
      </c>
      <c r="L1657" s="3"/>
      <c r="M1657" s="3"/>
      <c r="N1657" s="3"/>
      <c r="O1657" s="3"/>
      <c r="P1657" s="3"/>
      <c r="Q1657" s="3"/>
      <c r="R1657" s="3"/>
      <c r="S1657" s="3"/>
      <c r="T1657" s="3"/>
      <c r="U1657" s="3">
        <v>3000</v>
      </c>
      <c r="V1657" s="4">
        <v>35478</v>
      </c>
      <c r="W1657" s="3" t="s">
        <v>31</v>
      </c>
      <c r="X1657" s="3" t="s">
        <v>7971</v>
      </c>
    </row>
    <row r="1658" spans="1:24" ht="27.95" x14ac:dyDescent="0.3">
      <c r="A1658" s="5">
        <v>1652</v>
      </c>
      <c r="B1658" s="5" t="str">
        <f>"201200186541"</f>
        <v>201200186541</v>
      </c>
      <c r="C1658" s="5" t="str">
        <f>"41531"</f>
        <v>41531</v>
      </c>
      <c r="D1658" s="5" t="s">
        <v>7972</v>
      </c>
      <c r="E1658" s="5">
        <v>20107648829</v>
      </c>
      <c r="F1658" s="5" t="s">
        <v>7973</v>
      </c>
      <c r="G1658" s="5" t="s">
        <v>7974</v>
      </c>
      <c r="H1658" s="5" t="s">
        <v>28</v>
      </c>
      <c r="I1658" s="5" t="s">
        <v>72</v>
      </c>
      <c r="J1658" s="5" t="s">
        <v>322</v>
      </c>
      <c r="K1658" s="5" t="s">
        <v>7975</v>
      </c>
      <c r="L1658" s="5" t="s">
        <v>30</v>
      </c>
      <c r="M1658" s="5"/>
      <c r="N1658" s="5"/>
      <c r="O1658" s="5"/>
      <c r="P1658" s="5"/>
      <c r="Q1658" s="5"/>
      <c r="R1658" s="5"/>
      <c r="S1658" s="5"/>
      <c r="T1658" s="5"/>
      <c r="U1658" s="5">
        <v>12990</v>
      </c>
      <c r="V1658" s="6">
        <v>41214</v>
      </c>
      <c r="W1658" s="5" t="s">
        <v>31</v>
      </c>
      <c r="X1658" s="5" t="s">
        <v>7976</v>
      </c>
    </row>
    <row r="1659" spans="1:24" ht="27.95" x14ac:dyDescent="0.3">
      <c r="A1659" s="3">
        <v>1653</v>
      </c>
      <c r="B1659" s="3" t="str">
        <f>"1578136"</f>
        <v>1578136</v>
      </c>
      <c r="C1659" s="3" t="str">
        <f>"42226"</f>
        <v>42226</v>
      </c>
      <c r="D1659" s="3" t="s">
        <v>7977</v>
      </c>
      <c r="E1659" s="3">
        <v>20175994611</v>
      </c>
      <c r="F1659" s="3" t="s">
        <v>7978</v>
      </c>
      <c r="G1659" s="3" t="s">
        <v>7979</v>
      </c>
      <c r="H1659" s="3" t="s">
        <v>36</v>
      </c>
      <c r="I1659" s="3" t="s">
        <v>234</v>
      </c>
      <c r="J1659" s="3" t="s">
        <v>234</v>
      </c>
      <c r="K1659" s="3" t="s">
        <v>2371</v>
      </c>
      <c r="L1659" s="3"/>
      <c r="M1659" s="3"/>
      <c r="N1659" s="3"/>
      <c r="O1659" s="3"/>
      <c r="P1659" s="3"/>
      <c r="Q1659" s="3"/>
      <c r="R1659" s="3"/>
      <c r="S1659" s="3"/>
      <c r="T1659" s="3"/>
      <c r="U1659" s="3">
        <v>4540</v>
      </c>
      <c r="V1659" s="4">
        <v>38693</v>
      </c>
      <c r="W1659" s="3" t="s">
        <v>31</v>
      </c>
      <c r="X1659" s="3" t="s">
        <v>7980</v>
      </c>
    </row>
    <row r="1660" spans="1:24" x14ac:dyDescent="0.3">
      <c r="A1660" s="5">
        <v>1654</v>
      </c>
      <c r="B1660" s="5" t="str">
        <f>"201500062209"</f>
        <v>201500062209</v>
      </c>
      <c r="C1660" s="5" t="str">
        <f>"110896"</f>
        <v>110896</v>
      </c>
      <c r="D1660" s="5" t="s">
        <v>7981</v>
      </c>
      <c r="E1660" s="5">
        <v>20111206016</v>
      </c>
      <c r="F1660" s="5" t="s">
        <v>7982</v>
      </c>
      <c r="G1660" s="5" t="s">
        <v>7983</v>
      </c>
      <c r="H1660" s="5" t="s">
        <v>28</v>
      </c>
      <c r="I1660" s="5" t="s">
        <v>28</v>
      </c>
      <c r="J1660" s="5" t="s">
        <v>409</v>
      </c>
      <c r="K1660" s="5" t="s">
        <v>7984</v>
      </c>
      <c r="L1660" s="5"/>
      <c r="M1660" s="5"/>
      <c r="N1660" s="5"/>
      <c r="O1660" s="5"/>
      <c r="P1660" s="5"/>
      <c r="Q1660" s="5"/>
      <c r="R1660" s="5"/>
      <c r="S1660" s="5"/>
      <c r="T1660" s="5"/>
      <c r="U1660" s="5">
        <v>1286</v>
      </c>
      <c r="V1660" s="6">
        <v>42188</v>
      </c>
      <c r="W1660" s="5" t="s">
        <v>31</v>
      </c>
      <c r="X1660" s="5" t="s">
        <v>7985</v>
      </c>
    </row>
    <row r="1661" spans="1:24" ht="55.9" x14ac:dyDescent="0.3">
      <c r="A1661" s="3">
        <v>1655</v>
      </c>
      <c r="B1661" s="3" t="str">
        <f>"201900152140"</f>
        <v>201900152140</v>
      </c>
      <c r="C1661" s="3" t="str">
        <f>"146638"</f>
        <v>146638</v>
      </c>
      <c r="D1661" s="3" t="s">
        <v>7986</v>
      </c>
      <c r="E1661" s="3">
        <v>20501707482</v>
      </c>
      <c r="F1661" s="3" t="s">
        <v>7987</v>
      </c>
      <c r="G1661" s="3" t="s">
        <v>7988</v>
      </c>
      <c r="H1661" s="3" t="s">
        <v>28</v>
      </c>
      <c r="I1661" s="3" t="s">
        <v>122</v>
      </c>
      <c r="J1661" s="3" t="s">
        <v>3978</v>
      </c>
      <c r="K1661" s="3" t="s">
        <v>7989</v>
      </c>
      <c r="L1661" s="3"/>
      <c r="M1661" s="3"/>
      <c r="N1661" s="3"/>
      <c r="O1661" s="3"/>
      <c r="P1661" s="3"/>
      <c r="Q1661" s="3"/>
      <c r="R1661" s="3"/>
      <c r="S1661" s="3"/>
      <c r="T1661" s="3"/>
      <c r="U1661" s="3">
        <v>1626</v>
      </c>
      <c r="V1661" s="4">
        <v>43732</v>
      </c>
      <c r="W1661" s="3" t="s">
        <v>31</v>
      </c>
      <c r="X1661" s="3" t="s">
        <v>7990</v>
      </c>
    </row>
    <row r="1662" spans="1:24" x14ac:dyDescent="0.3">
      <c r="A1662" s="5">
        <v>1656</v>
      </c>
      <c r="B1662" s="5" t="str">
        <f>"1113062"</f>
        <v>1113062</v>
      </c>
      <c r="C1662" s="5" t="str">
        <f>"16451"</f>
        <v>16451</v>
      </c>
      <c r="D1662" s="5">
        <v>960330</v>
      </c>
      <c r="E1662" s="5">
        <v>20100253039</v>
      </c>
      <c r="F1662" s="5" t="s">
        <v>7991</v>
      </c>
      <c r="G1662" s="5" t="s">
        <v>7992</v>
      </c>
      <c r="H1662" s="5" t="s">
        <v>28</v>
      </c>
      <c r="I1662" s="5" t="s">
        <v>28</v>
      </c>
      <c r="J1662" s="5" t="s">
        <v>501</v>
      </c>
      <c r="K1662" s="5" t="s">
        <v>421</v>
      </c>
      <c r="L1662" s="5"/>
      <c r="M1662" s="5"/>
      <c r="N1662" s="5"/>
      <c r="O1662" s="5"/>
      <c r="P1662" s="5"/>
      <c r="Q1662" s="5"/>
      <c r="R1662" s="5"/>
      <c r="S1662" s="5"/>
      <c r="T1662" s="5"/>
      <c r="U1662" s="5">
        <v>5000</v>
      </c>
      <c r="V1662" s="6">
        <v>35524</v>
      </c>
      <c r="W1662" s="5" t="s">
        <v>31</v>
      </c>
      <c r="X1662" s="5" t="s">
        <v>7993</v>
      </c>
    </row>
    <row r="1663" spans="1:24" x14ac:dyDescent="0.3">
      <c r="A1663" s="3">
        <v>1657</v>
      </c>
      <c r="B1663" s="3" t="str">
        <f>"201800088095"</f>
        <v>201800088095</v>
      </c>
      <c r="C1663" s="3" t="str">
        <f>"136466"</f>
        <v>136466</v>
      </c>
      <c r="D1663" s="3" t="s">
        <v>7994</v>
      </c>
      <c r="E1663" s="3">
        <v>20502432657</v>
      </c>
      <c r="F1663" s="3" t="s">
        <v>7995</v>
      </c>
      <c r="G1663" s="3" t="s">
        <v>7996</v>
      </c>
      <c r="H1663" s="3" t="s">
        <v>28</v>
      </c>
      <c r="I1663" s="3" t="s">
        <v>72</v>
      </c>
      <c r="J1663" s="3" t="s">
        <v>7997</v>
      </c>
      <c r="K1663" s="3" t="s">
        <v>7998</v>
      </c>
      <c r="L1663" s="3"/>
      <c r="M1663" s="3"/>
      <c r="N1663" s="3"/>
      <c r="O1663" s="3"/>
      <c r="P1663" s="3"/>
      <c r="Q1663" s="3"/>
      <c r="R1663" s="3"/>
      <c r="S1663" s="3"/>
      <c r="T1663" s="3"/>
      <c r="U1663" s="3">
        <v>1850</v>
      </c>
      <c r="V1663" s="4">
        <v>43255</v>
      </c>
      <c r="W1663" s="3" t="s">
        <v>31</v>
      </c>
      <c r="X1663" s="3" t="s">
        <v>7999</v>
      </c>
    </row>
    <row r="1664" spans="1:24" x14ac:dyDescent="0.3">
      <c r="A1664" s="5">
        <v>1658</v>
      </c>
      <c r="B1664" s="5" t="str">
        <f>"202000030708"</f>
        <v>202000030708</v>
      </c>
      <c r="C1664" s="5" t="str">
        <f>"120971"</f>
        <v>120971</v>
      </c>
      <c r="D1664" s="5" t="s">
        <v>8000</v>
      </c>
      <c r="E1664" s="5">
        <v>20555095229</v>
      </c>
      <c r="F1664" s="5" t="s">
        <v>8001</v>
      </c>
      <c r="G1664" s="5" t="s">
        <v>8002</v>
      </c>
      <c r="H1664" s="5" t="s">
        <v>28</v>
      </c>
      <c r="I1664" s="5" t="s">
        <v>28</v>
      </c>
      <c r="J1664" s="5" t="s">
        <v>91</v>
      </c>
      <c r="K1664" s="5" t="s">
        <v>168</v>
      </c>
      <c r="L1664" s="5"/>
      <c r="M1664" s="5"/>
      <c r="N1664" s="5"/>
      <c r="O1664" s="5"/>
      <c r="P1664" s="5"/>
      <c r="Q1664" s="5"/>
      <c r="R1664" s="5"/>
      <c r="S1664" s="5"/>
      <c r="T1664" s="5"/>
      <c r="U1664" s="5">
        <v>10000</v>
      </c>
      <c r="V1664" s="6">
        <v>43899</v>
      </c>
      <c r="W1664" s="5" t="s">
        <v>31</v>
      </c>
      <c r="X1664" s="5" t="s">
        <v>8003</v>
      </c>
    </row>
    <row r="1665" spans="1:24" ht="27.95" x14ac:dyDescent="0.3">
      <c r="A1665" s="3">
        <v>1659</v>
      </c>
      <c r="B1665" s="3" t="str">
        <f>"201700135485"</f>
        <v>201700135485</v>
      </c>
      <c r="C1665" s="3" t="str">
        <f>"87"</f>
        <v>87</v>
      </c>
      <c r="D1665" s="3" t="s">
        <v>8004</v>
      </c>
      <c r="E1665" s="3">
        <v>20217427593</v>
      </c>
      <c r="F1665" s="3" t="s">
        <v>8005</v>
      </c>
      <c r="G1665" s="3" t="s">
        <v>8006</v>
      </c>
      <c r="H1665" s="3" t="s">
        <v>28</v>
      </c>
      <c r="I1665" s="3" t="s">
        <v>4889</v>
      </c>
      <c r="J1665" s="3" t="s">
        <v>8007</v>
      </c>
      <c r="K1665" s="3" t="s">
        <v>8008</v>
      </c>
      <c r="L1665" s="3" t="s">
        <v>8009</v>
      </c>
      <c r="M1665" s="3" t="s">
        <v>8010</v>
      </c>
      <c r="N1665" s="3" t="s">
        <v>8010</v>
      </c>
      <c r="O1665" s="3" t="s">
        <v>8011</v>
      </c>
      <c r="P1665" s="3" t="s">
        <v>87</v>
      </c>
      <c r="Q1665" s="3" t="s">
        <v>8012</v>
      </c>
      <c r="R1665" s="3" t="s">
        <v>8013</v>
      </c>
      <c r="S1665" s="3" t="s">
        <v>8014</v>
      </c>
      <c r="T1665" s="3" t="s">
        <v>8015</v>
      </c>
      <c r="U1665" s="3">
        <v>27531</v>
      </c>
      <c r="V1665" s="4">
        <v>42979</v>
      </c>
      <c r="W1665" s="3" t="s">
        <v>31</v>
      </c>
      <c r="X1665" s="3" t="s">
        <v>8016</v>
      </c>
    </row>
    <row r="1666" spans="1:24" ht="27.95" x14ac:dyDescent="0.3">
      <c r="A1666" s="5">
        <v>1660</v>
      </c>
      <c r="B1666" s="5" t="str">
        <f>"201900065541"</f>
        <v>201900065541</v>
      </c>
      <c r="C1666" s="5" t="str">
        <f>"142781"</f>
        <v>142781</v>
      </c>
      <c r="D1666" s="5" t="s">
        <v>8017</v>
      </c>
      <c r="E1666" s="5">
        <v>20551317081</v>
      </c>
      <c r="F1666" s="5" t="s">
        <v>8018</v>
      </c>
      <c r="G1666" s="5" t="s">
        <v>8019</v>
      </c>
      <c r="H1666" s="5" t="s">
        <v>28</v>
      </c>
      <c r="I1666" s="5" t="s">
        <v>28</v>
      </c>
      <c r="J1666" s="5" t="s">
        <v>687</v>
      </c>
      <c r="K1666" s="5" t="s">
        <v>110</v>
      </c>
      <c r="L1666" s="5"/>
      <c r="M1666" s="5"/>
      <c r="N1666" s="5"/>
      <c r="O1666" s="5"/>
      <c r="P1666" s="5"/>
      <c r="Q1666" s="5"/>
      <c r="R1666" s="5"/>
      <c r="S1666" s="5"/>
      <c r="T1666" s="5"/>
      <c r="U1666" s="5">
        <v>4000</v>
      </c>
      <c r="V1666" s="6">
        <v>43585</v>
      </c>
      <c r="W1666" s="5" t="s">
        <v>31</v>
      </c>
      <c r="X1666" s="5" t="s">
        <v>8020</v>
      </c>
    </row>
    <row r="1667" spans="1:24" ht="27.95" x14ac:dyDescent="0.3">
      <c r="A1667" s="3">
        <v>1661</v>
      </c>
      <c r="B1667" s="3" t="str">
        <f>"201100156527"</f>
        <v>201100156527</v>
      </c>
      <c r="C1667" s="3" t="str">
        <f>"94786"</f>
        <v>94786</v>
      </c>
      <c r="D1667" s="3" t="s">
        <v>8021</v>
      </c>
      <c r="E1667" s="3">
        <v>20145380546</v>
      </c>
      <c r="F1667" s="3" t="s">
        <v>3480</v>
      </c>
      <c r="G1667" s="3" t="s">
        <v>8022</v>
      </c>
      <c r="H1667" s="3" t="s">
        <v>28</v>
      </c>
      <c r="I1667" s="3" t="s">
        <v>28</v>
      </c>
      <c r="J1667" s="3" t="s">
        <v>29</v>
      </c>
      <c r="K1667" s="3" t="s">
        <v>8023</v>
      </c>
      <c r="L1667" s="3"/>
      <c r="M1667" s="3"/>
      <c r="N1667" s="3"/>
      <c r="O1667" s="3"/>
      <c r="P1667" s="3"/>
      <c r="Q1667" s="3"/>
      <c r="R1667" s="3"/>
      <c r="S1667" s="3"/>
      <c r="T1667" s="3"/>
      <c r="U1667" s="3">
        <v>2880</v>
      </c>
      <c r="V1667" s="4">
        <v>40879</v>
      </c>
      <c r="W1667" s="3" t="s">
        <v>31</v>
      </c>
      <c r="X1667" s="3" t="s">
        <v>8024</v>
      </c>
    </row>
    <row r="1668" spans="1:24" x14ac:dyDescent="0.3">
      <c r="A1668" s="5">
        <v>1662</v>
      </c>
      <c r="B1668" s="5" t="str">
        <f>"201600123732"</f>
        <v>201600123732</v>
      </c>
      <c r="C1668" s="5" t="str">
        <f>"1365"</f>
        <v>1365</v>
      </c>
      <c r="D1668" s="5" t="s">
        <v>8025</v>
      </c>
      <c r="E1668" s="5">
        <v>20131823020</v>
      </c>
      <c r="F1668" s="5" t="s">
        <v>8026</v>
      </c>
      <c r="G1668" s="5" t="s">
        <v>8027</v>
      </c>
      <c r="H1668" s="5" t="s">
        <v>36</v>
      </c>
      <c r="I1668" s="5" t="s">
        <v>1269</v>
      </c>
      <c r="J1668" s="5" t="s">
        <v>8028</v>
      </c>
      <c r="K1668" s="5" t="s">
        <v>8029</v>
      </c>
      <c r="L1668" s="5" t="s">
        <v>8030</v>
      </c>
      <c r="M1668" s="5" t="s">
        <v>8031</v>
      </c>
      <c r="N1668" s="5" t="s">
        <v>923</v>
      </c>
      <c r="O1668" s="5" t="s">
        <v>923</v>
      </c>
      <c r="P1668" s="5" t="s">
        <v>3508</v>
      </c>
      <c r="Q1668" s="5" t="s">
        <v>8032</v>
      </c>
      <c r="R1668" s="5"/>
      <c r="S1668" s="5"/>
      <c r="T1668" s="5"/>
      <c r="U1668" s="5">
        <v>662596</v>
      </c>
      <c r="V1668" s="6">
        <v>42621</v>
      </c>
      <c r="W1668" s="5" t="s">
        <v>31</v>
      </c>
      <c r="X1668" s="5" t="s">
        <v>8033</v>
      </c>
    </row>
    <row r="1669" spans="1:24" ht="27.95" x14ac:dyDescent="0.3">
      <c r="A1669" s="3">
        <v>1663</v>
      </c>
      <c r="B1669" s="3" t="str">
        <f>"1692681"</f>
        <v>1692681</v>
      </c>
      <c r="C1669" s="3" t="str">
        <f>"21181"</f>
        <v>21181</v>
      </c>
      <c r="D1669" s="3" t="s">
        <v>8034</v>
      </c>
      <c r="E1669" s="3">
        <v>20100095450</v>
      </c>
      <c r="F1669" s="3" t="s">
        <v>5152</v>
      </c>
      <c r="G1669" s="3" t="s">
        <v>8035</v>
      </c>
      <c r="H1669" s="3" t="s">
        <v>51</v>
      </c>
      <c r="I1669" s="3" t="s">
        <v>815</v>
      </c>
      <c r="J1669" s="3" t="s">
        <v>3771</v>
      </c>
      <c r="K1669" s="3" t="s">
        <v>650</v>
      </c>
      <c r="L1669" s="3" t="s">
        <v>8036</v>
      </c>
      <c r="M1669" s="3" t="s">
        <v>8037</v>
      </c>
      <c r="N1669" s="3"/>
      <c r="O1669" s="3"/>
      <c r="P1669" s="3"/>
      <c r="Q1669" s="3"/>
      <c r="R1669" s="3"/>
      <c r="S1669" s="3"/>
      <c r="T1669" s="3"/>
      <c r="U1669" s="3">
        <v>18900</v>
      </c>
      <c r="V1669" s="4">
        <v>39220</v>
      </c>
      <c r="W1669" s="3" t="s">
        <v>31</v>
      </c>
      <c r="X1669" s="3" t="s">
        <v>8038</v>
      </c>
    </row>
    <row r="1670" spans="1:24" x14ac:dyDescent="0.3">
      <c r="A1670" s="5">
        <v>1664</v>
      </c>
      <c r="B1670" s="5" t="str">
        <f>"1839813"</f>
        <v>1839813</v>
      </c>
      <c r="C1670" s="5" t="str">
        <f>"1446"</f>
        <v>1446</v>
      </c>
      <c r="D1670" s="5" t="s">
        <v>8039</v>
      </c>
      <c r="E1670" s="5">
        <v>20131257750</v>
      </c>
      <c r="F1670" s="5" t="s">
        <v>8040</v>
      </c>
      <c r="G1670" s="5" t="s">
        <v>8041</v>
      </c>
      <c r="H1670" s="5" t="s">
        <v>51</v>
      </c>
      <c r="I1670" s="5" t="s">
        <v>52</v>
      </c>
      <c r="J1670" s="5" t="s">
        <v>1050</v>
      </c>
      <c r="K1670" s="5" t="s">
        <v>8042</v>
      </c>
      <c r="L1670" s="5" t="s">
        <v>8042</v>
      </c>
      <c r="M1670" s="5"/>
      <c r="N1670" s="5"/>
      <c r="O1670" s="5"/>
      <c r="P1670" s="5"/>
      <c r="Q1670" s="5"/>
      <c r="R1670" s="5"/>
      <c r="S1670" s="5"/>
      <c r="T1670" s="5"/>
      <c r="U1670" s="5">
        <v>3200</v>
      </c>
      <c r="V1670" s="6">
        <v>39763</v>
      </c>
      <c r="W1670" s="5" t="s">
        <v>31</v>
      </c>
      <c r="X1670" s="5" t="s">
        <v>8043</v>
      </c>
    </row>
    <row r="1671" spans="1:24" ht="27.95" x14ac:dyDescent="0.3">
      <c r="A1671" s="3">
        <v>1665</v>
      </c>
      <c r="B1671" s="3" t="str">
        <f>"201300035363"</f>
        <v>201300035363</v>
      </c>
      <c r="C1671" s="3" t="str">
        <f>"101002"</f>
        <v>101002</v>
      </c>
      <c r="D1671" s="3" t="s">
        <v>8044</v>
      </c>
      <c r="E1671" s="3">
        <v>20111052621</v>
      </c>
      <c r="F1671" s="3" t="s">
        <v>8045</v>
      </c>
      <c r="G1671" s="3" t="s">
        <v>8046</v>
      </c>
      <c r="H1671" s="3" t="s">
        <v>28</v>
      </c>
      <c r="I1671" s="3" t="s">
        <v>28</v>
      </c>
      <c r="J1671" s="3" t="s">
        <v>180</v>
      </c>
      <c r="K1671" s="3" t="s">
        <v>130</v>
      </c>
      <c r="L1671" s="3"/>
      <c r="M1671" s="3"/>
      <c r="N1671" s="3"/>
      <c r="O1671" s="3"/>
      <c r="P1671" s="3"/>
      <c r="Q1671" s="3"/>
      <c r="R1671" s="3"/>
      <c r="S1671" s="3"/>
      <c r="T1671" s="3"/>
      <c r="U1671" s="3">
        <v>3000</v>
      </c>
      <c r="V1671" s="4">
        <v>41342</v>
      </c>
      <c r="W1671" s="3" t="s">
        <v>31</v>
      </c>
      <c r="X1671" s="3" t="s">
        <v>8047</v>
      </c>
    </row>
    <row r="1672" spans="1:24" x14ac:dyDescent="0.3">
      <c r="A1672" s="5">
        <v>1666</v>
      </c>
      <c r="B1672" s="5" t="str">
        <f>"1569823"</f>
        <v>1569823</v>
      </c>
      <c r="C1672" s="5" t="str">
        <f>"16080"</f>
        <v>16080</v>
      </c>
      <c r="D1672" s="5" t="s">
        <v>8048</v>
      </c>
      <c r="E1672" s="5">
        <v>20101315291</v>
      </c>
      <c r="F1672" s="5" t="s">
        <v>4813</v>
      </c>
      <c r="G1672" s="5" t="s">
        <v>8049</v>
      </c>
      <c r="H1672" s="5" t="s">
        <v>28</v>
      </c>
      <c r="I1672" s="5" t="s">
        <v>28</v>
      </c>
      <c r="J1672" s="5" t="s">
        <v>1432</v>
      </c>
      <c r="K1672" s="5" t="s">
        <v>8050</v>
      </c>
      <c r="L1672" s="5" t="s">
        <v>973</v>
      </c>
      <c r="M1672" s="5"/>
      <c r="N1672" s="5"/>
      <c r="O1672" s="5"/>
      <c r="P1672" s="5"/>
      <c r="Q1672" s="5"/>
      <c r="R1672" s="5"/>
      <c r="S1672" s="5"/>
      <c r="T1672" s="5"/>
      <c r="U1672" s="5">
        <v>10750</v>
      </c>
      <c r="V1672" s="6">
        <v>38671</v>
      </c>
      <c r="W1672" s="5" t="s">
        <v>31</v>
      </c>
      <c r="X1672" s="5" t="s">
        <v>4815</v>
      </c>
    </row>
    <row r="1673" spans="1:24" ht="27.95" x14ac:dyDescent="0.3">
      <c r="A1673" s="3">
        <v>1667</v>
      </c>
      <c r="B1673" s="3" t="str">
        <f>"201600123739"</f>
        <v>201600123739</v>
      </c>
      <c r="C1673" s="3" t="str">
        <f>"491"</f>
        <v>491</v>
      </c>
      <c r="D1673" s="3" t="s">
        <v>8051</v>
      </c>
      <c r="E1673" s="3">
        <v>20131867744</v>
      </c>
      <c r="F1673" s="3" t="s">
        <v>8052</v>
      </c>
      <c r="G1673" s="3" t="s">
        <v>8053</v>
      </c>
      <c r="H1673" s="3" t="s">
        <v>36</v>
      </c>
      <c r="I1673" s="3" t="s">
        <v>1269</v>
      </c>
      <c r="J1673" s="3" t="s">
        <v>2545</v>
      </c>
      <c r="K1673" s="3" t="s">
        <v>8054</v>
      </c>
      <c r="L1673" s="3" t="s">
        <v>4649</v>
      </c>
      <c r="M1673" s="3" t="s">
        <v>8055</v>
      </c>
      <c r="N1673" s="3" t="s">
        <v>8056</v>
      </c>
      <c r="O1673" s="3" t="s">
        <v>8057</v>
      </c>
      <c r="P1673" s="3"/>
      <c r="Q1673" s="3"/>
      <c r="R1673" s="3"/>
      <c r="S1673" s="3"/>
      <c r="T1673" s="3"/>
      <c r="U1673" s="3">
        <v>284525</v>
      </c>
      <c r="V1673" s="4">
        <v>42619</v>
      </c>
      <c r="W1673" s="3" t="s">
        <v>31</v>
      </c>
      <c r="X1673" s="3" t="s">
        <v>8058</v>
      </c>
    </row>
    <row r="1674" spans="1:24" x14ac:dyDescent="0.3">
      <c r="A1674" s="5">
        <v>1668</v>
      </c>
      <c r="B1674" s="5" t="str">
        <f>"1141457"</f>
        <v>1141457</v>
      </c>
      <c r="C1674" s="5" t="str">
        <f>"1216"</f>
        <v>1216</v>
      </c>
      <c r="D1674" s="5">
        <v>1084709</v>
      </c>
      <c r="E1674" s="5">
        <v>20103766967</v>
      </c>
      <c r="F1674" s="5" t="s">
        <v>8059</v>
      </c>
      <c r="G1674" s="5" t="s">
        <v>8060</v>
      </c>
      <c r="H1674" s="5" t="s">
        <v>58</v>
      </c>
      <c r="I1674" s="5" t="s">
        <v>59</v>
      </c>
      <c r="J1674" s="5" t="s">
        <v>60</v>
      </c>
      <c r="K1674" s="5" t="s">
        <v>3539</v>
      </c>
      <c r="L1674" s="5"/>
      <c r="M1674" s="5"/>
      <c r="N1674" s="5"/>
      <c r="O1674" s="5"/>
      <c r="P1674" s="5"/>
      <c r="Q1674" s="5"/>
      <c r="R1674" s="5"/>
      <c r="S1674" s="5"/>
      <c r="T1674" s="5"/>
      <c r="U1674" s="5">
        <v>3400</v>
      </c>
      <c r="V1674" s="6">
        <v>35885</v>
      </c>
      <c r="W1674" s="5" t="s">
        <v>31</v>
      </c>
      <c r="X1674" s="5" t="s">
        <v>8061</v>
      </c>
    </row>
    <row r="1675" spans="1:24" ht="27.95" x14ac:dyDescent="0.3">
      <c r="A1675" s="3">
        <v>1669</v>
      </c>
      <c r="B1675" s="3" t="str">
        <f>"201200172900"</f>
        <v>201200172900</v>
      </c>
      <c r="C1675" s="3" t="str">
        <f>"98328"</f>
        <v>98328</v>
      </c>
      <c r="D1675" s="3" t="s">
        <v>8062</v>
      </c>
      <c r="E1675" s="3">
        <v>20524144825</v>
      </c>
      <c r="F1675" s="3" t="s">
        <v>8063</v>
      </c>
      <c r="G1675" s="3" t="s">
        <v>8064</v>
      </c>
      <c r="H1675" s="3" t="s">
        <v>51</v>
      </c>
      <c r="I1675" s="3" t="s">
        <v>51</v>
      </c>
      <c r="J1675" s="3" t="s">
        <v>1205</v>
      </c>
      <c r="K1675" s="3" t="s">
        <v>8065</v>
      </c>
      <c r="L1675" s="3"/>
      <c r="M1675" s="3"/>
      <c r="N1675" s="3"/>
      <c r="O1675" s="3"/>
      <c r="P1675" s="3"/>
      <c r="Q1675" s="3"/>
      <c r="R1675" s="3"/>
      <c r="S1675" s="3"/>
      <c r="T1675" s="3"/>
      <c r="U1675" s="3">
        <v>5900</v>
      </c>
      <c r="V1675" s="4">
        <v>41177</v>
      </c>
      <c r="W1675" s="3" t="s">
        <v>31</v>
      </c>
      <c r="X1675" s="3" t="s">
        <v>8066</v>
      </c>
    </row>
    <row r="1676" spans="1:24" ht="27.95" x14ac:dyDescent="0.3">
      <c r="A1676" s="5">
        <v>1670</v>
      </c>
      <c r="B1676" s="5" t="str">
        <f>"1792901"</f>
        <v>1792901</v>
      </c>
      <c r="C1676" s="5" t="str">
        <f>"98"</f>
        <v>98</v>
      </c>
      <c r="D1676" s="5" t="s">
        <v>8067</v>
      </c>
      <c r="E1676" s="5">
        <v>20118792174</v>
      </c>
      <c r="F1676" s="5" t="s">
        <v>8068</v>
      </c>
      <c r="G1676" s="5" t="s">
        <v>8069</v>
      </c>
      <c r="H1676" s="5" t="s">
        <v>28</v>
      </c>
      <c r="I1676" s="5" t="s">
        <v>574</v>
      </c>
      <c r="J1676" s="5" t="s">
        <v>8070</v>
      </c>
      <c r="K1676" s="5" t="s">
        <v>8071</v>
      </c>
      <c r="L1676" s="5" t="s">
        <v>1316</v>
      </c>
      <c r="M1676" s="5"/>
      <c r="N1676" s="5"/>
      <c r="O1676" s="5"/>
      <c r="P1676" s="5"/>
      <c r="Q1676" s="5"/>
      <c r="R1676" s="5"/>
      <c r="S1676" s="5"/>
      <c r="T1676" s="5"/>
      <c r="U1676" s="5">
        <v>16200</v>
      </c>
      <c r="V1676" s="6">
        <v>39623</v>
      </c>
      <c r="W1676" s="5" t="s">
        <v>31</v>
      </c>
      <c r="X1676" s="5" t="s">
        <v>8072</v>
      </c>
    </row>
    <row r="1677" spans="1:24" x14ac:dyDescent="0.3">
      <c r="A1677" s="3">
        <v>1671</v>
      </c>
      <c r="B1677" s="3" t="str">
        <f>"1362211"</f>
        <v>1362211</v>
      </c>
      <c r="C1677" s="3" t="str">
        <f>"40588"</f>
        <v>40588</v>
      </c>
      <c r="D1677" s="3" t="s">
        <v>8073</v>
      </c>
      <c r="E1677" s="3">
        <v>20165465009</v>
      </c>
      <c r="F1677" s="3" t="s">
        <v>8074</v>
      </c>
      <c r="G1677" s="3" t="s">
        <v>8075</v>
      </c>
      <c r="H1677" s="3" t="s">
        <v>28</v>
      </c>
      <c r="I1677" s="3" t="s">
        <v>28</v>
      </c>
      <c r="J1677" s="3" t="s">
        <v>28</v>
      </c>
      <c r="K1677" s="3" t="s">
        <v>421</v>
      </c>
      <c r="L1677" s="3" t="s">
        <v>561</v>
      </c>
      <c r="M1677" s="3" t="s">
        <v>273</v>
      </c>
      <c r="N1677" s="3" t="s">
        <v>8076</v>
      </c>
      <c r="O1677" s="3" t="s">
        <v>560</v>
      </c>
      <c r="P1677" s="3"/>
      <c r="Q1677" s="3"/>
      <c r="R1677" s="3"/>
      <c r="S1677" s="3"/>
      <c r="T1677" s="3"/>
      <c r="U1677" s="3">
        <v>25000</v>
      </c>
      <c r="V1677" s="4">
        <v>37393</v>
      </c>
      <c r="W1677" s="3" t="s">
        <v>31</v>
      </c>
      <c r="X1677" s="3" t="s">
        <v>8077</v>
      </c>
    </row>
    <row r="1678" spans="1:24" ht="41.95" x14ac:dyDescent="0.3">
      <c r="A1678" s="5">
        <v>1672</v>
      </c>
      <c r="B1678" s="5" t="str">
        <f>"1692677"</f>
        <v>1692677</v>
      </c>
      <c r="C1678" s="5" t="str">
        <f>"45714"</f>
        <v>45714</v>
      </c>
      <c r="D1678" s="5" t="s">
        <v>8078</v>
      </c>
      <c r="E1678" s="5">
        <v>20454289669</v>
      </c>
      <c r="F1678" s="5" t="s">
        <v>8079</v>
      </c>
      <c r="G1678" s="5" t="s">
        <v>8080</v>
      </c>
      <c r="H1678" s="5" t="s">
        <v>51</v>
      </c>
      <c r="I1678" s="5" t="s">
        <v>51</v>
      </c>
      <c r="J1678" s="5" t="s">
        <v>3255</v>
      </c>
      <c r="K1678" s="5" t="s">
        <v>2512</v>
      </c>
      <c r="L1678" s="5"/>
      <c r="M1678" s="5"/>
      <c r="N1678" s="5"/>
      <c r="O1678" s="5"/>
      <c r="P1678" s="5"/>
      <c r="Q1678" s="5"/>
      <c r="R1678" s="5"/>
      <c r="S1678" s="5"/>
      <c r="T1678" s="5"/>
      <c r="U1678" s="5">
        <v>10000</v>
      </c>
      <c r="V1678" s="6">
        <v>39218</v>
      </c>
      <c r="W1678" s="5" t="s">
        <v>31</v>
      </c>
      <c r="X1678" s="5" t="s">
        <v>8081</v>
      </c>
    </row>
    <row r="1679" spans="1:24" ht="27.95" x14ac:dyDescent="0.3">
      <c r="A1679" s="3">
        <v>1673</v>
      </c>
      <c r="B1679" s="3" t="str">
        <f>"201400059037"</f>
        <v>201400059037</v>
      </c>
      <c r="C1679" s="3" t="str">
        <f>"109353"</f>
        <v>109353</v>
      </c>
      <c r="D1679" s="3" t="s">
        <v>8082</v>
      </c>
      <c r="E1679" s="3">
        <v>20173136499</v>
      </c>
      <c r="F1679" s="3" t="s">
        <v>8083</v>
      </c>
      <c r="G1679" s="3" t="s">
        <v>8084</v>
      </c>
      <c r="H1679" s="3" t="s">
        <v>28</v>
      </c>
      <c r="I1679" s="3" t="s">
        <v>28</v>
      </c>
      <c r="J1679" s="3" t="s">
        <v>699</v>
      </c>
      <c r="K1679" s="3" t="s">
        <v>2083</v>
      </c>
      <c r="L1679" s="3"/>
      <c r="M1679" s="3"/>
      <c r="N1679" s="3"/>
      <c r="O1679" s="3"/>
      <c r="P1679" s="3"/>
      <c r="Q1679" s="3"/>
      <c r="R1679" s="3"/>
      <c r="S1679" s="3"/>
      <c r="T1679" s="3"/>
      <c r="U1679" s="3">
        <v>3400</v>
      </c>
      <c r="V1679" s="4">
        <v>41806</v>
      </c>
      <c r="W1679" s="3" t="s">
        <v>31</v>
      </c>
      <c r="X1679" s="3" t="s">
        <v>8085</v>
      </c>
    </row>
    <row r="1680" spans="1:24" ht="27.95" x14ac:dyDescent="0.3">
      <c r="A1680" s="5">
        <v>1674</v>
      </c>
      <c r="B1680" s="5" t="str">
        <f>"1407467"</f>
        <v>1407467</v>
      </c>
      <c r="C1680" s="5" t="str">
        <f>"1310"</f>
        <v>1310</v>
      </c>
      <c r="D1680" s="5" t="s">
        <v>8086</v>
      </c>
      <c r="E1680" s="5">
        <v>20191802633</v>
      </c>
      <c r="F1680" s="5" t="s">
        <v>8087</v>
      </c>
      <c r="G1680" s="5" t="s">
        <v>8088</v>
      </c>
      <c r="H1680" s="5" t="s">
        <v>51</v>
      </c>
      <c r="I1680" s="5" t="s">
        <v>1198</v>
      </c>
      <c r="J1680" s="5" t="s">
        <v>4683</v>
      </c>
      <c r="K1680" s="5" t="s">
        <v>839</v>
      </c>
      <c r="L1680" s="5"/>
      <c r="M1680" s="5"/>
      <c r="N1680" s="5"/>
      <c r="O1680" s="5"/>
      <c r="P1680" s="5"/>
      <c r="Q1680" s="5"/>
      <c r="R1680" s="5"/>
      <c r="S1680" s="5"/>
      <c r="T1680" s="5"/>
      <c r="U1680" s="5">
        <v>6400</v>
      </c>
      <c r="V1680" s="6">
        <v>37725</v>
      </c>
      <c r="W1680" s="5" t="s">
        <v>31</v>
      </c>
      <c r="X1680" s="5" t="s">
        <v>8089</v>
      </c>
    </row>
    <row r="1681" spans="1:24" x14ac:dyDescent="0.3">
      <c r="A1681" s="3">
        <v>1675</v>
      </c>
      <c r="B1681" s="3" t="str">
        <f>"1450474"</f>
        <v>1450474</v>
      </c>
      <c r="C1681" s="3" t="str">
        <f>"37241"</f>
        <v>37241</v>
      </c>
      <c r="D1681" s="3" t="s">
        <v>8090</v>
      </c>
      <c r="E1681" s="3">
        <v>20263322496</v>
      </c>
      <c r="F1681" s="3" t="s">
        <v>8091</v>
      </c>
      <c r="G1681" s="3" t="s">
        <v>8092</v>
      </c>
      <c r="H1681" s="3" t="s">
        <v>978</v>
      </c>
      <c r="I1681" s="3" t="s">
        <v>978</v>
      </c>
      <c r="J1681" s="3" t="s">
        <v>2796</v>
      </c>
      <c r="K1681" s="3" t="s">
        <v>1694</v>
      </c>
      <c r="L1681" s="3" t="s">
        <v>8093</v>
      </c>
      <c r="M1681" s="3" t="s">
        <v>8094</v>
      </c>
      <c r="N1681" s="3" t="s">
        <v>870</v>
      </c>
      <c r="O1681" s="3"/>
      <c r="P1681" s="3"/>
      <c r="Q1681" s="3"/>
      <c r="R1681" s="3"/>
      <c r="S1681" s="3"/>
      <c r="T1681" s="3"/>
      <c r="U1681" s="3">
        <v>62000</v>
      </c>
      <c r="V1681" s="4">
        <v>37970</v>
      </c>
      <c r="W1681" s="3" t="s">
        <v>31</v>
      </c>
      <c r="X1681" s="3" t="s">
        <v>8095</v>
      </c>
    </row>
    <row r="1682" spans="1:24" ht="27.95" x14ac:dyDescent="0.3">
      <c r="A1682" s="5">
        <v>1676</v>
      </c>
      <c r="B1682" s="5" t="str">
        <f>"1484091"</f>
        <v>1484091</v>
      </c>
      <c r="C1682" s="5" t="str">
        <f>"965"</f>
        <v>965</v>
      </c>
      <c r="D1682" s="5" t="s">
        <v>8096</v>
      </c>
      <c r="E1682" s="5">
        <v>20505607831</v>
      </c>
      <c r="F1682" s="5" t="s">
        <v>8097</v>
      </c>
      <c r="G1682" s="5" t="s">
        <v>8098</v>
      </c>
      <c r="H1682" s="5" t="s">
        <v>285</v>
      </c>
      <c r="I1682" s="5" t="s">
        <v>286</v>
      </c>
      <c r="J1682" s="5" t="s">
        <v>286</v>
      </c>
      <c r="K1682" s="5" t="s">
        <v>74</v>
      </c>
      <c r="L1682" s="5" t="s">
        <v>8099</v>
      </c>
      <c r="M1682" s="5" t="s">
        <v>6136</v>
      </c>
      <c r="N1682" s="5" t="s">
        <v>8100</v>
      </c>
      <c r="O1682" s="5"/>
      <c r="P1682" s="5"/>
      <c r="Q1682" s="5"/>
      <c r="R1682" s="5"/>
      <c r="S1682" s="5"/>
      <c r="T1682" s="5"/>
      <c r="U1682" s="5">
        <v>65163</v>
      </c>
      <c r="V1682" s="6">
        <v>40695</v>
      </c>
      <c r="W1682" s="5" t="s">
        <v>31</v>
      </c>
      <c r="X1682" s="5" t="s">
        <v>8101</v>
      </c>
    </row>
    <row r="1683" spans="1:24" ht="27.95" x14ac:dyDescent="0.3">
      <c r="A1683" s="3">
        <v>1677</v>
      </c>
      <c r="B1683" s="3" t="str">
        <f>"1400164"</f>
        <v>1400164</v>
      </c>
      <c r="C1683" s="3" t="str">
        <f>"34341"</f>
        <v>34341</v>
      </c>
      <c r="D1683" s="3" t="s">
        <v>8102</v>
      </c>
      <c r="E1683" s="3">
        <v>20297543653</v>
      </c>
      <c r="F1683" s="3" t="s">
        <v>8103</v>
      </c>
      <c r="G1683" s="3" t="s">
        <v>8104</v>
      </c>
      <c r="H1683" s="3" t="s">
        <v>28</v>
      </c>
      <c r="I1683" s="3" t="s">
        <v>72</v>
      </c>
      <c r="J1683" s="3" t="s">
        <v>322</v>
      </c>
      <c r="K1683" s="3" t="s">
        <v>421</v>
      </c>
      <c r="L1683" s="3"/>
      <c r="M1683" s="3"/>
      <c r="N1683" s="3"/>
      <c r="O1683" s="3"/>
      <c r="P1683" s="3"/>
      <c r="Q1683" s="3"/>
      <c r="R1683" s="3"/>
      <c r="S1683" s="3"/>
      <c r="T1683" s="3"/>
      <c r="U1683" s="3">
        <v>5000</v>
      </c>
      <c r="V1683" s="4">
        <v>37665</v>
      </c>
      <c r="W1683" s="3" t="s">
        <v>31</v>
      </c>
      <c r="X1683" s="3" t="s">
        <v>5921</v>
      </c>
    </row>
    <row r="1684" spans="1:24" x14ac:dyDescent="0.3">
      <c r="A1684" s="5">
        <v>1678</v>
      </c>
      <c r="B1684" s="5" t="str">
        <f>"1711013"</f>
        <v>1711013</v>
      </c>
      <c r="C1684" s="5" t="str">
        <f>"39385"</f>
        <v>39385</v>
      </c>
      <c r="D1684" s="5" t="s">
        <v>8105</v>
      </c>
      <c r="E1684" s="5">
        <v>20160521326</v>
      </c>
      <c r="F1684" s="5" t="s">
        <v>8106</v>
      </c>
      <c r="G1684" s="5" t="s">
        <v>8107</v>
      </c>
      <c r="H1684" s="5" t="s">
        <v>285</v>
      </c>
      <c r="I1684" s="5" t="s">
        <v>286</v>
      </c>
      <c r="J1684" s="5" t="s">
        <v>470</v>
      </c>
      <c r="K1684" s="5" t="s">
        <v>2736</v>
      </c>
      <c r="L1684" s="5" t="s">
        <v>8108</v>
      </c>
      <c r="M1684" s="5" t="s">
        <v>6854</v>
      </c>
      <c r="N1684" s="5" t="s">
        <v>8109</v>
      </c>
      <c r="O1684" s="5" t="s">
        <v>8110</v>
      </c>
      <c r="P1684" s="5"/>
      <c r="Q1684" s="5"/>
      <c r="R1684" s="5"/>
      <c r="S1684" s="5"/>
      <c r="T1684" s="5"/>
      <c r="U1684" s="5">
        <v>17940</v>
      </c>
      <c r="V1684" s="6">
        <v>39300</v>
      </c>
      <c r="W1684" s="5" t="s">
        <v>31</v>
      </c>
      <c r="X1684" s="5" t="s">
        <v>8111</v>
      </c>
    </row>
    <row r="1685" spans="1:24" x14ac:dyDescent="0.3">
      <c r="A1685" s="3">
        <v>1679</v>
      </c>
      <c r="B1685" s="3" t="str">
        <f>"1634987"</f>
        <v>1634987</v>
      </c>
      <c r="C1685" s="3" t="str">
        <f>"21440"</f>
        <v>21440</v>
      </c>
      <c r="D1685" s="3" t="s">
        <v>8112</v>
      </c>
      <c r="E1685" s="3">
        <v>20531577184</v>
      </c>
      <c r="F1685" s="3" t="s">
        <v>8113</v>
      </c>
      <c r="G1685" s="3" t="s">
        <v>8114</v>
      </c>
      <c r="H1685" s="3" t="s">
        <v>58</v>
      </c>
      <c r="I1685" s="3" t="s">
        <v>507</v>
      </c>
      <c r="J1685" s="3" t="s">
        <v>508</v>
      </c>
      <c r="K1685" s="3" t="s">
        <v>421</v>
      </c>
      <c r="L1685" s="3"/>
      <c r="M1685" s="3"/>
      <c r="N1685" s="3"/>
      <c r="O1685" s="3"/>
      <c r="P1685" s="3"/>
      <c r="Q1685" s="3"/>
      <c r="R1685" s="3"/>
      <c r="S1685" s="3"/>
      <c r="T1685" s="3"/>
      <c r="U1685" s="3">
        <v>5000</v>
      </c>
      <c r="V1685" s="4">
        <v>38968</v>
      </c>
      <c r="W1685" s="3" t="s">
        <v>31</v>
      </c>
      <c r="X1685" s="3" t="s">
        <v>5973</v>
      </c>
    </row>
    <row r="1686" spans="1:24" ht="27.95" x14ac:dyDescent="0.3">
      <c r="A1686" s="5">
        <v>1680</v>
      </c>
      <c r="B1686" s="5" t="str">
        <f>"201300058594"</f>
        <v>201300058594</v>
      </c>
      <c r="C1686" s="5" t="str">
        <f>"101976"</f>
        <v>101976</v>
      </c>
      <c r="D1686" s="5" t="s">
        <v>8115</v>
      </c>
      <c r="E1686" s="5">
        <v>20507845500</v>
      </c>
      <c r="F1686" s="5" t="s">
        <v>8116</v>
      </c>
      <c r="G1686" s="5" t="s">
        <v>8117</v>
      </c>
      <c r="H1686" s="5" t="s">
        <v>566</v>
      </c>
      <c r="I1686" s="5" t="s">
        <v>2671</v>
      </c>
      <c r="J1686" s="5" t="s">
        <v>2672</v>
      </c>
      <c r="K1686" s="5" t="s">
        <v>8118</v>
      </c>
      <c r="L1686" s="5"/>
      <c r="M1686" s="5"/>
      <c r="N1686" s="5"/>
      <c r="O1686" s="5"/>
      <c r="P1686" s="5"/>
      <c r="Q1686" s="5"/>
      <c r="R1686" s="5"/>
      <c r="S1686" s="5"/>
      <c r="T1686" s="5"/>
      <c r="U1686" s="5">
        <v>38000</v>
      </c>
      <c r="V1686" s="6">
        <v>41442</v>
      </c>
      <c r="W1686" s="5" t="s">
        <v>31</v>
      </c>
      <c r="X1686" s="5" t="s">
        <v>1164</v>
      </c>
    </row>
    <row r="1687" spans="1:24" ht="27.95" x14ac:dyDescent="0.3">
      <c r="A1687" s="3">
        <v>1681</v>
      </c>
      <c r="B1687" s="3" t="str">
        <f>"201900163562"</f>
        <v>201900163562</v>
      </c>
      <c r="C1687" s="3" t="str">
        <f>"122013"</f>
        <v>122013</v>
      </c>
      <c r="D1687" s="3" t="s">
        <v>8119</v>
      </c>
      <c r="E1687" s="3">
        <v>20544263642</v>
      </c>
      <c r="F1687" s="3" t="s">
        <v>8120</v>
      </c>
      <c r="G1687" s="3" t="s">
        <v>8121</v>
      </c>
      <c r="H1687" s="3" t="s">
        <v>165</v>
      </c>
      <c r="I1687" s="3" t="s">
        <v>732</v>
      </c>
      <c r="J1687" s="3" t="s">
        <v>4989</v>
      </c>
      <c r="K1687" s="3" t="s">
        <v>8122</v>
      </c>
      <c r="L1687" s="3" t="s">
        <v>8123</v>
      </c>
      <c r="M1687" s="3"/>
      <c r="N1687" s="3"/>
      <c r="O1687" s="3"/>
      <c r="P1687" s="3"/>
      <c r="Q1687" s="3"/>
      <c r="R1687" s="3"/>
      <c r="S1687" s="3"/>
      <c r="T1687" s="3"/>
      <c r="U1687" s="3">
        <v>19994</v>
      </c>
      <c r="V1687" s="4">
        <v>43744</v>
      </c>
      <c r="W1687" s="3" t="s">
        <v>31</v>
      </c>
      <c r="X1687" s="3" t="s">
        <v>8124</v>
      </c>
    </row>
    <row r="1688" spans="1:24" ht="41.95" x14ac:dyDescent="0.3">
      <c r="A1688" s="5">
        <v>1682</v>
      </c>
      <c r="B1688" s="5" t="str">
        <f>"1870126"</f>
        <v>1870126</v>
      </c>
      <c r="C1688" s="5" t="str">
        <f>"82911"</f>
        <v>82911</v>
      </c>
      <c r="D1688" s="5" t="s">
        <v>8125</v>
      </c>
      <c r="E1688" s="5">
        <v>20172781005</v>
      </c>
      <c r="F1688" s="5" t="s">
        <v>8126</v>
      </c>
      <c r="G1688" s="5" t="s">
        <v>8127</v>
      </c>
      <c r="H1688" s="5" t="s">
        <v>28</v>
      </c>
      <c r="I1688" s="5" t="s">
        <v>72</v>
      </c>
      <c r="J1688" s="5" t="s">
        <v>322</v>
      </c>
      <c r="K1688" s="5" t="s">
        <v>8128</v>
      </c>
      <c r="L1688" s="5"/>
      <c r="M1688" s="5"/>
      <c r="N1688" s="5"/>
      <c r="O1688" s="5"/>
      <c r="P1688" s="5"/>
      <c r="Q1688" s="5"/>
      <c r="R1688" s="5"/>
      <c r="S1688" s="5"/>
      <c r="T1688" s="5"/>
      <c r="U1688" s="5">
        <v>3698</v>
      </c>
      <c r="V1688" s="6">
        <v>39905</v>
      </c>
      <c r="W1688" s="5" t="s">
        <v>31</v>
      </c>
      <c r="X1688" s="5" t="s">
        <v>8129</v>
      </c>
    </row>
    <row r="1689" spans="1:24" ht="41.95" x14ac:dyDescent="0.3">
      <c r="A1689" s="3">
        <v>1683</v>
      </c>
      <c r="B1689" s="3" t="str">
        <f>"201200013936"</f>
        <v>201200013936</v>
      </c>
      <c r="C1689" s="3" t="str">
        <f>"95624"</f>
        <v>95624</v>
      </c>
      <c r="D1689" s="3" t="s">
        <v>8130</v>
      </c>
      <c r="E1689" s="3">
        <v>20523409345</v>
      </c>
      <c r="F1689" s="3" t="s">
        <v>8131</v>
      </c>
      <c r="G1689" s="3" t="s">
        <v>8132</v>
      </c>
      <c r="H1689" s="3" t="s">
        <v>36</v>
      </c>
      <c r="I1689" s="3" t="s">
        <v>37</v>
      </c>
      <c r="J1689" s="3" t="s">
        <v>4710</v>
      </c>
      <c r="K1689" s="3" t="s">
        <v>2180</v>
      </c>
      <c r="L1689" s="3" t="s">
        <v>2180</v>
      </c>
      <c r="M1689" s="3"/>
      <c r="N1689" s="3"/>
      <c r="O1689" s="3"/>
      <c r="P1689" s="3"/>
      <c r="Q1689" s="3"/>
      <c r="R1689" s="3"/>
      <c r="S1689" s="3"/>
      <c r="T1689" s="3"/>
      <c r="U1689" s="3">
        <v>20000</v>
      </c>
      <c r="V1689" s="4">
        <v>40943</v>
      </c>
      <c r="W1689" s="3" t="s">
        <v>31</v>
      </c>
      <c r="X1689" s="3" t="s">
        <v>8133</v>
      </c>
    </row>
    <row r="1690" spans="1:24" x14ac:dyDescent="0.3">
      <c r="A1690" s="5">
        <v>1684</v>
      </c>
      <c r="B1690" s="5" t="str">
        <f>"201900059659"</f>
        <v>201900059659</v>
      </c>
      <c r="C1690" s="5" t="str">
        <f>"142610"</f>
        <v>142610</v>
      </c>
      <c r="D1690" s="5" t="s">
        <v>8134</v>
      </c>
      <c r="E1690" s="5">
        <v>20515349309</v>
      </c>
      <c r="F1690" s="5" t="s">
        <v>8135</v>
      </c>
      <c r="G1690" s="5" t="s">
        <v>8136</v>
      </c>
      <c r="H1690" s="5" t="s">
        <v>285</v>
      </c>
      <c r="I1690" s="5" t="s">
        <v>3700</v>
      </c>
      <c r="J1690" s="5" t="s">
        <v>8137</v>
      </c>
      <c r="K1690" s="5" t="s">
        <v>110</v>
      </c>
      <c r="L1690" s="5"/>
      <c r="M1690" s="5"/>
      <c r="N1690" s="5"/>
      <c r="O1690" s="5"/>
      <c r="P1690" s="5"/>
      <c r="Q1690" s="5"/>
      <c r="R1690" s="5"/>
      <c r="S1690" s="5"/>
      <c r="T1690" s="5"/>
      <c r="U1690" s="5">
        <v>4000</v>
      </c>
      <c r="V1690" s="6">
        <v>43572</v>
      </c>
      <c r="W1690" s="5" t="s">
        <v>31</v>
      </c>
      <c r="X1690" s="5" t="s">
        <v>8138</v>
      </c>
    </row>
    <row r="1691" spans="1:24" ht="41.95" x14ac:dyDescent="0.3">
      <c r="A1691" s="3">
        <v>1685</v>
      </c>
      <c r="B1691" s="3" t="str">
        <f>"1854959"</f>
        <v>1854959</v>
      </c>
      <c r="C1691" s="3" t="str">
        <f>"34482"</f>
        <v>34482</v>
      </c>
      <c r="D1691" s="3" t="s">
        <v>8139</v>
      </c>
      <c r="E1691" s="3">
        <v>20111400254</v>
      </c>
      <c r="F1691" s="3" t="s">
        <v>8140</v>
      </c>
      <c r="G1691" s="3" t="s">
        <v>8141</v>
      </c>
      <c r="H1691" s="3" t="s">
        <v>28</v>
      </c>
      <c r="I1691" s="3" t="s">
        <v>72</v>
      </c>
      <c r="J1691" s="3" t="s">
        <v>86</v>
      </c>
      <c r="K1691" s="3" t="s">
        <v>1378</v>
      </c>
      <c r="L1691" s="3"/>
      <c r="M1691" s="3"/>
      <c r="N1691" s="3"/>
      <c r="O1691" s="3"/>
      <c r="P1691" s="3"/>
      <c r="Q1691" s="3"/>
      <c r="R1691" s="3"/>
      <c r="S1691" s="3"/>
      <c r="T1691" s="3"/>
      <c r="U1691" s="3">
        <v>5000</v>
      </c>
      <c r="V1691" s="4">
        <v>39848</v>
      </c>
      <c r="W1691" s="3" t="s">
        <v>31</v>
      </c>
      <c r="X1691" s="3" t="s">
        <v>8142</v>
      </c>
    </row>
    <row r="1692" spans="1:24" ht="27.95" x14ac:dyDescent="0.3">
      <c r="A1692" s="5">
        <v>1686</v>
      </c>
      <c r="B1692" s="5" t="str">
        <f>"1687589"</f>
        <v>1687589</v>
      </c>
      <c r="C1692" s="5" t="str">
        <f>"45329"</f>
        <v>45329</v>
      </c>
      <c r="D1692" s="5" t="s">
        <v>8143</v>
      </c>
      <c r="E1692" s="5">
        <v>20307758645</v>
      </c>
      <c r="F1692" s="5" t="s">
        <v>8144</v>
      </c>
      <c r="G1692" s="5" t="s">
        <v>8145</v>
      </c>
      <c r="H1692" s="5" t="s">
        <v>80</v>
      </c>
      <c r="I1692" s="5" t="s">
        <v>3606</v>
      </c>
      <c r="J1692" s="5" t="s">
        <v>3607</v>
      </c>
      <c r="K1692" s="5" t="s">
        <v>46</v>
      </c>
      <c r="L1692" s="5"/>
      <c r="M1692" s="5"/>
      <c r="N1692" s="5"/>
      <c r="O1692" s="5"/>
      <c r="P1692" s="5"/>
      <c r="Q1692" s="5"/>
      <c r="R1692" s="5"/>
      <c r="S1692" s="5"/>
      <c r="T1692" s="5"/>
      <c r="U1692" s="5">
        <v>3000</v>
      </c>
      <c r="V1692" s="6">
        <v>39181</v>
      </c>
      <c r="W1692" s="5" t="s">
        <v>31</v>
      </c>
      <c r="X1692" s="5" t="s">
        <v>8146</v>
      </c>
    </row>
    <row r="1693" spans="1:24" x14ac:dyDescent="0.3">
      <c r="A1693" s="3">
        <v>1687</v>
      </c>
      <c r="B1693" s="3" t="str">
        <f>"1788449"</f>
        <v>1788449</v>
      </c>
      <c r="C1693" s="3" t="str">
        <f>"63197"</f>
        <v>63197</v>
      </c>
      <c r="D1693" s="3" t="s">
        <v>8147</v>
      </c>
      <c r="E1693" s="3">
        <v>20158039321</v>
      </c>
      <c r="F1693" s="3" t="s">
        <v>8148</v>
      </c>
      <c r="G1693" s="3" t="s">
        <v>8149</v>
      </c>
      <c r="H1693" s="3" t="s">
        <v>28</v>
      </c>
      <c r="I1693" s="3" t="s">
        <v>28</v>
      </c>
      <c r="J1693" s="3" t="s">
        <v>501</v>
      </c>
      <c r="K1693" s="3" t="s">
        <v>323</v>
      </c>
      <c r="L1693" s="3"/>
      <c r="M1693" s="3"/>
      <c r="N1693" s="3"/>
      <c r="O1693" s="3"/>
      <c r="P1693" s="3"/>
      <c r="Q1693" s="3"/>
      <c r="R1693" s="3"/>
      <c r="S1693" s="3"/>
      <c r="T1693" s="3"/>
      <c r="U1693" s="3">
        <v>4000</v>
      </c>
      <c r="V1693" s="4">
        <v>39610</v>
      </c>
      <c r="W1693" s="3" t="s">
        <v>31</v>
      </c>
      <c r="X1693" s="3" t="s">
        <v>8150</v>
      </c>
    </row>
    <row r="1694" spans="1:24" ht="27.95" x14ac:dyDescent="0.3">
      <c r="A1694" s="5">
        <v>1688</v>
      </c>
      <c r="B1694" s="5" t="str">
        <f>"201900030865"</f>
        <v>201900030865</v>
      </c>
      <c r="C1694" s="5" t="str">
        <f>"141538"</f>
        <v>141538</v>
      </c>
      <c r="D1694" s="5" t="s">
        <v>8151</v>
      </c>
      <c r="E1694" s="5">
        <v>20194048034</v>
      </c>
      <c r="F1694" s="5" t="s">
        <v>8152</v>
      </c>
      <c r="G1694" s="5" t="s">
        <v>8153</v>
      </c>
      <c r="H1694" s="5" t="s">
        <v>921</v>
      </c>
      <c r="I1694" s="5" t="s">
        <v>921</v>
      </c>
      <c r="J1694" s="5" t="s">
        <v>6406</v>
      </c>
      <c r="K1694" s="5" t="s">
        <v>397</v>
      </c>
      <c r="L1694" s="5"/>
      <c r="M1694" s="5"/>
      <c r="N1694" s="5"/>
      <c r="O1694" s="5"/>
      <c r="P1694" s="5"/>
      <c r="Q1694" s="5"/>
      <c r="R1694" s="5"/>
      <c r="S1694" s="5"/>
      <c r="T1694" s="5"/>
      <c r="U1694" s="5">
        <v>2000</v>
      </c>
      <c r="V1694" s="6">
        <v>43528</v>
      </c>
      <c r="W1694" s="5" t="s">
        <v>31</v>
      </c>
      <c r="X1694" s="5" t="s">
        <v>8154</v>
      </c>
    </row>
    <row r="1695" spans="1:24" ht="27.95" x14ac:dyDescent="0.3">
      <c r="A1695" s="3">
        <v>1689</v>
      </c>
      <c r="B1695" s="3" t="str">
        <f>"201500085970"</f>
        <v>201500085970</v>
      </c>
      <c r="C1695" s="3" t="str">
        <f>"116207"</f>
        <v>116207</v>
      </c>
      <c r="D1695" s="3" t="s">
        <v>8155</v>
      </c>
      <c r="E1695" s="3">
        <v>20511165181</v>
      </c>
      <c r="F1695" s="3" t="s">
        <v>1116</v>
      </c>
      <c r="G1695" s="3" t="s">
        <v>8156</v>
      </c>
      <c r="H1695" s="3" t="s">
        <v>214</v>
      </c>
      <c r="I1695" s="3" t="s">
        <v>1118</v>
      </c>
      <c r="J1695" s="3" t="s">
        <v>1119</v>
      </c>
      <c r="K1695" s="3" t="s">
        <v>8157</v>
      </c>
      <c r="L1695" s="3" t="s">
        <v>8157</v>
      </c>
      <c r="M1695" s="3" t="s">
        <v>8157</v>
      </c>
      <c r="N1695" s="3"/>
      <c r="O1695" s="3"/>
      <c r="P1695" s="3"/>
      <c r="Q1695" s="3"/>
      <c r="R1695" s="3"/>
      <c r="S1695" s="3"/>
      <c r="T1695" s="3"/>
      <c r="U1695" s="3">
        <v>311100</v>
      </c>
      <c r="V1695" s="4">
        <v>42216</v>
      </c>
      <c r="W1695" s="3" t="s">
        <v>31</v>
      </c>
      <c r="X1695" s="3" t="s">
        <v>1121</v>
      </c>
    </row>
    <row r="1696" spans="1:24" x14ac:dyDescent="0.3">
      <c r="A1696" s="5">
        <v>1690</v>
      </c>
      <c r="B1696" s="5" t="str">
        <f>"1114535"</f>
        <v>1114535</v>
      </c>
      <c r="C1696" s="5" t="str">
        <f>"1152"</f>
        <v>1152</v>
      </c>
      <c r="D1696" s="5">
        <v>1114535</v>
      </c>
      <c r="E1696" s="5">
        <v>20100998204</v>
      </c>
      <c r="F1696" s="5" t="s">
        <v>8158</v>
      </c>
      <c r="G1696" s="5" t="s">
        <v>8159</v>
      </c>
      <c r="H1696" s="5" t="s">
        <v>115</v>
      </c>
      <c r="I1696" s="5" t="s">
        <v>115</v>
      </c>
      <c r="J1696" s="5" t="s">
        <v>116</v>
      </c>
      <c r="K1696" s="5" t="s">
        <v>1259</v>
      </c>
      <c r="L1696" s="5"/>
      <c r="M1696" s="5"/>
      <c r="N1696" s="5"/>
      <c r="O1696" s="5"/>
      <c r="P1696" s="5"/>
      <c r="Q1696" s="5"/>
      <c r="R1696" s="5"/>
      <c r="S1696" s="5"/>
      <c r="T1696" s="5"/>
      <c r="U1696" s="5">
        <v>1000</v>
      </c>
      <c r="V1696" s="6">
        <v>35562</v>
      </c>
      <c r="W1696" s="5" t="s">
        <v>31</v>
      </c>
      <c r="X1696" s="5" t="s">
        <v>8160</v>
      </c>
    </row>
    <row r="1697" spans="1:24" x14ac:dyDescent="0.3">
      <c r="A1697" s="3">
        <v>1691</v>
      </c>
      <c r="B1697" s="3" t="str">
        <f>"1635142"</f>
        <v>1635142</v>
      </c>
      <c r="C1697" s="3" t="str">
        <f>"42920"</f>
        <v>42920</v>
      </c>
      <c r="D1697" s="3" t="s">
        <v>8161</v>
      </c>
      <c r="E1697" s="3">
        <v>20192779333</v>
      </c>
      <c r="F1697" s="3" t="s">
        <v>1208</v>
      </c>
      <c r="G1697" s="3" t="s">
        <v>8162</v>
      </c>
      <c r="H1697" s="3" t="s">
        <v>743</v>
      </c>
      <c r="I1697" s="3" t="s">
        <v>8163</v>
      </c>
      <c r="J1697" s="3" t="s">
        <v>8164</v>
      </c>
      <c r="K1697" s="3" t="s">
        <v>1368</v>
      </c>
      <c r="L1697" s="3"/>
      <c r="M1697" s="3"/>
      <c r="N1697" s="3"/>
      <c r="O1697" s="3"/>
      <c r="P1697" s="3"/>
      <c r="Q1697" s="3"/>
      <c r="R1697" s="3"/>
      <c r="S1697" s="3"/>
      <c r="T1697" s="3"/>
      <c r="U1697" s="3">
        <v>50000</v>
      </c>
      <c r="V1697" s="4">
        <v>38951</v>
      </c>
      <c r="W1697" s="3" t="s">
        <v>31</v>
      </c>
      <c r="X1697" s="3" t="s">
        <v>2383</v>
      </c>
    </row>
    <row r="1698" spans="1:24" x14ac:dyDescent="0.3">
      <c r="A1698" s="5">
        <v>1692</v>
      </c>
      <c r="B1698" s="5" t="str">
        <f>"1475163"</f>
        <v>1475163</v>
      </c>
      <c r="C1698" s="5" t="str">
        <f>"91718"</f>
        <v>91718</v>
      </c>
      <c r="D1698" s="5" t="s">
        <v>8165</v>
      </c>
      <c r="E1698" s="5">
        <v>20102078781</v>
      </c>
      <c r="F1698" s="5" t="s">
        <v>6412</v>
      </c>
      <c r="G1698" s="5" t="s">
        <v>8166</v>
      </c>
      <c r="H1698" s="5" t="s">
        <v>28</v>
      </c>
      <c r="I1698" s="5" t="s">
        <v>28</v>
      </c>
      <c r="J1698" s="5" t="s">
        <v>29</v>
      </c>
      <c r="K1698" s="5" t="s">
        <v>8167</v>
      </c>
      <c r="L1698" s="5" t="s">
        <v>8167</v>
      </c>
      <c r="M1698" s="5" t="s">
        <v>8168</v>
      </c>
      <c r="N1698" s="5"/>
      <c r="O1698" s="5"/>
      <c r="P1698" s="5"/>
      <c r="Q1698" s="5"/>
      <c r="R1698" s="5"/>
      <c r="S1698" s="5"/>
      <c r="T1698" s="5"/>
      <c r="U1698" s="5">
        <v>20040</v>
      </c>
      <c r="V1698" s="6">
        <v>40639</v>
      </c>
      <c r="W1698" s="5" t="s">
        <v>31</v>
      </c>
      <c r="X1698" s="5" t="s">
        <v>8169</v>
      </c>
    </row>
    <row r="1699" spans="1:24" x14ac:dyDescent="0.3">
      <c r="A1699" s="3">
        <v>1693</v>
      </c>
      <c r="B1699" s="3" t="str">
        <f>"201300154440"</f>
        <v>201300154440</v>
      </c>
      <c r="C1699" s="3" t="str">
        <f>"105515"</f>
        <v>105515</v>
      </c>
      <c r="D1699" s="3" t="s">
        <v>8170</v>
      </c>
      <c r="E1699" s="3">
        <v>20307146798</v>
      </c>
      <c r="F1699" s="3" t="s">
        <v>8171</v>
      </c>
      <c r="G1699" s="3" t="s">
        <v>8172</v>
      </c>
      <c r="H1699" s="3" t="s">
        <v>28</v>
      </c>
      <c r="I1699" s="3" t="s">
        <v>28</v>
      </c>
      <c r="J1699" s="3" t="s">
        <v>180</v>
      </c>
      <c r="K1699" s="3" t="s">
        <v>3758</v>
      </c>
      <c r="L1699" s="3"/>
      <c r="M1699" s="3"/>
      <c r="N1699" s="3"/>
      <c r="O1699" s="3"/>
      <c r="P1699" s="3"/>
      <c r="Q1699" s="3"/>
      <c r="R1699" s="3"/>
      <c r="S1699" s="3"/>
      <c r="T1699" s="3"/>
      <c r="U1699" s="3">
        <v>600</v>
      </c>
      <c r="V1699" s="4">
        <v>41582</v>
      </c>
      <c r="W1699" s="3" t="s">
        <v>31</v>
      </c>
      <c r="X1699" s="3" t="s">
        <v>8173</v>
      </c>
    </row>
    <row r="1700" spans="1:24" ht="27.95" x14ac:dyDescent="0.3">
      <c r="A1700" s="5">
        <v>1694</v>
      </c>
      <c r="B1700" s="5" t="str">
        <f>"202000085066"</f>
        <v>202000085066</v>
      </c>
      <c r="C1700" s="5" t="str">
        <f>"150181"</f>
        <v>150181</v>
      </c>
      <c r="D1700" s="5" t="s">
        <v>8174</v>
      </c>
      <c r="E1700" s="5">
        <v>20109565017</v>
      </c>
      <c r="F1700" s="5" t="s">
        <v>531</v>
      </c>
      <c r="G1700" s="5" t="s">
        <v>8175</v>
      </c>
      <c r="H1700" s="5" t="s">
        <v>373</v>
      </c>
      <c r="I1700" s="5" t="s">
        <v>5971</v>
      </c>
      <c r="J1700" s="5" t="s">
        <v>5971</v>
      </c>
      <c r="K1700" s="5" t="s">
        <v>92</v>
      </c>
      <c r="L1700" s="5"/>
      <c r="M1700" s="5"/>
      <c r="N1700" s="5"/>
      <c r="O1700" s="5"/>
      <c r="P1700" s="5"/>
      <c r="Q1700" s="5"/>
      <c r="R1700" s="5"/>
      <c r="S1700" s="5"/>
      <c r="T1700" s="5"/>
      <c r="U1700" s="5">
        <v>500</v>
      </c>
      <c r="V1700" s="6">
        <v>44065</v>
      </c>
      <c r="W1700" s="5" t="s">
        <v>31</v>
      </c>
      <c r="X1700" s="5" t="s">
        <v>8176</v>
      </c>
    </row>
    <row r="1701" spans="1:24" x14ac:dyDescent="0.3">
      <c r="A1701" s="3">
        <v>1695</v>
      </c>
      <c r="B1701" s="3" t="str">
        <f>"1607132"</f>
        <v>1607132</v>
      </c>
      <c r="C1701" s="3" t="str">
        <f>"42790"</f>
        <v>42790</v>
      </c>
      <c r="D1701" s="3" t="s">
        <v>8177</v>
      </c>
      <c r="E1701" s="3">
        <v>20438933272</v>
      </c>
      <c r="F1701" s="3" t="s">
        <v>8178</v>
      </c>
      <c r="G1701" s="3" t="s">
        <v>8179</v>
      </c>
      <c r="H1701" s="3" t="s">
        <v>978</v>
      </c>
      <c r="I1701" s="3" t="s">
        <v>978</v>
      </c>
      <c r="J1701" s="3" t="s">
        <v>978</v>
      </c>
      <c r="K1701" s="3" t="s">
        <v>8180</v>
      </c>
      <c r="L1701" s="3"/>
      <c r="M1701" s="3"/>
      <c r="N1701" s="3"/>
      <c r="O1701" s="3"/>
      <c r="P1701" s="3"/>
      <c r="Q1701" s="3"/>
      <c r="R1701" s="3"/>
      <c r="S1701" s="3"/>
      <c r="T1701" s="3"/>
      <c r="U1701" s="3">
        <v>4519</v>
      </c>
      <c r="V1701" s="4">
        <v>38827</v>
      </c>
      <c r="W1701" s="3" t="s">
        <v>31</v>
      </c>
      <c r="X1701" s="3" t="s">
        <v>8181</v>
      </c>
    </row>
    <row r="1702" spans="1:24" ht="27.95" x14ac:dyDescent="0.3">
      <c r="A1702" s="5">
        <v>1696</v>
      </c>
      <c r="B1702" s="5" t="str">
        <f>"1123940"</f>
        <v>1123940</v>
      </c>
      <c r="C1702" s="5" t="str">
        <f>"941"</f>
        <v>941</v>
      </c>
      <c r="D1702" s="5" t="s">
        <v>8182</v>
      </c>
      <c r="E1702" s="5">
        <v>20100211115</v>
      </c>
      <c r="F1702" s="5" t="s">
        <v>8183</v>
      </c>
      <c r="G1702" s="5" t="s">
        <v>8184</v>
      </c>
      <c r="H1702" s="5" t="s">
        <v>51</v>
      </c>
      <c r="I1702" s="5" t="s">
        <v>51</v>
      </c>
      <c r="J1702" s="5" t="s">
        <v>51</v>
      </c>
      <c r="K1702" s="5" t="s">
        <v>8185</v>
      </c>
      <c r="L1702" s="5"/>
      <c r="M1702" s="5"/>
      <c r="N1702" s="5"/>
      <c r="O1702" s="5"/>
      <c r="P1702" s="5"/>
      <c r="Q1702" s="5"/>
      <c r="R1702" s="5"/>
      <c r="S1702" s="5"/>
      <c r="T1702" s="5"/>
      <c r="U1702" s="5">
        <v>6350</v>
      </c>
      <c r="V1702" s="6">
        <v>36796</v>
      </c>
      <c r="W1702" s="5" t="s">
        <v>31</v>
      </c>
      <c r="X1702" s="5" t="s">
        <v>8186</v>
      </c>
    </row>
    <row r="1703" spans="1:24" x14ac:dyDescent="0.3">
      <c r="A1703" s="3">
        <v>1697</v>
      </c>
      <c r="B1703" s="3" t="str">
        <f>"201900106563"</f>
        <v>201900106563</v>
      </c>
      <c r="C1703" s="3" t="str">
        <f>"88996"</f>
        <v>88996</v>
      </c>
      <c r="D1703" s="3" t="s">
        <v>8187</v>
      </c>
      <c r="E1703" s="3">
        <v>20453413641</v>
      </c>
      <c r="F1703" s="3" t="s">
        <v>8188</v>
      </c>
      <c r="G1703" s="3" t="s">
        <v>8189</v>
      </c>
      <c r="H1703" s="3" t="s">
        <v>978</v>
      </c>
      <c r="I1703" s="3" t="s">
        <v>978</v>
      </c>
      <c r="J1703" s="3" t="s">
        <v>978</v>
      </c>
      <c r="K1703" s="3" t="s">
        <v>8190</v>
      </c>
      <c r="L1703" s="3" t="s">
        <v>7000</v>
      </c>
      <c r="M1703" s="3"/>
      <c r="N1703" s="3"/>
      <c r="O1703" s="3"/>
      <c r="P1703" s="3"/>
      <c r="Q1703" s="3"/>
      <c r="R1703" s="3"/>
      <c r="S1703" s="3"/>
      <c r="T1703" s="3"/>
      <c r="U1703" s="3">
        <v>10738</v>
      </c>
      <c r="V1703" s="4">
        <v>43648</v>
      </c>
      <c r="W1703" s="3" t="s">
        <v>31</v>
      </c>
      <c r="X1703" s="3" t="s">
        <v>8191</v>
      </c>
    </row>
    <row r="1704" spans="1:24" ht="27.95" x14ac:dyDescent="0.3">
      <c r="A1704" s="5">
        <v>1698</v>
      </c>
      <c r="B1704" s="5" t="str">
        <f>"1504133"</f>
        <v>1504133</v>
      </c>
      <c r="C1704" s="5" t="str">
        <f>"39914"</f>
        <v>39914</v>
      </c>
      <c r="D1704" s="5" t="s">
        <v>8192</v>
      </c>
      <c r="E1704" s="5">
        <v>20145380546</v>
      </c>
      <c r="F1704" s="5" t="s">
        <v>3480</v>
      </c>
      <c r="G1704" s="5" t="s">
        <v>8193</v>
      </c>
      <c r="H1704" s="5" t="s">
        <v>28</v>
      </c>
      <c r="I1704" s="5" t="s">
        <v>28</v>
      </c>
      <c r="J1704" s="5" t="s">
        <v>102</v>
      </c>
      <c r="K1704" s="5" t="s">
        <v>1789</v>
      </c>
      <c r="L1704" s="5"/>
      <c r="M1704" s="5"/>
      <c r="N1704" s="5"/>
      <c r="O1704" s="5"/>
      <c r="P1704" s="5"/>
      <c r="Q1704" s="5"/>
      <c r="R1704" s="5"/>
      <c r="S1704" s="5"/>
      <c r="T1704" s="5"/>
      <c r="U1704" s="5">
        <v>2700</v>
      </c>
      <c r="V1704" s="6">
        <v>38331</v>
      </c>
      <c r="W1704" s="5" t="s">
        <v>31</v>
      </c>
      <c r="X1704" s="5" t="s">
        <v>3482</v>
      </c>
    </row>
    <row r="1705" spans="1:24" x14ac:dyDescent="0.3">
      <c r="A1705" s="3">
        <v>1699</v>
      </c>
      <c r="B1705" s="3" t="str">
        <f>"201300146809"</f>
        <v>201300146809</v>
      </c>
      <c r="C1705" s="3" t="str">
        <f>"186"</f>
        <v>186</v>
      </c>
      <c r="D1705" s="3" t="s">
        <v>8194</v>
      </c>
      <c r="E1705" s="3">
        <v>20100068649</v>
      </c>
      <c r="F1705" s="3" t="s">
        <v>8195</v>
      </c>
      <c r="G1705" s="3" t="s">
        <v>8196</v>
      </c>
      <c r="H1705" s="3" t="s">
        <v>28</v>
      </c>
      <c r="I1705" s="3" t="s">
        <v>28</v>
      </c>
      <c r="J1705" s="3" t="s">
        <v>91</v>
      </c>
      <c r="K1705" s="3" t="s">
        <v>496</v>
      </c>
      <c r="L1705" s="3" t="s">
        <v>496</v>
      </c>
      <c r="M1705" s="3" t="s">
        <v>496</v>
      </c>
      <c r="N1705" s="3"/>
      <c r="O1705" s="3"/>
      <c r="P1705" s="3"/>
      <c r="Q1705" s="3"/>
      <c r="R1705" s="3"/>
      <c r="S1705" s="3"/>
      <c r="T1705" s="3"/>
      <c r="U1705" s="3">
        <v>45000</v>
      </c>
      <c r="V1705" s="4">
        <v>41569</v>
      </c>
      <c r="W1705" s="3" t="s">
        <v>31</v>
      </c>
      <c r="X1705" s="3" t="s">
        <v>8197</v>
      </c>
    </row>
    <row r="1706" spans="1:24" x14ac:dyDescent="0.3">
      <c r="A1706" s="5">
        <v>1700</v>
      </c>
      <c r="B1706" s="5" t="str">
        <f>"201600094298"</f>
        <v>201600094298</v>
      </c>
      <c r="C1706" s="5" t="str">
        <f>"229"</f>
        <v>229</v>
      </c>
      <c r="D1706" s="5" t="s">
        <v>8198</v>
      </c>
      <c r="E1706" s="5">
        <v>20385353406</v>
      </c>
      <c r="F1706" s="5" t="s">
        <v>8199</v>
      </c>
      <c r="G1706" s="5" t="s">
        <v>8200</v>
      </c>
      <c r="H1706" s="5" t="s">
        <v>28</v>
      </c>
      <c r="I1706" s="5" t="s">
        <v>28</v>
      </c>
      <c r="J1706" s="5" t="s">
        <v>28</v>
      </c>
      <c r="K1706" s="5" t="s">
        <v>8201</v>
      </c>
      <c r="L1706" s="5" t="s">
        <v>8202</v>
      </c>
      <c r="M1706" s="5" t="s">
        <v>8203</v>
      </c>
      <c r="N1706" s="5"/>
      <c r="O1706" s="5"/>
      <c r="P1706" s="5"/>
      <c r="Q1706" s="5"/>
      <c r="R1706" s="5"/>
      <c r="S1706" s="5"/>
      <c r="T1706" s="5"/>
      <c r="U1706" s="5">
        <v>6780</v>
      </c>
      <c r="V1706" s="6">
        <v>42547</v>
      </c>
      <c r="W1706" s="5" t="s">
        <v>31</v>
      </c>
      <c r="X1706" s="5" t="s">
        <v>8204</v>
      </c>
    </row>
    <row r="1707" spans="1:24" ht="27.95" x14ac:dyDescent="0.3">
      <c r="A1707" s="3">
        <v>1701</v>
      </c>
      <c r="B1707" s="3" t="str">
        <f>"201300140199"</f>
        <v>201300140199</v>
      </c>
      <c r="C1707" s="3" t="str">
        <f>"44631"</f>
        <v>44631</v>
      </c>
      <c r="D1707" s="3" t="s">
        <v>8205</v>
      </c>
      <c r="E1707" s="3">
        <v>20516185211</v>
      </c>
      <c r="F1707" s="3" t="s">
        <v>8206</v>
      </c>
      <c r="G1707" s="3" t="s">
        <v>8207</v>
      </c>
      <c r="H1707" s="3" t="s">
        <v>115</v>
      </c>
      <c r="I1707" s="3" t="s">
        <v>115</v>
      </c>
      <c r="J1707" s="3" t="s">
        <v>159</v>
      </c>
      <c r="K1707" s="3" t="s">
        <v>8208</v>
      </c>
      <c r="L1707" s="3"/>
      <c r="M1707" s="3"/>
      <c r="N1707" s="3"/>
      <c r="O1707" s="3"/>
      <c r="P1707" s="3"/>
      <c r="Q1707" s="3"/>
      <c r="R1707" s="3"/>
      <c r="S1707" s="3"/>
      <c r="T1707" s="3"/>
      <c r="U1707" s="3">
        <v>3917</v>
      </c>
      <c r="V1707" s="4">
        <v>41562</v>
      </c>
      <c r="W1707" s="3" t="s">
        <v>31</v>
      </c>
      <c r="X1707" s="3" t="s">
        <v>8209</v>
      </c>
    </row>
    <row r="1708" spans="1:24" ht="27.95" x14ac:dyDescent="0.3">
      <c r="A1708" s="5">
        <v>1702</v>
      </c>
      <c r="B1708" s="5" t="str">
        <f>"1635544"</f>
        <v>1635544</v>
      </c>
      <c r="C1708" s="5" t="str">
        <f>"44048"</f>
        <v>44048</v>
      </c>
      <c r="D1708" s="5" t="s">
        <v>8210</v>
      </c>
      <c r="E1708" s="5">
        <v>20217446466</v>
      </c>
      <c r="F1708" s="5" t="s">
        <v>8211</v>
      </c>
      <c r="G1708" s="5" t="s">
        <v>8212</v>
      </c>
      <c r="H1708" s="5" t="s">
        <v>115</v>
      </c>
      <c r="I1708" s="5" t="s">
        <v>115</v>
      </c>
      <c r="J1708" s="5" t="s">
        <v>159</v>
      </c>
      <c r="K1708" s="5" t="s">
        <v>8213</v>
      </c>
      <c r="L1708" s="5"/>
      <c r="M1708" s="5"/>
      <c r="N1708" s="5"/>
      <c r="O1708" s="5"/>
      <c r="P1708" s="5"/>
      <c r="Q1708" s="5"/>
      <c r="R1708" s="5"/>
      <c r="S1708" s="5"/>
      <c r="T1708" s="5"/>
      <c r="U1708" s="5">
        <v>4950</v>
      </c>
      <c r="V1708" s="6">
        <v>38981</v>
      </c>
      <c r="W1708" s="5" t="s">
        <v>31</v>
      </c>
      <c r="X1708" s="5" t="s">
        <v>8214</v>
      </c>
    </row>
    <row r="1709" spans="1:24" x14ac:dyDescent="0.3">
      <c r="A1709" s="3">
        <v>1703</v>
      </c>
      <c r="B1709" s="3" t="str">
        <f>"201500040798"</f>
        <v>201500040798</v>
      </c>
      <c r="C1709" s="3" t="str">
        <f>"103628"</f>
        <v>103628</v>
      </c>
      <c r="D1709" s="3" t="s">
        <v>8215</v>
      </c>
      <c r="E1709" s="3">
        <v>20148103233</v>
      </c>
      <c r="F1709" s="3" t="s">
        <v>8216</v>
      </c>
      <c r="G1709" s="3" t="s">
        <v>8217</v>
      </c>
      <c r="H1709" s="3" t="s">
        <v>28</v>
      </c>
      <c r="I1709" s="3" t="s">
        <v>28</v>
      </c>
      <c r="J1709" s="3" t="s">
        <v>1295</v>
      </c>
      <c r="K1709" s="3" t="s">
        <v>130</v>
      </c>
      <c r="L1709" s="3" t="s">
        <v>130</v>
      </c>
      <c r="M1709" s="3" t="s">
        <v>130</v>
      </c>
      <c r="N1709" s="3"/>
      <c r="O1709" s="3"/>
      <c r="P1709" s="3"/>
      <c r="Q1709" s="3"/>
      <c r="R1709" s="3"/>
      <c r="S1709" s="3"/>
      <c r="T1709" s="3"/>
      <c r="U1709" s="3">
        <v>9000</v>
      </c>
      <c r="V1709" s="4">
        <v>42130</v>
      </c>
      <c r="W1709" s="3" t="s">
        <v>31</v>
      </c>
      <c r="X1709" s="3" t="s">
        <v>8218</v>
      </c>
    </row>
    <row r="1710" spans="1:24" ht="27.95" x14ac:dyDescent="0.3">
      <c r="A1710" s="5">
        <v>1704</v>
      </c>
      <c r="B1710" s="5" t="str">
        <f>"202000089144"</f>
        <v>202000089144</v>
      </c>
      <c r="C1710" s="5" t="str">
        <f>"113134"</f>
        <v>113134</v>
      </c>
      <c r="D1710" s="5" t="s">
        <v>8219</v>
      </c>
      <c r="E1710" s="5">
        <v>20109565017</v>
      </c>
      <c r="F1710" s="5" t="s">
        <v>531</v>
      </c>
      <c r="G1710" s="5" t="s">
        <v>8220</v>
      </c>
      <c r="H1710" s="5" t="s">
        <v>80</v>
      </c>
      <c r="I1710" s="5" t="s">
        <v>80</v>
      </c>
      <c r="J1710" s="5" t="s">
        <v>80</v>
      </c>
      <c r="K1710" s="5" t="s">
        <v>1577</v>
      </c>
      <c r="L1710" s="5"/>
      <c r="M1710" s="5"/>
      <c r="N1710" s="5"/>
      <c r="O1710" s="5"/>
      <c r="P1710" s="5"/>
      <c r="Q1710" s="5"/>
      <c r="R1710" s="5"/>
      <c r="S1710" s="5"/>
      <c r="T1710" s="5"/>
      <c r="U1710" s="5">
        <v>11000</v>
      </c>
      <c r="V1710" s="6">
        <v>44039</v>
      </c>
      <c r="W1710" s="5" t="s">
        <v>31</v>
      </c>
      <c r="X1710" s="5" t="s">
        <v>8221</v>
      </c>
    </row>
    <row r="1711" spans="1:24" ht="27.95" x14ac:dyDescent="0.3">
      <c r="A1711" s="3">
        <v>1705</v>
      </c>
      <c r="B1711" s="3" t="str">
        <f>"201500005519"</f>
        <v>201500005519</v>
      </c>
      <c r="C1711" s="3" t="str">
        <f>"117"</f>
        <v>117</v>
      </c>
      <c r="D1711" s="3" t="s">
        <v>8222</v>
      </c>
      <c r="E1711" s="3">
        <v>20100056802</v>
      </c>
      <c r="F1711" s="3" t="s">
        <v>8223</v>
      </c>
      <c r="G1711" s="3" t="s">
        <v>8224</v>
      </c>
      <c r="H1711" s="3" t="s">
        <v>28</v>
      </c>
      <c r="I1711" s="3" t="s">
        <v>122</v>
      </c>
      <c r="J1711" s="3" t="s">
        <v>3978</v>
      </c>
      <c r="K1711" s="3" t="s">
        <v>8225</v>
      </c>
      <c r="L1711" s="3"/>
      <c r="M1711" s="3"/>
      <c r="N1711" s="3"/>
      <c r="O1711" s="3"/>
      <c r="P1711" s="3"/>
      <c r="Q1711" s="3"/>
      <c r="R1711" s="3"/>
      <c r="S1711" s="3"/>
      <c r="T1711" s="3"/>
      <c r="U1711" s="3">
        <v>57450</v>
      </c>
      <c r="V1711" s="4">
        <v>42114</v>
      </c>
      <c r="W1711" s="3" t="s">
        <v>31</v>
      </c>
      <c r="X1711" s="3" t="s">
        <v>8226</v>
      </c>
    </row>
    <row r="1712" spans="1:24" ht="27.95" x14ac:dyDescent="0.3">
      <c r="A1712" s="5">
        <v>1706</v>
      </c>
      <c r="B1712" s="5" t="str">
        <f>"202000138776"</f>
        <v>202000138776</v>
      </c>
      <c r="C1712" s="5" t="str">
        <f>"120248"</f>
        <v>120248</v>
      </c>
      <c r="D1712" s="5" t="s">
        <v>8227</v>
      </c>
      <c r="E1712" s="5">
        <v>20419387658</v>
      </c>
      <c r="F1712" s="5" t="s">
        <v>2119</v>
      </c>
      <c r="G1712" s="5" t="s">
        <v>8228</v>
      </c>
      <c r="H1712" s="5" t="s">
        <v>80</v>
      </c>
      <c r="I1712" s="5" t="s">
        <v>80</v>
      </c>
      <c r="J1712" s="5" t="s">
        <v>80</v>
      </c>
      <c r="K1712" s="5" t="s">
        <v>5279</v>
      </c>
      <c r="L1712" s="5"/>
      <c r="M1712" s="5"/>
      <c r="N1712" s="5"/>
      <c r="O1712" s="5"/>
      <c r="P1712" s="5"/>
      <c r="Q1712" s="5"/>
      <c r="R1712" s="5"/>
      <c r="S1712" s="5"/>
      <c r="T1712" s="5"/>
      <c r="U1712" s="5">
        <v>50000</v>
      </c>
      <c r="V1712" s="6">
        <v>44117</v>
      </c>
      <c r="W1712" s="5" t="s">
        <v>31</v>
      </c>
      <c r="X1712" s="5" t="s">
        <v>2258</v>
      </c>
    </row>
    <row r="1713" spans="1:24" ht="27.95" x14ac:dyDescent="0.3">
      <c r="A1713" s="3">
        <v>1707</v>
      </c>
      <c r="B1713" s="3" t="str">
        <f>"1918451"</f>
        <v>1918451</v>
      </c>
      <c r="C1713" s="3" t="str">
        <f>"83330"</f>
        <v>83330</v>
      </c>
      <c r="D1713" s="3" t="s">
        <v>8229</v>
      </c>
      <c r="E1713" s="3">
        <v>20170040938</v>
      </c>
      <c r="F1713" s="3" t="s">
        <v>526</v>
      </c>
      <c r="G1713" s="3" t="s">
        <v>8230</v>
      </c>
      <c r="H1713" s="3" t="s">
        <v>36</v>
      </c>
      <c r="I1713" s="3" t="s">
        <v>514</v>
      </c>
      <c r="J1713" s="3" t="s">
        <v>514</v>
      </c>
      <c r="K1713" s="3" t="s">
        <v>1550</v>
      </c>
      <c r="L1713" s="3"/>
      <c r="M1713" s="3"/>
      <c r="N1713" s="3"/>
      <c r="O1713" s="3"/>
      <c r="P1713" s="3"/>
      <c r="Q1713" s="3"/>
      <c r="R1713" s="3"/>
      <c r="S1713" s="3"/>
      <c r="T1713" s="3"/>
      <c r="U1713" s="3">
        <v>3000</v>
      </c>
      <c r="V1713" s="4">
        <v>40051</v>
      </c>
      <c r="W1713" s="3" t="s">
        <v>31</v>
      </c>
      <c r="X1713" s="3" t="s">
        <v>529</v>
      </c>
    </row>
    <row r="1714" spans="1:24" x14ac:dyDescent="0.3">
      <c r="A1714" s="5">
        <v>1708</v>
      </c>
      <c r="B1714" s="5" t="str">
        <f>"1115091"</f>
        <v>1115091</v>
      </c>
      <c r="C1714" s="5" t="str">
        <f>"1026"</f>
        <v>1026</v>
      </c>
      <c r="D1714" s="5">
        <v>1067520</v>
      </c>
      <c r="E1714" s="5">
        <v>20153288519</v>
      </c>
      <c r="F1714" s="5" t="s">
        <v>8231</v>
      </c>
      <c r="G1714" s="5" t="s">
        <v>8232</v>
      </c>
      <c r="H1714" s="5" t="s">
        <v>28</v>
      </c>
      <c r="I1714" s="5" t="s">
        <v>4889</v>
      </c>
      <c r="J1714" s="5" t="s">
        <v>8233</v>
      </c>
      <c r="K1714" s="5" t="s">
        <v>1422</v>
      </c>
      <c r="L1714" s="5" t="s">
        <v>1260</v>
      </c>
      <c r="M1714" s="5" t="s">
        <v>421</v>
      </c>
      <c r="N1714" s="5" t="s">
        <v>8234</v>
      </c>
      <c r="O1714" s="5"/>
      <c r="P1714" s="5"/>
      <c r="Q1714" s="5"/>
      <c r="R1714" s="5"/>
      <c r="S1714" s="5"/>
      <c r="T1714" s="5"/>
      <c r="U1714" s="5">
        <v>14350</v>
      </c>
      <c r="V1714" s="6">
        <v>35585</v>
      </c>
      <c r="W1714" s="5" t="s">
        <v>31</v>
      </c>
      <c r="X1714" s="5" t="s">
        <v>8235</v>
      </c>
    </row>
    <row r="1715" spans="1:24" ht="27.95" x14ac:dyDescent="0.3">
      <c r="A1715" s="3">
        <v>1709</v>
      </c>
      <c r="B1715" s="3" t="str">
        <f>"1856311"</f>
        <v>1856311</v>
      </c>
      <c r="C1715" s="3" t="str">
        <f>"82608"</f>
        <v>82608</v>
      </c>
      <c r="D1715" s="3" t="s">
        <v>8236</v>
      </c>
      <c r="E1715" s="3">
        <v>20505437226</v>
      </c>
      <c r="F1715" s="3" t="s">
        <v>8237</v>
      </c>
      <c r="G1715" s="3" t="s">
        <v>8238</v>
      </c>
      <c r="H1715" s="3" t="s">
        <v>28</v>
      </c>
      <c r="I1715" s="3" t="s">
        <v>28</v>
      </c>
      <c r="J1715" s="3" t="s">
        <v>1907</v>
      </c>
      <c r="K1715" s="3" t="s">
        <v>8239</v>
      </c>
      <c r="L1715" s="3"/>
      <c r="M1715" s="3"/>
      <c r="N1715" s="3"/>
      <c r="O1715" s="3"/>
      <c r="P1715" s="3"/>
      <c r="Q1715" s="3"/>
      <c r="R1715" s="3"/>
      <c r="S1715" s="3"/>
      <c r="T1715" s="3"/>
      <c r="U1715" s="3">
        <v>2726</v>
      </c>
      <c r="V1715" s="4">
        <v>39854</v>
      </c>
      <c r="W1715" s="3" t="s">
        <v>31</v>
      </c>
      <c r="X1715" s="3" t="s">
        <v>8240</v>
      </c>
    </row>
    <row r="1716" spans="1:24" ht="41.95" x14ac:dyDescent="0.3">
      <c r="A1716" s="5">
        <v>1710</v>
      </c>
      <c r="B1716" s="5" t="str">
        <f>"201200151073"</f>
        <v>201200151073</v>
      </c>
      <c r="C1716" s="5" t="str">
        <f>"97811"</f>
        <v>97811</v>
      </c>
      <c r="D1716" s="5" t="s">
        <v>8241</v>
      </c>
      <c r="E1716" s="5">
        <v>20481668574</v>
      </c>
      <c r="F1716" s="5" t="s">
        <v>8242</v>
      </c>
      <c r="G1716" s="5" t="s">
        <v>8243</v>
      </c>
      <c r="H1716" s="5" t="s">
        <v>36</v>
      </c>
      <c r="I1716" s="5" t="s">
        <v>37</v>
      </c>
      <c r="J1716" s="5" t="s">
        <v>4710</v>
      </c>
      <c r="K1716" s="5" t="s">
        <v>4545</v>
      </c>
      <c r="L1716" s="5"/>
      <c r="M1716" s="5"/>
      <c r="N1716" s="5"/>
      <c r="O1716" s="5"/>
      <c r="P1716" s="5"/>
      <c r="Q1716" s="5"/>
      <c r="R1716" s="5"/>
      <c r="S1716" s="5"/>
      <c r="T1716" s="5"/>
      <c r="U1716" s="5">
        <v>6000</v>
      </c>
      <c r="V1716" s="6">
        <v>41145</v>
      </c>
      <c r="W1716" s="5" t="s">
        <v>31</v>
      </c>
      <c r="X1716" s="5" t="s">
        <v>8244</v>
      </c>
    </row>
    <row r="1717" spans="1:24" ht="27.95" x14ac:dyDescent="0.3">
      <c r="A1717" s="3">
        <v>1711</v>
      </c>
      <c r="B1717" s="3" t="str">
        <f>"201400156309"</f>
        <v>201400156309</v>
      </c>
      <c r="C1717" s="3" t="str">
        <f>"1048"</f>
        <v>1048</v>
      </c>
      <c r="D1717" s="3" t="s">
        <v>8245</v>
      </c>
      <c r="E1717" s="3">
        <v>20332907990</v>
      </c>
      <c r="F1717" s="3" t="s">
        <v>1055</v>
      </c>
      <c r="G1717" s="3" t="s">
        <v>8246</v>
      </c>
      <c r="H1717" s="3" t="s">
        <v>28</v>
      </c>
      <c r="I1717" s="3" t="s">
        <v>4717</v>
      </c>
      <c r="J1717" s="3" t="s">
        <v>8247</v>
      </c>
      <c r="K1717" s="3" t="s">
        <v>3181</v>
      </c>
      <c r="L1717" s="3" t="s">
        <v>3181</v>
      </c>
      <c r="M1717" s="3" t="s">
        <v>3181</v>
      </c>
      <c r="N1717" s="3" t="s">
        <v>8248</v>
      </c>
      <c r="O1717" s="3" t="s">
        <v>8248</v>
      </c>
      <c r="P1717" s="3" t="s">
        <v>8249</v>
      </c>
      <c r="Q1717" s="3" t="s">
        <v>8249</v>
      </c>
      <c r="R1717" s="3" t="s">
        <v>8250</v>
      </c>
      <c r="S1717" s="3"/>
      <c r="T1717" s="3"/>
      <c r="U1717" s="3">
        <v>73990</v>
      </c>
      <c r="V1717" s="4">
        <v>42010</v>
      </c>
      <c r="W1717" s="3" t="s">
        <v>31</v>
      </c>
      <c r="X1717" s="3" t="s">
        <v>8251</v>
      </c>
    </row>
    <row r="1718" spans="1:24" ht="27.95" x14ac:dyDescent="0.3">
      <c r="A1718" s="5">
        <v>1712</v>
      </c>
      <c r="B1718" s="5" t="str">
        <f>"202000011960"</f>
        <v>202000011960</v>
      </c>
      <c r="C1718" s="5" t="str">
        <f>"148868"</f>
        <v>148868</v>
      </c>
      <c r="D1718" s="5" t="s">
        <v>8252</v>
      </c>
      <c r="E1718" s="5">
        <v>20537630222</v>
      </c>
      <c r="F1718" s="5" t="s">
        <v>8253</v>
      </c>
      <c r="G1718" s="5" t="s">
        <v>8254</v>
      </c>
      <c r="H1718" s="5" t="s">
        <v>28</v>
      </c>
      <c r="I1718" s="5" t="s">
        <v>28</v>
      </c>
      <c r="J1718" s="5" t="s">
        <v>180</v>
      </c>
      <c r="K1718" s="5" t="s">
        <v>1497</v>
      </c>
      <c r="L1718" s="5"/>
      <c r="M1718" s="5"/>
      <c r="N1718" s="5"/>
      <c r="O1718" s="5"/>
      <c r="P1718" s="5"/>
      <c r="Q1718" s="5"/>
      <c r="R1718" s="5"/>
      <c r="S1718" s="5"/>
      <c r="T1718" s="5"/>
      <c r="U1718" s="5">
        <v>2640</v>
      </c>
      <c r="V1718" s="6">
        <v>43852</v>
      </c>
      <c r="W1718" s="5" t="s">
        <v>31</v>
      </c>
      <c r="X1718" s="5" t="s">
        <v>8255</v>
      </c>
    </row>
    <row r="1719" spans="1:24" x14ac:dyDescent="0.3">
      <c r="A1719" s="3">
        <v>1713</v>
      </c>
      <c r="B1719" s="3" t="str">
        <f>"201900094933"</f>
        <v>201900094933</v>
      </c>
      <c r="C1719" s="3" t="str">
        <f>"144674"</f>
        <v>144674</v>
      </c>
      <c r="D1719" s="3" t="s">
        <v>8256</v>
      </c>
      <c r="E1719" s="3">
        <v>20119407738</v>
      </c>
      <c r="F1719" s="3" t="s">
        <v>8257</v>
      </c>
      <c r="G1719" s="3" t="s">
        <v>8258</v>
      </c>
      <c r="H1719" s="3" t="s">
        <v>135</v>
      </c>
      <c r="I1719" s="3" t="s">
        <v>135</v>
      </c>
      <c r="J1719" s="3" t="s">
        <v>135</v>
      </c>
      <c r="K1719" s="3" t="s">
        <v>168</v>
      </c>
      <c r="L1719" s="3"/>
      <c r="M1719" s="3"/>
      <c r="N1719" s="3"/>
      <c r="O1719" s="3"/>
      <c r="P1719" s="3"/>
      <c r="Q1719" s="3"/>
      <c r="R1719" s="3"/>
      <c r="S1719" s="3"/>
      <c r="T1719" s="3"/>
      <c r="U1719" s="3">
        <v>10000</v>
      </c>
      <c r="V1719" s="4">
        <v>43630</v>
      </c>
      <c r="W1719" s="3" t="s">
        <v>31</v>
      </c>
      <c r="X1719" s="3" t="s">
        <v>4667</v>
      </c>
    </row>
    <row r="1720" spans="1:24" ht="27.95" x14ac:dyDescent="0.3">
      <c r="A1720" s="5">
        <v>1714</v>
      </c>
      <c r="B1720" s="5" t="str">
        <f>"201300129015"</f>
        <v>201300129015</v>
      </c>
      <c r="C1720" s="5" t="str">
        <f>"104503"</f>
        <v>104503</v>
      </c>
      <c r="D1720" s="5" t="s">
        <v>8259</v>
      </c>
      <c r="E1720" s="5">
        <v>20101216391</v>
      </c>
      <c r="F1720" s="5" t="s">
        <v>8260</v>
      </c>
      <c r="G1720" s="5" t="s">
        <v>8261</v>
      </c>
      <c r="H1720" s="5" t="s">
        <v>28</v>
      </c>
      <c r="I1720" s="5" t="s">
        <v>28</v>
      </c>
      <c r="J1720" s="5" t="s">
        <v>436</v>
      </c>
      <c r="K1720" s="5" t="s">
        <v>8262</v>
      </c>
      <c r="L1720" s="5"/>
      <c r="M1720" s="5"/>
      <c r="N1720" s="5"/>
      <c r="O1720" s="5"/>
      <c r="P1720" s="5"/>
      <c r="Q1720" s="5"/>
      <c r="R1720" s="5"/>
      <c r="S1720" s="5"/>
      <c r="T1720" s="5"/>
      <c r="U1720" s="5">
        <v>2915</v>
      </c>
      <c r="V1720" s="6">
        <v>41516</v>
      </c>
      <c r="W1720" s="5" t="s">
        <v>31</v>
      </c>
      <c r="X1720" s="5" t="s">
        <v>8263</v>
      </c>
    </row>
    <row r="1721" spans="1:24" x14ac:dyDescent="0.3">
      <c r="A1721" s="3">
        <v>1715</v>
      </c>
      <c r="B1721" s="3" t="str">
        <f>"201600076066"</f>
        <v>201600076066</v>
      </c>
      <c r="C1721" s="3" t="str">
        <f>"121616"</f>
        <v>121616</v>
      </c>
      <c r="D1721" s="3" t="s">
        <v>8264</v>
      </c>
      <c r="E1721" s="3">
        <v>20408453489</v>
      </c>
      <c r="F1721" s="3" t="s">
        <v>8265</v>
      </c>
      <c r="G1721" s="3" t="s">
        <v>8266</v>
      </c>
      <c r="H1721" s="3" t="s">
        <v>58</v>
      </c>
      <c r="I1721" s="3" t="s">
        <v>59</v>
      </c>
      <c r="J1721" s="3" t="s">
        <v>2573</v>
      </c>
      <c r="K1721" s="3" t="s">
        <v>8267</v>
      </c>
      <c r="L1721" s="3"/>
      <c r="M1721" s="3"/>
      <c r="N1721" s="3"/>
      <c r="O1721" s="3"/>
      <c r="P1721" s="3"/>
      <c r="Q1721" s="3"/>
      <c r="R1721" s="3"/>
      <c r="S1721" s="3"/>
      <c r="T1721" s="3"/>
      <c r="U1721" s="3">
        <v>2015</v>
      </c>
      <c r="V1721" s="4">
        <v>42586</v>
      </c>
      <c r="W1721" s="3" t="s">
        <v>31</v>
      </c>
      <c r="X1721" s="3" t="s">
        <v>8268</v>
      </c>
    </row>
    <row r="1722" spans="1:24" x14ac:dyDescent="0.3">
      <c r="A1722" s="5">
        <v>1716</v>
      </c>
      <c r="B1722" s="5" t="str">
        <f>"1355233"</f>
        <v>1355233</v>
      </c>
      <c r="C1722" s="5" t="str">
        <f>"21710"</f>
        <v>21710</v>
      </c>
      <c r="D1722" s="5" t="s">
        <v>8269</v>
      </c>
      <c r="E1722" s="5">
        <v>20132062448</v>
      </c>
      <c r="F1722" s="5" t="s">
        <v>5574</v>
      </c>
      <c r="G1722" s="5" t="s">
        <v>8270</v>
      </c>
      <c r="H1722" s="5" t="s">
        <v>115</v>
      </c>
      <c r="I1722" s="5" t="s">
        <v>115</v>
      </c>
      <c r="J1722" s="5" t="s">
        <v>159</v>
      </c>
      <c r="K1722" s="5" t="s">
        <v>2121</v>
      </c>
      <c r="L1722" s="5" t="s">
        <v>323</v>
      </c>
      <c r="M1722" s="5"/>
      <c r="N1722" s="5"/>
      <c r="O1722" s="5"/>
      <c r="P1722" s="5"/>
      <c r="Q1722" s="5"/>
      <c r="R1722" s="5"/>
      <c r="S1722" s="5"/>
      <c r="T1722" s="5"/>
      <c r="U1722" s="5">
        <v>12000</v>
      </c>
      <c r="V1722" s="6">
        <v>37327</v>
      </c>
      <c r="W1722" s="5" t="s">
        <v>31</v>
      </c>
      <c r="X1722" s="5" t="s">
        <v>5575</v>
      </c>
    </row>
    <row r="1723" spans="1:24" x14ac:dyDescent="0.3">
      <c r="A1723" s="3">
        <v>1717</v>
      </c>
      <c r="B1723" s="3" t="str">
        <f>"201600058540"</f>
        <v>201600058540</v>
      </c>
      <c r="C1723" s="3" t="str">
        <f>"953"</f>
        <v>953</v>
      </c>
      <c r="D1723" s="3" t="s">
        <v>8271</v>
      </c>
      <c r="E1723" s="3">
        <v>20452614767</v>
      </c>
      <c r="F1723" s="3" t="s">
        <v>8272</v>
      </c>
      <c r="G1723" s="3" t="s">
        <v>8273</v>
      </c>
      <c r="H1723" s="3" t="s">
        <v>135</v>
      </c>
      <c r="I1723" s="3" t="s">
        <v>402</v>
      </c>
      <c r="J1723" s="3" t="s">
        <v>8274</v>
      </c>
      <c r="K1723" s="3" t="s">
        <v>2180</v>
      </c>
      <c r="L1723" s="3"/>
      <c r="M1723" s="3"/>
      <c r="N1723" s="3"/>
      <c r="O1723" s="3"/>
      <c r="P1723" s="3"/>
      <c r="Q1723" s="3"/>
      <c r="R1723" s="3"/>
      <c r="S1723" s="3"/>
      <c r="T1723" s="3"/>
      <c r="U1723" s="3">
        <v>16000</v>
      </c>
      <c r="V1723" s="4">
        <v>42487</v>
      </c>
      <c r="W1723" s="3" t="s">
        <v>31</v>
      </c>
      <c r="X1723" s="3" t="s">
        <v>8275</v>
      </c>
    </row>
    <row r="1724" spans="1:24" ht="41.95" x14ac:dyDescent="0.3">
      <c r="A1724" s="5">
        <v>1718</v>
      </c>
      <c r="B1724" s="5" t="str">
        <f>"201500093557"</f>
        <v>201500093557</v>
      </c>
      <c r="C1724" s="5" t="str">
        <f>"116437"</f>
        <v>116437</v>
      </c>
      <c r="D1724" s="5" t="s">
        <v>8276</v>
      </c>
      <c r="E1724" s="5">
        <v>20145915164</v>
      </c>
      <c r="F1724" s="5" t="s">
        <v>5189</v>
      </c>
      <c r="G1724" s="5" t="s">
        <v>8277</v>
      </c>
      <c r="H1724" s="5" t="s">
        <v>36</v>
      </c>
      <c r="I1724" s="5" t="s">
        <v>234</v>
      </c>
      <c r="J1724" s="5" t="s">
        <v>235</v>
      </c>
      <c r="K1724" s="5" t="s">
        <v>8278</v>
      </c>
      <c r="L1724" s="5"/>
      <c r="M1724" s="5"/>
      <c r="N1724" s="5"/>
      <c r="O1724" s="5"/>
      <c r="P1724" s="5"/>
      <c r="Q1724" s="5"/>
      <c r="R1724" s="5"/>
      <c r="S1724" s="5"/>
      <c r="T1724" s="5"/>
      <c r="U1724" s="5">
        <v>2200</v>
      </c>
      <c r="V1724" s="6">
        <v>42219</v>
      </c>
      <c r="W1724" s="5" t="s">
        <v>31</v>
      </c>
      <c r="X1724" s="5" t="s">
        <v>8279</v>
      </c>
    </row>
    <row r="1725" spans="1:24" x14ac:dyDescent="0.3">
      <c r="A1725" s="3">
        <v>1719</v>
      </c>
      <c r="B1725" s="3" t="str">
        <f>"1558362"</f>
        <v>1558362</v>
      </c>
      <c r="C1725" s="3" t="str">
        <f>"20152"</f>
        <v>20152</v>
      </c>
      <c r="D1725" s="3" t="s">
        <v>8280</v>
      </c>
      <c r="E1725" s="3">
        <v>20103532621</v>
      </c>
      <c r="F1725" s="3" t="s">
        <v>8281</v>
      </c>
      <c r="G1725" s="3" t="s">
        <v>8282</v>
      </c>
      <c r="H1725" s="3" t="s">
        <v>264</v>
      </c>
      <c r="I1725" s="3" t="s">
        <v>265</v>
      </c>
      <c r="J1725" s="3" t="s">
        <v>265</v>
      </c>
      <c r="K1725" s="3" t="s">
        <v>8283</v>
      </c>
      <c r="L1725" s="3" t="s">
        <v>8284</v>
      </c>
      <c r="M1725" s="3"/>
      <c r="N1725" s="3"/>
      <c r="O1725" s="3"/>
      <c r="P1725" s="3"/>
      <c r="Q1725" s="3"/>
      <c r="R1725" s="3"/>
      <c r="S1725" s="3"/>
      <c r="T1725" s="3"/>
      <c r="U1725" s="3">
        <v>3113</v>
      </c>
      <c r="V1725" s="4">
        <v>38567</v>
      </c>
      <c r="W1725" s="3" t="s">
        <v>31</v>
      </c>
      <c r="X1725" s="3" t="s">
        <v>8285</v>
      </c>
    </row>
    <row r="1726" spans="1:24" ht="27.95" x14ac:dyDescent="0.3">
      <c r="A1726" s="5">
        <v>1720</v>
      </c>
      <c r="B1726" s="5" t="str">
        <f>"1475159"</f>
        <v>1475159</v>
      </c>
      <c r="C1726" s="5" t="str">
        <f>"91713"</f>
        <v>91713</v>
      </c>
      <c r="D1726" s="5" t="s">
        <v>8286</v>
      </c>
      <c r="E1726" s="5">
        <v>20102078781</v>
      </c>
      <c r="F1726" s="5" t="s">
        <v>6412</v>
      </c>
      <c r="G1726" s="5" t="s">
        <v>8287</v>
      </c>
      <c r="H1726" s="5" t="s">
        <v>28</v>
      </c>
      <c r="I1726" s="5" t="s">
        <v>28</v>
      </c>
      <c r="J1726" s="5" t="s">
        <v>180</v>
      </c>
      <c r="K1726" s="5" t="s">
        <v>8288</v>
      </c>
      <c r="L1726" s="5" t="s">
        <v>8289</v>
      </c>
      <c r="M1726" s="5" t="s">
        <v>8290</v>
      </c>
      <c r="N1726" s="5"/>
      <c r="O1726" s="5"/>
      <c r="P1726" s="5"/>
      <c r="Q1726" s="5"/>
      <c r="R1726" s="5"/>
      <c r="S1726" s="5"/>
      <c r="T1726" s="5"/>
      <c r="U1726" s="5">
        <v>17577</v>
      </c>
      <c r="V1726" s="6">
        <v>40639</v>
      </c>
      <c r="W1726" s="5" t="s">
        <v>31</v>
      </c>
      <c r="X1726" s="5" t="s">
        <v>8169</v>
      </c>
    </row>
    <row r="1727" spans="1:24" ht="27.95" x14ac:dyDescent="0.3">
      <c r="A1727" s="3">
        <v>1721</v>
      </c>
      <c r="B1727" s="3" t="str">
        <f>"201300031535"</f>
        <v>201300031535</v>
      </c>
      <c r="C1727" s="3" t="str">
        <f>"96810"</f>
        <v>96810</v>
      </c>
      <c r="D1727" s="3" t="s">
        <v>8291</v>
      </c>
      <c r="E1727" s="3">
        <v>20518492307</v>
      </c>
      <c r="F1727" s="3" t="s">
        <v>8292</v>
      </c>
      <c r="G1727" s="3" t="s">
        <v>8293</v>
      </c>
      <c r="H1727" s="3" t="s">
        <v>28</v>
      </c>
      <c r="I1727" s="3" t="s">
        <v>28</v>
      </c>
      <c r="J1727" s="3" t="s">
        <v>29</v>
      </c>
      <c r="K1727" s="3" t="s">
        <v>1168</v>
      </c>
      <c r="L1727" s="3"/>
      <c r="M1727" s="3"/>
      <c r="N1727" s="3"/>
      <c r="O1727" s="3"/>
      <c r="P1727" s="3"/>
      <c r="Q1727" s="3"/>
      <c r="R1727" s="3"/>
      <c r="S1727" s="3"/>
      <c r="T1727" s="3"/>
      <c r="U1727" s="3">
        <v>1500</v>
      </c>
      <c r="V1727" s="4">
        <v>41320</v>
      </c>
      <c r="W1727" s="3" t="s">
        <v>31</v>
      </c>
      <c r="X1727" s="3" t="s">
        <v>8294</v>
      </c>
    </row>
    <row r="1728" spans="1:24" x14ac:dyDescent="0.3">
      <c r="A1728" s="5">
        <v>1722</v>
      </c>
      <c r="B1728" s="5" t="str">
        <f>"1124274"</f>
        <v>1124274</v>
      </c>
      <c r="C1728" s="5" t="str">
        <f>"606"</f>
        <v>606</v>
      </c>
      <c r="D1728" s="5">
        <v>1002650</v>
      </c>
      <c r="E1728" s="5">
        <v>20107498088</v>
      </c>
      <c r="F1728" s="5" t="s">
        <v>8295</v>
      </c>
      <c r="G1728" s="5" t="s">
        <v>8296</v>
      </c>
      <c r="H1728" s="5" t="s">
        <v>135</v>
      </c>
      <c r="I1728" s="5" t="s">
        <v>402</v>
      </c>
      <c r="J1728" s="5" t="s">
        <v>5203</v>
      </c>
      <c r="K1728" s="5" t="s">
        <v>642</v>
      </c>
      <c r="L1728" s="5" t="s">
        <v>642</v>
      </c>
      <c r="M1728" s="5"/>
      <c r="N1728" s="5"/>
      <c r="O1728" s="5"/>
      <c r="P1728" s="5"/>
      <c r="Q1728" s="5"/>
      <c r="R1728" s="5"/>
      <c r="S1728" s="5"/>
      <c r="T1728" s="5"/>
      <c r="U1728" s="5">
        <v>15000</v>
      </c>
      <c r="V1728" s="6">
        <v>35618</v>
      </c>
      <c r="W1728" s="5" t="s">
        <v>31</v>
      </c>
      <c r="X1728" s="5" t="s">
        <v>8297</v>
      </c>
    </row>
    <row r="1729" spans="1:24" x14ac:dyDescent="0.3">
      <c r="A1729" s="3">
        <v>1723</v>
      </c>
      <c r="B1729" s="3" t="str">
        <f>"1263115"</f>
        <v>1263115</v>
      </c>
      <c r="C1729" s="3" t="str">
        <f>"18316"</f>
        <v>18316</v>
      </c>
      <c r="D1729" s="3">
        <v>1011217</v>
      </c>
      <c r="E1729" s="3">
        <v>20429008264</v>
      </c>
      <c r="F1729" s="3" t="s">
        <v>8298</v>
      </c>
      <c r="G1729" s="3" t="s">
        <v>8299</v>
      </c>
      <c r="H1729" s="3" t="s">
        <v>115</v>
      </c>
      <c r="I1729" s="3" t="s">
        <v>115</v>
      </c>
      <c r="J1729" s="3" t="s">
        <v>159</v>
      </c>
      <c r="K1729" s="3" t="s">
        <v>396</v>
      </c>
      <c r="L1729" s="3" t="s">
        <v>396</v>
      </c>
      <c r="M1729" s="3"/>
      <c r="N1729" s="3"/>
      <c r="O1729" s="3"/>
      <c r="P1729" s="3"/>
      <c r="Q1729" s="3"/>
      <c r="R1729" s="3"/>
      <c r="S1729" s="3"/>
      <c r="T1729" s="3"/>
      <c r="U1729" s="3">
        <v>12000</v>
      </c>
      <c r="V1729" s="4">
        <v>36508</v>
      </c>
      <c r="W1729" s="3" t="s">
        <v>31</v>
      </c>
      <c r="X1729" s="3" t="s">
        <v>8300</v>
      </c>
    </row>
    <row r="1730" spans="1:24" ht="41.95" x14ac:dyDescent="0.3">
      <c r="A1730" s="5">
        <v>1724</v>
      </c>
      <c r="B1730" s="5" t="str">
        <f>"201700030984"</f>
        <v>201700030984</v>
      </c>
      <c r="C1730" s="5" t="str">
        <f>"115017"</f>
        <v>115017</v>
      </c>
      <c r="D1730" s="5" t="s">
        <v>8301</v>
      </c>
      <c r="E1730" s="5">
        <v>20160809770</v>
      </c>
      <c r="F1730" s="5" t="s">
        <v>8302</v>
      </c>
      <c r="G1730" s="5" t="s">
        <v>8303</v>
      </c>
      <c r="H1730" s="5" t="s">
        <v>28</v>
      </c>
      <c r="I1730" s="5" t="s">
        <v>122</v>
      </c>
      <c r="J1730" s="5" t="s">
        <v>3998</v>
      </c>
      <c r="K1730" s="5" t="s">
        <v>110</v>
      </c>
      <c r="L1730" s="5"/>
      <c r="M1730" s="5"/>
      <c r="N1730" s="5"/>
      <c r="O1730" s="5"/>
      <c r="P1730" s="5"/>
      <c r="Q1730" s="5"/>
      <c r="R1730" s="5"/>
      <c r="S1730" s="5"/>
      <c r="T1730" s="5"/>
      <c r="U1730" s="5">
        <v>4000</v>
      </c>
      <c r="V1730" s="6">
        <v>42797</v>
      </c>
      <c r="W1730" s="5" t="s">
        <v>31</v>
      </c>
      <c r="X1730" s="5" t="s">
        <v>8304</v>
      </c>
    </row>
    <row r="1731" spans="1:24" x14ac:dyDescent="0.3">
      <c r="A1731" s="3">
        <v>1725</v>
      </c>
      <c r="B1731" s="3" t="str">
        <f>"201500059304"</f>
        <v>201500059304</v>
      </c>
      <c r="C1731" s="3" t="str">
        <f>"113847"</f>
        <v>113847</v>
      </c>
      <c r="D1731" s="3" t="s">
        <v>8305</v>
      </c>
      <c r="E1731" s="3">
        <v>20538563146</v>
      </c>
      <c r="F1731" s="3" t="s">
        <v>8306</v>
      </c>
      <c r="G1731" s="3" t="s">
        <v>8307</v>
      </c>
      <c r="H1731" s="3" t="s">
        <v>115</v>
      </c>
      <c r="I1731" s="3" t="s">
        <v>115</v>
      </c>
      <c r="J1731" s="3" t="s">
        <v>116</v>
      </c>
      <c r="K1731" s="3" t="s">
        <v>6271</v>
      </c>
      <c r="L1731" s="3"/>
      <c r="M1731" s="3"/>
      <c r="N1731" s="3"/>
      <c r="O1731" s="3"/>
      <c r="P1731" s="3"/>
      <c r="Q1731" s="3"/>
      <c r="R1731" s="3"/>
      <c r="S1731" s="3"/>
      <c r="T1731" s="3"/>
      <c r="U1731" s="3">
        <v>1600</v>
      </c>
      <c r="V1731" s="4">
        <v>42199</v>
      </c>
      <c r="W1731" s="3" t="s">
        <v>31</v>
      </c>
      <c r="X1731" s="3" t="s">
        <v>8308</v>
      </c>
    </row>
    <row r="1732" spans="1:24" ht="27.95" x14ac:dyDescent="0.3">
      <c r="A1732" s="5">
        <v>1726</v>
      </c>
      <c r="B1732" s="5" t="str">
        <f>"201900202652"</f>
        <v>201900202652</v>
      </c>
      <c r="C1732" s="5" t="str">
        <f>"148177"</f>
        <v>148177</v>
      </c>
      <c r="D1732" s="5" t="s">
        <v>8309</v>
      </c>
      <c r="E1732" s="5">
        <v>20506120315</v>
      </c>
      <c r="F1732" s="5" t="s">
        <v>7049</v>
      </c>
      <c r="G1732" s="5" t="s">
        <v>8310</v>
      </c>
      <c r="H1732" s="5" t="s">
        <v>28</v>
      </c>
      <c r="I1732" s="5" t="s">
        <v>122</v>
      </c>
      <c r="J1732" s="5" t="s">
        <v>123</v>
      </c>
      <c r="K1732" s="5" t="s">
        <v>8311</v>
      </c>
      <c r="L1732" s="5" t="s">
        <v>8312</v>
      </c>
      <c r="M1732" s="5" t="s">
        <v>8313</v>
      </c>
      <c r="N1732" s="5" t="s">
        <v>67</v>
      </c>
      <c r="O1732" s="5"/>
      <c r="P1732" s="5"/>
      <c r="Q1732" s="5"/>
      <c r="R1732" s="5"/>
      <c r="S1732" s="5"/>
      <c r="T1732" s="5"/>
      <c r="U1732" s="5">
        <v>42000</v>
      </c>
      <c r="V1732" s="6">
        <v>43811</v>
      </c>
      <c r="W1732" s="5" t="s">
        <v>31</v>
      </c>
      <c r="X1732" s="5" t="s">
        <v>7052</v>
      </c>
    </row>
    <row r="1733" spans="1:24" ht="27.95" x14ac:dyDescent="0.3">
      <c r="A1733" s="3">
        <v>1727</v>
      </c>
      <c r="B1733" s="3" t="str">
        <f>"201500169382"</f>
        <v>201500169382</v>
      </c>
      <c r="C1733" s="3" t="str">
        <f>"119068"</f>
        <v>119068</v>
      </c>
      <c r="D1733" s="3" t="s">
        <v>8314</v>
      </c>
      <c r="E1733" s="3">
        <v>20527353271</v>
      </c>
      <c r="F1733" s="3" t="s">
        <v>8315</v>
      </c>
      <c r="G1733" s="3" t="s">
        <v>8316</v>
      </c>
      <c r="H1733" s="3" t="s">
        <v>214</v>
      </c>
      <c r="I1733" s="3" t="s">
        <v>214</v>
      </c>
      <c r="J1733" s="3" t="s">
        <v>1502</v>
      </c>
      <c r="K1733" s="3" t="s">
        <v>110</v>
      </c>
      <c r="L1733" s="3"/>
      <c r="M1733" s="3"/>
      <c r="N1733" s="3"/>
      <c r="O1733" s="3"/>
      <c r="P1733" s="3"/>
      <c r="Q1733" s="3"/>
      <c r="R1733" s="3"/>
      <c r="S1733" s="3"/>
      <c r="T1733" s="3"/>
      <c r="U1733" s="3">
        <v>4000</v>
      </c>
      <c r="V1733" s="4">
        <v>42356</v>
      </c>
      <c r="W1733" s="3" t="s">
        <v>31</v>
      </c>
      <c r="X1733" s="3" t="s">
        <v>8317</v>
      </c>
    </row>
    <row r="1734" spans="1:24" ht="27.95" x14ac:dyDescent="0.3">
      <c r="A1734" s="5">
        <v>1728</v>
      </c>
      <c r="B1734" s="5" t="str">
        <f>"1345343"</f>
        <v>1345343</v>
      </c>
      <c r="C1734" s="5" t="str">
        <f>"21631"</f>
        <v>21631</v>
      </c>
      <c r="D1734" s="5" t="s">
        <v>8318</v>
      </c>
      <c r="E1734" s="5">
        <v>20100190797</v>
      </c>
      <c r="F1734" s="5" t="s">
        <v>8319</v>
      </c>
      <c r="G1734" s="5" t="s">
        <v>8320</v>
      </c>
      <c r="H1734" s="5" t="s">
        <v>978</v>
      </c>
      <c r="I1734" s="5" t="s">
        <v>978</v>
      </c>
      <c r="J1734" s="5" t="s">
        <v>2796</v>
      </c>
      <c r="K1734" s="5" t="s">
        <v>46</v>
      </c>
      <c r="L1734" s="5"/>
      <c r="M1734" s="5"/>
      <c r="N1734" s="5"/>
      <c r="O1734" s="5"/>
      <c r="P1734" s="5"/>
      <c r="Q1734" s="5"/>
      <c r="R1734" s="5"/>
      <c r="S1734" s="5"/>
      <c r="T1734" s="5"/>
      <c r="U1734" s="5">
        <v>3000</v>
      </c>
      <c r="V1734" s="6">
        <v>37224</v>
      </c>
      <c r="W1734" s="5" t="s">
        <v>31</v>
      </c>
      <c r="X1734" s="5" t="s">
        <v>3812</v>
      </c>
    </row>
    <row r="1735" spans="1:24" ht="27.95" x14ac:dyDescent="0.3">
      <c r="A1735" s="3">
        <v>1729</v>
      </c>
      <c r="B1735" s="3" t="str">
        <f>"201400038252"</f>
        <v>201400038252</v>
      </c>
      <c r="C1735" s="3" t="str">
        <f>"108648"</f>
        <v>108648</v>
      </c>
      <c r="D1735" s="3" t="s">
        <v>8321</v>
      </c>
      <c r="E1735" s="3">
        <v>20509586986</v>
      </c>
      <c r="F1735" s="3" t="s">
        <v>8322</v>
      </c>
      <c r="G1735" s="3" t="s">
        <v>8323</v>
      </c>
      <c r="H1735" s="3" t="s">
        <v>978</v>
      </c>
      <c r="I1735" s="3" t="s">
        <v>8324</v>
      </c>
      <c r="J1735" s="3" t="s">
        <v>8324</v>
      </c>
      <c r="K1735" s="3" t="s">
        <v>8325</v>
      </c>
      <c r="L1735" s="3" t="s">
        <v>8326</v>
      </c>
      <c r="M1735" s="3"/>
      <c r="N1735" s="3"/>
      <c r="O1735" s="3"/>
      <c r="P1735" s="3"/>
      <c r="Q1735" s="3"/>
      <c r="R1735" s="3"/>
      <c r="S1735" s="3"/>
      <c r="T1735" s="3"/>
      <c r="U1735" s="3">
        <v>16000</v>
      </c>
      <c r="V1735" s="4">
        <v>41743</v>
      </c>
      <c r="W1735" s="3" t="s">
        <v>31</v>
      </c>
      <c r="X1735" s="3" t="s">
        <v>8327</v>
      </c>
    </row>
    <row r="1736" spans="1:24" x14ac:dyDescent="0.3">
      <c r="A1736" s="5">
        <v>1730</v>
      </c>
      <c r="B1736" s="5" t="str">
        <f>"1897203"</f>
        <v>1897203</v>
      </c>
      <c r="C1736" s="5" t="str">
        <f>"16480"</f>
        <v>16480</v>
      </c>
      <c r="D1736" s="5" t="s">
        <v>8328</v>
      </c>
      <c r="E1736" s="5">
        <v>20195923753</v>
      </c>
      <c r="F1736" s="5" t="s">
        <v>8329</v>
      </c>
      <c r="G1736" s="5" t="s">
        <v>8330</v>
      </c>
      <c r="H1736" s="5" t="s">
        <v>334</v>
      </c>
      <c r="I1736" s="5" t="s">
        <v>335</v>
      </c>
      <c r="J1736" s="5" t="s">
        <v>336</v>
      </c>
      <c r="K1736" s="5" t="s">
        <v>8331</v>
      </c>
      <c r="L1736" s="5" t="s">
        <v>8332</v>
      </c>
      <c r="M1736" s="5" t="s">
        <v>8333</v>
      </c>
      <c r="N1736" s="5"/>
      <c r="O1736" s="5"/>
      <c r="P1736" s="5"/>
      <c r="Q1736" s="5"/>
      <c r="R1736" s="5"/>
      <c r="S1736" s="5"/>
      <c r="T1736" s="5"/>
      <c r="U1736" s="5">
        <v>28560</v>
      </c>
      <c r="V1736" s="6">
        <v>39976</v>
      </c>
      <c r="W1736" s="5" t="s">
        <v>31</v>
      </c>
      <c r="X1736" s="5" t="s">
        <v>5073</v>
      </c>
    </row>
    <row r="1737" spans="1:24" x14ac:dyDescent="0.3">
      <c r="A1737" s="3">
        <v>1731</v>
      </c>
      <c r="B1737" s="3" t="str">
        <f>"1496390"</f>
        <v>1496390</v>
      </c>
      <c r="C1737" s="3" t="str">
        <f>"61938"</f>
        <v>61938</v>
      </c>
      <c r="D1737" s="3" t="s">
        <v>8334</v>
      </c>
      <c r="E1737" s="3">
        <v>20341717699</v>
      </c>
      <c r="F1737" s="3" t="s">
        <v>2495</v>
      </c>
      <c r="G1737" s="3" t="s">
        <v>8335</v>
      </c>
      <c r="H1737" s="3" t="s">
        <v>28</v>
      </c>
      <c r="I1737" s="3" t="s">
        <v>28</v>
      </c>
      <c r="J1737" s="3" t="s">
        <v>109</v>
      </c>
      <c r="K1737" s="3" t="s">
        <v>1058</v>
      </c>
      <c r="L1737" s="3" t="s">
        <v>3021</v>
      </c>
      <c r="M1737" s="3"/>
      <c r="N1737" s="3"/>
      <c r="O1737" s="3"/>
      <c r="P1737" s="3"/>
      <c r="Q1737" s="3"/>
      <c r="R1737" s="3"/>
      <c r="S1737" s="3"/>
      <c r="T1737" s="3"/>
      <c r="U1737" s="3">
        <v>13000</v>
      </c>
      <c r="V1737" s="4">
        <v>40786</v>
      </c>
      <c r="W1737" s="3" t="s">
        <v>31</v>
      </c>
      <c r="X1737" s="3" t="s">
        <v>8336</v>
      </c>
    </row>
    <row r="1738" spans="1:24" ht="27.95" x14ac:dyDescent="0.3">
      <c r="A1738" s="5">
        <v>1732</v>
      </c>
      <c r="B1738" s="5" t="str">
        <f>"1558359"</f>
        <v>1558359</v>
      </c>
      <c r="C1738" s="5" t="str">
        <f>"41594"</f>
        <v>41594</v>
      </c>
      <c r="D1738" s="5" t="s">
        <v>8337</v>
      </c>
      <c r="E1738" s="5">
        <v>20353728815</v>
      </c>
      <c r="F1738" s="5" t="s">
        <v>8338</v>
      </c>
      <c r="G1738" s="5" t="s">
        <v>8339</v>
      </c>
      <c r="H1738" s="5" t="s">
        <v>264</v>
      </c>
      <c r="I1738" s="5" t="s">
        <v>265</v>
      </c>
      <c r="J1738" s="5" t="s">
        <v>265</v>
      </c>
      <c r="K1738" s="5" t="s">
        <v>1260</v>
      </c>
      <c r="L1738" s="5"/>
      <c r="M1738" s="5"/>
      <c r="N1738" s="5"/>
      <c r="O1738" s="5"/>
      <c r="P1738" s="5"/>
      <c r="Q1738" s="5"/>
      <c r="R1738" s="5"/>
      <c r="S1738" s="5"/>
      <c r="T1738" s="5"/>
      <c r="U1738" s="5">
        <v>1500</v>
      </c>
      <c r="V1738" s="6">
        <v>38590</v>
      </c>
      <c r="W1738" s="5" t="s">
        <v>31</v>
      </c>
      <c r="X1738" s="5" t="s">
        <v>8340</v>
      </c>
    </row>
    <row r="1739" spans="1:24" x14ac:dyDescent="0.3">
      <c r="A1739" s="3">
        <v>1733</v>
      </c>
      <c r="B1739" s="3" t="str">
        <f>"1548233"</f>
        <v>1548233</v>
      </c>
      <c r="C1739" s="3" t="str">
        <f>"41482"</f>
        <v>41482</v>
      </c>
      <c r="D1739" s="3" t="s">
        <v>8341</v>
      </c>
      <c r="E1739" s="3">
        <v>20134301105</v>
      </c>
      <c r="F1739" s="3" t="s">
        <v>8342</v>
      </c>
      <c r="G1739" s="3" t="s">
        <v>8343</v>
      </c>
      <c r="H1739" s="3" t="s">
        <v>115</v>
      </c>
      <c r="I1739" s="3" t="s">
        <v>115</v>
      </c>
      <c r="J1739" s="3" t="s">
        <v>159</v>
      </c>
      <c r="K1739" s="3" t="s">
        <v>8344</v>
      </c>
      <c r="L1739" s="3"/>
      <c r="M1739" s="3"/>
      <c r="N1739" s="3"/>
      <c r="O1739" s="3"/>
      <c r="P1739" s="3"/>
      <c r="Q1739" s="3"/>
      <c r="R1739" s="3"/>
      <c r="S1739" s="3"/>
      <c r="T1739" s="3"/>
      <c r="U1739" s="3">
        <v>2300</v>
      </c>
      <c r="V1739" s="4">
        <v>38567</v>
      </c>
      <c r="W1739" s="3" t="s">
        <v>31</v>
      </c>
      <c r="X1739" s="3" t="s">
        <v>8345</v>
      </c>
    </row>
    <row r="1740" spans="1:24" x14ac:dyDescent="0.3">
      <c r="A1740" s="5">
        <v>1734</v>
      </c>
      <c r="B1740" s="5" t="str">
        <f>"1934592"</f>
        <v>1934592</v>
      </c>
      <c r="C1740" s="5" t="str">
        <f>"1034"</f>
        <v>1034</v>
      </c>
      <c r="D1740" s="5" t="s">
        <v>8346</v>
      </c>
      <c r="E1740" s="5">
        <v>20278966004</v>
      </c>
      <c r="F1740" s="5" t="s">
        <v>468</v>
      </c>
      <c r="G1740" s="5" t="s">
        <v>8347</v>
      </c>
      <c r="H1740" s="5" t="s">
        <v>135</v>
      </c>
      <c r="I1740" s="5" t="s">
        <v>402</v>
      </c>
      <c r="J1740" s="5" t="s">
        <v>862</v>
      </c>
      <c r="K1740" s="5" t="s">
        <v>8348</v>
      </c>
      <c r="L1740" s="5" t="s">
        <v>8349</v>
      </c>
      <c r="M1740" s="5" t="s">
        <v>8350</v>
      </c>
      <c r="N1740" s="5" t="s">
        <v>8351</v>
      </c>
      <c r="O1740" s="5"/>
      <c r="P1740" s="5"/>
      <c r="Q1740" s="5"/>
      <c r="R1740" s="5"/>
      <c r="S1740" s="5"/>
      <c r="T1740" s="5"/>
      <c r="U1740" s="5">
        <v>87186</v>
      </c>
      <c r="V1740" s="6">
        <v>40101</v>
      </c>
      <c r="W1740" s="5" t="s">
        <v>31</v>
      </c>
      <c r="X1740" s="5" t="s">
        <v>5188</v>
      </c>
    </row>
    <row r="1741" spans="1:24" x14ac:dyDescent="0.3">
      <c r="A1741" s="3">
        <v>1735</v>
      </c>
      <c r="B1741" s="3" t="str">
        <f>"201600140195"</f>
        <v>201600140195</v>
      </c>
      <c r="C1741" s="3" t="str">
        <f>"20852"</f>
        <v>20852</v>
      </c>
      <c r="D1741" s="3" t="s">
        <v>8352</v>
      </c>
      <c r="E1741" s="3">
        <v>20174513245</v>
      </c>
      <c r="F1741" s="3" t="s">
        <v>8353</v>
      </c>
      <c r="G1741" s="3" t="s">
        <v>8354</v>
      </c>
      <c r="H1741" s="3" t="s">
        <v>264</v>
      </c>
      <c r="I1741" s="3" t="s">
        <v>265</v>
      </c>
      <c r="J1741" s="3" t="s">
        <v>265</v>
      </c>
      <c r="K1741" s="3" t="s">
        <v>8355</v>
      </c>
      <c r="L1741" s="3"/>
      <c r="M1741" s="3"/>
      <c r="N1741" s="3"/>
      <c r="O1741" s="3"/>
      <c r="P1741" s="3"/>
      <c r="Q1741" s="3"/>
      <c r="R1741" s="3"/>
      <c r="S1741" s="3"/>
      <c r="T1741" s="3"/>
      <c r="U1741" s="3">
        <v>3033</v>
      </c>
      <c r="V1741" s="4">
        <v>42654</v>
      </c>
      <c r="W1741" s="3" t="s">
        <v>31</v>
      </c>
      <c r="X1741" s="3" t="s">
        <v>8356</v>
      </c>
    </row>
    <row r="1742" spans="1:24" x14ac:dyDescent="0.3">
      <c r="A1742" s="5">
        <v>1736</v>
      </c>
      <c r="B1742" s="5" t="str">
        <f>"1361987"</f>
        <v>1361987</v>
      </c>
      <c r="C1742" s="5" t="str">
        <f>"2836"</f>
        <v>2836</v>
      </c>
      <c r="D1742" s="5" t="s">
        <v>8357</v>
      </c>
      <c r="E1742" s="5">
        <v>20295458551</v>
      </c>
      <c r="F1742" s="5" t="s">
        <v>8358</v>
      </c>
      <c r="G1742" s="5" t="s">
        <v>8359</v>
      </c>
      <c r="H1742" s="5" t="s">
        <v>115</v>
      </c>
      <c r="I1742" s="5" t="s">
        <v>115</v>
      </c>
      <c r="J1742" s="5" t="s">
        <v>159</v>
      </c>
      <c r="K1742" s="5" t="s">
        <v>323</v>
      </c>
      <c r="L1742" s="5" t="s">
        <v>3740</v>
      </c>
      <c r="M1742" s="5"/>
      <c r="N1742" s="5"/>
      <c r="O1742" s="5"/>
      <c r="P1742" s="5"/>
      <c r="Q1742" s="5"/>
      <c r="R1742" s="5"/>
      <c r="S1742" s="5"/>
      <c r="T1742" s="5"/>
      <c r="U1742" s="5">
        <v>10000</v>
      </c>
      <c r="V1742" s="6">
        <v>37384</v>
      </c>
      <c r="W1742" s="5" t="s">
        <v>31</v>
      </c>
      <c r="X1742" s="5" t="s">
        <v>8360</v>
      </c>
    </row>
    <row r="1743" spans="1:24" ht="27.95" x14ac:dyDescent="0.3">
      <c r="A1743" s="3">
        <v>1737</v>
      </c>
      <c r="B1743" s="3" t="str">
        <f>"201900024909"</f>
        <v>201900024909</v>
      </c>
      <c r="C1743" s="3" t="str">
        <f>"139902"</f>
        <v>139902</v>
      </c>
      <c r="D1743" s="3" t="s">
        <v>8361</v>
      </c>
      <c r="E1743" s="3">
        <v>20604161739</v>
      </c>
      <c r="F1743" s="3" t="s">
        <v>8362</v>
      </c>
      <c r="G1743" s="3" t="s">
        <v>8363</v>
      </c>
      <c r="H1743" s="3" t="s">
        <v>36</v>
      </c>
      <c r="I1743" s="3" t="s">
        <v>234</v>
      </c>
      <c r="J1743" s="3" t="s">
        <v>235</v>
      </c>
      <c r="K1743" s="3" t="s">
        <v>8364</v>
      </c>
      <c r="L1743" s="3"/>
      <c r="M1743" s="3"/>
      <c r="N1743" s="3"/>
      <c r="O1743" s="3"/>
      <c r="P1743" s="3"/>
      <c r="Q1743" s="3"/>
      <c r="R1743" s="3"/>
      <c r="S1743" s="3"/>
      <c r="T1743" s="3"/>
      <c r="U1743" s="3">
        <v>4315</v>
      </c>
      <c r="V1743" s="4">
        <v>43517</v>
      </c>
      <c r="W1743" s="3" t="s">
        <v>31</v>
      </c>
      <c r="X1743" s="3" t="s">
        <v>8365</v>
      </c>
    </row>
    <row r="1744" spans="1:24" ht="27.95" x14ac:dyDescent="0.3">
      <c r="A1744" s="5">
        <v>1738</v>
      </c>
      <c r="B1744" s="5" t="str">
        <f>"1265236"</f>
        <v>1265236</v>
      </c>
      <c r="C1744" s="5" t="str">
        <f>"18227"</f>
        <v>18227</v>
      </c>
      <c r="D1744" s="5">
        <v>1265236</v>
      </c>
      <c r="E1744" s="5">
        <v>20143393373</v>
      </c>
      <c r="F1744" s="5" t="s">
        <v>8366</v>
      </c>
      <c r="G1744" s="5" t="s">
        <v>8367</v>
      </c>
      <c r="H1744" s="5" t="s">
        <v>28</v>
      </c>
      <c r="I1744" s="5" t="s">
        <v>28</v>
      </c>
      <c r="J1744" s="5" t="s">
        <v>328</v>
      </c>
      <c r="K1744" s="5" t="s">
        <v>323</v>
      </c>
      <c r="L1744" s="5"/>
      <c r="M1744" s="5"/>
      <c r="N1744" s="5"/>
      <c r="O1744" s="5"/>
      <c r="P1744" s="5"/>
      <c r="Q1744" s="5"/>
      <c r="R1744" s="5"/>
      <c r="S1744" s="5"/>
      <c r="T1744" s="5"/>
      <c r="U1744" s="5">
        <v>4000</v>
      </c>
      <c r="V1744" s="6">
        <v>36530</v>
      </c>
      <c r="W1744" s="5" t="s">
        <v>31</v>
      </c>
      <c r="X1744" s="5" t="s">
        <v>8368</v>
      </c>
    </row>
    <row r="1745" spans="1:24" ht="41.95" x14ac:dyDescent="0.3">
      <c r="A1745" s="3">
        <v>1739</v>
      </c>
      <c r="B1745" s="3" t="str">
        <f>"1476256"</f>
        <v>1476256</v>
      </c>
      <c r="C1745" s="3" t="str">
        <f>"91646"</f>
        <v>91646</v>
      </c>
      <c r="D1745" s="3" t="s">
        <v>8369</v>
      </c>
      <c r="E1745" s="3">
        <v>20136831314</v>
      </c>
      <c r="F1745" s="3" t="s">
        <v>8370</v>
      </c>
      <c r="G1745" s="3" t="s">
        <v>8371</v>
      </c>
      <c r="H1745" s="3" t="s">
        <v>115</v>
      </c>
      <c r="I1745" s="3" t="s">
        <v>115</v>
      </c>
      <c r="J1745" s="3" t="s">
        <v>116</v>
      </c>
      <c r="K1745" s="3" t="s">
        <v>181</v>
      </c>
      <c r="L1745" s="3"/>
      <c r="M1745" s="3"/>
      <c r="N1745" s="3"/>
      <c r="O1745" s="3"/>
      <c r="P1745" s="3"/>
      <c r="Q1745" s="3"/>
      <c r="R1745" s="3"/>
      <c r="S1745" s="3"/>
      <c r="T1745" s="3"/>
      <c r="U1745" s="3">
        <v>5000</v>
      </c>
      <c r="V1745" s="4">
        <v>40633</v>
      </c>
      <c r="W1745" s="3" t="s">
        <v>31</v>
      </c>
      <c r="X1745" s="3" t="s">
        <v>8372</v>
      </c>
    </row>
    <row r="1746" spans="1:24" x14ac:dyDescent="0.3">
      <c r="A1746" s="5">
        <v>1740</v>
      </c>
      <c r="B1746" s="5" t="str">
        <f>"1707183"</f>
        <v>1707183</v>
      </c>
      <c r="C1746" s="5" t="str">
        <f>"20156"</f>
        <v>20156</v>
      </c>
      <c r="D1746" s="5" t="s">
        <v>8373</v>
      </c>
      <c r="E1746" s="5">
        <v>20148095541</v>
      </c>
      <c r="F1746" s="5" t="s">
        <v>8374</v>
      </c>
      <c r="G1746" s="5" t="s">
        <v>8375</v>
      </c>
      <c r="H1746" s="5" t="s">
        <v>28</v>
      </c>
      <c r="I1746" s="5" t="s">
        <v>28</v>
      </c>
      <c r="J1746" s="5" t="s">
        <v>409</v>
      </c>
      <c r="K1746" s="5" t="s">
        <v>6386</v>
      </c>
      <c r="L1746" s="5" t="s">
        <v>8376</v>
      </c>
      <c r="M1746" s="5"/>
      <c r="N1746" s="5"/>
      <c r="O1746" s="5"/>
      <c r="P1746" s="5"/>
      <c r="Q1746" s="5"/>
      <c r="R1746" s="5"/>
      <c r="S1746" s="5"/>
      <c r="T1746" s="5"/>
      <c r="U1746" s="5">
        <v>16100</v>
      </c>
      <c r="V1746" s="6">
        <v>39287</v>
      </c>
      <c r="W1746" s="5" t="s">
        <v>31</v>
      </c>
      <c r="X1746" s="5" t="s">
        <v>8377</v>
      </c>
    </row>
    <row r="1747" spans="1:24" ht="41.95" x14ac:dyDescent="0.3">
      <c r="A1747" s="3">
        <v>1741</v>
      </c>
      <c r="B1747" s="3" t="str">
        <f>"201500064911"</f>
        <v>201500064911</v>
      </c>
      <c r="C1747" s="3" t="str">
        <f>"84378"</f>
        <v>84378</v>
      </c>
      <c r="D1747" s="3" t="s">
        <v>8378</v>
      </c>
      <c r="E1747" s="3">
        <v>20212971601</v>
      </c>
      <c r="F1747" s="3" t="s">
        <v>8379</v>
      </c>
      <c r="G1747" s="3" t="s">
        <v>8380</v>
      </c>
      <c r="H1747" s="3" t="s">
        <v>28</v>
      </c>
      <c r="I1747" s="3" t="s">
        <v>28</v>
      </c>
      <c r="J1747" s="3" t="s">
        <v>208</v>
      </c>
      <c r="K1747" s="3" t="s">
        <v>5120</v>
      </c>
      <c r="L1747" s="3"/>
      <c r="M1747" s="3"/>
      <c r="N1747" s="3"/>
      <c r="O1747" s="3"/>
      <c r="P1747" s="3"/>
      <c r="Q1747" s="3"/>
      <c r="R1747" s="3"/>
      <c r="S1747" s="3"/>
      <c r="T1747" s="3"/>
      <c r="U1747" s="3">
        <v>5300</v>
      </c>
      <c r="V1747" s="4">
        <v>42151</v>
      </c>
      <c r="W1747" s="3" t="s">
        <v>31</v>
      </c>
      <c r="X1747" s="3" t="s">
        <v>8381</v>
      </c>
    </row>
    <row r="1748" spans="1:24" ht="27.95" x14ac:dyDescent="0.3">
      <c r="A1748" s="5">
        <v>1742</v>
      </c>
      <c r="B1748" s="5" t="str">
        <f>"1934586"</f>
        <v>1934586</v>
      </c>
      <c r="C1748" s="5" t="str">
        <f>"82373"</f>
        <v>82373</v>
      </c>
      <c r="D1748" s="5" t="s">
        <v>8382</v>
      </c>
      <c r="E1748" s="5">
        <v>20100154308</v>
      </c>
      <c r="F1748" s="5" t="s">
        <v>4033</v>
      </c>
      <c r="G1748" s="5" t="s">
        <v>8383</v>
      </c>
      <c r="H1748" s="5" t="s">
        <v>135</v>
      </c>
      <c r="I1748" s="5" t="s">
        <v>402</v>
      </c>
      <c r="J1748" s="5" t="s">
        <v>403</v>
      </c>
      <c r="K1748" s="5" t="s">
        <v>460</v>
      </c>
      <c r="L1748" s="5" t="s">
        <v>8384</v>
      </c>
      <c r="M1748" s="5"/>
      <c r="N1748" s="5"/>
      <c r="O1748" s="5"/>
      <c r="P1748" s="5"/>
      <c r="Q1748" s="5"/>
      <c r="R1748" s="5"/>
      <c r="S1748" s="5"/>
      <c r="T1748" s="5"/>
      <c r="U1748" s="5">
        <v>10200</v>
      </c>
      <c r="V1748" s="6">
        <v>40114</v>
      </c>
      <c r="W1748" s="5" t="s">
        <v>31</v>
      </c>
      <c r="X1748" s="5" t="s">
        <v>8385</v>
      </c>
    </row>
    <row r="1749" spans="1:24" ht="27.95" x14ac:dyDescent="0.3">
      <c r="A1749" s="3">
        <v>1743</v>
      </c>
      <c r="B1749" s="3" t="str">
        <f>"201900075494"</f>
        <v>201900075494</v>
      </c>
      <c r="C1749" s="3" t="str">
        <f>"143070"</f>
        <v>143070</v>
      </c>
      <c r="D1749" s="3" t="s">
        <v>8386</v>
      </c>
      <c r="E1749" s="3">
        <v>20508651695</v>
      </c>
      <c r="F1749" s="3" t="s">
        <v>8387</v>
      </c>
      <c r="G1749" s="3" t="s">
        <v>8388</v>
      </c>
      <c r="H1749" s="3" t="s">
        <v>285</v>
      </c>
      <c r="I1749" s="3" t="s">
        <v>286</v>
      </c>
      <c r="J1749" s="3" t="s">
        <v>6746</v>
      </c>
      <c r="K1749" s="3" t="s">
        <v>130</v>
      </c>
      <c r="L1749" s="3" t="s">
        <v>8389</v>
      </c>
      <c r="M1749" s="3"/>
      <c r="N1749" s="3"/>
      <c r="O1749" s="3"/>
      <c r="P1749" s="3"/>
      <c r="Q1749" s="3"/>
      <c r="R1749" s="3"/>
      <c r="S1749" s="3"/>
      <c r="T1749" s="3"/>
      <c r="U1749" s="3">
        <v>4139</v>
      </c>
      <c r="V1749" s="4">
        <v>43606</v>
      </c>
      <c r="W1749" s="3" t="s">
        <v>31</v>
      </c>
      <c r="X1749" s="3" t="s">
        <v>8390</v>
      </c>
    </row>
    <row r="1750" spans="1:24" x14ac:dyDescent="0.3">
      <c r="A1750" s="5">
        <v>1744</v>
      </c>
      <c r="B1750" s="5" t="str">
        <f>"1111172"</f>
        <v>1111172</v>
      </c>
      <c r="C1750" s="5" t="str">
        <f>"262"</f>
        <v>262</v>
      </c>
      <c r="D1750" s="5">
        <v>972721</v>
      </c>
      <c r="E1750" s="5">
        <v>20268467492</v>
      </c>
      <c r="F1750" s="5" t="s">
        <v>8391</v>
      </c>
      <c r="G1750" s="5" t="s">
        <v>8392</v>
      </c>
      <c r="H1750" s="5" t="s">
        <v>285</v>
      </c>
      <c r="I1750" s="5" t="s">
        <v>3700</v>
      </c>
      <c r="J1750" s="5" t="s">
        <v>8137</v>
      </c>
      <c r="K1750" s="5" t="s">
        <v>8393</v>
      </c>
      <c r="L1750" s="5" t="s">
        <v>8394</v>
      </c>
      <c r="M1750" s="5"/>
      <c r="N1750" s="5"/>
      <c r="O1750" s="5"/>
      <c r="P1750" s="5"/>
      <c r="Q1750" s="5"/>
      <c r="R1750" s="5"/>
      <c r="S1750" s="5"/>
      <c r="T1750" s="5"/>
      <c r="U1750" s="5">
        <v>149835</v>
      </c>
      <c r="V1750" s="6">
        <v>35495</v>
      </c>
      <c r="W1750" s="5" t="s">
        <v>31</v>
      </c>
      <c r="X1750" s="5" t="s">
        <v>8395</v>
      </c>
    </row>
    <row r="1751" spans="1:24" ht="27.95" x14ac:dyDescent="0.3">
      <c r="A1751" s="3">
        <v>1745</v>
      </c>
      <c r="B1751" s="3" t="str">
        <f>"1395316"</f>
        <v>1395316</v>
      </c>
      <c r="C1751" s="3" t="str">
        <f>"33647"</f>
        <v>33647</v>
      </c>
      <c r="D1751" s="3" t="s">
        <v>8396</v>
      </c>
      <c r="E1751" s="3">
        <v>20131247011</v>
      </c>
      <c r="F1751" s="3" t="s">
        <v>8397</v>
      </c>
      <c r="G1751" s="3" t="s">
        <v>8398</v>
      </c>
      <c r="H1751" s="3" t="s">
        <v>373</v>
      </c>
      <c r="I1751" s="3" t="s">
        <v>373</v>
      </c>
      <c r="J1751" s="3" t="s">
        <v>2763</v>
      </c>
      <c r="K1751" s="3" t="s">
        <v>421</v>
      </c>
      <c r="L1751" s="3"/>
      <c r="M1751" s="3"/>
      <c r="N1751" s="3"/>
      <c r="O1751" s="3"/>
      <c r="P1751" s="3"/>
      <c r="Q1751" s="3"/>
      <c r="R1751" s="3"/>
      <c r="S1751" s="3"/>
      <c r="T1751" s="3"/>
      <c r="U1751" s="3">
        <v>5000</v>
      </c>
      <c r="V1751" s="4">
        <v>37644</v>
      </c>
      <c r="W1751" s="3" t="s">
        <v>31</v>
      </c>
      <c r="X1751" s="3" t="s">
        <v>8399</v>
      </c>
    </row>
    <row r="1752" spans="1:24" x14ac:dyDescent="0.3">
      <c r="A1752" s="5">
        <v>1746</v>
      </c>
      <c r="B1752" s="5" t="str">
        <f>"201500123713"</f>
        <v>201500123713</v>
      </c>
      <c r="C1752" s="5" t="str">
        <f>"88282"</f>
        <v>88282</v>
      </c>
      <c r="D1752" s="5" t="s">
        <v>8400</v>
      </c>
      <c r="E1752" s="5">
        <v>20144364059</v>
      </c>
      <c r="F1752" s="5" t="s">
        <v>8401</v>
      </c>
      <c r="G1752" s="5" t="s">
        <v>8402</v>
      </c>
      <c r="H1752" s="5" t="s">
        <v>58</v>
      </c>
      <c r="I1752" s="5" t="s">
        <v>59</v>
      </c>
      <c r="J1752" s="5" t="s">
        <v>60</v>
      </c>
      <c r="K1752" s="5" t="s">
        <v>8403</v>
      </c>
      <c r="L1752" s="5"/>
      <c r="M1752" s="5"/>
      <c r="N1752" s="5"/>
      <c r="O1752" s="5"/>
      <c r="P1752" s="5"/>
      <c r="Q1752" s="5"/>
      <c r="R1752" s="5"/>
      <c r="S1752" s="5"/>
      <c r="T1752" s="5"/>
      <c r="U1752" s="5">
        <v>22000</v>
      </c>
      <c r="V1752" s="6">
        <v>43620</v>
      </c>
      <c r="W1752" s="5" t="s">
        <v>31</v>
      </c>
      <c r="X1752" s="5" t="s">
        <v>8404</v>
      </c>
    </row>
    <row r="1753" spans="1:24" ht="27.95" x14ac:dyDescent="0.3">
      <c r="A1753" s="3">
        <v>1747</v>
      </c>
      <c r="B1753" s="3" t="str">
        <f>"201400062164"</f>
        <v>201400062164</v>
      </c>
      <c r="C1753" s="3" t="str">
        <f>"87763"</f>
        <v>87763</v>
      </c>
      <c r="D1753" s="3" t="s">
        <v>8405</v>
      </c>
      <c r="E1753" s="3">
        <v>20547416776</v>
      </c>
      <c r="F1753" s="3" t="s">
        <v>8406</v>
      </c>
      <c r="G1753" s="3" t="s">
        <v>8407</v>
      </c>
      <c r="H1753" s="3" t="s">
        <v>28</v>
      </c>
      <c r="I1753" s="3" t="s">
        <v>28</v>
      </c>
      <c r="J1753" s="3" t="s">
        <v>28</v>
      </c>
      <c r="K1753" s="3" t="s">
        <v>397</v>
      </c>
      <c r="L1753" s="3"/>
      <c r="M1753" s="3"/>
      <c r="N1753" s="3"/>
      <c r="O1753" s="3"/>
      <c r="P1753" s="3"/>
      <c r="Q1753" s="3"/>
      <c r="R1753" s="3"/>
      <c r="S1753" s="3"/>
      <c r="T1753" s="3"/>
      <c r="U1753" s="3">
        <v>2000</v>
      </c>
      <c r="V1753" s="4">
        <v>41784</v>
      </c>
      <c r="W1753" s="3" t="s">
        <v>31</v>
      </c>
      <c r="X1753" s="3" t="s">
        <v>8408</v>
      </c>
    </row>
    <row r="1754" spans="1:24" x14ac:dyDescent="0.3">
      <c r="A1754" s="5">
        <v>1748</v>
      </c>
      <c r="B1754" s="5" t="str">
        <f>"201200203433"</f>
        <v>201200203433</v>
      </c>
      <c r="C1754" s="5" t="str">
        <f>"82958"</f>
        <v>82958</v>
      </c>
      <c r="D1754" s="5" t="s">
        <v>8409</v>
      </c>
      <c r="E1754" s="5">
        <v>20336107262</v>
      </c>
      <c r="F1754" s="5" t="s">
        <v>8410</v>
      </c>
      <c r="G1754" s="5" t="s">
        <v>8411</v>
      </c>
      <c r="H1754" s="5" t="s">
        <v>28</v>
      </c>
      <c r="I1754" s="5" t="s">
        <v>72</v>
      </c>
      <c r="J1754" s="5" t="s">
        <v>322</v>
      </c>
      <c r="K1754" s="5" t="s">
        <v>397</v>
      </c>
      <c r="L1754" s="5"/>
      <c r="M1754" s="5"/>
      <c r="N1754" s="5"/>
      <c r="O1754" s="5"/>
      <c r="P1754" s="5"/>
      <c r="Q1754" s="5"/>
      <c r="R1754" s="5"/>
      <c r="S1754" s="5"/>
      <c r="T1754" s="5"/>
      <c r="U1754" s="5">
        <v>4000</v>
      </c>
      <c r="V1754" s="6">
        <v>41250</v>
      </c>
      <c r="W1754" s="5" t="s">
        <v>31</v>
      </c>
      <c r="X1754" s="5" t="s">
        <v>8412</v>
      </c>
    </row>
    <row r="1755" spans="1:24" x14ac:dyDescent="0.3">
      <c r="A1755" s="3">
        <v>1749</v>
      </c>
      <c r="B1755" s="3" t="str">
        <f>"201600016003"</f>
        <v>201600016003</v>
      </c>
      <c r="C1755" s="3" t="str">
        <f>"118584"</f>
        <v>118584</v>
      </c>
      <c r="D1755" s="3" t="s">
        <v>8413</v>
      </c>
      <c r="E1755" s="3">
        <v>20502445805</v>
      </c>
      <c r="F1755" s="3" t="s">
        <v>3436</v>
      </c>
      <c r="G1755" s="3" t="s">
        <v>8414</v>
      </c>
      <c r="H1755" s="3" t="s">
        <v>214</v>
      </c>
      <c r="I1755" s="3" t="s">
        <v>214</v>
      </c>
      <c r="J1755" s="3" t="s">
        <v>1502</v>
      </c>
      <c r="K1755" s="3" t="s">
        <v>168</v>
      </c>
      <c r="L1755" s="3"/>
      <c r="M1755" s="3"/>
      <c r="N1755" s="3"/>
      <c r="O1755" s="3"/>
      <c r="P1755" s="3"/>
      <c r="Q1755" s="3"/>
      <c r="R1755" s="3"/>
      <c r="S1755" s="3"/>
      <c r="T1755" s="3"/>
      <c r="U1755" s="3">
        <v>10000</v>
      </c>
      <c r="V1755" s="4">
        <v>42424</v>
      </c>
      <c r="W1755" s="3" t="s">
        <v>31</v>
      </c>
      <c r="X1755" s="3" t="s">
        <v>8415</v>
      </c>
    </row>
    <row r="1756" spans="1:24" ht="27.95" x14ac:dyDescent="0.3">
      <c r="A1756" s="5">
        <v>1750</v>
      </c>
      <c r="B1756" s="5" t="str">
        <f>"201600119251"</f>
        <v>201600119251</v>
      </c>
      <c r="C1756" s="5" t="str">
        <f>"103859"</f>
        <v>103859</v>
      </c>
      <c r="D1756" s="5" t="s">
        <v>8416</v>
      </c>
      <c r="E1756" s="5">
        <v>20512365648</v>
      </c>
      <c r="F1756" s="5" t="s">
        <v>8417</v>
      </c>
      <c r="G1756" s="5" t="s">
        <v>8418</v>
      </c>
      <c r="H1756" s="5" t="s">
        <v>978</v>
      </c>
      <c r="I1756" s="5" t="s">
        <v>4526</v>
      </c>
      <c r="J1756" s="5" t="s">
        <v>8419</v>
      </c>
      <c r="K1756" s="5" t="s">
        <v>6648</v>
      </c>
      <c r="L1756" s="5" t="s">
        <v>2067</v>
      </c>
      <c r="M1756" s="5"/>
      <c r="N1756" s="5"/>
      <c r="O1756" s="5"/>
      <c r="P1756" s="5"/>
      <c r="Q1756" s="5"/>
      <c r="R1756" s="5"/>
      <c r="S1756" s="5"/>
      <c r="T1756" s="5"/>
      <c r="U1756" s="5">
        <v>32000</v>
      </c>
      <c r="V1756" s="6">
        <v>42607</v>
      </c>
      <c r="W1756" s="5" t="s">
        <v>31</v>
      </c>
      <c r="X1756" s="5" t="s">
        <v>8420</v>
      </c>
    </row>
    <row r="1757" spans="1:24" x14ac:dyDescent="0.3">
      <c r="A1757" s="3">
        <v>1751</v>
      </c>
      <c r="B1757" s="3" t="str">
        <f>"201500073246"</f>
        <v>201500073246</v>
      </c>
      <c r="C1757" s="3" t="str">
        <f>"796"</f>
        <v>796</v>
      </c>
      <c r="D1757" s="3" t="s">
        <v>8421</v>
      </c>
      <c r="E1757" s="3">
        <v>20172530347</v>
      </c>
      <c r="F1757" s="3" t="s">
        <v>8422</v>
      </c>
      <c r="G1757" s="3" t="s">
        <v>8423</v>
      </c>
      <c r="H1757" s="3" t="s">
        <v>135</v>
      </c>
      <c r="I1757" s="3" t="s">
        <v>402</v>
      </c>
      <c r="J1757" s="3" t="s">
        <v>5203</v>
      </c>
      <c r="K1757" s="3" t="s">
        <v>8424</v>
      </c>
      <c r="L1757" s="3"/>
      <c r="M1757" s="3"/>
      <c r="N1757" s="3"/>
      <c r="O1757" s="3"/>
      <c r="P1757" s="3"/>
      <c r="Q1757" s="3"/>
      <c r="R1757" s="3"/>
      <c r="S1757" s="3"/>
      <c r="T1757" s="3"/>
      <c r="U1757" s="3">
        <v>3000</v>
      </c>
      <c r="V1757" s="4">
        <v>42174</v>
      </c>
      <c r="W1757" s="3" t="s">
        <v>31</v>
      </c>
      <c r="X1757" s="3" t="s">
        <v>8425</v>
      </c>
    </row>
    <row r="1758" spans="1:24" ht="27.95" x14ac:dyDescent="0.3">
      <c r="A1758" s="5">
        <v>1752</v>
      </c>
      <c r="B1758" s="5" t="str">
        <f>"1267355"</f>
        <v>1267355</v>
      </c>
      <c r="C1758" s="5" t="str">
        <f>"18741"</f>
        <v>18741</v>
      </c>
      <c r="D1758" s="5">
        <v>1267355</v>
      </c>
      <c r="E1758" s="5">
        <v>20100015103</v>
      </c>
      <c r="F1758" s="5" t="s">
        <v>1697</v>
      </c>
      <c r="G1758" s="5" t="s">
        <v>8426</v>
      </c>
      <c r="H1758" s="5" t="s">
        <v>28</v>
      </c>
      <c r="I1758" s="5" t="s">
        <v>28</v>
      </c>
      <c r="J1758" s="5" t="s">
        <v>91</v>
      </c>
      <c r="K1758" s="5" t="s">
        <v>8427</v>
      </c>
      <c r="L1758" s="5" t="s">
        <v>8427</v>
      </c>
      <c r="M1758" s="5"/>
      <c r="N1758" s="5"/>
      <c r="O1758" s="5"/>
      <c r="P1758" s="5"/>
      <c r="Q1758" s="5"/>
      <c r="R1758" s="5"/>
      <c r="S1758" s="5"/>
      <c r="T1758" s="5"/>
      <c r="U1758" s="5">
        <v>23620</v>
      </c>
      <c r="V1758" s="6">
        <v>36544</v>
      </c>
      <c r="W1758" s="5" t="s">
        <v>31</v>
      </c>
      <c r="X1758" s="5" t="s">
        <v>8428</v>
      </c>
    </row>
    <row r="1759" spans="1:24" ht="27.95" x14ac:dyDescent="0.3">
      <c r="A1759" s="3">
        <v>1753</v>
      </c>
      <c r="B1759" s="3" t="str">
        <f>"201600121137"</f>
        <v>201600121137</v>
      </c>
      <c r="C1759" s="3" t="str">
        <f>"35054"</f>
        <v>35054</v>
      </c>
      <c r="D1759" s="3" t="s">
        <v>8429</v>
      </c>
      <c r="E1759" s="3">
        <v>20137291313</v>
      </c>
      <c r="F1759" s="3" t="s">
        <v>2013</v>
      </c>
      <c r="G1759" s="3" t="s">
        <v>8430</v>
      </c>
      <c r="H1759" s="3" t="s">
        <v>978</v>
      </c>
      <c r="I1759" s="3" t="s">
        <v>978</v>
      </c>
      <c r="J1759" s="3" t="s">
        <v>2015</v>
      </c>
      <c r="K1759" s="3" t="s">
        <v>8431</v>
      </c>
      <c r="L1759" s="3" t="s">
        <v>8431</v>
      </c>
      <c r="M1759" s="3"/>
      <c r="N1759" s="3"/>
      <c r="O1759" s="3"/>
      <c r="P1759" s="3"/>
      <c r="Q1759" s="3"/>
      <c r="R1759" s="3"/>
      <c r="S1759" s="3"/>
      <c r="T1759" s="3"/>
      <c r="U1759" s="3">
        <v>418722</v>
      </c>
      <c r="V1759" s="4">
        <v>42608</v>
      </c>
      <c r="W1759" s="3" t="s">
        <v>31</v>
      </c>
      <c r="X1759" s="3" t="s">
        <v>2167</v>
      </c>
    </row>
    <row r="1760" spans="1:24" x14ac:dyDescent="0.3">
      <c r="A1760" s="5">
        <v>1754</v>
      </c>
      <c r="B1760" s="5" t="str">
        <f>"201800139391"</f>
        <v>201800139391</v>
      </c>
      <c r="C1760" s="5" t="str">
        <f>"108"</f>
        <v>108</v>
      </c>
      <c r="D1760" s="5" t="s">
        <v>8432</v>
      </c>
      <c r="E1760" s="5">
        <v>20132377783</v>
      </c>
      <c r="F1760" s="5" t="s">
        <v>1676</v>
      </c>
      <c r="G1760" s="5" t="s">
        <v>8433</v>
      </c>
      <c r="H1760" s="5" t="s">
        <v>36</v>
      </c>
      <c r="I1760" s="5" t="s">
        <v>234</v>
      </c>
      <c r="J1760" s="5" t="s">
        <v>1009</v>
      </c>
      <c r="K1760" s="5" t="s">
        <v>168</v>
      </c>
      <c r="L1760" s="5" t="s">
        <v>8434</v>
      </c>
      <c r="M1760" s="5" t="s">
        <v>8435</v>
      </c>
      <c r="N1760" s="5" t="s">
        <v>8436</v>
      </c>
      <c r="O1760" s="5"/>
      <c r="P1760" s="5"/>
      <c r="Q1760" s="5"/>
      <c r="R1760" s="5"/>
      <c r="S1760" s="5"/>
      <c r="T1760" s="5"/>
      <c r="U1760" s="5">
        <v>39829</v>
      </c>
      <c r="V1760" s="6">
        <v>43351</v>
      </c>
      <c r="W1760" s="5" t="s">
        <v>31</v>
      </c>
      <c r="X1760" s="5" t="s">
        <v>1678</v>
      </c>
    </row>
    <row r="1761" spans="1:24" ht="27.95" x14ac:dyDescent="0.3">
      <c r="A1761" s="3">
        <v>1755</v>
      </c>
      <c r="B1761" s="3" t="str">
        <f>"201200045998"</f>
        <v>201200045998</v>
      </c>
      <c r="C1761" s="3" t="str">
        <f>"96380"</f>
        <v>96380</v>
      </c>
      <c r="D1761" s="3" t="s">
        <v>8437</v>
      </c>
      <c r="E1761" s="3">
        <v>20513864184</v>
      </c>
      <c r="F1761" s="3" t="s">
        <v>8438</v>
      </c>
      <c r="G1761" s="3" t="s">
        <v>8439</v>
      </c>
      <c r="H1761" s="3" t="s">
        <v>115</v>
      </c>
      <c r="I1761" s="3" t="s">
        <v>115</v>
      </c>
      <c r="J1761" s="3" t="s">
        <v>159</v>
      </c>
      <c r="K1761" s="3" t="s">
        <v>4843</v>
      </c>
      <c r="L1761" s="3"/>
      <c r="M1761" s="3"/>
      <c r="N1761" s="3"/>
      <c r="O1761" s="3"/>
      <c r="P1761" s="3"/>
      <c r="Q1761" s="3"/>
      <c r="R1761" s="3"/>
      <c r="S1761" s="3"/>
      <c r="T1761" s="3"/>
      <c r="U1761" s="3">
        <v>3200</v>
      </c>
      <c r="V1761" s="4">
        <v>41036</v>
      </c>
      <c r="W1761" s="3" t="s">
        <v>31</v>
      </c>
      <c r="X1761" s="3" t="s">
        <v>8440</v>
      </c>
    </row>
    <row r="1762" spans="1:24" x14ac:dyDescent="0.3">
      <c r="A1762" s="5">
        <v>1756</v>
      </c>
      <c r="B1762" s="5" t="str">
        <f>"1870154"</f>
        <v>1870154</v>
      </c>
      <c r="C1762" s="5" t="str">
        <f>"532"</f>
        <v>532</v>
      </c>
      <c r="D1762" s="5" t="s">
        <v>8441</v>
      </c>
      <c r="E1762" s="5">
        <v>20232236273</v>
      </c>
      <c r="F1762" s="5" t="s">
        <v>8442</v>
      </c>
      <c r="G1762" s="5" t="s">
        <v>8443</v>
      </c>
      <c r="H1762" s="5" t="s">
        <v>334</v>
      </c>
      <c r="I1762" s="5" t="s">
        <v>335</v>
      </c>
      <c r="J1762" s="5" t="s">
        <v>950</v>
      </c>
      <c r="K1762" s="5" t="s">
        <v>8444</v>
      </c>
      <c r="L1762" s="5" t="s">
        <v>8445</v>
      </c>
      <c r="M1762" s="5" t="s">
        <v>8445</v>
      </c>
      <c r="N1762" s="5" t="s">
        <v>8444</v>
      </c>
      <c r="O1762" s="5"/>
      <c r="P1762" s="5"/>
      <c r="Q1762" s="5"/>
      <c r="R1762" s="5"/>
      <c r="S1762" s="5"/>
      <c r="T1762" s="5"/>
      <c r="U1762" s="5">
        <v>1659456</v>
      </c>
      <c r="V1762" s="6">
        <v>39891</v>
      </c>
      <c r="W1762" s="5" t="s">
        <v>31</v>
      </c>
      <c r="X1762" s="5" t="s">
        <v>8446</v>
      </c>
    </row>
    <row r="1763" spans="1:24" ht="27.95" x14ac:dyDescent="0.3">
      <c r="A1763" s="3">
        <v>1757</v>
      </c>
      <c r="B1763" s="3" t="str">
        <f>"1234474"</f>
        <v>1234474</v>
      </c>
      <c r="C1763" s="3" t="str">
        <f>"16058"</f>
        <v>16058</v>
      </c>
      <c r="D1763" s="3">
        <v>1234474</v>
      </c>
      <c r="E1763" s="3">
        <v>20262221335</v>
      </c>
      <c r="F1763" s="3" t="s">
        <v>8447</v>
      </c>
      <c r="G1763" s="3" t="s">
        <v>8448</v>
      </c>
      <c r="H1763" s="3" t="s">
        <v>550</v>
      </c>
      <c r="I1763" s="3" t="s">
        <v>3143</v>
      </c>
      <c r="J1763" s="3" t="s">
        <v>3144</v>
      </c>
      <c r="K1763" s="3" t="s">
        <v>1997</v>
      </c>
      <c r="L1763" s="3" t="s">
        <v>8449</v>
      </c>
      <c r="M1763" s="3"/>
      <c r="N1763" s="3"/>
      <c r="O1763" s="3"/>
      <c r="P1763" s="3"/>
      <c r="Q1763" s="3"/>
      <c r="R1763" s="3"/>
      <c r="S1763" s="3"/>
      <c r="T1763" s="3"/>
      <c r="U1763" s="3">
        <v>11400</v>
      </c>
      <c r="V1763" s="4">
        <v>36307</v>
      </c>
      <c r="W1763" s="3" t="s">
        <v>31</v>
      </c>
      <c r="X1763" s="3" t="s">
        <v>2652</v>
      </c>
    </row>
    <row r="1764" spans="1:24" ht="41.95" x14ac:dyDescent="0.3">
      <c r="A1764" s="5">
        <v>1758</v>
      </c>
      <c r="B1764" s="5" t="str">
        <f>"201400142782"</f>
        <v>201400142782</v>
      </c>
      <c r="C1764" s="5" t="str">
        <f>"98742"</f>
        <v>98742</v>
      </c>
      <c r="D1764" s="5" t="s">
        <v>8450</v>
      </c>
      <c r="E1764" s="5">
        <v>20563656302</v>
      </c>
      <c r="F1764" s="5" t="s">
        <v>8451</v>
      </c>
      <c r="G1764" s="5" t="s">
        <v>8452</v>
      </c>
      <c r="H1764" s="5" t="s">
        <v>28</v>
      </c>
      <c r="I1764" s="5" t="s">
        <v>28</v>
      </c>
      <c r="J1764" s="5" t="s">
        <v>1616</v>
      </c>
      <c r="K1764" s="5" t="s">
        <v>7000</v>
      </c>
      <c r="L1764" s="5"/>
      <c r="M1764" s="5"/>
      <c r="N1764" s="5"/>
      <c r="O1764" s="5"/>
      <c r="P1764" s="5"/>
      <c r="Q1764" s="5"/>
      <c r="R1764" s="5"/>
      <c r="S1764" s="5"/>
      <c r="T1764" s="5"/>
      <c r="U1764" s="5">
        <v>4100</v>
      </c>
      <c r="V1764" s="6">
        <v>41948</v>
      </c>
      <c r="W1764" s="5" t="s">
        <v>31</v>
      </c>
      <c r="X1764" s="5" t="s">
        <v>8453</v>
      </c>
    </row>
    <row r="1765" spans="1:24" x14ac:dyDescent="0.3">
      <c r="A1765" s="3">
        <v>1759</v>
      </c>
      <c r="B1765" s="3" t="str">
        <f>"201800010838"</f>
        <v>201800010838</v>
      </c>
      <c r="C1765" s="3" t="str">
        <f>"1313"</f>
        <v>1313</v>
      </c>
      <c r="D1765" s="3" t="s">
        <v>8454</v>
      </c>
      <c r="E1765" s="3">
        <v>20477181989</v>
      </c>
      <c r="F1765" s="3" t="s">
        <v>8455</v>
      </c>
      <c r="G1765" s="3" t="s">
        <v>8456</v>
      </c>
      <c r="H1765" s="3" t="s">
        <v>36</v>
      </c>
      <c r="I1765" s="3" t="s">
        <v>234</v>
      </c>
      <c r="J1765" s="3" t="s">
        <v>5570</v>
      </c>
      <c r="K1765" s="3" t="s">
        <v>2776</v>
      </c>
      <c r="L1765" s="3"/>
      <c r="M1765" s="3"/>
      <c r="N1765" s="3"/>
      <c r="O1765" s="3"/>
      <c r="P1765" s="3"/>
      <c r="Q1765" s="3"/>
      <c r="R1765" s="3"/>
      <c r="S1765" s="3"/>
      <c r="T1765" s="3"/>
      <c r="U1765" s="3">
        <v>3500</v>
      </c>
      <c r="V1765" s="4">
        <v>43128</v>
      </c>
      <c r="W1765" s="3" t="s">
        <v>31</v>
      </c>
      <c r="X1765" s="3" t="s">
        <v>8457</v>
      </c>
    </row>
    <row r="1766" spans="1:24" ht="27.95" x14ac:dyDescent="0.3">
      <c r="A1766" s="5">
        <v>1760</v>
      </c>
      <c r="B1766" s="5" t="str">
        <f>"201500002414"</f>
        <v>201500002414</v>
      </c>
      <c r="C1766" s="5" t="str">
        <f>"113281"</f>
        <v>113281</v>
      </c>
      <c r="D1766" s="5" t="s">
        <v>8458</v>
      </c>
      <c r="E1766" s="5">
        <v>20388834537</v>
      </c>
      <c r="F1766" s="5" t="s">
        <v>8459</v>
      </c>
      <c r="G1766" s="5" t="s">
        <v>8460</v>
      </c>
      <c r="H1766" s="5" t="s">
        <v>115</v>
      </c>
      <c r="I1766" s="5" t="s">
        <v>115</v>
      </c>
      <c r="J1766" s="5" t="s">
        <v>116</v>
      </c>
      <c r="K1766" s="5" t="s">
        <v>8461</v>
      </c>
      <c r="L1766" s="5"/>
      <c r="M1766" s="5"/>
      <c r="N1766" s="5"/>
      <c r="O1766" s="5"/>
      <c r="P1766" s="5"/>
      <c r="Q1766" s="5"/>
      <c r="R1766" s="5"/>
      <c r="S1766" s="5"/>
      <c r="T1766" s="5"/>
      <c r="U1766" s="5">
        <v>2500</v>
      </c>
      <c r="V1766" s="6">
        <v>42060</v>
      </c>
      <c r="W1766" s="5" t="s">
        <v>31</v>
      </c>
      <c r="X1766" s="5" t="s">
        <v>8462</v>
      </c>
    </row>
    <row r="1767" spans="1:24" x14ac:dyDescent="0.3">
      <c r="A1767" s="3">
        <v>1761</v>
      </c>
      <c r="B1767" s="3" t="str">
        <f>"201900118572"</f>
        <v>201900118572</v>
      </c>
      <c r="C1767" s="3" t="str">
        <f>"1219"</f>
        <v>1219</v>
      </c>
      <c r="D1767" s="3" t="s">
        <v>8463</v>
      </c>
      <c r="E1767" s="3">
        <v>20103912297</v>
      </c>
      <c r="F1767" s="3" t="s">
        <v>8464</v>
      </c>
      <c r="G1767" s="3" t="s">
        <v>8465</v>
      </c>
      <c r="H1767" s="3" t="s">
        <v>58</v>
      </c>
      <c r="I1767" s="3" t="s">
        <v>59</v>
      </c>
      <c r="J1767" s="3" t="s">
        <v>60</v>
      </c>
      <c r="K1767" s="3" t="s">
        <v>3707</v>
      </c>
      <c r="L1767" s="3"/>
      <c r="M1767" s="3"/>
      <c r="N1767" s="3"/>
      <c r="O1767" s="3"/>
      <c r="P1767" s="3"/>
      <c r="Q1767" s="3"/>
      <c r="R1767" s="3"/>
      <c r="S1767" s="3"/>
      <c r="T1767" s="3"/>
      <c r="U1767" s="3">
        <v>13500</v>
      </c>
      <c r="V1767" s="4">
        <v>43668</v>
      </c>
      <c r="W1767" s="3" t="s">
        <v>31</v>
      </c>
      <c r="X1767" s="3" t="s">
        <v>8466</v>
      </c>
    </row>
    <row r="1768" spans="1:24" ht="27.95" x14ac:dyDescent="0.3">
      <c r="A1768" s="5">
        <v>1762</v>
      </c>
      <c r="B1768" s="5" t="str">
        <f>"1417715"</f>
        <v>1417715</v>
      </c>
      <c r="C1768" s="5" t="str">
        <f>"39544"</f>
        <v>39544</v>
      </c>
      <c r="D1768" s="5" t="s">
        <v>8467</v>
      </c>
      <c r="E1768" s="5">
        <v>20133530003</v>
      </c>
      <c r="F1768" s="5" t="s">
        <v>457</v>
      </c>
      <c r="G1768" s="5" t="s">
        <v>8468</v>
      </c>
      <c r="H1768" s="5" t="s">
        <v>80</v>
      </c>
      <c r="I1768" s="5" t="s">
        <v>80</v>
      </c>
      <c r="J1768" s="5" t="s">
        <v>80</v>
      </c>
      <c r="K1768" s="5" t="s">
        <v>8469</v>
      </c>
      <c r="L1768" s="5"/>
      <c r="M1768" s="5"/>
      <c r="N1768" s="5"/>
      <c r="O1768" s="5"/>
      <c r="P1768" s="5"/>
      <c r="Q1768" s="5"/>
      <c r="R1768" s="5"/>
      <c r="S1768" s="5"/>
      <c r="T1768" s="5"/>
      <c r="U1768" s="5">
        <v>12500</v>
      </c>
      <c r="V1768" s="6">
        <v>37748</v>
      </c>
      <c r="W1768" s="5" t="s">
        <v>31</v>
      </c>
      <c r="X1768" s="5" t="s">
        <v>461</v>
      </c>
    </row>
    <row r="1769" spans="1:24" ht="27.95" x14ac:dyDescent="0.3">
      <c r="A1769" s="3">
        <v>1763</v>
      </c>
      <c r="B1769" s="3" t="str">
        <f>"201700175646"</f>
        <v>201700175646</v>
      </c>
      <c r="C1769" s="3" t="str">
        <f>"127519"</f>
        <v>127519</v>
      </c>
      <c r="D1769" s="3" t="s">
        <v>8470</v>
      </c>
      <c r="E1769" s="3">
        <v>20546139973</v>
      </c>
      <c r="F1769" s="3" t="s">
        <v>8471</v>
      </c>
      <c r="G1769" s="3" t="s">
        <v>8472</v>
      </c>
      <c r="H1769" s="3" t="s">
        <v>285</v>
      </c>
      <c r="I1769" s="3" t="s">
        <v>286</v>
      </c>
      <c r="J1769" s="3" t="s">
        <v>470</v>
      </c>
      <c r="K1769" s="3" t="s">
        <v>181</v>
      </c>
      <c r="L1769" s="3" t="s">
        <v>181</v>
      </c>
      <c r="M1769" s="3"/>
      <c r="N1769" s="3"/>
      <c r="O1769" s="3"/>
      <c r="P1769" s="3"/>
      <c r="Q1769" s="3"/>
      <c r="R1769" s="3"/>
      <c r="S1769" s="3"/>
      <c r="T1769" s="3"/>
      <c r="U1769" s="3">
        <v>10000</v>
      </c>
      <c r="V1769" s="4">
        <v>43028</v>
      </c>
      <c r="W1769" s="3" t="s">
        <v>31</v>
      </c>
      <c r="X1769" s="3" t="s">
        <v>8473</v>
      </c>
    </row>
    <row r="1770" spans="1:24" ht="27.95" x14ac:dyDescent="0.3">
      <c r="A1770" s="5">
        <v>1764</v>
      </c>
      <c r="B1770" s="5" t="str">
        <f>"201100153077"</f>
        <v>201100153077</v>
      </c>
      <c r="C1770" s="5" t="str">
        <f>"18774"</f>
        <v>18774</v>
      </c>
      <c r="D1770" s="5" t="s">
        <v>8474</v>
      </c>
      <c r="E1770" s="5">
        <v>20132120821</v>
      </c>
      <c r="F1770" s="5" t="s">
        <v>8475</v>
      </c>
      <c r="G1770" s="5" t="s">
        <v>8476</v>
      </c>
      <c r="H1770" s="5" t="s">
        <v>36</v>
      </c>
      <c r="I1770" s="5" t="s">
        <v>234</v>
      </c>
      <c r="J1770" s="5" t="s">
        <v>234</v>
      </c>
      <c r="K1770" s="5" t="s">
        <v>130</v>
      </c>
      <c r="L1770" s="5"/>
      <c r="M1770" s="5"/>
      <c r="N1770" s="5"/>
      <c r="O1770" s="5"/>
      <c r="P1770" s="5"/>
      <c r="Q1770" s="5"/>
      <c r="R1770" s="5"/>
      <c r="S1770" s="5"/>
      <c r="T1770" s="5"/>
      <c r="U1770" s="5">
        <v>3000</v>
      </c>
      <c r="V1770" s="6">
        <v>40870</v>
      </c>
      <c r="W1770" s="5" t="s">
        <v>31</v>
      </c>
      <c r="X1770" s="5" t="s">
        <v>2240</v>
      </c>
    </row>
    <row r="1771" spans="1:24" x14ac:dyDescent="0.3">
      <c r="A1771" s="3">
        <v>1765</v>
      </c>
      <c r="B1771" s="3" t="str">
        <f>"201400002858"</f>
        <v>201400002858</v>
      </c>
      <c r="C1771" s="3" t="str">
        <f>"16541"</f>
        <v>16541</v>
      </c>
      <c r="D1771" s="3" t="s">
        <v>8477</v>
      </c>
      <c r="E1771" s="3">
        <v>20428500475</v>
      </c>
      <c r="F1771" s="3" t="s">
        <v>8478</v>
      </c>
      <c r="G1771" s="3" t="s">
        <v>8479</v>
      </c>
      <c r="H1771" s="3" t="s">
        <v>51</v>
      </c>
      <c r="I1771" s="3" t="s">
        <v>52</v>
      </c>
      <c r="J1771" s="3" t="s">
        <v>1050</v>
      </c>
      <c r="K1771" s="3" t="s">
        <v>720</v>
      </c>
      <c r="L1771" s="3" t="s">
        <v>1074</v>
      </c>
      <c r="M1771" s="3"/>
      <c r="N1771" s="3"/>
      <c r="O1771" s="3"/>
      <c r="P1771" s="3"/>
      <c r="Q1771" s="3"/>
      <c r="R1771" s="3"/>
      <c r="S1771" s="3"/>
      <c r="T1771" s="3"/>
      <c r="U1771" s="3">
        <v>8000</v>
      </c>
      <c r="V1771" s="4">
        <v>41652</v>
      </c>
      <c r="W1771" s="3" t="s">
        <v>31</v>
      </c>
      <c r="X1771" s="3" t="s">
        <v>8480</v>
      </c>
    </row>
    <row r="1772" spans="1:24" ht="41.95" x14ac:dyDescent="0.3">
      <c r="A1772" s="5">
        <v>1766</v>
      </c>
      <c r="B1772" s="5" t="str">
        <f>"201500011469"</f>
        <v>201500011469</v>
      </c>
      <c r="C1772" s="5" t="str">
        <f>"94986"</f>
        <v>94986</v>
      </c>
      <c r="D1772" s="5" t="s">
        <v>8481</v>
      </c>
      <c r="E1772" s="5">
        <v>20164563066</v>
      </c>
      <c r="F1772" s="5" t="s">
        <v>8482</v>
      </c>
      <c r="G1772" s="5" t="s">
        <v>8483</v>
      </c>
      <c r="H1772" s="5" t="s">
        <v>28</v>
      </c>
      <c r="I1772" s="5" t="s">
        <v>28</v>
      </c>
      <c r="J1772" s="5" t="s">
        <v>687</v>
      </c>
      <c r="K1772" s="5" t="s">
        <v>8484</v>
      </c>
      <c r="L1772" s="5"/>
      <c r="M1772" s="5"/>
      <c r="N1772" s="5"/>
      <c r="O1772" s="5"/>
      <c r="P1772" s="5"/>
      <c r="Q1772" s="5"/>
      <c r="R1772" s="5"/>
      <c r="S1772" s="5"/>
      <c r="T1772" s="5"/>
      <c r="U1772" s="5">
        <v>5690</v>
      </c>
      <c r="V1772" s="6">
        <v>42050</v>
      </c>
      <c r="W1772" s="5" t="s">
        <v>31</v>
      </c>
      <c r="X1772" s="5" t="s">
        <v>8485</v>
      </c>
    </row>
    <row r="1773" spans="1:24" ht="27.95" x14ac:dyDescent="0.3">
      <c r="A1773" s="3">
        <v>1767</v>
      </c>
      <c r="B1773" s="3" t="str">
        <f>"201200123084"</f>
        <v>201200123084</v>
      </c>
      <c r="C1773" s="3" t="str">
        <f>"86529"</f>
        <v>86529</v>
      </c>
      <c r="D1773" s="3" t="s">
        <v>8486</v>
      </c>
      <c r="E1773" s="3">
        <v>20512261940</v>
      </c>
      <c r="F1773" s="3" t="s">
        <v>8487</v>
      </c>
      <c r="G1773" s="3" t="s">
        <v>8488</v>
      </c>
      <c r="H1773" s="3" t="s">
        <v>28</v>
      </c>
      <c r="I1773" s="3" t="s">
        <v>28</v>
      </c>
      <c r="J1773" s="3" t="s">
        <v>172</v>
      </c>
      <c r="K1773" s="3" t="s">
        <v>8489</v>
      </c>
      <c r="L1773" s="3"/>
      <c r="M1773" s="3"/>
      <c r="N1773" s="3"/>
      <c r="O1773" s="3"/>
      <c r="P1773" s="3"/>
      <c r="Q1773" s="3"/>
      <c r="R1773" s="3"/>
      <c r="S1773" s="3"/>
      <c r="T1773" s="3"/>
      <c r="U1773" s="3">
        <v>2420</v>
      </c>
      <c r="V1773" s="4">
        <v>41076</v>
      </c>
      <c r="W1773" s="3" t="s">
        <v>31</v>
      </c>
      <c r="X1773" s="3" t="s">
        <v>8490</v>
      </c>
    </row>
    <row r="1774" spans="1:24" x14ac:dyDescent="0.3">
      <c r="A1774" s="5">
        <v>1768</v>
      </c>
      <c r="B1774" s="5" t="str">
        <f>"201700111160"</f>
        <v>201700111160</v>
      </c>
      <c r="C1774" s="5" t="str">
        <f>"125967"</f>
        <v>125967</v>
      </c>
      <c r="D1774" s="5" t="s">
        <v>8491</v>
      </c>
      <c r="E1774" s="5">
        <v>20511812713</v>
      </c>
      <c r="F1774" s="5" t="s">
        <v>8492</v>
      </c>
      <c r="G1774" s="5" t="s">
        <v>8493</v>
      </c>
      <c r="H1774" s="5" t="s">
        <v>2002</v>
      </c>
      <c r="I1774" s="5" t="s">
        <v>3873</v>
      </c>
      <c r="J1774" s="5" t="s">
        <v>8494</v>
      </c>
      <c r="K1774" s="5" t="s">
        <v>3692</v>
      </c>
      <c r="L1774" s="5"/>
      <c r="M1774" s="5"/>
      <c r="N1774" s="5"/>
      <c r="O1774" s="5"/>
      <c r="P1774" s="5"/>
      <c r="Q1774" s="5"/>
      <c r="R1774" s="5"/>
      <c r="S1774" s="5"/>
      <c r="T1774" s="5"/>
      <c r="U1774" s="5">
        <v>3700</v>
      </c>
      <c r="V1774" s="6">
        <v>42935</v>
      </c>
      <c r="W1774" s="5" t="s">
        <v>31</v>
      </c>
      <c r="X1774" s="5" t="s">
        <v>8495</v>
      </c>
    </row>
    <row r="1775" spans="1:24" x14ac:dyDescent="0.3">
      <c r="A1775" s="3">
        <v>1769</v>
      </c>
      <c r="B1775" s="3" t="str">
        <f>"1094142"</f>
        <v>1094142</v>
      </c>
      <c r="C1775" s="3" t="str">
        <f>"19483"</f>
        <v>19483</v>
      </c>
      <c r="D1775" s="3" t="s">
        <v>8496</v>
      </c>
      <c r="E1775" s="3">
        <v>20102708394</v>
      </c>
      <c r="F1775" s="3" t="s">
        <v>8497</v>
      </c>
      <c r="G1775" s="3" t="s">
        <v>8498</v>
      </c>
      <c r="H1775" s="3" t="s">
        <v>80</v>
      </c>
      <c r="I1775" s="3" t="s">
        <v>3606</v>
      </c>
      <c r="J1775" s="3" t="s">
        <v>3606</v>
      </c>
      <c r="K1775" s="3" t="s">
        <v>421</v>
      </c>
      <c r="L1775" s="3"/>
      <c r="M1775" s="3"/>
      <c r="N1775" s="3"/>
      <c r="O1775" s="3"/>
      <c r="P1775" s="3"/>
      <c r="Q1775" s="3"/>
      <c r="R1775" s="3"/>
      <c r="S1775" s="3"/>
      <c r="T1775" s="3"/>
      <c r="U1775" s="3">
        <v>9300</v>
      </c>
      <c r="V1775" s="4">
        <v>35382</v>
      </c>
      <c r="W1775" s="3" t="s">
        <v>31</v>
      </c>
      <c r="X1775" s="3" t="s">
        <v>6547</v>
      </c>
    </row>
    <row r="1776" spans="1:24" ht="27.95" x14ac:dyDescent="0.3">
      <c r="A1776" s="5">
        <v>1770</v>
      </c>
      <c r="B1776" s="5" t="str">
        <f>"1120317"</f>
        <v>1120317</v>
      </c>
      <c r="C1776" s="5" t="str">
        <f>"575"</f>
        <v>575</v>
      </c>
      <c r="D1776" s="5">
        <v>1001325</v>
      </c>
      <c r="E1776" s="5">
        <v>20310405664</v>
      </c>
      <c r="F1776" s="5" t="s">
        <v>8499</v>
      </c>
      <c r="G1776" s="5" t="s">
        <v>8500</v>
      </c>
      <c r="H1776" s="5" t="s">
        <v>135</v>
      </c>
      <c r="I1776" s="5" t="s">
        <v>135</v>
      </c>
      <c r="J1776" s="5" t="s">
        <v>8501</v>
      </c>
      <c r="K1776" s="5" t="s">
        <v>259</v>
      </c>
      <c r="L1776" s="5" t="s">
        <v>2121</v>
      </c>
      <c r="M1776" s="5"/>
      <c r="N1776" s="5"/>
      <c r="O1776" s="5"/>
      <c r="P1776" s="5"/>
      <c r="Q1776" s="5"/>
      <c r="R1776" s="5"/>
      <c r="S1776" s="5"/>
      <c r="T1776" s="5"/>
      <c r="U1776" s="5">
        <v>14000</v>
      </c>
      <c r="V1776" s="6">
        <v>35571</v>
      </c>
      <c r="W1776" s="5" t="s">
        <v>31</v>
      </c>
      <c r="X1776" s="5" t="s">
        <v>8502</v>
      </c>
    </row>
    <row r="1777" spans="1:24" x14ac:dyDescent="0.3">
      <c r="A1777" s="3">
        <v>1771</v>
      </c>
      <c r="B1777" s="3" t="str">
        <f>"201200040673"</f>
        <v>201200040673</v>
      </c>
      <c r="C1777" s="3" t="str">
        <f>"96266"</f>
        <v>96266</v>
      </c>
      <c r="D1777" s="3" t="s">
        <v>8503</v>
      </c>
      <c r="E1777" s="3">
        <v>20492262685</v>
      </c>
      <c r="F1777" s="3" t="s">
        <v>8504</v>
      </c>
      <c r="G1777" s="3" t="s">
        <v>8505</v>
      </c>
      <c r="H1777" s="3" t="s">
        <v>769</v>
      </c>
      <c r="I1777" s="3" t="s">
        <v>769</v>
      </c>
      <c r="J1777" s="3" t="s">
        <v>4811</v>
      </c>
      <c r="K1777" s="3" t="s">
        <v>2452</v>
      </c>
      <c r="L1777" s="3" t="s">
        <v>2452</v>
      </c>
      <c r="M1777" s="3" t="s">
        <v>2452</v>
      </c>
      <c r="N1777" s="3"/>
      <c r="O1777" s="3"/>
      <c r="P1777" s="3"/>
      <c r="Q1777" s="3"/>
      <c r="R1777" s="3"/>
      <c r="S1777" s="3"/>
      <c r="T1777" s="3"/>
      <c r="U1777" s="3">
        <v>19500</v>
      </c>
      <c r="V1777" s="4">
        <v>40997</v>
      </c>
      <c r="W1777" s="3" t="s">
        <v>31</v>
      </c>
      <c r="X1777" s="3" t="s">
        <v>8506</v>
      </c>
    </row>
    <row r="1778" spans="1:24" x14ac:dyDescent="0.3">
      <c r="A1778" s="5">
        <v>1772</v>
      </c>
      <c r="B1778" s="5" t="str">
        <f>"1499219"</f>
        <v>1499219</v>
      </c>
      <c r="C1778" s="5" t="str">
        <f>"180"</f>
        <v>180</v>
      </c>
      <c r="D1778" s="5" t="s">
        <v>8507</v>
      </c>
      <c r="E1778" s="5">
        <v>20100290317</v>
      </c>
      <c r="F1778" s="5" t="s">
        <v>8508</v>
      </c>
      <c r="G1778" s="5" t="s">
        <v>8509</v>
      </c>
      <c r="H1778" s="5" t="s">
        <v>28</v>
      </c>
      <c r="I1778" s="5" t="s">
        <v>28</v>
      </c>
      <c r="J1778" s="5" t="s">
        <v>266</v>
      </c>
      <c r="K1778" s="5" t="s">
        <v>1872</v>
      </c>
      <c r="L1778" s="5"/>
      <c r="M1778" s="5"/>
      <c r="N1778" s="5"/>
      <c r="O1778" s="5"/>
      <c r="P1778" s="5"/>
      <c r="Q1778" s="5"/>
      <c r="R1778" s="5"/>
      <c r="S1778" s="5"/>
      <c r="T1778" s="5"/>
      <c r="U1778" s="5">
        <v>5000</v>
      </c>
      <c r="V1778" s="6">
        <v>38296</v>
      </c>
      <c r="W1778" s="5" t="s">
        <v>31</v>
      </c>
      <c r="X1778" s="5" t="s">
        <v>8510</v>
      </c>
    </row>
    <row r="1779" spans="1:24" ht="27.95" x14ac:dyDescent="0.3">
      <c r="A1779" s="3">
        <v>1773</v>
      </c>
      <c r="B1779" s="3" t="str">
        <f>"1200023"</f>
        <v>1200023</v>
      </c>
      <c r="C1779" s="3" t="str">
        <f>"14855"</f>
        <v>14855</v>
      </c>
      <c r="D1779" s="3">
        <v>1200023</v>
      </c>
      <c r="E1779" s="3">
        <v>20132023540</v>
      </c>
      <c r="F1779" s="3" t="s">
        <v>8511</v>
      </c>
      <c r="G1779" s="3" t="s">
        <v>8512</v>
      </c>
      <c r="H1779" s="3" t="s">
        <v>36</v>
      </c>
      <c r="I1779" s="3" t="s">
        <v>8513</v>
      </c>
      <c r="J1779" s="3" t="s">
        <v>8513</v>
      </c>
      <c r="K1779" s="3" t="s">
        <v>421</v>
      </c>
      <c r="L1779" s="3" t="s">
        <v>421</v>
      </c>
      <c r="M1779" s="3"/>
      <c r="N1779" s="3"/>
      <c r="O1779" s="3"/>
      <c r="P1779" s="3"/>
      <c r="Q1779" s="3"/>
      <c r="R1779" s="3"/>
      <c r="S1779" s="3"/>
      <c r="T1779" s="3"/>
      <c r="U1779" s="3">
        <v>10000</v>
      </c>
      <c r="V1779" s="4">
        <v>36021</v>
      </c>
      <c r="W1779" s="3" t="s">
        <v>31</v>
      </c>
      <c r="X1779" s="3" t="s">
        <v>3987</v>
      </c>
    </row>
    <row r="1780" spans="1:24" x14ac:dyDescent="0.3">
      <c r="A1780" s="5">
        <v>1774</v>
      </c>
      <c r="B1780" s="5" t="str">
        <f>"1774762"</f>
        <v>1774762</v>
      </c>
      <c r="C1780" s="5" t="str">
        <f>"63"</f>
        <v>63</v>
      </c>
      <c r="D1780" s="5" t="s">
        <v>8514</v>
      </c>
      <c r="E1780" s="5">
        <v>20100095450</v>
      </c>
      <c r="F1780" s="5" t="s">
        <v>5152</v>
      </c>
      <c r="G1780" s="5" t="s">
        <v>8515</v>
      </c>
      <c r="H1780" s="5" t="s">
        <v>51</v>
      </c>
      <c r="I1780" s="5" t="s">
        <v>51</v>
      </c>
      <c r="J1780" s="5" t="s">
        <v>51</v>
      </c>
      <c r="K1780" s="5" t="s">
        <v>74</v>
      </c>
      <c r="L1780" s="5" t="s">
        <v>8516</v>
      </c>
      <c r="M1780" s="5"/>
      <c r="N1780" s="5"/>
      <c r="O1780" s="5"/>
      <c r="P1780" s="5"/>
      <c r="Q1780" s="5"/>
      <c r="R1780" s="5"/>
      <c r="S1780" s="5"/>
      <c r="T1780" s="5"/>
      <c r="U1780" s="5">
        <v>6131</v>
      </c>
      <c r="V1780" s="6">
        <v>39510</v>
      </c>
      <c r="W1780" s="5" t="s">
        <v>31</v>
      </c>
      <c r="X1780" s="5" t="s">
        <v>8038</v>
      </c>
    </row>
    <row r="1781" spans="1:24" ht="27.95" x14ac:dyDescent="0.3">
      <c r="A1781" s="3">
        <v>1775</v>
      </c>
      <c r="B1781" s="3" t="str">
        <f>"1469471"</f>
        <v>1469471</v>
      </c>
      <c r="C1781" s="3" t="str">
        <f>"37941"</f>
        <v>37941</v>
      </c>
      <c r="D1781" s="3" t="s">
        <v>8517</v>
      </c>
      <c r="E1781" s="3">
        <v>20122123724</v>
      </c>
      <c r="F1781" s="3" t="s">
        <v>8518</v>
      </c>
      <c r="G1781" s="3" t="s">
        <v>8519</v>
      </c>
      <c r="H1781" s="3" t="s">
        <v>28</v>
      </c>
      <c r="I1781" s="3" t="s">
        <v>28</v>
      </c>
      <c r="J1781" s="3" t="s">
        <v>409</v>
      </c>
      <c r="K1781" s="3" t="s">
        <v>323</v>
      </c>
      <c r="L1781" s="3"/>
      <c r="M1781" s="3"/>
      <c r="N1781" s="3"/>
      <c r="O1781" s="3"/>
      <c r="P1781" s="3"/>
      <c r="Q1781" s="3"/>
      <c r="R1781" s="3"/>
      <c r="S1781" s="3"/>
      <c r="T1781" s="3"/>
      <c r="U1781" s="3">
        <v>4000</v>
      </c>
      <c r="V1781" s="4">
        <v>38138</v>
      </c>
      <c r="W1781" s="3" t="s">
        <v>31</v>
      </c>
      <c r="X1781" s="3" t="s">
        <v>8520</v>
      </c>
    </row>
    <row r="1782" spans="1:24" ht="27.95" x14ac:dyDescent="0.3">
      <c r="A1782" s="5">
        <v>1776</v>
      </c>
      <c r="B1782" s="5" t="str">
        <f>"201300063853"</f>
        <v>201300063853</v>
      </c>
      <c r="C1782" s="5" t="str">
        <f>"95585"</f>
        <v>95585</v>
      </c>
      <c r="D1782" s="5" t="s">
        <v>8521</v>
      </c>
      <c r="E1782" s="5">
        <v>20397680038</v>
      </c>
      <c r="F1782" s="5" t="s">
        <v>8522</v>
      </c>
      <c r="G1782" s="5" t="s">
        <v>8523</v>
      </c>
      <c r="H1782" s="5" t="s">
        <v>36</v>
      </c>
      <c r="I1782" s="5" t="s">
        <v>234</v>
      </c>
      <c r="J1782" s="5" t="s">
        <v>258</v>
      </c>
      <c r="K1782" s="5" t="s">
        <v>1725</v>
      </c>
      <c r="L1782" s="5" t="s">
        <v>4843</v>
      </c>
      <c r="M1782" s="5"/>
      <c r="N1782" s="5"/>
      <c r="O1782" s="5"/>
      <c r="P1782" s="5"/>
      <c r="Q1782" s="5"/>
      <c r="R1782" s="5"/>
      <c r="S1782" s="5"/>
      <c r="T1782" s="5"/>
      <c r="U1782" s="5">
        <v>5200</v>
      </c>
      <c r="V1782" s="6">
        <v>41367</v>
      </c>
      <c r="W1782" s="5" t="s">
        <v>31</v>
      </c>
      <c r="X1782" s="5" t="s">
        <v>8524</v>
      </c>
    </row>
    <row r="1783" spans="1:24" ht="27.95" x14ac:dyDescent="0.3">
      <c r="A1783" s="3">
        <v>1777</v>
      </c>
      <c r="B1783" s="3" t="str">
        <f>"201900170195"</f>
        <v>201900170195</v>
      </c>
      <c r="C1783" s="3" t="str">
        <f>"147210"</f>
        <v>147210</v>
      </c>
      <c r="D1783" s="3" t="s">
        <v>8525</v>
      </c>
      <c r="E1783" s="3">
        <v>20490245686</v>
      </c>
      <c r="F1783" s="3" t="s">
        <v>8526</v>
      </c>
      <c r="G1783" s="3" t="s">
        <v>8527</v>
      </c>
      <c r="H1783" s="3" t="s">
        <v>165</v>
      </c>
      <c r="I1783" s="3" t="s">
        <v>166</v>
      </c>
      <c r="J1783" s="3" t="s">
        <v>167</v>
      </c>
      <c r="K1783" s="3" t="s">
        <v>6068</v>
      </c>
      <c r="L1783" s="3" t="s">
        <v>6068</v>
      </c>
      <c r="M1783" s="3"/>
      <c r="N1783" s="3"/>
      <c r="O1783" s="3"/>
      <c r="P1783" s="3"/>
      <c r="Q1783" s="3"/>
      <c r="R1783" s="3"/>
      <c r="S1783" s="3"/>
      <c r="T1783" s="3"/>
      <c r="U1783" s="3">
        <v>18600</v>
      </c>
      <c r="V1783" s="4">
        <v>43761</v>
      </c>
      <c r="W1783" s="3" t="s">
        <v>31</v>
      </c>
      <c r="X1783" s="3" t="s">
        <v>8528</v>
      </c>
    </row>
    <row r="1784" spans="1:24" ht="27.95" x14ac:dyDescent="0.3">
      <c r="A1784" s="5">
        <v>1778</v>
      </c>
      <c r="B1784" s="5" t="str">
        <f>"1915866"</f>
        <v>1915866</v>
      </c>
      <c r="C1784" s="5" t="str">
        <f>"42996"</f>
        <v>42996</v>
      </c>
      <c r="D1784" s="5" t="s">
        <v>8529</v>
      </c>
      <c r="E1784" s="5">
        <v>20433624611</v>
      </c>
      <c r="F1784" s="5" t="s">
        <v>8530</v>
      </c>
      <c r="G1784" s="5" t="s">
        <v>8531</v>
      </c>
      <c r="H1784" s="5" t="s">
        <v>28</v>
      </c>
      <c r="I1784" s="5" t="s">
        <v>28</v>
      </c>
      <c r="J1784" s="5" t="s">
        <v>699</v>
      </c>
      <c r="K1784" s="5" t="s">
        <v>6052</v>
      </c>
      <c r="L1784" s="5"/>
      <c r="M1784" s="5"/>
      <c r="N1784" s="5"/>
      <c r="O1784" s="5"/>
      <c r="P1784" s="5"/>
      <c r="Q1784" s="5"/>
      <c r="R1784" s="5"/>
      <c r="S1784" s="5"/>
      <c r="T1784" s="5"/>
      <c r="U1784" s="5">
        <v>3400</v>
      </c>
      <c r="V1784" s="6">
        <v>40058</v>
      </c>
      <c r="W1784" s="5" t="s">
        <v>31</v>
      </c>
      <c r="X1784" s="5" t="s">
        <v>8532</v>
      </c>
    </row>
    <row r="1785" spans="1:24" ht="27.95" x14ac:dyDescent="0.3">
      <c r="A1785" s="3">
        <v>1779</v>
      </c>
      <c r="B1785" s="3" t="str">
        <f>"201200018853"</f>
        <v>201200018853</v>
      </c>
      <c r="C1785" s="3" t="str">
        <f>"95092"</f>
        <v>95092</v>
      </c>
      <c r="D1785" s="3" t="s">
        <v>8533</v>
      </c>
      <c r="E1785" s="3">
        <v>20510579454</v>
      </c>
      <c r="F1785" s="3" t="s">
        <v>8534</v>
      </c>
      <c r="G1785" s="3" t="s">
        <v>8535</v>
      </c>
      <c r="H1785" s="3" t="s">
        <v>28</v>
      </c>
      <c r="I1785" s="3" t="s">
        <v>28</v>
      </c>
      <c r="J1785" s="3" t="s">
        <v>180</v>
      </c>
      <c r="K1785" s="3" t="s">
        <v>8536</v>
      </c>
      <c r="L1785" s="3"/>
      <c r="M1785" s="3"/>
      <c r="N1785" s="3"/>
      <c r="O1785" s="3"/>
      <c r="P1785" s="3"/>
      <c r="Q1785" s="3"/>
      <c r="R1785" s="3"/>
      <c r="S1785" s="3"/>
      <c r="T1785" s="3"/>
      <c r="U1785" s="3">
        <v>9132</v>
      </c>
      <c r="V1785" s="4">
        <v>40962</v>
      </c>
      <c r="W1785" s="3" t="s">
        <v>31</v>
      </c>
      <c r="X1785" s="3" t="s">
        <v>8537</v>
      </c>
    </row>
    <row r="1786" spans="1:24" x14ac:dyDescent="0.3">
      <c r="A1786" s="5">
        <v>1780</v>
      </c>
      <c r="B1786" s="5" t="str">
        <f>"1387128"</f>
        <v>1387128</v>
      </c>
      <c r="C1786" s="5" t="str">
        <f>"33655"</f>
        <v>33655</v>
      </c>
      <c r="D1786" s="5" t="s">
        <v>8538</v>
      </c>
      <c r="E1786" s="5">
        <v>20100381894</v>
      </c>
      <c r="F1786" s="5" t="s">
        <v>8539</v>
      </c>
      <c r="G1786" s="5" t="s">
        <v>8540</v>
      </c>
      <c r="H1786" s="5" t="s">
        <v>115</v>
      </c>
      <c r="I1786" s="5" t="s">
        <v>115</v>
      </c>
      <c r="J1786" s="5" t="s">
        <v>159</v>
      </c>
      <c r="K1786" s="5" t="s">
        <v>8541</v>
      </c>
      <c r="L1786" s="5"/>
      <c r="M1786" s="5"/>
      <c r="N1786" s="5"/>
      <c r="O1786" s="5"/>
      <c r="P1786" s="5"/>
      <c r="Q1786" s="5"/>
      <c r="R1786" s="5"/>
      <c r="S1786" s="5"/>
      <c r="T1786" s="5"/>
      <c r="U1786" s="5">
        <v>5600</v>
      </c>
      <c r="V1786" s="6">
        <v>37564</v>
      </c>
      <c r="W1786" s="5" t="s">
        <v>31</v>
      </c>
      <c r="X1786" s="5" t="s">
        <v>8542</v>
      </c>
    </row>
    <row r="1787" spans="1:24" x14ac:dyDescent="0.3">
      <c r="A1787" s="3">
        <v>1781</v>
      </c>
      <c r="B1787" s="3" t="str">
        <f>"201800194678"</f>
        <v>201800194678</v>
      </c>
      <c r="C1787" s="3" t="str">
        <f>"88466"</f>
        <v>88466</v>
      </c>
      <c r="D1787" s="3" t="s">
        <v>8543</v>
      </c>
      <c r="E1787" s="3">
        <v>20153408191</v>
      </c>
      <c r="F1787" s="3" t="s">
        <v>6518</v>
      </c>
      <c r="G1787" s="3" t="s">
        <v>8544</v>
      </c>
      <c r="H1787" s="3" t="s">
        <v>135</v>
      </c>
      <c r="I1787" s="3" t="s">
        <v>673</v>
      </c>
      <c r="J1787" s="3" t="s">
        <v>674</v>
      </c>
      <c r="K1787" s="3" t="s">
        <v>8545</v>
      </c>
      <c r="L1787" s="3" t="s">
        <v>8545</v>
      </c>
      <c r="M1787" s="3" t="s">
        <v>1868</v>
      </c>
      <c r="N1787" s="3"/>
      <c r="O1787" s="3"/>
      <c r="P1787" s="3"/>
      <c r="Q1787" s="3"/>
      <c r="R1787" s="3"/>
      <c r="S1787" s="3"/>
      <c r="T1787" s="3"/>
      <c r="U1787" s="3">
        <v>13500</v>
      </c>
      <c r="V1787" s="4">
        <v>43441</v>
      </c>
      <c r="W1787" s="3" t="s">
        <v>31</v>
      </c>
      <c r="X1787" s="3" t="s">
        <v>8546</v>
      </c>
    </row>
    <row r="1788" spans="1:24" x14ac:dyDescent="0.3">
      <c r="A1788" s="5">
        <v>1782</v>
      </c>
      <c r="B1788" s="5" t="str">
        <f>"201600167756"</f>
        <v>201600167756</v>
      </c>
      <c r="C1788" s="5" t="str">
        <f>"62798"</f>
        <v>62798</v>
      </c>
      <c r="D1788" s="5" t="s">
        <v>8547</v>
      </c>
      <c r="E1788" s="5">
        <v>20555901179</v>
      </c>
      <c r="F1788" s="5" t="s">
        <v>4805</v>
      </c>
      <c r="G1788" s="5" t="s">
        <v>8548</v>
      </c>
      <c r="H1788" s="5" t="s">
        <v>28</v>
      </c>
      <c r="I1788" s="5" t="s">
        <v>28</v>
      </c>
      <c r="J1788" s="5" t="s">
        <v>28</v>
      </c>
      <c r="K1788" s="5" t="s">
        <v>30</v>
      </c>
      <c r="L1788" s="5"/>
      <c r="M1788" s="5"/>
      <c r="N1788" s="5"/>
      <c r="O1788" s="5"/>
      <c r="P1788" s="5"/>
      <c r="Q1788" s="5"/>
      <c r="R1788" s="5"/>
      <c r="S1788" s="5"/>
      <c r="T1788" s="5"/>
      <c r="U1788" s="5">
        <v>8000</v>
      </c>
      <c r="V1788" s="6">
        <v>42734</v>
      </c>
      <c r="W1788" s="5" t="s">
        <v>31</v>
      </c>
      <c r="X1788" s="5" t="s">
        <v>8549</v>
      </c>
    </row>
    <row r="1789" spans="1:24" ht="27.95" x14ac:dyDescent="0.3">
      <c r="A1789" s="3">
        <v>1783</v>
      </c>
      <c r="B1789" s="3" t="str">
        <f>"201900007271"</f>
        <v>201900007271</v>
      </c>
      <c r="C1789" s="3" t="str">
        <f>"140787"</f>
        <v>140787</v>
      </c>
      <c r="D1789" s="3" t="s">
        <v>8550</v>
      </c>
      <c r="E1789" s="3">
        <v>20136222725</v>
      </c>
      <c r="F1789" s="3" t="s">
        <v>8551</v>
      </c>
      <c r="G1789" s="3" t="s">
        <v>8552</v>
      </c>
      <c r="H1789" s="3" t="s">
        <v>135</v>
      </c>
      <c r="I1789" s="3" t="s">
        <v>402</v>
      </c>
      <c r="J1789" s="3" t="s">
        <v>484</v>
      </c>
      <c r="K1789" s="3" t="s">
        <v>181</v>
      </c>
      <c r="L1789" s="3" t="s">
        <v>6920</v>
      </c>
      <c r="M1789" s="3"/>
      <c r="N1789" s="3"/>
      <c r="O1789" s="3"/>
      <c r="P1789" s="3"/>
      <c r="Q1789" s="3"/>
      <c r="R1789" s="3"/>
      <c r="S1789" s="3"/>
      <c r="T1789" s="3"/>
      <c r="U1789" s="3">
        <v>6500</v>
      </c>
      <c r="V1789" s="4">
        <v>43480</v>
      </c>
      <c r="W1789" s="3" t="s">
        <v>31</v>
      </c>
      <c r="X1789" s="3" t="s">
        <v>8553</v>
      </c>
    </row>
    <row r="1790" spans="1:24" x14ac:dyDescent="0.3">
      <c r="A1790" s="5">
        <v>1784</v>
      </c>
      <c r="B1790" s="5" t="str">
        <f>"202000114004"</f>
        <v>202000114004</v>
      </c>
      <c r="C1790" s="5" t="str">
        <f>"83838"</f>
        <v>83838</v>
      </c>
      <c r="D1790" s="5" t="s">
        <v>8554</v>
      </c>
      <c r="E1790" s="5">
        <v>20601605385</v>
      </c>
      <c r="F1790" s="5" t="s">
        <v>8555</v>
      </c>
      <c r="G1790" s="5" t="s">
        <v>8556</v>
      </c>
      <c r="H1790" s="5" t="s">
        <v>334</v>
      </c>
      <c r="I1790" s="5" t="s">
        <v>7692</v>
      </c>
      <c r="J1790" s="5" t="s">
        <v>8557</v>
      </c>
      <c r="K1790" s="5" t="s">
        <v>8558</v>
      </c>
      <c r="L1790" s="5"/>
      <c r="M1790" s="5"/>
      <c r="N1790" s="5"/>
      <c r="O1790" s="5"/>
      <c r="P1790" s="5"/>
      <c r="Q1790" s="5"/>
      <c r="R1790" s="5"/>
      <c r="S1790" s="5"/>
      <c r="T1790" s="5"/>
      <c r="U1790" s="5">
        <v>11975</v>
      </c>
      <c r="V1790" s="6">
        <v>44080</v>
      </c>
      <c r="W1790" s="5" t="s">
        <v>31</v>
      </c>
      <c r="X1790" s="5" t="s">
        <v>8559</v>
      </c>
    </row>
    <row r="1791" spans="1:24" ht="41.95" x14ac:dyDescent="0.3">
      <c r="A1791" s="3">
        <v>1785</v>
      </c>
      <c r="B1791" s="3" t="str">
        <f>"201900164698"</f>
        <v>201900164698</v>
      </c>
      <c r="C1791" s="3" t="str">
        <f>"95348"</f>
        <v>95348</v>
      </c>
      <c r="D1791" s="3" t="s">
        <v>8560</v>
      </c>
      <c r="E1791" s="3">
        <v>20102078781</v>
      </c>
      <c r="F1791" s="3" t="s">
        <v>6412</v>
      </c>
      <c r="G1791" s="3" t="s">
        <v>8561</v>
      </c>
      <c r="H1791" s="3" t="s">
        <v>135</v>
      </c>
      <c r="I1791" s="3" t="s">
        <v>673</v>
      </c>
      <c r="J1791" s="3" t="s">
        <v>674</v>
      </c>
      <c r="K1791" s="3" t="s">
        <v>168</v>
      </c>
      <c r="L1791" s="3" t="s">
        <v>168</v>
      </c>
      <c r="M1791" s="3" t="s">
        <v>168</v>
      </c>
      <c r="N1791" s="3" t="s">
        <v>168</v>
      </c>
      <c r="O1791" s="3" t="s">
        <v>168</v>
      </c>
      <c r="P1791" s="3" t="s">
        <v>168</v>
      </c>
      <c r="Q1791" s="3" t="s">
        <v>168</v>
      </c>
      <c r="R1791" s="3" t="s">
        <v>168</v>
      </c>
      <c r="S1791" s="3" t="s">
        <v>168</v>
      </c>
      <c r="T1791" s="3" t="s">
        <v>168</v>
      </c>
      <c r="U1791" s="3">
        <v>120000</v>
      </c>
      <c r="V1791" s="4">
        <v>43749</v>
      </c>
      <c r="W1791" s="3" t="s">
        <v>31</v>
      </c>
      <c r="X1791" s="3" t="s">
        <v>8562</v>
      </c>
    </row>
    <row r="1792" spans="1:24" ht="27.95" x14ac:dyDescent="0.3">
      <c r="A1792" s="5">
        <v>1786</v>
      </c>
      <c r="B1792" s="5" t="str">
        <f>"201700115125"</f>
        <v>201700115125</v>
      </c>
      <c r="C1792" s="5" t="str">
        <f>"85127"</f>
        <v>85127</v>
      </c>
      <c r="D1792" s="5" t="s">
        <v>8563</v>
      </c>
      <c r="E1792" s="5">
        <v>20481101698</v>
      </c>
      <c r="F1792" s="5" t="s">
        <v>8564</v>
      </c>
      <c r="G1792" s="5" t="s">
        <v>8565</v>
      </c>
      <c r="H1792" s="5" t="s">
        <v>36</v>
      </c>
      <c r="I1792" s="5" t="s">
        <v>234</v>
      </c>
      <c r="J1792" s="5" t="s">
        <v>998</v>
      </c>
      <c r="K1792" s="5" t="s">
        <v>1182</v>
      </c>
      <c r="L1792" s="5"/>
      <c r="M1792" s="5"/>
      <c r="N1792" s="5"/>
      <c r="O1792" s="5"/>
      <c r="P1792" s="5"/>
      <c r="Q1792" s="5"/>
      <c r="R1792" s="5"/>
      <c r="S1792" s="5"/>
      <c r="T1792" s="5"/>
      <c r="U1792" s="5">
        <v>4000</v>
      </c>
      <c r="V1792" s="6">
        <v>42943</v>
      </c>
      <c r="W1792" s="5" t="s">
        <v>31</v>
      </c>
      <c r="X1792" s="5" t="s">
        <v>8566</v>
      </c>
    </row>
    <row r="1793" spans="1:24" x14ac:dyDescent="0.3">
      <c r="A1793" s="3">
        <v>1787</v>
      </c>
      <c r="B1793" s="3" t="str">
        <f>"201900110184"</f>
        <v>201900110184</v>
      </c>
      <c r="C1793" s="3" t="str">
        <f>"89629"</f>
        <v>89629</v>
      </c>
      <c r="D1793" s="3" t="s">
        <v>8567</v>
      </c>
      <c r="E1793" s="3">
        <v>20100182778</v>
      </c>
      <c r="F1793" s="3" t="s">
        <v>8568</v>
      </c>
      <c r="G1793" s="3" t="s">
        <v>8569</v>
      </c>
      <c r="H1793" s="3" t="s">
        <v>28</v>
      </c>
      <c r="I1793" s="3" t="s">
        <v>28</v>
      </c>
      <c r="J1793" s="3" t="s">
        <v>545</v>
      </c>
      <c r="K1793" s="3" t="s">
        <v>485</v>
      </c>
      <c r="L1793" s="3" t="s">
        <v>515</v>
      </c>
      <c r="M1793" s="3" t="s">
        <v>515</v>
      </c>
      <c r="N1793" s="3" t="s">
        <v>8570</v>
      </c>
      <c r="O1793" s="3" t="s">
        <v>8570</v>
      </c>
      <c r="P1793" s="3"/>
      <c r="Q1793" s="3"/>
      <c r="R1793" s="3"/>
      <c r="S1793" s="3"/>
      <c r="T1793" s="3"/>
      <c r="U1793" s="3">
        <v>11800</v>
      </c>
      <c r="V1793" s="4">
        <v>43657</v>
      </c>
      <c r="W1793" s="3" t="s">
        <v>31</v>
      </c>
      <c r="X1793" s="3" t="s">
        <v>8571</v>
      </c>
    </row>
    <row r="1794" spans="1:24" x14ac:dyDescent="0.3">
      <c r="A1794" s="5">
        <v>1788</v>
      </c>
      <c r="B1794" s="5" t="str">
        <f>"1864787"</f>
        <v>1864787</v>
      </c>
      <c r="C1794" s="5" t="str">
        <f>"991"</f>
        <v>991</v>
      </c>
      <c r="D1794" s="5" t="s">
        <v>8572</v>
      </c>
      <c r="E1794" s="5">
        <v>20105387858</v>
      </c>
      <c r="F1794" s="5" t="s">
        <v>8573</v>
      </c>
      <c r="G1794" s="5" t="s">
        <v>8574</v>
      </c>
      <c r="H1794" s="5" t="s">
        <v>80</v>
      </c>
      <c r="I1794" s="5" t="s">
        <v>80</v>
      </c>
      <c r="J1794" s="5" t="s">
        <v>80</v>
      </c>
      <c r="K1794" s="5" t="s">
        <v>8575</v>
      </c>
      <c r="L1794" s="5" t="s">
        <v>8576</v>
      </c>
      <c r="M1794" s="5"/>
      <c r="N1794" s="5"/>
      <c r="O1794" s="5"/>
      <c r="P1794" s="5"/>
      <c r="Q1794" s="5"/>
      <c r="R1794" s="5"/>
      <c r="S1794" s="5"/>
      <c r="T1794" s="5"/>
      <c r="U1794" s="5">
        <v>33534</v>
      </c>
      <c r="V1794" s="6">
        <v>39867</v>
      </c>
      <c r="W1794" s="5" t="s">
        <v>31</v>
      </c>
      <c r="X1794" s="5" t="s">
        <v>8577</v>
      </c>
    </row>
    <row r="1795" spans="1:24" x14ac:dyDescent="0.3">
      <c r="A1795" s="3">
        <v>1789</v>
      </c>
      <c r="B1795" s="3" t="str">
        <f>"201600184286"</f>
        <v>201600184286</v>
      </c>
      <c r="C1795" s="3" t="str">
        <f>"125507"</f>
        <v>125507</v>
      </c>
      <c r="D1795" s="3" t="s">
        <v>8578</v>
      </c>
      <c r="E1795" s="3">
        <v>20293718220</v>
      </c>
      <c r="F1795" s="3" t="s">
        <v>8579</v>
      </c>
      <c r="G1795" s="3" t="s">
        <v>8580</v>
      </c>
      <c r="H1795" s="3" t="s">
        <v>135</v>
      </c>
      <c r="I1795" s="3" t="s">
        <v>135</v>
      </c>
      <c r="J1795" s="3" t="s">
        <v>8581</v>
      </c>
      <c r="K1795" s="3" t="s">
        <v>130</v>
      </c>
      <c r="L1795" s="3"/>
      <c r="M1795" s="3"/>
      <c r="N1795" s="3"/>
      <c r="O1795" s="3"/>
      <c r="P1795" s="3"/>
      <c r="Q1795" s="3"/>
      <c r="R1795" s="3"/>
      <c r="S1795" s="3"/>
      <c r="T1795" s="3"/>
      <c r="U1795" s="3">
        <v>3000</v>
      </c>
      <c r="V1795" s="4">
        <v>42776</v>
      </c>
      <c r="W1795" s="3" t="s">
        <v>31</v>
      </c>
      <c r="X1795" s="3" t="s">
        <v>8582</v>
      </c>
    </row>
    <row r="1796" spans="1:24" ht="27.95" x14ac:dyDescent="0.3">
      <c r="A1796" s="5">
        <v>1790</v>
      </c>
      <c r="B1796" s="5" t="str">
        <f>"202000074444"</f>
        <v>202000074444</v>
      </c>
      <c r="C1796" s="5" t="str">
        <f>"20148"</f>
        <v>20148</v>
      </c>
      <c r="D1796" s="5" t="s">
        <v>8583</v>
      </c>
      <c r="E1796" s="5">
        <v>20600093739</v>
      </c>
      <c r="F1796" s="5" t="s">
        <v>8584</v>
      </c>
      <c r="G1796" s="5" t="s">
        <v>8585</v>
      </c>
      <c r="H1796" s="5" t="s">
        <v>36</v>
      </c>
      <c r="I1796" s="5" t="s">
        <v>37</v>
      </c>
      <c r="J1796" s="5" t="s">
        <v>4710</v>
      </c>
      <c r="K1796" s="5" t="s">
        <v>30</v>
      </c>
      <c r="L1796" s="5" t="s">
        <v>8586</v>
      </c>
      <c r="M1796" s="5" t="s">
        <v>30</v>
      </c>
      <c r="N1796" s="5" t="s">
        <v>734</v>
      </c>
      <c r="O1796" s="5"/>
      <c r="P1796" s="5"/>
      <c r="Q1796" s="5"/>
      <c r="R1796" s="5"/>
      <c r="S1796" s="5"/>
      <c r="T1796" s="5"/>
      <c r="U1796" s="5">
        <v>31200</v>
      </c>
      <c r="V1796" s="6">
        <v>44014</v>
      </c>
      <c r="W1796" s="5" t="s">
        <v>31</v>
      </c>
      <c r="X1796" s="5" t="s">
        <v>8587</v>
      </c>
    </row>
    <row r="1797" spans="1:24" x14ac:dyDescent="0.3">
      <c r="A1797" s="3">
        <v>1791</v>
      </c>
      <c r="B1797" s="3" t="str">
        <f>"201500115252"</f>
        <v>201500115252</v>
      </c>
      <c r="C1797" s="3" t="str">
        <f>"112093"</f>
        <v>112093</v>
      </c>
      <c r="D1797" s="3" t="s">
        <v>8588</v>
      </c>
      <c r="E1797" s="3">
        <v>20600050118</v>
      </c>
      <c r="F1797" s="3" t="s">
        <v>8589</v>
      </c>
      <c r="G1797" s="3" t="s">
        <v>8590</v>
      </c>
      <c r="H1797" s="3" t="s">
        <v>80</v>
      </c>
      <c r="I1797" s="3" t="s">
        <v>309</v>
      </c>
      <c r="J1797" s="3" t="s">
        <v>5492</v>
      </c>
      <c r="K1797" s="3" t="s">
        <v>8591</v>
      </c>
      <c r="L1797" s="3"/>
      <c r="M1797" s="3"/>
      <c r="N1797" s="3"/>
      <c r="O1797" s="3"/>
      <c r="P1797" s="3"/>
      <c r="Q1797" s="3"/>
      <c r="R1797" s="3"/>
      <c r="S1797" s="3"/>
      <c r="T1797" s="3"/>
      <c r="U1797" s="3">
        <v>18900</v>
      </c>
      <c r="V1797" s="4">
        <v>42249</v>
      </c>
      <c r="W1797" s="3" t="s">
        <v>31</v>
      </c>
      <c r="X1797" s="3" t="s">
        <v>8592</v>
      </c>
    </row>
    <row r="1798" spans="1:24" ht="27.95" x14ac:dyDescent="0.3">
      <c r="A1798" s="5">
        <v>1792</v>
      </c>
      <c r="B1798" s="5" t="str">
        <f>"201600187549"</f>
        <v>201600187549</v>
      </c>
      <c r="C1798" s="5" t="str">
        <f>"124488"</f>
        <v>124488</v>
      </c>
      <c r="D1798" s="5" t="s">
        <v>8593</v>
      </c>
      <c r="E1798" s="5">
        <v>20525828060</v>
      </c>
      <c r="F1798" s="5" t="s">
        <v>8594</v>
      </c>
      <c r="G1798" s="5" t="s">
        <v>8595</v>
      </c>
      <c r="H1798" s="5" t="s">
        <v>80</v>
      </c>
      <c r="I1798" s="5" t="s">
        <v>80</v>
      </c>
      <c r="J1798" s="5" t="s">
        <v>80</v>
      </c>
      <c r="K1798" s="5" t="s">
        <v>8596</v>
      </c>
      <c r="L1798" s="5" t="s">
        <v>8597</v>
      </c>
      <c r="M1798" s="5"/>
      <c r="N1798" s="5"/>
      <c r="O1798" s="5"/>
      <c r="P1798" s="5"/>
      <c r="Q1798" s="5"/>
      <c r="R1798" s="5"/>
      <c r="S1798" s="5"/>
      <c r="T1798" s="5"/>
      <c r="U1798" s="5">
        <v>6300</v>
      </c>
      <c r="V1798" s="6">
        <v>42733</v>
      </c>
      <c r="W1798" s="5" t="s">
        <v>31</v>
      </c>
      <c r="X1798" s="5" t="s">
        <v>8598</v>
      </c>
    </row>
    <row r="1799" spans="1:24" x14ac:dyDescent="0.3">
      <c r="A1799" s="3">
        <v>1793</v>
      </c>
      <c r="B1799" s="3" t="str">
        <f>"201700057006"</f>
        <v>201700057006</v>
      </c>
      <c r="C1799" s="3" t="str">
        <f>"127970"</f>
        <v>127970</v>
      </c>
      <c r="D1799" s="3" t="s">
        <v>8599</v>
      </c>
      <c r="E1799" s="3">
        <v>20555295406</v>
      </c>
      <c r="F1799" s="3" t="s">
        <v>8600</v>
      </c>
      <c r="G1799" s="3" t="s">
        <v>8601</v>
      </c>
      <c r="H1799" s="3" t="s">
        <v>51</v>
      </c>
      <c r="I1799" s="3" t="s">
        <v>316</v>
      </c>
      <c r="J1799" s="3" t="s">
        <v>4100</v>
      </c>
      <c r="K1799" s="3" t="s">
        <v>8602</v>
      </c>
      <c r="L1799" s="3"/>
      <c r="M1799" s="3"/>
      <c r="N1799" s="3"/>
      <c r="O1799" s="3"/>
      <c r="P1799" s="3"/>
      <c r="Q1799" s="3"/>
      <c r="R1799" s="3"/>
      <c r="S1799" s="3"/>
      <c r="T1799" s="3"/>
      <c r="U1799" s="3">
        <v>9464</v>
      </c>
      <c r="V1799" s="4">
        <v>42864</v>
      </c>
      <c r="W1799" s="3" t="s">
        <v>31</v>
      </c>
      <c r="X1799" s="3" t="s">
        <v>8603</v>
      </c>
    </row>
    <row r="1800" spans="1:24" x14ac:dyDescent="0.3">
      <c r="A1800" s="5">
        <v>1794</v>
      </c>
      <c r="B1800" s="5" t="str">
        <f>"1491717"</f>
        <v>1491717</v>
      </c>
      <c r="C1800" s="5" t="str">
        <f>"42455"</f>
        <v>42455</v>
      </c>
      <c r="D1800" s="5" t="s">
        <v>8604</v>
      </c>
      <c r="E1800" s="5">
        <v>20159473148</v>
      </c>
      <c r="F1800" s="5" t="s">
        <v>1048</v>
      </c>
      <c r="G1800" s="5" t="s">
        <v>8605</v>
      </c>
      <c r="H1800" s="5" t="s">
        <v>285</v>
      </c>
      <c r="I1800" s="5" t="s">
        <v>286</v>
      </c>
      <c r="J1800" s="5" t="s">
        <v>6746</v>
      </c>
      <c r="K1800" s="5" t="s">
        <v>8606</v>
      </c>
      <c r="L1800" s="5" t="s">
        <v>8607</v>
      </c>
      <c r="M1800" s="5"/>
      <c r="N1800" s="5"/>
      <c r="O1800" s="5"/>
      <c r="P1800" s="5"/>
      <c r="Q1800" s="5"/>
      <c r="R1800" s="5"/>
      <c r="S1800" s="5"/>
      <c r="T1800" s="5"/>
      <c r="U1800" s="5">
        <v>182684</v>
      </c>
      <c r="V1800" s="6">
        <v>40766</v>
      </c>
      <c r="W1800" s="5" t="s">
        <v>31</v>
      </c>
      <c r="X1800" s="5" t="s">
        <v>8608</v>
      </c>
    </row>
    <row r="1801" spans="1:24" x14ac:dyDescent="0.3">
      <c r="A1801" s="3">
        <v>1795</v>
      </c>
      <c r="B1801" s="3" t="str">
        <f>"1117276"</f>
        <v>1117276</v>
      </c>
      <c r="C1801" s="3" t="str">
        <f>"715"</f>
        <v>715</v>
      </c>
      <c r="D1801" s="3">
        <v>1007726</v>
      </c>
      <c r="E1801" s="3">
        <v>20136580052</v>
      </c>
      <c r="F1801" s="3" t="s">
        <v>8609</v>
      </c>
      <c r="G1801" s="3" t="s">
        <v>8610</v>
      </c>
      <c r="H1801" s="3" t="s">
        <v>115</v>
      </c>
      <c r="I1801" s="3" t="s">
        <v>115</v>
      </c>
      <c r="J1801" s="3" t="s">
        <v>159</v>
      </c>
      <c r="K1801" s="3" t="s">
        <v>1872</v>
      </c>
      <c r="L1801" s="3" t="s">
        <v>1872</v>
      </c>
      <c r="M1801" s="3"/>
      <c r="N1801" s="3"/>
      <c r="O1801" s="3"/>
      <c r="P1801" s="3"/>
      <c r="Q1801" s="3"/>
      <c r="R1801" s="3"/>
      <c r="S1801" s="3"/>
      <c r="T1801" s="3"/>
      <c r="U1801" s="3">
        <v>10000</v>
      </c>
      <c r="V1801" s="4">
        <v>35562</v>
      </c>
      <c r="W1801" s="3" t="s">
        <v>31</v>
      </c>
      <c r="X1801" s="3" t="s">
        <v>8611</v>
      </c>
    </row>
    <row r="1802" spans="1:24" ht="41.95" x14ac:dyDescent="0.3">
      <c r="A1802" s="5">
        <v>1796</v>
      </c>
      <c r="B1802" s="5" t="str">
        <f>"201800189692"</f>
        <v>201800189692</v>
      </c>
      <c r="C1802" s="5" t="str">
        <f>"139664"</f>
        <v>139664</v>
      </c>
      <c r="D1802" s="5" t="s">
        <v>8612</v>
      </c>
      <c r="E1802" s="5">
        <v>20433434324</v>
      </c>
      <c r="F1802" s="5" t="s">
        <v>8613</v>
      </c>
      <c r="G1802" s="5" t="s">
        <v>8614</v>
      </c>
      <c r="H1802" s="5" t="s">
        <v>285</v>
      </c>
      <c r="I1802" s="5" t="s">
        <v>286</v>
      </c>
      <c r="J1802" s="5" t="s">
        <v>1512</v>
      </c>
      <c r="K1802" s="5" t="s">
        <v>92</v>
      </c>
      <c r="L1802" s="5"/>
      <c r="M1802" s="5"/>
      <c r="N1802" s="5"/>
      <c r="O1802" s="5"/>
      <c r="P1802" s="5"/>
      <c r="Q1802" s="5"/>
      <c r="R1802" s="5"/>
      <c r="S1802" s="5"/>
      <c r="T1802" s="5"/>
      <c r="U1802" s="5">
        <v>500</v>
      </c>
      <c r="V1802" s="6">
        <v>43423</v>
      </c>
      <c r="W1802" s="5" t="s">
        <v>31</v>
      </c>
      <c r="X1802" s="5" t="s">
        <v>8615</v>
      </c>
    </row>
    <row r="1803" spans="1:24" ht="27.95" x14ac:dyDescent="0.3">
      <c r="A1803" s="3">
        <v>1797</v>
      </c>
      <c r="B1803" s="3" t="str">
        <f>"1331784"</f>
        <v>1331784</v>
      </c>
      <c r="C1803" s="3" t="str">
        <f>"21173"</f>
        <v>21173</v>
      </c>
      <c r="D1803" s="3" t="s">
        <v>8616</v>
      </c>
      <c r="E1803" s="3">
        <v>20277472300</v>
      </c>
      <c r="F1803" s="3" t="s">
        <v>8617</v>
      </c>
      <c r="G1803" s="3" t="s">
        <v>8618</v>
      </c>
      <c r="H1803" s="3" t="s">
        <v>80</v>
      </c>
      <c r="I1803" s="3" t="s">
        <v>309</v>
      </c>
      <c r="J1803" s="3" t="s">
        <v>309</v>
      </c>
      <c r="K1803" s="3" t="s">
        <v>46</v>
      </c>
      <c r="L1803" s="3" t="s">
        <v>8619</v>
      </c>
      <c r="M1803" s="3"/>
      <c r="N1803" s="3"/>
      <c r="O1803" s="3"/>
      <c r="P1803" s="3"/>
      <c r="Q1803" s="3"/>
      <c r="R1803" s="3"/>
      <c r="S1803" s="3"/>
      <c r="T1803" s="3"/>
      <c r="U1803" s="3">
        <v>21000</v>
      </c>
      <c r="V1803" s="4">
        <v>37116</v>
      </c>
      <c r="W1803" s="3" t="s">
        <v>31</v>
      </c>
      <c r="X1803" s="3" t="s">
        <v>8620</v>
      </c>
    </row>
    <row r="1804" spans="1:24" ht="41.95" x14ac:dyDescent="0.3">
      <c r="A1804" s="5">
        <v>1798</v>
      </c>
      <c r="B1804" s="5" t="str">
        <f>"1500341"</f>
        <v>1500341</v>
      </c>
      <c r="C1804" s="5" t="str">
        <f>"93660"</f>
        <v>93660</v>
      </c>
      <c r="D1804" s="5" t="s">
        <v>8621</v>
      </c>
      <c r="E1804" s="5">
        <v>20473199514</v>
      </c>
      <c r="F1804" s="5" t="s">
        <v>8622</v>
      </c>
      <c r="G1804" s="5" t="s">
        <v>8623</v>
      </c>
      <c r="H1804" s="5" t="s">
        <v>28</v>
      </c>
      <c r="I1804" s="5" t="s">
        <v>72</v>
      </c>
      <c r="J1804" s="5" t="s">
        <v>322</v>
      </c>
      <c r="K1804" s="5" t="s">
        <v>130</v>
      </c>
      <c r="L1804" s="5"/>
      <c r="M1804" s="5"/>
      <c r="N1804" s="5"/>
      <c r="O1804" s="5"/>
      <c r="P1804" s="5"/>
      <c r="Q1804" s="5"/>
      <c r="R1804" s="5"/>
      <c r="S1804" s="5"/>
      <c r="T1804" s="5"/>
      <c r="U1804" s="5">
        <v>3000</v>
      </c>
      <c r="V1804" s="6">
        <v>40798</v>
      </c>
      <c r="W1804" s="5" t="s">
        <v>31</v>
      </c>
      <c r="X1804" s="5" t="s">
        <v>8624</v>
      </c>
    </row>
    <row r="1805" spans="1:24" x14ac:dyDescent="0.3">
      <c r="A1805" s="3">
        <v>1799</v>
      </c>
      <c r="B1805" s="3" t="str">
        <f>"201700180503"</f>
        <v>201700180503</v>
      </c>
      <c r="C1805" s="3" t="str">
        <f>"93180"</f>
        <v>93180</v>
      </c>
      <c r="D1805" s="3" t="s">
        <v>8625</v>
      </c>
      <c r="E1805" s="3">
        <v>20600581768</v>
      </c>
      <c r="F1805" s="3" t="s">
        <v>8626</v>
      </c>
      <c r="G1805" s="3" t="s">
        <v>8627</v>
      </c>
      <c r="H1805" s="3" t="s">
        <v>115</v>
      </c>
      <c r="I1805" s="3" t="s">
        <v>115</v>
      </c>
      <c r="J1805" s="3" t="s">
        <v>159</v>
      </c>
      <c r="K1805" s="3" t="s">
        <v>972</v>
      </c>
      <c r="L1805" s="3"/>
      <c r="M1805" s="3"/>
      <c r="N1805" s="3"/>
      <c r="O1805" s="3"/>
      <c r="P1805" s="3"/>
      <c r="Q1805" s="3"/>
      <c r="R1805" s="3"/>
      <c r="S1805" s="3"/>
      <c r="T1805" s="3"/>
      <c r="U1805" s="3">
        <v>8000</v>
      </c>
      <c r="V1805" s="4">
        <v>43046</v>
      </c>
      <c r="W1805" s="3" t="s">
        <v>31</v>
      </c>
      <c r="X1805" s="3" t="s">
        <v>8628</v>
      </c>
    </row>
    <row r="1806" spans="1:24" ht="27.95" x14ac:dyDescent="0.3">
      <c r="A1806" s="5">
        <v>1800</v>
      </c>
      <c r="B1806" s="5" t="str">
        <f>"201900066259"</f>
        <v>201900066259</v>
      </c>
      <c r="C1806" s="5" t="str">
        <f>"142814"</f>
        <v>142814</v>
      </c>
      <c r="D1806" s="5" t="s">
        <v>8629</v>
      </c>
      <c r="E1806" s="5">
        <v>20400899852</v>
      </c>
      <c r="F1806" s="5" t="s">
        <v>8630</v>
      </c>
      <c r="G1806" s="5" t="s">
        <v>8631</v>
      </c>
      <c r="H1806" s="5" t="s">
        <v>214</v>
      </c>
      <c r="I1806" s="5" t="s">
        <v>214</v>
      </c>
      <c r="J1806" s="5" t="s">
        <v>6813</v>
      </c>
      <c r="K1806" s="5" t="s">
        <v>2410</v>
      </c>
      <c r="L1806" s="5"/>
      <c r="M1806" s="5"/>
      <c r="N1806" s="5"/>
      <c r="O1806" s="5"/>
      <c r="P1806" s="5"/>
      <c r="Q1806" s="5"/>
      <c r="R1806" s="5"/>
      <c r="S1806" s="5"/>
      <c r="T1806" s="5"/>
      <c r="U1806" s="5">
        <v>5200</v>
      </c>
      <c r="V1806" s="6">
        <v>43580</v>
      </c>
      <c r="W1806" s="5" t="s">
        <v>31</v>
      </c>
      <c r="X1806" s="5" t="s">
        <v>8632</v>
      </c>
    </row>
    <row r="1807" spans="1:24" x14ac:dyDescent="0.3">
      <c r="A1807" s="3">
        <v>1801</v>
      </c>
      <c r="B1807" s="3" t="str">
        <f>"201800195789"</f>
        <v>201800195789</v>
      </c>
      <c r="C1807" s="3" t="str">
        <f>"38161"</f>
        <v>38161</v>
      </c>
      <c r="D1807" s="3" t="s">
        <v>8633</v>
      </c>
      <c r="E1807" s="3">
        <v>20602221505</v>
      </c>
      <c r="F1807" s="3" t="s">
        <v>4846</v>
      </c>
      <c r="G1807" s="3" t="s">
        <v>8634</v>
      </c>
      <c r="H1807" s="3" t="s">
        <v>28</v>
      </c>
      <c r="I1807" s="3" t="s">
        <v>28</v>
      </c>
      <c r="J1807" s="3" t="s">
        <v>661</v>
      </c>
      <c r="K1807" s="3" t="s">
        <v>1074</v>
      </c>
      <c r="L1807" s="3"/>
      <c r="M1807" s="3"/>
      <c r="N1807" s="3"/>
      <c r="O1807" s="3"/>
      <c r="P1807" s="3"/>
      <c r="Q1807" s="3"/>
      <c r="R1807" s="3"/>
      <c r="S1807" s="3"/>
      <c r="T1807" s="3"/>
      <c r="U1807" s="3">
        <v>3500</v>
      </c>
      <c r="V1807" s="4">
        <v>43431</v>
      </c>
      <c r="W1807" s="3" t="s">
        <v>31</v>
      </c>
      <c r="X1807" s="3" t="s">
        <v>4848</v>
      </c>
    </row>
    <row r="1808" spans="1:24" x14ac:dyDescent="0.3">
      <c r="A1808" s="5">
        <v>1802</v>
      </c>
      <c r="B1808" s="5" t="str">
        <f>"201500141809"</f>
        <v>201500141809</v>
      </c>
      <c r="C1808" s="5" t="str">
        <f>"82290"</f>
        <v>82290</v>
      </c>
      <c r="D1808" s="5" t="s">
        <v>8635</v>
      </c>
      <c r="E1808" s="5">
        <v>20100012856</v>
      </c>
      <c r="F1808" s="5" t="s">
        <v>8636</v>
      </c>
      <c r="G1808" s="5" t="s">
        <v>8637</v>
      </c>
      <c r="H1808" s="5" t="s">
        <v>115</v>
      </c>
      <c r="I1808" s="5" t="s">
        <v>115</v>
      </c>
      <c r="J1808" s="5" t="s">
        <v>159</v>
      </c>
      <c r="K1808" s="5" t="s">
        <v>707</v>
      </c>
      <c r="L1808" s="5" t="s">
        <v>130</v>
      </c>
      <c r="M1808" s="5" t="s">
        <v>5037</v>
      </c>
      <c r="N1808" s="5" t="s">
        <v>130</v>
      </c>
      <c r="O1808" s="5"/>
      <c r="P1808" s="5"/>
      <c r="Q1808" s="5"/>
      <c r="R1808" s="5"/>
      <c r="S1808" s="5"/>
      <c r="T1808" s="5"/>
      <c r="U1808" s="5">
        <v>14000</v>
      </c>
      <c r="V1808" s="6">
        <v>42310</v>
      </c>
      <c r="W1808" s="5" t="s">
        <v>31</v>
      </c>
      <c r="X1808" s="5" t="s">
        <v>8638</v>
      </c>
    </row>
    <row r="1809" spans="1:24" x14ac:dyDescent="0.3">
      <c r="A1809" s="3">
        <v>1803</v>
      </c>
      <c r="B1809" s="3" t="str">
        <f>"201200218078"</f>
        <v>201200218078</v>
      </c>
      <c r="C1809" s="3" t="str">
        <f>"88164"</f>
        <v>88164</v>
      </c>
      <c r="D1809" s="3" t="s">
        <v>8639</v>
      </c>
      <c r="E1809" s="3">
        <v>20419387658</v>
      </c>
      <c r="F1809" s="3" t="s">
        <v>2119</v>
      </c>
      <c r="G1809" s="3" t="s">
        <v>8640</v>
      </c>
      <c r="H1809" s="3" t="s">
        <v>36</v>
      </c>
      <c r="I1809" s="3" t="s">
        <v>465</v>
      </c>
      <c r="J1809" s="3" t="s">
        <v>465</v>
      </c>
      <c r="K1809" s="3" t="s">
        <v>8641</v>
      </c>
      <c r="L1809" s="3" t="s">
        <v>8641</v>
      </c>
      <c r="M1809" s="3"/>
      <c r="N1809" s="3"/>
      <c r="O1809" s="3"/>
      <c r="P1809" s="3"/>
      <c r="Q1809" s="3"/>
      <c r="R1809" s="3"/>
      <c r="S1809" s="3"/>
      <c r="T1809" s="3"/>
      <c r="U1809" s="3">
        <v>52834</v>
      </c>
      <c r="V1809" s="4">
        <v>41261</v>
      </c>
      <c r="W1809" s="3" t="s">
        <v>31</v>
      </c>
      <c r="X1809" s="3" t="s">
        <v>2258</v>
      </c>
    </row>
    <row r="1810" spans="1:24" ht="27.95" x14ac:dyDescent="0.3">
      <c r="A1810" s="5">
        <v>1804</v>
      </c>
      <c r="B1810" s="5" t="str">
        <f>"201400128197"</f>
        <v>201400128197</v>
      </c>
      <c r="C1810" s="5" t="str">
        <f>"92481"</f>
        <v>92481</v>
      </c>
      <c r="D1810" s="5" t="s">
        <v>8642</v>
      </c>
      <c r="E1810" s="5">
        <v>20527397309</v>
      </c>
      <c r="F1810" s="5" t="s">
        <v>8643</v>
      </c>
      <c r="G1810" s="5" t="s">
        <v>8644</v>
      </c>
      <c r="H1810" s="5" t="s">
        <v>165</v>
      </c>
      <c r="I1810" s="5" t="s">
        <v>166</v>
      </c>
      <c r="J1810" s="5" t="s">
        <v>167</v>
      </c>
      <c r="K1810" s="5" t="s">
        <v>2244</v>
      </c>
      <c r="L1810" s="5" t="s">
        <v>2244</v>
      </c>
      <c r="M1810" s="5"/>
      <c r="N1810" s="5"/>
      <c r="O1810" s="5"/>
      <c r="P1810" s="5"/>
      <c r="Q1810" s="5"/>
      <c r="R1810" s="5"/>
      <c r="S1810" s="5"/>
      <c r="T1810" s="5"/>
      <c r="U1810" s="5">
        <v>7400</v>
      </c>
      <c r="V1810" s="6">
        <v>41923</v>
      </c>
      <c r="W1810" s="5" t="s">
        <v>31</v>
      </c>
      <c r="X1810" s="5" t="s">
        <v>8645</v>
      </c>
    </row>
    <row r="1811" spans="1:24" x14ac:dyDescent="0.3">
      <c r="A1811" s="3">
        <v>1805</v>
      </c>
      <c r="B1811" s="3" t="str">
        <f>"201600074395"</f>
        <v>201600074395</v>
      </c>
      <c r="C1811" s="3" t="str">
        <f>"121250"</f>
        <v>121250</v>
      </c>
      <c r="D1811" s="3" t="s">
        <v>8646</v>
      </c>
      <c r="E1811" s="3">
        <v>20490361911</v>
      </c>
      <c r="F1811" s="3" t="s">
        <v>8647</v>
      </c>
      <c r="G1811" s="3" t="s">
        <v>8648</v>
      </c>
      <c r="H1811" s="3" t="s">
        <v>165</v>
      </c>
      <c r="I1811" s="3" t="s">
        <v>166</v>
      </c>
      <c r="J1811" s="3" t="s">
        <v>167</v>
      </c>
      <c r="K1811" s="3" t="s">
        <v>4378</v>
      </c>
      <c r="L1811" s="3" t="s">
        <v>8649</v>
      </c>
      <c r="M1811" s="3"/>
      <c r="N1811" s="3"/>
      <c r="O1811" s="3"/>
      <c r="P1811" s="3"/>
      <c r="Q1811" s="3"/>
      <c r="R1811" s="3"/>
      <c r="S1811" s="3"/>
      <c r="T1811" s="3"/>
      <c r="U1811" s="3">
        <v>10200</v>
      </c>
      <c r="V1811" s="4">
        <v>42508</v>
      </c>
      <c r="W1811" s="3" t="s">
        <v>31</v>
      </c>
      <c r="X1811" s="3" t="s">
        <v>3731</v>
      </c>
    </row>
    <row r="1812" spans="1:24" x14ac:dyDescent="0.3">
      <c r="A1812" s="5">
        <v>1806</v>
      </c>
      <c r="B1812" s="5" t="str">
        <f>"1797971"</f>
        <v>1797971</v>
      </c>
      <c r="C1812" s="5" t="str">
        <f>"63198"</f>
        <v>63198</v>
      </c>
      <c r="D1812" s="5" t="s">
        <v>8650</v>
      </c>
      <c r="E1812" s="5">
        <v>20385793473</v>
      </c>
      <c r="F1812" s="5" t="s">
        <v>8651</v>
      </c>
      <c r="G1812" s="5" t="s">
        <v>8652</v>
      </c>
      <c r="H1812" s="5" t="s">
        <v>28</v>
      </c>
      <c r="I1812" s="5" t="s">
        <v>28</v>
      </c>
      <c r="J1812" s="5" t="s">
        <v>109</v>
      </c>
      <c r="K1812" s="5" t="s">
        <v>8653</v>
      </c>
      <c r="L1812" s="5"/>
      <c r="M1812" s="5"/>
      <c r="N1812" s="5"/>
      <c r="O1812" s="5"/>
      <c r="P1812" s="5"/>
      <c r="Q1812" s="5"/>
      <c r="R1812" s="5"/>
      <c r="S1812" s="5"/>
      <c r="T1812" s="5"/>
      <c r="U1812" s="5">
        <v>715</v>
      </c>
      <c r="V1812" s="6">
        <v>39640</v>
      </c>
      <c r="W1812" s="5" t="s">
        <v>31</v>
      </c>
      <c r="X1812" s="5" t="s">
        <v>8654</v>
      </c>
    </row>
    <row r="1813" spans="1:24" x14ac:dyDescent="0.3">
      <c r="A1813" s="3">
        <v>1807</v>
      </c>
      <c r="B1813" s="3" t="str">
        <f>"201200072866"</f>
        <v>201200072866</v>
      </c>
      <c r="C1813" s="3" t="str">
        <f>"96538"</f>
        <v>96538</v>
      </c>
      <c r="D1813" s="3" t="s">
        <v>8655</v>
      </c>
      <c r="E1813" s="3">
        <v>20501580474</v>
      </c>
      <c r="F1813" s="3" t="s">
        <v>8656</v>
      </c>
      <c r="G1813" s="3" t="s">
        <v>8657</v>
      </c>
      <c r="H1813" s="3" t="s">
        <v>28</v>
      </c>
      <c r="I1813" s="3" t="s">
        <v>28</v>
      </c>
      <c r="J1813" s="3" t="s">
        <v>501</v>
      </c>
      <c r="K1813" s="3" t="s">
        <v>8658</v>
      </c>
      <c r="L1813" s="3"/>
      <c r="M1813" s="3"/>
      <c r="N1813" s="3"/>
      <c r="O1813" s="3"/>
      <c r="P1813" s="3"/>
      <c r="Q1813" s="3"/>
      <c r="R1813" s="3"/>
      <c r="S1813" s="3"/>
      <c r="T1813" s="3"/>
      <c r="U1813" s="3">
        <v>4147</v>
      </c>
      <c r="V1813" s="4">
        <v>41055</v>
      </c>
      <c r="W1813" s="3" t="s">
        <v>31</v>
      </c>
      <c r="X1813" s="3" t="s">
        <v>8659</v>
      </c>
    </row>
    <row r="1814" spans="1:24" ht="27.95" x14ac:dyDescent="0.3">
      <c r="A1814" s="5">
        <v>1808</v>
      </c>
      <c r="B1814" s="5" t="str">
        <f>"1310830"</f>
        <v>1310830</v>
      </c>
      <c r="C1814" s="5" t="str">
        <f>"20183"</f>
        <v>20183</v>
      </c>
      <c r="D1814" s="5" t="s">
        <v>8660</v>
      </c>
      <c r="E1814" s="5">
        <v>20167341447</v>
      </c>
      <c r="F1814" s="5" t="s">
        <v>8661</v>
      </c>
      <c r="G1814" s="5" t="s">
        <v>8662</v>
      </c>
      <c r="H1814" s="5" t="s">
        <v>28</v>
      </c>
      <c r="I1814" s="5" t="s">
        <v>28</v>
      </c>
      <c r="J1814" s="5" t="s">
        <v>29</v>
      </c>
      <c r="K1814" s="5" t="s">
        <v>3803</v>
      </c>
      <c r="L1814" s="5"/>
      <c r="M1814" s="5"/>
      <c r="N1814" s="5"/>
      <c r="O1814" s="5"/>
      <c r="P1814" s="5"/>
      <c r="Q1814" s="5"/>
      <c r="R1814" s="5"/>
      <c r="S1814" s="5"/>
      <c r="T1814" s="5"/>
      <c r="U1814" s="5">
        <v>3700</v>
      </c>
      <c r="V1814" s="6">
        <v>36937</v>
      </c>
      <c r="W1814" s="5" t="s">
        <v>31</v>
      </c>
      <c r="X1814" s="5" t="s">
        <v>8663</v>
      </c>
    </row>
    <row r="1815" spans="1:24" ht="27.95" x14ac:dyDescent="0.3">
      <c r="A1815" s="3">
        <v>1809</v>
      </c>
      <c r="B1815" s="3" t="str">
        <f>"201200124290"</f>
        <v>201200124290</v>
      </c>
      <c r="C1815" s="3" t="str">
        <f>"90627"</f>
        <v>90627</v>
      </c>
      <c r="D1815" s="3" t="s">
        <v>8664</v>
      </c>
      <c r="E1815" s="3">
        <v>20100053455</v>
      </c>
      <c r="F1815" s="3" t="s">
        <v>8665</v>
      </c>
      <c r="G1815" s="3" t="s">
        <v>8666</v>
      </c>
      <c r="H1815" s="3" t="s">
        <v>28</v>
      </c>
      <c r="I1815" s="3" t="s">
        <v>28</v>
      </c>
      <c r="J1815" s="3" t="s">
        <v>266</v>
      </c>
      <c r="K1815" s="3" t="s">
        <v>2249</v>
      </c>
      <c r="L1815" s="3"/>
      <c r="M1815" s="3"/>
      <c r="N1815" s="3"/>
      <c r="O1815" s="3"/>
      <c r="P1815" s="3"/>
      <c r="Q1815" s="3"/>
      <c r="R1815" s="3"/>
      <c r="S1815" s="3"/>
      <c r="T1815" s="3"/>
      <c r="U1815" s="3">
        <v>3900</v>
      </c>
      <c r="V1815" s="4">
        <v>41114</v>
      </c>
      <c r="W1815" s="3" t="s">
        <v>31</v>
      </c>
      <c r="X1815" s="3" t="s">
        <v>8667</v>
      </c>
    </row>
    <row r="1816" spans="1:24" ht="27.95" x14ac:dyDescent="0.3">
      <c r="A1816" s="5">
        <v>1810</v>
      </c>
      <c r="B1816" s="5" t="str">
        <f>"201200219514"</f>
        <v>201200219514</v>
      </c>
      <c r="C1816" s="5" t="str">
        <f>"41634"</f>
        <v>41634</v>
      </c>
      <c r="D1816" s="5" t="s">
        <v>8668</v>
      </c>
      <c r="E1816" s="5">
        <v>20123356366</v>
      </c>
      <c r="F1816" s="5" t="s">
        <v>7911</v>
      </c>
      <c r="G1816" s="5" t="s">
        <v>8669</v>
      </c>
      <c r="H1816" s="5" t="s">
        <v>28</v>
      </c>
      <c r="I1816" s="5" t="s">
        <v>28</v>
      </c>
      <c r="J1816" s="5" t="s">
        <v>687</v>
      </c>
      <c r="K1816" s="5" t="s">
        <v>181</v>
      </c>
      <c r="L1816" s="5"/>
      <c r="M1816" s="5"/>
      <c r="N1816" s="5"/>
      <c r="O1816" s="5"/>
      <c r="P1816" s="5"/>
      <c r="Q1816" s="5"/>
      <c r="R1816" s="5"/>
      <c r="S1816" s="5"/>
      <c r="T1816" s="5"/>
      <c r="U1816" s="5">
        <v>5000</v>
      </c>
      <c r="V1816" s="6">
        <v>41261</v>
      </c>
      <c r="W1816" s="5" t="s">
        <v>31</v>
      </c>
      <c r="X1816" s="5" t="s">
        <v>7913</v>
      </c>
    </row>
    <row r="1817" spans="1:24" x14ac:dyDescent="0.3">
      <c r="A1817" s="3">
        <v>1811</v>
      </c>
      <c r="B1817" s="3" t="str">
        <f>"1396898"</f>
        <v>1396898</v>
      </c>
      <c r="C1817" s="3" t="str">
        <f>"33656"</f>
        <v>33656</v>
      </c>
      <c r="D1817" s="3" t="s">
        <v>8670</v>
      </c>
      <c r="E1817" s="3">
        <v>20103859621</v>
      </c>
      <c r="F1817" s="3" t="s">
        <v>8671</v>
      </c>
      <c r="G1817" s="3" t="s">
        <v>8672</v>
      </c>
      <c r="H1817" s="3" t="s">
        <v>58</v>
      </c>
      <c r="I1817" s="3" t="s">
        <v>59</v>
      </c>
      <c r="J1817" s="3" t="s">
        <v>2573</v>
      </c>
      <c r="K1817" s="3" t="s">
        <v>8673</v>
      </c>
      <c r="L1817" s="3"/>
      <c r="M1817" s="3"/>
      <c r="N1817" s="3"/>
      <c r="O1817" s="3"/>
      <c r="P1817" s="3"/>
      <c r="Q1817" s="3"/>
      <c r="R1817" s="3"/>
      <c r="S1817" s="3"/>
      <c r="T1817" s="3"/>
      <c r="U1817" s="3">
        <v>4270</v>
      </c>
      <c r="V1817" s="4">
        <v>37650</v>
      </c>
      <c r="W1817" s="3" t="s">
        <v>31</v>
      </c>
      <c r="X1817" s="3" t="s">
        <v>8674</v>
      </c>
    </row>
    <row r="1818" spans="1:24" ht="27.95" x14ac:dyDescent="0.3">
      <c r="A1818" s="5">
        <v>1812</v>
      </c>
      <c r="B1818" s="5" t="str">
        <f>"201900171814"</f>
        <v>201900171814</v>
      </c>
      <c r="C1818" s="5" t="str">
        <f>"147271"</f>
        <v>147271</v>
      </c>
      <c r="D1818" s="5" t="s">
        <v>8675</v>
      </c>
      <c r="E1818" s="5">
        <v>20126717769</v>
      </c>
      <c r="F1818" s="5" t="s">
        <v>8676</v>
      </c>
      <c r="G1818" s="5" t="s">
        <v>8677</v>
      </c>
      <c r="H1818" s="5" t="s">
        <v>28</v>
      </c>
      <c r="I1818" s="5" t="s">
        <v>28</v>
      </c>
      <c r="J1818" s="5" t="s">
        <v>436</v>
      </c>
      <c r="K1818" s="5" t="s">
        <v>130</v>
      </c>
      <c r="L1818" s="5"/>
      <c r="M1818" s="5"/>
      <c r="N1818" s="5"/>
      <c r="O1818" s="5"/>
      <c r="P1818" s="5"/>
      <c r="Q1818" s="5"/>
      <c r="R1818" s="5"/>
      <c r="S1818" s="5"/>
      <c r="T1818" s="5"/>
      <c r="U1818" s="5">
        <v>3000</v>
      </c>
      <c r="V1818" s="6">
        <v>43762</v>
      </c>
      <c r="W1818" s="5" t="s">
        <v>31</v>
      </c>
      <c r="X1818" s="5" t="s">
        <v>8678</v>
      </c>
    </row>
    <row r="1819" spans="1:24" ht="27.95" x14ac:dyDescent="0.3">
      <c r="A1819" s="3">
        <v>1813</v>
      </c>
      <c r="B1819" s="3" t="str">
        <f>"201900039069"</f>
        <v>201900039069</v>
      </c>
      <c r="C1819" s="3" t="str">
        <f>"306"</f>
        <v>306</v>
      </c>
      <c r="D1819" s="3" t="s">
        <v>8679</v>
      </c>
      <c r="E1819" s="3">
        <v>20100227461</v>
      </c>
      <c r="F1819" s="3" t="s">
        <v>6698</v>
      </c>
      <c r="G1819" s="3" t="s">
        <v>8680</v>
      </c>
      <c r="H1819" s="3" t="s">
        <v>28</v>
      </c>
      <c r="I1819" s="3" t="s">
        <v>28</v>
      </c>
      <c r="J1819" s="3" t="s">
        <v>545</v>
      </c>
      <c r="K1819" s="3" t="s">
        <v>168</v>
      </c>
      <c r="L1819" s="3" t="s">
        <v>8681</v>
      </c>
      <c r="M1819" s="3"/>
      <c r="N1819" s="3"/>
      <c r="O1819" s="3"/>
      <c r="P1819" s="3"/>
      <c r="Q1819" s="3"/>
      <c r="R1819" s="3"/>
      <c r="S1819" s="3"/>
      <c r="T1819" s="3"/>
      <c r="U1819" s="3">
        <v>18900</v>
      </c>
      <c r="V1819" s="4">
        <v>43537</v>
      </c>
      <c r="W1819" s="3" t="s">
        <v>31</v>
      </c>
      <c r="X1819" s="3" t="s">
        <v>8682</v>
      </c>
    </row>
    <row r="1820" spans="1:24" ht="27.95" x14ac:dyDescent="0.3">
      <c r="A1820" s="5">
        <v>1814</v>
      </c>
      <c r="B1820" s="5" t="str">
        <f>"1947303"</f>
        <v>1947303</v>
      </c>
      <c r="C1820" s="5" t="str">
        <f>"63029"</f>
        <v>63029</v>
      </c>
      <c r="D1820" s="5" t="s">
        <v>8683</v>
      </c>
      <c r="E1820" s="5">
        <v>20515540785</v>
      </c>
      <c r="F1820" s="5" t="s">
        <v>8684</v>
      </c>
      <c r="G1820" s="5" t="s">
        <v>8685</v>
      </c>
      <c r="H1820" s="5" t="s">
        <v>28</v>
      </c>
      <c r="I1820" s="5" t="s">
        <v>28</v>
      </c>
      <c r="J1820" s="5" t="s">
        <v>172</v>
      </c>
      <c r="K1820" s="5" t="s">
        <v>1554</v>
      </c>
      <c r="L1820" s="5" t="s">
        <v>8686</v>
      </c>
      <c r="M1820" s="5" t="s">
        <v>4855</v>
      </c>
      <c r="N1820" s="5"/>
      <c r="O1820" s="5"/>
      <c r="P1820" s="5"/>
      <c r="Q1820" s="5"/>
      <c r="R1820" s="5"/>
      <c r="S1820" s="5"/>
      <c r="T1820" s="5"/>
      <c r="U1820" s="5">
        <v>3245</v>
      </c>
      <c r="V1820" s="6">
        <v>40184</v>
      </c>
      <c r="W1820" s="5" t="s">
        <v>31</v>
      </c>
      <c r="X1820" s="5" t="s">
        <v>8687</v>
      </c>
    </row>
    <row r="1821" spans="1:24" x14ac:dyDescent="0.3">
      <c r="A1821" s="3">
        <v>1815</v>
      </c>
      <c r="B1821" s="3" t="str">
        <f>"202000134795"</f>
        <v>202000134795</v>
      </c>
      <c r="C1821" s="3" t="str">
        <f>"34348"</f>
        <v>34348</v>
      </c>
      <c r="D1821" s="3" t="s">
        <v>8688</v>
      </c>
      <c r="E1821" s="3">
        <v>20119546851</v>
      </c>
      <c r="F1821" s="3" t="s">
        <v>8689</v>
      </c>
      <c r="G1821" s="3" t="s">
        <v>8690</v>
      </c>
      <c r="H1821" s="3" t="s">
        <v>769</v>
      </c>
      <c r="I1821" s="3" t="s">
        <v>769</v>
      </c>
      <c r="J1821" s="3" t="s">
        <v>8691</v>
      </c>
      <c r="K1821" s="3" t="s">
        <v>2249</v>
      </c>
      <c r="L1821" s="3" t="s">
        <v>3608</v>
      </c>
      <c r="M1821" s="3" t="s">
        <v>3608</v>
      </c>
      <c r="N1821" s="3" t="s">
        <v>2249</v>
      </c>
      <c r="O1821" s="3"/>
      <c r="P1821" s="3"/>
      <c r="Q1821" s="3"/>
      <c r="R1821" s="3"/>
      <c r="S1821" s="3"/>
      <c r="T1821" s="3"/>
      <c r="U1821" s="3">
        <v>17900</v>
      </c>
      <c r="V1821" s="4">
        <v>44111</v>
      </c>
      <c r="W1821" s="3" t="s">
        <v>31</v>
      </c>
      <c r="X1821" s="3" t="s">
        <v>8692</v>
      </c>
    </row>
    <row r="1822" spans="1:24" ht="27.95" x14ac:dyDescent="0.3">
      <c r="A1822" s="5">
        <v>1816</v>
      </c>
      <c r="B1822" s="5" t="str">
        <f>"1151724"</f>
        <v>1151724</v>
      </c>
      <c r="C1822" s="5" t="str">
        <f>"303"</f>
        <v>303</v>
      </c>
      <c r="D1822" s="5">
        <v>980990</v>
      </c>
      <c r="E1822" s="5">
        <v>20109930751</v>
      </c>
      <c r="F1822" s="5" t="s">
        <v>8693</v>
      </c>
      <c r="G1822" s="5" t="s">
        <v>8694</v>
      </c>
      <c r="H1822" s="5" t="s">
        <v>285</v>
      </c>
      <c r="I1822" s="5" t="s">
        <v>3700</v>
      </c>
      <c r="J1822" s="5" t="s">
        <v>3700</v>
      </c>
      <c r="K1822" s="5" t="s">
        <v>8695</v>
      </c>
      <c r="L1822" s="5"/>
      <c r="M1822" s="5"/>
      <c r="N1822" s="5"/>
      <c r="O1822" s="5"/>
      <c r="P1822" s="5"/>
      <c r="Q1822" s="5"/>
      <c r="R1822" s="5"/>
      <c r="S1822" s="5"/>
      <c r="T1822" s="5"/>
      <c r="U1822" s="5">
        <v>35550</v>
      </c>
      <c r="V1822" s="6">
        <v>35697</v>
      </c>
      <c r="W1822" s="5" t="s">
        <v>31</v>
      </c>
      <c r="X1822" s="5" t="s">
        <v>8696</v>
      </c>
    </row>
    <row r="1823" spans="1:24" x14ac:dyDescent="0.3">
      <c r="A1823" s="3">
        <v>1817</v>
      </c>
      <c r="B1823" s="3" t="str">
        <f>"1184081"</f>
        <v>1184081</v>
      </c>
      <c r="C1823" s="3" t="str">
        <f>"16463"</f>
        <v>16463</v>
      </c>
      <c r="D1823" s="3">
        <v>1184081</v>
      </c>
      <c r="E1823" s="3">
        <v>20273278185</v>
      </c>
      <c r="F1823" s="3" t="s">
        <v>8697</v>
      </c>
      <c r="G1823" s="3" t="s">
        <v>8698</v>
      </c>
      <c r="H1823" s="3" t="s">
        <v>51</v>
      </c>
      <c r="I1823" s="3" t="s">
        <v>51</v>
      </c>
      <c r="J1823" s="3" t="s">
        <v>241</v>
      </c>
      <c r="K1823" s="3" t="s">
        <v>4942</v>
      </c>
      <c r="L1823" s="3"/>
      <c r="M1823" s="3"/>
      <c r="N1823" s="3"/>
      <c r="O1823" s="3"/>
      <c r="P1823" s="3"/>
      <c r="Q1823" s="3"/>
      <c r="R1823" s="3"/>
      <c r="S1823" s="3"/>
      <c r="T1823" s="3"/>
      <c r="U1823" s="3">
        <v>5500</v>
      </c>
      <c r="V1823" s="4">
        <v>35936</v>
      </c>
      <c r="W1823" s="3" t="s">
        <v>31</v>
      </c>
      <c r="X1823" s="3" t="s">
        <v>8699</v>
      </c>
    </row>
    <row r="1824" spans="1:24" ht="27.95" x14ac:dyDescent="0.3">
      <c r="A1824" s="5">
        <v>1818</v>
      </c>
      <c r="B1824" s="5" t="str">
        <f>"201600000307"</f>
        <v>201600000307</v>
      </c>
      <c r="C1824" s="5" t="str">
        <f>"119294"</f>
        <v>119294</v>
      </c>
      <c r="D1824" s="5" t="s">
        <v>8700</v>
      </c>
      <c r="E1824" s="5">
        <v>20600541146</v>
      </c>
      <c r="F1824" s="5" t="s">
        <v>8701</v>
      </c>
      <c r="G1824" s="5" t="s">
        <v>8702</v>
      </c>
      <c r="H1824" s="5" t="s">
        <v>28</v>
      </c>
      <c r="I1824" s="5" t="s">
        <v>28</v>
      </c>
      <c r="J1824" s="5" t="s">
        <v>91</v>
      </c>
      <c r="K1824" s="5" t="s">
        <v>4149</v>
      </c>
      <c r="L1824" s="5"/>
      <c r="M1824" s="5"/>
      <c r="N1824" s="5"/>
      <c r="O1824" s="5"/>
      <c r="P1824" s="5"/>
      <c r="Q1824" s="5"/>
      <c r="R1824" s="5"/>
      <c r="S1824" s="5"/>
      <c r="T1824" s="5"/>
      <c r="U1824" s="5">
        <v>6100</v>
      </c>
      <c r="V1824" s="6">
        <v>42396</v>
      </c>
      <c r="W1824" s="5" t="s">
        <v>31</v>
      </c>
      <c r="X1824" s="5" t="s">
        <v>8703</v>
      </c>
    </row>
    <row r="1825" spans="1:24" ht="27.95" x14ac:dyDescent="0.3">
      <c r="A1825" s="3">
        <v>1819</v>
      </c>
      <c r="B1825" s="3" t="str">
        <f>"201900214998"</f>
        <v>201900214998</v>
      </c>
      <c r="C1825" s="3" t="str">
        <f>"686"</f>
        <v>686</v>
      </c>
      <c r="D1825" s="3" t="s">
        <v>8704</v>
      </c>
      <c r="E1825" s="3">
        <v>20514964778</v>
      </c>
      <c r="F1825" s="3" t="s">
        <v>8705</v>
      </c>
      <c r="G1825" s="3" t="s">
        <v>8706</v>
      </c>
      <c r="H1825" s="3" t="s">
        <v>28</v>
      </c>
      <c r="I1825" s="3" t="s">
        <v>28</v>
      </c>
      <c r="J1825" s="3" t="s">
        <v>45</v>
      </c>
      <c r="K1825" s="3" t="s">
        <v>110</v>
      </c>
      <c r="L1825" s="3" t="s">
        <v>110</v>
      </c>
      <c r="M1825" s="3" t="s">
        <v>110</v>
      </c>
      <c r="N1825" s="3" t="s">
        <v>8707</v>
      </c>
      <c r="O1825" s="3"/>
      <c r="P1825" s="3"/>
      <c r="Q1825" s="3"/>
      <c r="R1825" s="3"/>
      <c r="S1825" s="3"/>
      <c r="T1825" s="3"/>
      <c r="U1825" s="3">
        <v>14850</v>
      </c>
      <c r="V1825" s="4">
        <v>43828</v>
      </c>
      <c r="W1825" s="3" t="s">
        <v>31</v>
      </c>
      <c r="X1825" s="3" t="s">
        <v>8708</v>
      </c>
    </row>
    <row r="1826" spans="1:24" x14ac:dyDescent="0.3">
      <c r="A1826" s="5">
        <v>1820</v>
      </c>
      <c r="B1826" s="5" t="str">
        <f>"1839385"</f>
        <v>1839385</v>
      </c>
      <c r="C1826" s="5" t="str">
        <f>"82128"</f>
        <v>82128</v>
      </c>
      <c r="D1826" s="5" t="s">
        <v>8709</v>
      </c>
      <c r="E1826" s="5">
        <v>20100297915</v>
      </c>
      <c r="F1826" s="5" t="s">
        <v>8710</v>
      </c>
      <c r="G1826" s="5" t="s">
        <v>8711</v>
      </c>
      <c r="H1826" s="5" t="s">
        <v>51</v>
      </c>
      <c r="I1826" s="5" t="s">
        <v>51</v>
      </c>
      <c r="J1826" s="5" t="s">
        <v>51</v>
      </c>
      <c r="K1826" s="5" t="s">
        <v>2121</v>
      </c>
      <c r="L1826" s="5"/>
      <c r="M1826" s="5"/>
      <c r="N1826" s="5"/>
      <c r="O1826" s="5"/>
      <c r="P1826" s="5"/>
      <c r="Q1826" s="5"/>
      <c r="R1826" s="5"/>
      <c r="S1826" s="5"/>
      <c r="T1826" s="5"/>
      <c r="U1826" s="5">
        <v>8000</v>
      </c>
      <c r="V1826" s="6">
        <v>39776</v>
      </c>
      <c r="W1826" s="5" t="s">
        <v>31</v>
      </c>
      <c r="X1826" s="5" t="s">
        <v>8712</v>
      </c>
    </row>
    <row r="1827" spans="1:24" x14ac:dyDescent="0.3">
      <c r="A1827" s="3">
        <v>1821</v>
      </c>
      <c r="B1827" s="3" t="str">
        <f>"1514209"</f>
        <v>1514209</v>
      </c>
      <c r="C1827" s="3" t="str">
        <f>"366"</f>
        <v>366</v>
      </c>
      <c r="D1827" s="3" t="s">
        <v>8713</v>
      </c>
      <c r="E1827" s="3">
        <v>20100019788</v>
      </c>
      <c r="F1827" s="3" t="s">
        <v>8714</v>
      </c>
      <c r="G1827" s="3" t="s">
        <v>8715</v>
      </c>
      <c r="H1827" s="3" t="s">
        <v>28</v>
      </c>
      <c r="I1827" s="3" t="s">
        <v>28</v>
      </c>
      <c r="J1827" s="3" t="s">
        <v>28</v>
      </c>
      <c r="K1827" s="3" t="s">
        <v>75</v>
      </c>
      <c r="L1827" s="3" t="s">
        <v>432</v>
      </c>
      <c r="M1827" s="3" t="s">
        <v>329</v>
      </c>
      <c r="N1827" s="3"/>
      <c r="O1827" s="3"/>
      <c r="P1827" s="3"/>
      <c r="Q1827" s="3"/>
      <c r="R1827" s="3"/>
      <c r="S1827" s="3"/>
      <c r="T1827" s="3"/>
      <c r="U1827" s="3">
        <v>17900</v>
      </c>
      <c r="V1827" s="4">
        <v>38393</v>
      </c>
      <c r="W1827" s="3" t="s">
        <v>31</v>
      </c>
      <c r="X1827" s="3" t="s">
        <v>8716</v>
      </c>
    </row>
    <row r="1828" spans="1:24" x14ac:dyDescent="0.3">
      <c r="A1828" s="5">
        <v>1822</v>
      </c>
      <c r="B1828" s="5" t="str">
        <f>"201200185461"</f>
        <v>201200185461</v>
      </c>
      <c r="C1828" s="5" t="str">
        <f>"95182"</f>
        <v>95182</v>
      </c>
      <c r="D1828" s="5" t="s">
        <v>8717</v>
      </c>
      <c r="E1828" s="5">
        <v>20479569780</v>
      </c>
      <c r="F1828" s="5" t="s">
        <v>8718</v>
      </c>
      <c r="G1828" s="5" t="s">
        <v>8719</v>
      </c>
      <c r="H1828" s="5" t="s">
        <v>264</v>
      </c>
      <c r="I1828" s="5" t="s">
        <v>1635</v>
      </c>
      <c r="J1828" s="5" t="s">
        <v>8720</v>
      </c>
      <c r="K1828" s="5" t="s">
        <v>4545</v>
      </c>
      <c r="L1828" s="5" t="s">
        <v>3277</v>
      </c>
      <c r="M1828" s="5" t="s">
        <v>8721</v>
      </c>
      <c r="N1828" s="5" t="s">
        <v>8722</v>
      </c>
      <c r="O1828" s="5"/>
      <c r="P1828" s="5"/>
      <c r="Q1828" s="5"/>
      <c r="R1828" s="5"/>
      <c r="S1828" s="5"/>
      <c r="T1828" s="5"/>
      <c r="U1828" s="5">
        <v>23500</v>
      </c>
      <c r="V1828" s="6">
        <v>41192</v>
      </c>
      <c r="W1828" s="5" t="s">
        <v>31</v>
      </c>
      <c r="X1828" s="5" t="s">
        <v>8723</v>
      </c>
    </row>
    <row r="1829" spans="1:24" x14ac:dyDescent="0.3">
      <c r="A1829" s="3">
        <v>1823</v>
      </c>
      <c r="B1829" s="3" t="str">
        <f>"202000031459"</f>
        <v>202000031459</v>
      </c>
      <c r="C1829" s="3" t="str">
        <f>"62014"</f>
        <v>62014</v>
      </c>
      <c r="D1829" s="3" t="s">
        <v>8724</v>
      </c>
      <c r="E1829" s="3">
        <v>20498052925</v>
      </c>
      <c r="F1829" s="3" t="s">
        <v>8725</v>
      </c>
      <c r="G1829" s="3" t="s">
        <v>8726</v>
      </c>
      <c r="H1829" s="3" t="s">
        <v>51</v>
      </c>
      <c r="I1829" s="3" t="s">
        <v>51</v>
      </c>
      <c r="J1829" s="3" t="s">
        <v>241</v>
      </c>
      <c r="K1829" s="3" t="s">
        <v>8727</v>
      </c>
      <c r="L1829" s="3"/>
      <c r="M1829" s="3"/>
      <c r="N1829" s="3"/>
      <c r="O1829" s="3"/>
      <c r="P1829" s="3"/>
      <c r="Q1829" s="3"/>
      <c r="R1829" s="3"/>
      <c r="S1829" s="3"/>
      <c r="T1829" s="3"/>
      <c r="U1829" s="3">
        <v>3990</v>
      </c>
      <c r="V1829" s="4">
        <v>43887</v>
      </c>
      <c r="W1829" s="3" t="s">
        <v>31</v>
      </c>
      <c r="X1829" s="3" t="s">
        <v>8728</v>
      </c>
    </row>
  </sheetData>
  <mergeCells count="1">
    <mergeCell ref="A2:X2"/>
  </mergeCells>
  <pageMargins left="0.75" right="0.75" top="1" bottom="1" header="0.5" footer="0.5"/>
  <pageSetup orientation="portrait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CDCLyOPDHconInstalacionesFijas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</dc:title>
  <dc:creator>Jose Manuel Castañeda Rossel</dc:creator>
  <cp:lastModifiedBy>Jose Manuel Castañeda Rossel</cp:lastModifiedBy>
  <dcterms:created xsi:type="dcterms:W3CDTF">2020-10-29T21:51:55Z</dcterms:created>
  <dcterms:modified xsi:type="dcterms:W3CDTF">2020-10-29T21:51:55Z</dcterms:modified>
</cp:coreProperties>
</file>